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g"/>
  <Default Extension="tiff" ContentType="image/tiff"/>
  <Default Extension="jpeg" ContentType="image/jpeg"/>
  <Default Extension="png" ContentType="image/png"/>
  <Default Extension="bmp" ContentType="image/bmp"/>
  <Default Extension="gif" ContentType="image/gif"/>
  <Default Extension="svg" ContentType="image/svg+xml"/>
  <Default Extension="emf" ContentType="image/x-emf"/>
  <Default Extension="wmf" ContentType="image/x-wmf"/>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activeTab="20"/>
  </bookViews>
  <sheets>
    <sheet r:id="rId1" sheetId="1" name="Evaluation Version"/>
    <sheet r:id="rId2" name="Setup" sheetId="2"/>
    <sheet r:id="rId3" name="Data Page" sheetId="3" state="hidden"/>
    <sheet r:id="rId4" name="SBL Quotes" sheetId="4"/>
    <sheet r:id="rId5" name="Screening &amp; Credit Risks" sheetId="5" state="hidden"/>
    <sheet r:id="rId6" name="PD" sheetId="6" state="hidden"/>
    <sheet r:id="rId7" name="FNM Loan Terms" sheetId="7"/>
    <sheet r:id="rId8" name="FNM Exit Strategy" sheetId="8"/>
    <sheet r:id="rId9" name="DUS Gateway Data" sheetId="9" state="hidden"/>
    <sheet r:id="rId10" name="Freddie I&amp;E" sheetId="10"/>
    <sheet r:id="rId11" name="Fannie Historical Ops" sheetId="11"/>
    <sheet r:id="rId12" name="Kick-Off Memo" sheetId="12"/>
    <sheet r:id="rId13" name="Quote Letter" sheetId="13"/>
    <sheet r:id="rId14" name="Quote" sheetId="14" state="hidden"/>
    <sheet r:id="rId15" name="FRE_PricingAdjTables" sheetId="15" state="hidden"/>
    <sheet r:id="rId16" name="FRE_App" sheetId="16" state="hidden"/>
    <sheet r:id="rId17" name="FRE_App Print History" sheetId="17" state="hidden"/>
    <sheet r:id="rId18" name="FNM_APP" sheetId="18" state="hidden"/>
    <sheet r:id="rId19" name="FRE B2B Submission" sheetId="19" state="hidden"/>
    <sheet r:id="rId20" name="Summary OPS" sheetId="20" state="hidden"/>
    <sheet r:id="rId21" name="Rent Roll" sheetId="21"/>
    <sheet r:id="rId22" name="OS Analysis" sheetId="22"/>
    <sheet r:id="rId23" name="NRI Analysis" sheetId="23"/>
    <sheet r:id="rId24" name="Expense Comps." sheetId="24" state="hidden"/>
    <sheet r:id="rId25" name="Unit Mix" sheetId="25" state="hidden"/>
    <sheet r:id="rId26" name="Bor-KP-Prin" sheetId="26" state="hidden"/>
    <sheet r:id="rId27" name="SREO 1" sheetId="27" state="hidden"/>
    <sheet r:id="rId28" name="SREO 2" sheetId="28" state="hidden"/>
    <sheet r:id="rId29" name="SREO 3" sheetId="29" state="hidden"/>
    <sheet r:id="rId30" name="SREO 4" sheetId="30" state="hidden"/>
    <sheet r:id="rId31" name="SREO 5" sheetId="31" state="hidden"/>
    <sheet r:id="rId32" name="SREO 6" sheetId="32" state="hidden"/>
    <sheet r:id="rId33" name="SREO 7" sheetId="33" state="hidden"/>
    <sheet r:id="rId34" name="SREO 8" sheetId="34" state="hidden"/>
    <sheet r:id="rId35" name="Rent Comps" sheetId="35" state="hidden"/>
    <sheet r:id="rId36" name="Sales Comps" sheetId="36" state="hidden"/>
    <sheet r:id="rId37" name="Engineering schedule" sheetId="37" state="hidden"/>
    <sheet r:id="rId38" name="Form 4662" sheetId="38" state="hidden"/>
    <sheet r:id="rId39" name="Trade Sheet" sheetId="39" state="hidden"/>
    <sheet r:id="rId40" name="C&amp;D Data Inputs" sheetId="40" state="hidden"/>
    <sheet r:id="rId41" name="VData" sheetId="41" state="hidden"/>
    <sheet r:id="rId42" name="HData" sheetId="42" state="hidden"/>
    <sheet r:id="rId43" name="Property Collateral" sheetId="43" state="hidden"/>
    <sheet r:id="rId44" name="Participants" sheetId="44" state="hidden"/>
    <sheet r:id="rId45" name="DailyPricing" sheetId="45" state="hidden"/>
    <sheet r:id="rId46" name="Lists" sheetId="46" state="hidden"/>
    <sheet r:id="rId47" name="MappingTables" sheetId="47" state="hidden"/>
    <sheet r:id="rId48" name="Boilerplate" sheetId="48" state="hidden"/>
    <sheet r:id="rId49" name="Dropdowns (DNP)" sheetId="49" state="hidden"/>
    <sheet r:id="rId50" name="Narrative Link (Do not Delete)" sheetId="50" state="hidden"/>
    <sheet r:id="rId51" name="Enodo Regression Testing" sheetId="51" state="hidden"/>
    <sheet r:id="rId52" name="EnodoConfig" sheetId="52" state="hidden"/>
  </sheets>
  <definedNames>
    <definedName name="ACTL_DSCR" isReadOnly="false">'Form 4662'!$AO$35</definedName>
    <definedName name="Actual_UW_DSCR" isReadOnly="false">'Data Page'!$J$56</definedName>
    <definedName name="address" isReadOnly="false">'SBL Quotes'!$B$7</definedName>
    <definedName name="Address_DataPageTab" isReadOnly="false">'Data Page'!$D$18</definedName>
    <definedName name="AGE_RESTR" isReadOnly="false">'Form 4662'!$K$19</definedName>
    <definedName name="AMI_CostBurden" isReadOnly="false">'Data Page'!$AX$18</definedName>
    <definedName name="AMI_HighNeedsRural_Marker" isReadOnly="false">'Data Page'!$AX$20</definedName>
    <definedName name="AMI_IsRural" isReadOnly="false">'Data Page'!$AX$19</definedName>
    <definedName name="AMI_MissionDriven_Discount_Addnl80" isReadOnly="false">'Data Page'!$AY$29</definedName>
    <definedName name="AMI_MissionDriven_Discount_Afford40" isReadOnly="false">'Data Page'!$AY$25</definedName>
    <definedName name="AMI_MissionDriven_Discount_Afford50" isReadOnly="false">'Data Page'!$AY$26</definedName>
    <definedName name="AMI_MissionDriven_Discount_Afford80" isReadOnly="false">'Data Page'!$AY$27</definedName>
    <definedName name="AMI_PercentagesFromServer" isReadOnly="false">'Data Page'!$AY$11:$AY$15</definedName>
    <definedName name="Amort" isReadOnly="false">'Data Page'!$E$53</definedName>
    <definedName name="AmortizingDebtService" isReadOnly="false">'Data Page'!$K$49</definedName>
    <definedName name="APP_LN_AMT" isReadOnly="false">'Form 4662'!$AM$9</definedName>
    <definedName name="ApplicationLoan" isReadOnly="false">'Data Page'!$K$63</definedName>
    <definedName name="Appraisal_Company" isReadOnly="false">'Data Page'!$K$34</definedName>
    <definedName name="Appraisal_Date" isReadOnly="false">'Data Page'!$K$36</definedName>
    <definedName name="Appraised_Cap" isReadOnly="false">'Data Page'!$K$43</definedName>
    <definedName name="Appraised_Value" isReadOnly="false">'Data Page'!$K$41</definedName>
    <definedName name="AppraisedValuePerUnit" isReadOnly="false">'Data Page'!$N$41</definedName>
    <definedName name="B2BLink_NumberOfUnits" isReadOnly="false">'FRE B2B Submission'!$K$6</definedName>
    <definedName name="B2BLink_PropertyName" isReadOnly="false">'FRE B2B Submission'!$K$4</definedName>
    <definedName name="B2BLink_ZipCode" isReadOnly="false">'FRE B2B Submission'!$K$3</definedName>
    <definedName name="BLDG_CNT" isReadOnly="false">'Form 4662'!$U$10</definedName>
    <definedName name="BLDG_TYP" isReadOnly="false">'Form 4662'!$U$9</definedName>
    <definedName name="BorrowerPriority" isReadOnly="false">'Data Page'!$D$40</definedName>
    <definedName name="Building_Type" isReadOnly="false">'Data Page'!$J$8</definedName>
    <definedName name="CAP_COST_FCTR" isReadOnly="false">'Form 4662'!$AO$17</definedName>
    <definedName name="City_DataPageTab" isReadOnly="false">'Data Page'!$D$19</definedName>
    <definedName name="CMT_NBR" isReadOnly="false">'Form 4662'!$O$4</definedName>
    <definedName name="COOP_NCF" isReadOnly="false">'Form 4662'!$AU$31</definedName>
    <definedName name="County_DataPageTab" isReadOnly="false">'Data Page'!$D$20</definedName>
    <definedName name="CUW_SIGN" isReadOnly="false">'Form 4662'!$AC$47</definedName>
    <definedName name="CUW_SIGN_DT" isReadOnly="false">'Form 4662'!$AS$47</definedName>
    <definedName name="DailyPricingUpdateTimestamp" isReadOnly="false">DailyPricing!$C$3</definedName>
    <definedName name="DataPage_AMI_Percentages" isReadOnly="false">'Data Page'!$L$16:$L$20</definedName>
    <definedName name="DataPage_MaxApprovedLoanAmount" isReadOnly="false">'Data Page'!$K$76</definedName>
    <definedName name="DataPage_PcntExcludedFromCap" isReadOnly="false">'Data Page'!$L$21</definedName>
    <definedName name="DataPage_PcntOfUnits_LTE_100PcntOfAMI" isReadOnly="false">'Data Page'!$L$17</definedName>
    <definedName name="DataPage_PcntOfUnits_LTE_120PcntOfAMI" isReadOnly="false">'Data Page'!$L$16</definedName>
    <definedName name="DataPage_PcntOfUnits_LTE_50PcntOfAMI" isReadOnly="false">'Data Page'!$L$20</definedName>
    <definedName name="DataPage_PcntOfUnits_LTE_60PcntOfAMI" isReadOnly="false">'Data Page'!$L$19</definedName>
    <definedName name="DataPage_PcntOfUnits_LTE_80PcntOfAMI" isReadOnly="false">'Data Page'!$L$18</definedName>
    <definedName name="DataPage_RefiClosingDate" isReadOnly="false">'Data Page'!$K$24</definedName>
    <definedName name="DataPage_Variable_Min_Stress_UW_DSCR" isReadOnly="false">'Data Page'!$AY$4</definedName>
    <definedName name="DataPage_View" isReadOnly="false">'Data Page'!$B$2</definedName>
    <definedName name="Debt_Yield" isReadOnly="false">'Data Page'!$K$50</definedName>
    <definedName name="Delegated_Level" isReadOnly="false">'Data Page'!$D$39</definedName>
    <definedName name="DL_NM" isReadOnly="false">'Form 4662'!$H$3</definedName>
    <definedName name="Dropdowns_ProducerContactInfo" isReadOnly="false">'Dropdowns (DNP)'!$GQ$2:$GQ$14</definedName>
    <definedName name="DropDowns_ProducerNames" isReadOnly="false">'Dropdowns (DNP)'!$GP$2:$GP$14</definedName>
    <definedName name="EnodoConfig_EnodoUrl" isReadOnly="false">EnodoConfig!$B$11</definedName>
    <definedName name="EnodoConfig_FreddieMacLoanId" isReadOnly="false">EnodoConfig!$B$15</definedName>
    <definedName name="EnodoConfig_ReleaseDate" isReadOnly="false">EnodoConfig!$B$21</definedName>
    <definedName name="EnodoConfig_RRId" isReadOnly="false">EnodoConfig!$B$3</definedName>
    <definedName name="EnodoConfig_T12_1" isReadOnly="false">EnodoConfig!$B$4</definedName>
    <definedName name="EnodoConfig_T12_2" isReadOnly="false">EnodoConfig!$B$5</definedName>
    <definedName name="EnodoConfig_T12_3" isReadOnly="false">EnodoConfig!$B$6</definedName>
    <definedName name="EnodoConfig_T12_4" isReadOnly="false">EnodoConfig!$B$7</definedName>
    <definedName name="EnodoConfig_Token" isReadOnly="false">EnodoConfig!$B$2</definedName>
    <definedName name="EnodoConfig_UniqueId" isReadOnly="false">EnodoConfig!$B$18</definedName>
    <definedName name="EnodoConfig_Version" isReadOnly="false">EnodoConfig!$B$20</definedName>
    <definedName name="Exit_LoanAmount" isReadOnly="false">'FNM Exit Strategy'!$AL$10</definedName>
    <definedName name="Exit_LoanStartDate" isReadOnly="false">'FNM Exit Strategy'!$AL$8</definedName>
    <definedName name="Exit_LoanTerm" isReadOnly="false">'FNM Exit Strategy'!$AL$7</definedName>
    <definedName name="Exit_LTV_Standard" isReadOnly="false">'Data Page'!$K$52</definedName>
    <definedName name="Exit_Rate_Standard" isReadOnly="false">'Data Page'!$K$51</definedName>
    <definedName name="Fail" isReadOnly="false">"Fail"</definedName>
    <definedName name="FirstAmort_IfSupp" isReadOnly="false">'Data Page'!$W$9</definedName>
    <definedName name="FirstConstant_IfSupp" isReadOnly="false">'Data Page'!$W$16</definedName>
    <definedName name="FirstCoterminous_IfSupp" isReadOnly="false">'Data Page'!$W$22</definedName>
    <definedName name="FirstDebtService_IfSupp" isReadOnly="false">'Data Page'!$W$17</definedName>
    <definedName name="FirstIO_IfSupp" isReadOnly="false">'Data Page'!$W$10</definedName>
    <definedName name="FirstMaturity_IfSupp" isReadOnly="false">'Data Page'!$W$24</definedName>
    <definedName name="FirstOrigLoan_IfSupp" isReadOnly="false">'Data Page'!$W$11</definedName>
    <definedName name="FirstRate_IfSupp" isReadOnly="false">'Data Page'!$W$15</definedName>
    <definedName name="FirstRemIO_IfSupp" isReadOnly="false">'Data Page'!$W$30</definedName>
    <definedName name="FirstRemTerm_IfSupp" isReadOnly="false">'Data Page'!$W$28</definedName>
    <definedName name="FirstTerm_IfSupp" isReadOnly="false">'Data Page'!$W$8</definedName>
    <definedName name="FirstUPB_IfSupp" isReadOnly="false">'Data Page'!$W$13</definedName>
    <definedName name="FixedPrinPayment" isReadOnly="false">'C&amp;D Data Inputs'!$X$4</definedName>
    <definedName name="Floor_UW_DSCR" isReadOnly="false">'Data Page'!$J$57</definedName>
    <definedName name="FloorConstant" isReadOnly="false">'Data Page'!$E$69</definedName>
    <definedName name="FloorRate" isReadOnly="false">'Data Page'!$E$67</definedName>
    <definedName name="FNM_TierTbl" isReadOnly="false">'SBL Quotes'!$BE$53:$BF$60</definedName>
    <definedName name="FormMonth" isReadOnly="false">11</definedName>
    <definedName name="FormYear" isReadOnly="false">2020</definedName>
    <definedName name="FreddieIE_ExpenseGrowthRate" isReadOnly="false">'Freddie I&amp;E'!$AD$38</definedName>
    <definedName name="GBA" isReadOnly="false">'Data Page'!$J$10</definedName>
    <definedName name="GetA1" isReadOnly="false">ADDRESS(ROW(INDIRECT(VData!$D1)),COLUMN(INDIRECT(VData!$D1)),1,1,"Form 4662")</definedName>
    <definedName name="GetR1C1" isReadOnly="false">"R"&amp;ROW(INDIRECT(VData!$D1))&amp;"C"&amp;COLUMN(INDIRECT(VData!$D1))</definedName>
    <definedName name="GR_InterestOnly" isReadOnly="false">'Data Page'!$D$55</definedName>
    <definedName name="GRS_SPRD" isReadOnly="false">'Form 4662'!$AO$16</definedName>
    <definedName name="Guarantor_KP_1" isReadOnly="false">'Bor-KP-Prin'!$L$5</definedName>
    <definedName name="Guarantor_KP_2" isReadOnly="false">'Bor-KP-Prin'!$M$5</definedName>
    <definedName name="Guarantor_KP_3" isReadOnly="false">'Bor-KP-Prin'!$N$5</definedName>
    <definedName name="Guarantor_KP_4" isReadOnly="false">'Bor-KP-Prin'!$O$5</definedName>
    <definedName name="Guarantor_KP_5" isReadOnly="false">'Bor-KP-Prin'!$P$5</definedName>
    <definedName name="Guarantor_KP_6" isReadOnly="false">'Bor-KP-Prin'!$Q$5</definedName>
    <definedName name="Guarantor_KP_7" isReadOnly="false">'Bor-KP-Prin'!$R$5</definedName>
    <definedName name="Guarantor_KP_8" isReadOnly="false">'Bor-KP-Prin'!$S$5</definedName>
    <definedName name="GuarantyFee" isReadOnly="false">'Data Page'!$E$62</definedName>
    <definedName name="HAP_REM_TRM" isReadOnly="false">'Form 4662'!$K$28</definedName>
    <definedName name="HOps_1YrBack" isReadOnly="false">'Fannie Historical Ops'!$H$4</definedName>
    <definedName name="HOps_2YrsBack" isReadOnly="false">'Fannie Historical Ops'!$F$4</definedName>
    <definedName name="HOps_3YrsBack" isReadOnly="false">'Fannie Historical Ops'!$D$4</definedName>
    <definedName name="HOps_CapExps" isReadOnly="false">'Fannie Historical Ops'!$AK$73</definedName>
    <definedName name="HOps_CurrentYear" isReadOnly="false">'Fannie Historical Ops'!$W$4</definedName>
    <definedName name="HOps_ExpenseGrowthRate" isReadOnly="false">'Fannie Historical Ops'!$AK$32</definedName>
    <definedName name="HOps_ManagementFee" isReadOnly="false">'Fannie Historical Ops'!$AL$51</definedName>
    <definedName name="HOps_NetCashFlow" isReadOnly="false">'Fannie Historical Ops'!$AK$77</definedName>
    <definedName name="HOps_YTD_or_TR" isReadOnly="false">'Fannie Historical Ops'!$W$2</definedName>
    <definedName name="HOps_YTD_or_TR_DropDown" isReadOnly="false">'Fannie Historical Ops'!$V$2</definedName>
    <definedName name="HOps_YTD_or_TR_Months" isReadOnly="false">'Fannie Historical Ops'!$V$4</definedName>
    <definedName name="INS_ESCRW" isReadOnly="false">'Form 4662'!$X$20</definedName>
    <definedName name="Interest_Calc" isReadOnly="false">'Data Page'!$E$44</definedName>
    <definedName name="Interest_Rate_Type" isReadOnly="false">'Data Page'!$E$42</definedName>
    <definedName name="InterestOnly" isReadOnly="false">'Data Page'!$E$55</definedName>
    <definedName name="InterestOnlyDebtService" isReadOnly="false">'Data Page'!$N$49</definedName>
    <definedName name="InvestorSpread" isReadOnly="false">'Data Page'!$E$60</definedName>
    <definedName name="IO_UW_DSCR" isReadOnly="false">'Data Page'!$L$56</definedName>
    <definedName name="IsCashOutRefinance" isReadOnly="false">'SBL Quotes'!$B$31</definedName>
    <definedName name="IsFannieStrongOrSelectEligibleMkt" isReadOnly="false">'SBL Quotes'!$B$47</definedName>
    <definedName name="LastPricingUpdateTimestamp" isReadOnly="false">'SBL Quotes'!$B$5</definedName>
    <definedName name="LCK_EXP_DT" isReadOnly="false">'Form 4662'!$AV$13</definedName>
    <definedName name="LCK_TRM" isReadOnly="false">'Form 4662'!$AV$12</definedName>
    <definedName name="Lender_Name" isReadOnly="false">'Data Page'!$D$6</definedName>
    <definedName name="LN_PRPS" isReadOnly="false">'Form 4662'!$AM$8</definedName>
    <definedName name="LNDR_CMTS" isReadOnly="false">'Form 4662'!$C$41</definedName>
    <definedName name="LNDR_NM" isReadOnly="false">'Form 4662'!$AI$3</definedName>
    <definedName name="Loan_Execution_Type" isReadOnly="false">'Data Page'!$D$41</definedName>
    <definedName name="Loan_Option_Accepted" isReadOnly="false">'SBL Quotes'!$B$54</definedName>
    <definedName name="Loan_Program_Accepted" isReadOnly="false">'SBL Quotes'!$B$53</definedName>
    <definedName name="Loan_Purpose" isReadOnly="false">'Data Page'!$E$43</definedName>
    <definedName name="Loan_to_Cost" isReadOnly="false">'Data Page'!$J$60</definedName>
    <definedName name="LoanAmount" isReadOnly="false">'Data Page'!$K$70</definedName>
    <definedName name="LossSharing_DataPageTab" isReadOnly="false">'Data Page'!$E$71</definedName>
    <definedName name="LTV" isReadOnly="false">'Data Page'!$J$59</definedName>
    <definedName name="MAH_TYP" isReadOnly="false">'Form 4662'!$L$26</definedName>
    <definedName name="MAH_UNDR_50" isReadOnly="false">'Form 4662'!$X$33</definedName>
    <definedName name="MAH_UNDR_60" isReadOnly="false">'Form 4662'!$X$32</definedName>
    <definedName name="MAH_UNDR_80" isReadOnly="false">'Form 4662'!$X$31</definedName>
    <definedName name="MAH_UNTS" isReadOnly="false">'Form 4662'!$X$34</definedName>
    <definedName name="Management_Company" isReadOnly="false">'Data Page'!$D$14</definedName>
    <definedName name="MAX_PMT_DSCR" isReadOnly="false">'Form 4662'!$AO$36</definedName>
    <definedName name="MEZZ_DSCR" isReadOnly="false">'Form 4662'!$AO$37</definedName>
    <definedName name="MEZZ_LN_ACQ_UPB" isReadOnly="false">'Form 4662'!$AM$10</definedName>
    <definedName name="MEZZ_LN_MO_PMT" isReadOnly="false">'Form 4662'!$AX$10</definedName>
    <definedName name="MIN_HRDL_DSCR" isReadOnly="false">'Form 4662'!$AO$33</definedName>
    <definedName name="Min_Tier" isReadOnly="false">'Data Page'!$D$48</definedName>
    <definedName name="MSA" isReadOnly="false">'SBL Quotes'!$B$17</definedName>
    <definedName name="MSA_DataPageTab" isReadOnly="false">'Data Page'!$D$23</definedName>
    <definedName name="MSA_Type" isReadOnly="false">'Data Page'!$B$23</definedName>
    <definedName name="NewLoanTestCheck" isReadOnly="false">'Data Page'!$R$41</definedName>
    <definedName name="NoteConstant" isReadOnly="false">'Data Page'!$E$68</definedName>
    <definedName name="NoteRate" isReadOnly="false">'Data Page'!$E$66</definedName>
    <definedName name="NRA" isReadOnly="false">'Data Page'!$J$11</definedName>
    <definedName name="NRI" isReadOnly="false">'Freddie I&amp;E'!$AD$23</definedName>
    <definedName name="number_units" isReadOnly="false">'SBL Quotes'!$B$12</definedName>
    <definedName name="NumOfBldg_DataPageTab" isReadOnly="false">'Data Page'!$J$9</definedName>
    <definedName name="OP_STMT_FY" isReadOnly="false">'Form 4662'!$AN$23</definedName>
    <definedName name="OriginationFee_Broker" isReadOnly="false">'Data Page'!$E$27</definedName>
    <definedName name="OriginationFee_Lender" isReadOnly="false">'Data Page'!$E$29</definedName>
    <definedName name="OriginationPerc_Broker" isReadOnly="false">'Data Page'!$E$28</definedName>
    <definedName name="OriginationPerc_Lender" isReadOnly="false">'Data Page'!$E$30</definedName>
    <definedName name="OSAnalysis_MostRecentMonth" isReadOnly="false">'OS Analysis'!$P$2</definedName>
    <definedName name="OTR_ESCRW" isReadOnly="false">'Form 4662'!$X$21</definedName>
    <definedName name="OTR_MAH_TYP" isReadOnly="false">'Form 4662'!$J$27</definedName>
    <definedName name="Pass" isReadOnly="false">"Pass"</definedName>
    <definedName name="PHS1_UNTS" isReadOnly="false">'Form 4662'!$L$14</definedName>
    <definedName name="PHS1_YR" isReadOnly="false">'Form 4662'!$L$13</definedName>
    <definedName name="PHS2_UNTS" isReadOnly="false">'Form 4662'!$N$14</definedName>
    <definedName name="PHS2_YR" isReadOnly="false">'Form 4662'!$N$13</definedName>
    <definedName name="PHS3_UNTS" isReadOnly="false">'Form 4662'!$P$14</definedName>
    <definedName name="PHS3_YR" isReadOnly="false">'Form 4662'!$P$13</definedName>
    <definedName name="PHS4_UNTS" isReadOnly="false">'Form 4662'!$R$14</definedName>
    <definedName name="PHS4_YR" isReadOnly="false">'Form 4662'!$R$13</definedName>
    <definedName name="PHS5_UNTS" isReadOnly="false">'Form 4662'!$T$14</definedName>
    <definedName name="PHS5_YR" isReadOnly="false">'Form 4662'!$T$13</definedName>
    <definedName name="PHS6_UNTS" isReadOnly="false">'Form 4662'!$V$14</definedName>
    <definedName name="PHS6_YR" isReadOnly="false">'Form 4662'!$V$13</definedName>
    <definedName name="PHS7_UNTS" isReadOnly="false">'Form 4662'!$X$14</definedName>
    <definedName name="PHS7_YR" isReadOnly="false">'Form 4662'!$X$13</definedName>
    <definedName name="PL_NBR" isReadOnly="false">'Form 4662'!$O$5</definedName>
    <definedName name="PremiumPerc_Broker" isReadOnly="false">'Data Page'!$E$33</definedName>
    <definedName name="PremiumPerc_Lender" isReadOnly="false">'Data Page'!$E$35</definedName>
    <definedName name="ProducerName" isReadOnly="false">'SBL Quotes'!$B$58</definedName>
    <definedName name="PROP_NM" isReadOnly="false">'Form 4662'!$H$8</definedName>
    <definedName name="PROP_TYP" isReadOnly="false">'Form 4662'!$H$9</definedName>
    <definedName name="property_name" isReadOnly="false">'SBL Quotes'!$B$6</definedName>
    <definedName name="Property_Type" isReadOnly="false">'Data Page'!$J$7</definedName>
    <definedName name="PropertyName_DataPageTab" isReadOnly="false">'Data Page'!$D$17</definedName>
    <definedName name="RentRoll_InputArea_Beds" isReadOnly="false">'Rent Roll'!$Q$17:$EZ$17</definedName>
    <definedName name="RentRoll_InputArea_DesignatedUnitType" isReadOnly="false">'Rent Roll'!$Q$20:$EZ$20</definedName>
    <definedName name="RentRoll_InputArea_MarketRent" isReadOnly="false">'Rent Roll'!$Q$21:$EZ$21</definedName>
    <definedName name="RentRoll_InputArea_SquareFootage" isReadOnly="false">'Rent Roll'!$Q$22:$EZ$22</definedName>
    <definedName name="RentRoll_NmbrOfUnitsWithoutMatchingUnitType" isReadOnly="false">'Rent Roll'!$FK$126</definedName>
    <definedName name="RentRoll_NmbrOfUnitTypesWithoutMatchingUnits" isReadOnly="false">'Rent Roll'!$FA$3</definedName>
    <definedName name="RentRoll_UnitTypeCount" isReadOnly="false">'Rent Roll'!$Q$15</definedName>
    <definedName name="RentRollDate" isReadOnly="false">'Rent Roll'!$C$15</definedName>
    <definedName name="RentRollTotalUnits" isReadOnly="false">'Rent Roll'!$D$141</definedName>
    <definedName name="Requested_Actual_UW_DSCR" isReadOnly="false">'Data Page'!$E$50</definedName>
    <definedName name="Requested_Floor_UW_DSCR" isReadOnly="false">'Data Page'!$E$51</definedName>
    <definedName name="Requested_LTV" isReadOnly="false">'Data Page'!$E$49</definedName>
    <definedName name="Requested_Tier" isReadOnly="false">'Data Page'!$E$48</definedName>
    <definedName name="RequestedLoan" isReadOnly="false">'Data Page'!$K$64</definedName>
    <definedName name="RES_AREA" isReadOnly="false">'Form 4662'!$O$17</definedName>
    <definedName name="RES_UNTS" isReadOnly="false">'Form 4662'!$O$16</definedName>
    <definedName name="RPR_TOT" isReadOnly="false">'Form 4662'!$P$37</definedName>
    <definedName name="SARMCapCostFactor" isReadOnly="false">'C&amp;D Data Inputs'!$X$11</definedName>
    <definedName name="SARMCushion" isReadOnly="false">'C&amp;D Data Inputs'!$X$12</definedName>
    <definedName name="SARMGuarantyFee" isReadOnly="false">'C&amp;D Data Inputs'!$X$10</definedName>
    <definedName name="SARMInvestorSpread" isReadOnly="false">'C&amp;D Data Inputs'!$X$9</definedName>
    <definedName name="SARMPayConstant" isReadOnly="false">'C&amp;D Data Inputs'!$X$6</definedName>
    <definedName name="SARMPayRate" isReadOnly="false">'C&amp;D Data Inputs'!$X$5</definedName>
    <definedName name="SARMServicingFee" isReadOnly="false">'C&amp;D Data Inputs'!$X$13</definedName>
    <definedName name="SARMStressConstant" isReadOnly="false">'C&amp;D Data Inputs'!$X$7</definedName>
    <definedName name="SARMStressRate" isReadOnly="false">'C&amp;D Data Inputs'!$X$8</definedName>
    <definedName name="SBL_BuildingType" isReadOnly="false">'SBL Quotes'!$AK$14</definedName>
    <definedName name="SBL_CensusTractNmbr" isReadOnly="false">'SBL Quotes'!$B$10</definedName>
    <definedName name="SBL_DatePriced" isReadOnly="false">'SBL Quotes'!$B$15</definedName>
    <definedName name="SBL_DealPurpose" isReadOnly="false">'SBL Quotes'!$B$38</definedName>
    <definedName name="SBL_DelegatedLevel" isReadOnly="false">'SBL Quotes'!$B$48</definedName>
    <definedName name="SBL_FannieNOI" isReadOnly="false">'SBL Quotes'!$B$44</definedName>
    <definedName name="SBL_FannieOptionsToView" isReadOnly="false">'SBL Quotes'!$R$1</definedName>
    <definedName name="SBL_FRE_RegionalPricingGridRegionCode" isReadOnly="false">'SBL Quotes'!$BK$2</definedName>
    <definedName name="SBL_FRE_RegionalPricingGridTimestamp" isReadOnly="false">'SBL Quotes'!$BK$3</definedName>
    <definedName name="SBL_FreddieNOI" isReadOnly="false">'SBL Quotes'!$B$41</definedName>
    <definedName name="SBL_FreddieOptionsToView" isReadOnly="false">'SBL Quotes'!$E$1</definedName>
    <definedName name="SBL_MSA_Type" isReadOnly="false">'SBL Quotes'!$B$18</definedName>
    <definedName name="SBL_PricingTbl_FNM_GS_6MM_Tier2" isReadOnly="false">'SBL Quotes'!$AZ$12:$AZ$18</definedName>
    <definedName name="SBL_PricingTbl_FNM_GS_6MM_Tier3" isReadOnly="false">'SBL Quotes'!$AZ$26:$AZ$32</definedName>
    <definedName name="SBL_PricingTbl_FNM_GS_6MM_Tier4" isReadOnly="false">'SBL Quotes'!$AZ$40:$AZ$46</definedName>
    <definedName name="SBL_PricingTbl_FNM_GS_9MM_Tier2" isReadOnly="false">'SBL Quotes'!$BB$12:$BB$18</definedName>
    <definedName name="SBL_PricingTbl_FNM_GS_9MM_Tier3" isReadOnly="false">'SBL Quotes'!$BB$26:$BB$32</definedName>
    <definedName name="SBL_PricingTbl_FNM_GS_9MM_Tier4" isReadOnly="false">'SBL Quotes'!$BB$40:$BB$46</definedName>
    <definedName name="SBL_PricingTbl_FNM_Term_Tier2" isReadOnly="false">'SBL Quotes'!$AU$12:$AU$18</definedName>
    <definedName name="SBL_PricingTbl_FNM_Term_Tier3" isReadOnly="false">'SBL Quotes'!$AU$26:$AU$32</definedName>
    <definedName name="SBL_PricingTbl_FNM_Term_Tier4" isReadOnly="false">'SBL Quotes'!$AU$40:$AU$46</definedName>
    <definedName name="SBL_PricingTbl_FNM_Tier2" isReadOnly="false">'SBL Quotes'!$AU$12:$BH$18</definedName>
    <definedName name="SBL_PricingTbl_FNM_Tier3" isReadOnly="false">'SBL Quotes'!$AU$26:$BH$32</definedName>
    <definedName name="SBL_PricingTbl_FNM_Tier4" isReadOnly="false">'SBL Quotes'!$AU$40:$BH$46</definedName>
    <definedName name="SBL_PropertyType" isReadOnly="false">'SBL Quotes'!$B$13</definedName>
    <definedName name="SBL_ProprietaryCapitalOptionsToView" isReadOnly="false">'SBL Quotes'!$AA$1</definedName>
    <definedName name="SBL_SmallLoanSpreadAdder" isReadOnly="false">'SBL Quotes'!$AV$53</definedName>
    <definedName name="SBL_YearBuilt" isReadOnly="false">'SBL Quotes'!$B$14</definedName>
    <definedName name="SBL_ZipCode" isReadOnly="false">'SBL Quotes'!$B$9</definedName>
    <definedName name="SblQuotes_CityState" isReadOnly="false">'SBL Quotes'!$B$8</definedName>
    <definedName name="SblQuotes_County" isReadOnly="false">'SBL Quotes'!$B$16</definedName>
    <definedName name="SblQuotes_FannieMktTier" isReadOnly="false">'SBL Quotes'!$B$32</definedName>
    <definedName name="SblQuotes_FreddieMktTier" isReadOnly="false">'SBL Quotes'!$B$22</definedName>
    <definedName name="SecondAmort_IfSupp" isReadOnly="false">'Data Page'!$X$9</definedName>
    <definedName name="SecondConstant_IfSupp" isReadOnly="false">'Data Page'!$X$16</definedName>
    <definedName name="SecondCoterminous_IfSupp" isReadOnly="false">'Data Page'!$X$22</definedName>
    <definedName name="SecondDebtService_IfSupp" isReadOnly="false">'Data Page'!$X$17</definedName>
    <definedName name="SecondIO_IfSupp" isReadOnly="false">'Data Page'!$X$10</definedName>
    <definedName name="SecondMaturity_IfSupp" isReadOnly="false">'Data Page'!$X$24</definedName>
    <definedName name="SecondOrigLoan_IfSupp" isReadOnly="false">'Data Page'!$X$11</definedName>
    <definedName name="SecondRate_IfSupp" isReadOnly="false">'Data Page'!$X$15</definedName>
    <definedName name="SecondRemIO_IfSupp" isReadOnly="false">'Data Page'!$X$30</definedName>
    <definedName name="SecondRemTerm_IfSupp" isReadOnly="false">'Data Page'!$X$28</definedName>
    <definedName name="SecondTerm_IfSupp" isReadOnly="false">'Data Page'!$X$8</definedName>
    <definedName name="SecondUPB_IfSupp" isReadOnly="false">'Data Page'!$X$13</definedName>
    <definedName name="ServicingFee" isReadOnly="false">'Data Page'!$E$63</definedName>
    <definedName name="Setup_ViewType" isReadOnly="false">Setup!$B$7</definedName>
    <definedName name="Slicer_City" isReadOnly="false">#N/A</definedName>
    <definedName name="Slicer_Conf_Status" isReadOnly="false">#N/A</definedName>
    <definedName name="Slicer_County" isReadOnly="false">#N/A</definedName>
    <definedName name="Slicer_Flood_Zone" isReadOnly="false">#N/A</definedName>
    <definedName name="Slicer_Market_Tier" isReadOnly="false">#N/A</definedName>
    <definedName name="Slicer_MSA" isReadOnly="false">#N/A</definedName>
    <definedName name="Slicer_Rate_Lock_Time_Frame" isReadOnly="false">#N/A</definedName>
    <definedName name="Slicer_Rent_Level__Upper_Lower_Half" isReadOnly="false">#N/A</definedName>
    <definedName name="Slicer_Unit_Count" isReadOnly="false">#N/A</definedName>
    <definedName name="Slicer_Vintage__Built_Most_Recently_Renovated" isReadOnly="false">#N/A</definedName>
    <definedName name="SOps_AppraisalEGI" isReadOnly="false">'Summary OPS'!$AE$31</definedName>
    <definedName name="SOps_UnderwrittenEGI" isReadOnly="false">'Summary OPS'!$AU$31</definedName>
    <definedName name="SOps_UnderwrittenExpenses" isReadOnly="false">'Summary OPS'!$AU$53</definedName>
    <definedName name="SOps_UnderwrittenGPR" isReadOnly="false">'Summary OPS'!$AU$9</definedName>
    <definedName name="SOps_UnderwrittenNCF" isReadOnly="false">'Summary OPS'!$AU$57</definedName>
    <definedName name="SOps_UnderwrittenNRI" isReadOnly="false">'Summary OPS'!$AU$13</definedName>
    <definedName name="SOps_UnderwrittenTotalOtherIncome" isReadOnly="false">'Summary OPS'!$AU$29</definedName>
    <definedName name="SOps_UW_Econ_Vac" isReadOnly="false">'Summary OPS'!$AV$14</definedName>
    <definedName name="SOps_UW_PhyVac_Pcnt" isReadOnly="false">'Summary OPS'!$AV$10</definedName>
    <definedName name="Sponsor_Name" isReadOnly="false">'Data Page'!$D$13</definedName>
    <definedName name="State_DataPageTab" isReadOnly="false">'Data Page'!$D$21</definedName>
    <definedName name="SZ_RSK" isReadOnly="false">'Form 4662'!$K$22</definedName>
    <definedName name="SZ_ZN" isReadOnly="false">'Form 4662'!$K$21</definedName>
    <definedName name="T1_Annualized_NRI" isReadOnly="false">'NRI Analysis'!$E$87</definedName>
    <definedName name="T12_Annualized_NRI" isReadOnly="false">'NRI Analysis'!$P$87</definedName>
    <definedName name="T3_Annualized_NRI" isReadOnly="false">'NRI Analysis'!$H$87</definedName>
    <definedName name="T3_vs_T12" isReadOnly="false">'NRI Analysis'!$E$95</definedName>
    <definedName name="T3_vs_T6" isReadOnly="false">'NRI Analysis'!$E$94</definedName>
    <definedName name="T6_Annualized_NRI" isReadOnly="false">'NRI Analysis'!$L$87</definedName>
    <definedName name="Term" isReadOnly="false">'Data Page'!$E$52</definedName>
    <definedName name="ThirdAmort_IfSupp" isReadOnly="false">'Data Page'!$Y$9</definedName>
    <definedName name="ThirdConstant_IfSupp" isReadOnly="false">'Data Page'!$Y$16</definedName>
    <definedName name="ThirdCoterminous_IfSupp" isReadOnly="false">'Data Page'!$Y$22</definedName>
    <definedName name="ThirdDebtService_IfSupp" isReadOnly="false">'Data Page'!$Y$17</definedName>
    <definedName name="ThirdIO_IfSupp" isReadOnly="false">'Data Page'!$Y$10</definedName>
    <definedName name="ThirdOrigLoan_IfSupp" isReadOnly="false">'Data Page'!$Y$11</definedName>
    <definedName name="ThirdRate_IfSupp" isReadOnly="false">'Data Page'!$Y$15</definedName>
    <definedName name="ThirdRemIO_IfSupp" isReadOnly="false">'Data Page'!$Y$30</definedName>
    <definedName name="ThirdRemTerm_IfSupp" isReadOnly="false">'Data Page'!$Y$28</definedName>
    <definedName name="ThirdTerm_IfSupp" isReadOnly="false">'Data Page'!$Y$8</definedName>
    <definedName name="ThirdUPB_IfSupp" isReadOnly="false">'Data Page'!$Y$13</definedName>
    <definedName name="ThisYear" isReadOnly="false">YEAR(TODAY())</definedName>
    <definedName name="TIER" isReadOnly="false">'Form 4662'!$AM$12</definedName>
    <definedName name="TIER_DRP" isReadOnly="false">'Form 4662'!$AM$13</definedName>
    <definedName name="Tier_Max_LTV" isReadOnly="false">'Data Page'!$D$49</definedName>
    <definedName name="Tier_Min_Actual_UW_DSCR" isReadOnly="false">'Data Page'!$D$50</definedName>
    <definedName name="Tier_Min_Floor_UW_DSCR" isReadOnly="false">'Data Page'!$D$51</definedName>
    <definedName name="TotalBeds" isReadOnly="false">'Data Page'!$O$13</definedName>
    <definedName name="TotalUnits" isReadOnly="false">'Data Page'!$L$13</definedName>
    <definedName name="TradeSheet_MaxApprovedLoanAmount" isReadOnly="false">'Trade Sheet'!$AA$7</definedName>
    <definedName name="Treasury\Index" isReadOnly="false">'Data Page'!$E$59</definedName>
    <definedName name="TRSM_INS" isReadOnly="false">'Form 4662'!$K$20</definedName>
    <definedName name="TRSY_RT" isReadOnly="false">'Form 4662'!$AO$15</definedName>
    <definedName name="TX_ESCRW" isReadOnly="false">'Form 4662'!$X$19</definedName>
    <definedName name="UnitMix_average_actual_rent" isReadOnly="false">'Unit Mix'!$M$9:$M$148</definedName>
    <definedName name="UnitMix_number_of_bedrooms" isReadOnly="false">'Unit Mix'!$G$9:$G$148</definedName>
    <definedName name="UnitMix_number_of_units" isReadOnly="false">'Unit Mix'!$E$9:$E$148</definedName>
    <definedName name="UnitMix_unit_sizes" isReadOnly="false">'Unit Mix'!$I$9:$I$148</definedName>
    <definedName name="UnitMix_unit_types" isReadOnly="false">'Unit Mix'!$D$9:$D$148</definedName>
    <definedName name="UTIL_INCL" isReadOnly="false">'Form 4662'!$X$22</definedName>
    <definedName name="UW_Cap" isReadOnly="false">'Data Page'!$K$44</definedName>
    <definedName name="UW_CAP_RT" isReadOnly="false">'Form 4662'!$AN$24</definedName>
    <definedName name="UW_CLTV" isReadOnly="false">'Form 4662'!$AW$27</definedName>
    <definedName name="UW_DSCR" isReadOnly="false">'Form 4662'!$AO$34</definedName>
    <definedName name="UW_ECON_OCC" isReadOnly="false">'Form 4662'!$AX$24</definedName>
    <definedName name="UW_EGI" isReadOnly="false">'Form 4662'!$AI$30</definedName>
    <definedName name="UW_FLR_RT" isReadOnly="false">'Form 4662'!$AO$18</definedName>
    <definedName name="UW_LTV" isReadOnly="false">'Form 4662'!$AL$27</definedName>
    <definedName name="UW_NCF" isReadOnly="false">'Form 4662'!$AI$31</definedName>
    <definedName name="UW_PHYS_OCC" isReadOnly="false">'Form 4662'!$AX$23</definedName>
    <definedName name="UW_PROP_VAL" isReadOnly="false">'Form 4662'!$AL$26</definedName>
    <definedName name="UW_PROP_VAL_DT" isReadOnly="false">'Form 4662'!$AW$26</definedName>
    <definedName name="UW_RT" isReadOnly="false">'Form 4662'!$AO$19</definedName>
    <definedName name="UW_SIGN" isReadOnly="false">'Form 4662'!$C$47</definedName>
    <definedName name="UW_SIGN_DT" isReadOnly="false">'Form 4662'!$S$47</definedName>
    <definedName name="UW_TOE" isReadOnly="false">'Form 4662'!$AU$30</definedName>
    <definedName name="UW_Value" isReadOnly="false">'Data Page'!$K$42</definedName>
    <definedName name="UWValuePerUnit" isReadOnly="false">'Data Page'!$N$42</definedName>
    <definedName name="WorksheetNames" isReadOnly="false">Lists!$N$2:INDEX(Lists!$N:$N,COUNTA(Lists!$N:$N))</definedName>
    <definedName name="YearBuilt_DataPageTab" isReadOnly="false">'Data Page'!$J$6</definedName>
    <definedName name="YieldMaintenance" isReadOnly="false">'Data Page'!$E$54</definedName>
    <definedName name="YM_Type" isReadOnly="false">'Data Page'!$E$46</definedName>
    <definedName name="YR_BLT" isReadOnly="false">'Form 4662'!$H$10</definedName>
    <definedName name="ZipCode_DataPageTab" isReadOnly="false">'Data Page'!$D$22</definedName>
    <definedName name="_xlnm.Print_Area" localSheetId="2" isReadOnly="false">'Data Page'!$B$2:$Y$70</definedName>
    <definedName name="region" localSheetId="3" isReadOnly="false">'SBL Quotes'!$B$21</definedName>
    <definedName name="_xlnm.Print_Area" localSheetId="3" isReadOnly="false">'SBL Quotes'!$D$2:$T$22</definedName>
    <definedName name="_xlnm.Print_Area" localSheetId="6" isReadOnly="false">'FNM Loan Terms'!$B$2:$M$66</definedName>
    <definedName name="_xlnm.Print_Area" localSheetId="10" isReadOnly="false">'Fannie Historical Ops'!$A$1:$AS$97</definedName>
    <definedName name="_xlnm.Print_Titles" localSheetId="11">'Kick-Off Memo'!$1:$2</definedName>
    <definedName name="QLtr_NmbrOfColumnsToShow_FNM" localSheetId="12" isReadOnly="false">'Quote Letter'!$B$39</definedName>
    <definedName name="QLtr_NmbrOfColumnsToShow_FRE" localSheetId="12" isReadOnly="false">'Quote Letter'!$B$10</definedName>
    <definedName name="QLtr_NmbrOfColumnsToShow_WPL" localSheetId="12" isReadOnly="false">'Quote Letter'!$B$71</definedName>
    <definedName name="_xlnm.Print_Area" localSheetId="19" isReadOnly="false">'Summary OPS'!$A$1:$BA$99</definedName>
    <definedName name="RR_VacantUnitMktRentSource" localSheetId="20" isReadOnly="false">'Rent Roll'!$FA$20</definedName>
    <definedName name="_xlnm.Print_Area" localSheetId="20" isReadOnly="false">'Rent Roll'!$A$7:$FA$142</definedName>
    <definedName name="_xlnm.Print_Area" localSheetId="22" isReadOnly="false">'NRI Analysis'!$A$37:$Z$119</definedName>
    <definedName name="_xlnm.Print_Area" localSheetId="23" isReadOnly="false">'Expense Comps.'!$B$2:$AK$266</definedName>
    <definedName name="UnitMix_HasUnitCountsMatch" localSheetId="24" isReadOnly="false">'Unit Mix'!$B$4</definedName>
    <definedName name="_xlnm.Print_Area" localSheetId="24" isReadOnly="false">'Unit Mix'!$D$1:$R$161</definedName>
    <definedName name="_xlnm.Print_Titles" localSheetId="25">'Bor-KP-Prin'!$A:$A</definedName>
    <definedName name="_xlnm.Print_Titles" localSheetId="26">'SREO 1'!$1:$3</definedName>
    <definedName name="_xlnm.Print_Titles" localSheetId="27">'SREO 2'!$1:$3</definedName>
    <definedName name="_xlnm.Print_Titles" localSheetId="34">'Rent Comps'!$1:$4</definedName>
    <definedName name="_xlnm.Print_Titles" localSheetId="35">'Sales Comps'!$6:$9</definedName>
    <definedName name="_xlnm.Print_Area" localSheetId="36" isReadOnly="false">'Engineering schedule'!$A$1:$S$80</definedName>
    <definedName name="_xlnm.Print_Area" localSheetId="37" isReadOnly="false">'Form 4662'!$B$1:$BC$51</definedName>
    <definedName name="Is_ARM" localSheetId="38" isReadOnly="false">'Trade Sheet'!$F$199</definedName>
    <definedName name="Is_Fixed" localSheetId="38" isReadOnly="false">'Trade Sheet'!$F$197</definedName>
    <definedName name="Is_SARM" localSheetId="38" isReadOnly="false">'Trade Sheet'!$F$198</definedName>
    <definedName name="_xlnm.Print_Area" localSheetId="38" isReadOnly="false">'Trade Sheet'!$A$1:$N$78</definedName>
  </definedNames>
  <calcPr calcId="0" iterateCount="100" iterateDelta="0.00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<sst xmlns="http://schemas.openxmlformats.org/spreadsheetml/2006/main" count="6074" uniqueCount="6074">
  <si>
    <t>Powered by GrapeCity Spread.Sheets.</t>
  </si>
  <si>
    <t xml:space="preserve">You can only deploy this EVALUATION version locally. </t>
  </si>
  <si>
    <t xml:space="preserve">Temporary deployment keys are available for testing. </t>
  </si>
  <si>
    <t>Email us.sales@grapecity.com.</t>
  </si>
  <si>
    <t>SBL Program Model</t>
  </si>
  <si>
    <t>View Type:</t>
  </si>
  <si>
    <t>Producer</t>
  </si>
  <si>
    <t>Version:</t>
  </si>
  <si>
    <t>5.35.2</t>
  </si>
  <si>
    <t>Release Date:</t>
  </si>
  <si>
    <t>Change Log</t>
  </si>
  <si>
    <t>PD: bug fix - Term was left with a " - 3" adder from testing during development (SZR-302).</t>
  </si>
  <si>
    <t>5.35.1</t>
  </si>
  <si>
    <t>DataPage: added Addn'l Tolerances table; TradeSheet: various updates incl Max Approved Loan Amount, pull-down updates, and Phys Occupancy calcs per 8/31 W.Parvin email (SZR-294).</t>
  </si>
  <si>
    <t>5.35.0</t>
  </si>
  <si>
    <t>PD: updated to newest 8/22/23 Small Balance Loan requirements (SZR-274). SBL Quotes: updated to allow loans up to $9MM (SZR-276).</t>
  </si>
  <si>
    <t>5.34.0</t>
  </si>
  <si>
    <t>Enodo: added Bor-KP-Prin and SREO dictionaries to Autosave payload (SZR-259). RentComps and SalesComps will AutoSave even with incomplete Comps (SZR-273).</t>
  </si>
  <si>
    <t>5.33.0</t>
  </si>
  <si>
    <t>TradeSheet: update to sync with Fannie Sizer (SZR-263). Finalized edits to Quote Letter. RentRoll: fix to Rent Adjustment w/ M.Jahnke.</t>
  </si>
  <si>
    <t>5.32.1</t>
  </si>
  <si>
    <t>RentRoll: properly handles UnitType names that differ only in Case (SZR-253); Enodo: AutoSave handles whitespace e.g. tab in text properly (SZR-251), Mixpanel comms disabled when no comms with W&amp;D (SZR-254).</t>
  </si>
  <si>
    <t>5.32.0</t>
  </si>
  <si>
    <t>QuoteLetter: new tab, similar to Fannie Mae letter (SZR-227); PD: updated to 24-April-23 standards (SZR-235); FNM NRI: AsJson error handling for AutoSave (SZR-236); Unit Mix: handles 5+ BRs (SZR-223), capacity fixes (SZR-220); Enodo: test for Internet connection, and disable APIs if unavailable (SZR-243).</t>
  </si>
  <si>
    <t>5.31.3</t>
  </si>
  <si>
    <t>Enodo: updated Mixpanel URL (SZR-212).</t>
  </si>
  <si>
    <t>5.31.2</t>
  </si>
  <si>
    <t>Enodo: AutoSave ID error handler and AutoSave disable of IsAuthenticated for external users (SZR-231).</t>
  </si>
  <si>
    <t>5.31.1</t>
  </si>
  <si>
    <t>DataPage: updated 'Rate Lock Options' to use 'SERL' instead of Streamlined or Early (SZR-225); SBL Quotes: updated Producer Names dropdown (SZR-226).</t>
  </si>
  <si>
    <t>5.31.0</t>
  </si>
  <si>
    <t>Freddie I&amp;E: updated comps to FRE's 12/2022 data set (SZR-209).</t>
  </si>
  <si>
    <t>5.30.0</t>
  </si>
  <si>
    <t>SBL Quotes, Freddie I&amp;E, Terms Sheet changes per M.Janke (SZR-207).</t>
  </si>
  <si>
    <t>5.29.0</t>
  </si>
  <si>
    <t>SBL Quotes: revisions to reflect Freddie 4/3/23 changes to get Qualified 5-50 LI Property (&gt;=50% of Units) 10bps discount (SZR-192).</t>
  </si>
  <si>
    <t>5.28.1</t>
  </si>
  <si>
    <t>Added forced full recalcs (which rebuilds the workbook's dependency tree) to Workbook_Open and when activating DataPage, SBL Quotes and ExitStrategy tabs as a partial solution to Exit Strategy tab's Unpaid Balance returning #NAME instead of calculating a value (SZR-159).</t>
  </si>
  <si>
    <t>5.28.0</t>
  </si>
  <si>
    <t>Rent Roll: added two new columns: Market Rent by-Unit (with use/don't use switch to calc Vacant Unit rent - don't use is the default), and Tenant. New columns hidden by default, with checkbox to Show/Hide (SZR-23).</t>
  </si>
  <si>
    <t>5.27.1</t>
  </si>
  <si>
    <t>SBL Quotes: Updated Servicing Fee and Servicing Fee Percentage per M.Jahnke (SZR-124).</t>
  </si>
  <si>
    <t>5.27.0</t>
  </si>
  <si>
    <t>Integrate PD capablity from FNM sizer (SZR-5).</t>
  </si>
  <si>
    <t>5.26.6</t>
  </si>
  <si>
    <t>SBL Quotes: Fixed error in calc'ing Max LTV for FRE Extra Year of IO (SZR-67).</t>
  </si>
  <si>
    <t>5.26.5</t>
  </si>
  <si>
    <t>SBL Quotes: FRE Extra year of IO for Feb-23 pricing (SZR-44); FNM Indicative Pricing change on Highly Affordable 5-50 Tier 2, &lt;=$2MM adder reduced from 82 to 41bps; HA 5-50 5yr increased to -70bps for all Tiers (SZR-42).</t>
  </si>
  <si>
    <t>5.26.4</t>
  </si>
  <si>
    <t>SBL Quotes: FNM small loan &lt;=$2MM eqn now works for Requested Loan Amount if Calculated Loan Amount isn't yet available.</t>
  </si>
  <si>
    <t>5.26.3</t>
  </si>
  <si>
    <t>B2B: Abort Send button was incorrectly mapped, works now.</t>
  </si>
  <si>
    <t>5.26.2</t>
  </si>
  <si>
    <t>B2B: the lower limit test when manually entering a FRE loan# was too tight, adjusted down.</t>
  </si>
  <si>
    <t>5.26.1</t>
  </si>
  <si>
    <t>SBL Quotes: updated Fannie PD Base Exit Rate minimums (+75bps).</t>
  </si>
  <si>
    <t>5.26.0</t>
  </si>
  <si>
    <t>DataPage: edits to cells sourced by SBL Quotes are instead edited on SBL Quotes tab (v1). SBL Quotes: indicates "Full Term IO" and "NA" instead of calcs for Amort Basis and Annual Amort payment.</t>
  </si>
  <si>
    <t>5.25.1</t>
  </si>
  <si>
    <t>SBL Quotes: fixed Prop Cap Prepay Adjustment equations (didn't match some pulldown options).</t>
  </si>
  <si>
    <t>5.25.0</t>
  </si>
  <si>
    <t>Freddie I&amp;E: updated comps to FRE's 6/2022 data set.</t>
  </si>
  <si>
    <t>5.24.3</t>
  </si>
  <si>
    <t>Enodo: removed old Daily Pricing URL (security update), improved AutoSave for remote users.</t>
  </si>
  <si>
    <t>5.24.2</t>
  </si>
  <si>
    <t>Pricing: now gets 20yr Treas and 1mo Term SOFR; SBL Quotes: PropCap floating loan options use new 1mo Term SOFR, Get Pricing form now clearly indicates which date is being selected.</t>
  </si>
  <si>
    <t>5.24.1</t>
  </si>
  <si>
    <t>SBL Quotes: Prop Cap loan options display Prepayment Options consistent with FRE and FNM loan options.</t>
  </si>
  <si>
    <t>5.24.0</t>
  </si>
  <si>
    <t>SBL Quotes: FNM now reports years (e.g. "54321,1%") in the top quotes section when selecting a "Declining Balance" Prepayment Option to be consistent with FRE and PC loan options.</t>
  </si>
  <si>
    <t>5.23.3</t>
  </si>
  <si>
    <t>SBL Quotes: Fannie Base Coupon, Investor Spread, and G&amp;S now fully utilize the Fannie Pricing Tables instead of having their own logic, which not handling longer terms properly (L. Zotovich), PD Exit Calc now always Passes when Term = Amortization (M. Jahnke).    Quote: Agency Fee Review formula fix (J. Footer).</t>
  </si>
  <si>
    <t>5.23.2</t>
  </si>
  <si>
    <t>SBL Quotes: fixed address lookup to return Fannie's MSA (which is occasionally different from W&amp;D's MSA).</t>
  </si>
  <si>
    <t>5.23.1</t>
  </si>
  <si>
    <t>B2B: Cancelling a Resend actually immediately cancels instead of progressing to ask for email credentials.</t>
  </si>
  <si>
    <t>5.23.0</t>
  </si>
  <si>
    <t xml:space="preserve">SBL Quotes: A Floating rate for Prop Cap's Base Coupon is now set to require a manually entered Term SOFR per M.Jahnke. </t>
  </si>
  <si>
    <t>5.22.14</t>
  </si>
  <si>
    <t>B2B: added pre-send validation to require Property Name, City, and County to be at least three characters.</t>
  </si>
  <si>
    <t>5.22.13</t>
  </si>
  <si>
    <t>SBL Quotes: fixed an issue with Affordability Adjustment that didn't properly get a '0bps' discount from the Freddie Regional Rates table; Date Priced works if accepting default.</t>
  </si>
  <si>
    <t>5.22.12</t>
  </si>
  <si>
    <t>Enodo: Auto-save validates User's WD Email.</t>
  </si>
  <si>
    <t>5.22.11</t>
  </si>
  <si>
    <t>Enodo: updates to Location data from Address/Zipcode lookup.</t>
  </si>
  <si>
    <t>5.22.10</t>
  </si>
  <si>
    <t>SBL Quotes: Max Loan based on DSCR for Prop Cap formula fix per M.Jahnke (360 days per year instead of 365).</t>
  </si>
  <si>
    <t>5.22.9</t>
  </si>
  <si>
    <t>SBL Quotes: shows '&lt;no data&gt;' for W&amp;D Market Rating if not available for that location.</t>
  </si>
  <si>
    <t>5.22.8</t>
  </si>
  <si>
    <t>Enodo: EnodoSaver.GetJsonizedCellValue function refactored to use worksheetFunction.IsNumber instead of VBA IsNumeric function to better distinguish between text and numbers.</t>
  </si>
  <si>
    <t>5.22.7</t>
  </si>
  <si>
    <t>SBL Quotes: shows correct Application fee if Prop Cap loan option is selected.</t>
  </si>
  <si>
    <t>5.22.6</t>
  </si>
  <si>
    <t>Exit Strategy:  forces recalc on worksheet open to insure parameters match Loan Option selected on SBL Quotes</t>
  </si>
  <si>
    <t>5.22.5</t>
  </si>
  <si>
    <t>SBL Quotes: fixed a regression bug (v5.21.0) with failure to load City and State.</t>
  </si>
  <si>
    <t>5.22.4</t>
  </si>
  <si>
    <t>SBL Quotes: Prop Cap equation tweaks related to IO only basis per M.Jahnke / G.Melby. Fixed formatting issue which occurred when selecting '0' Freddie options.</t>
  </si>
  <si>
    <t>5.22.3</t>
  </si>
  <si>
    <t>Enodo: added some additional info to Auto Save data for use by Web Narrative Editor.</t>
  </si>
  <si>
    <t>5.22.2</t>
  </si>
  <si>
    <t>SBL Quotes: Freddie Mac Minimum Fee conditional formatting alert now includes the Origination fee as well, not only the Buy-up alone.</t>
  </si>
  <si>
    <t>5.22.1</t>
  </si>
  <si>
    <t>SBL Quotes: fixed a regression bug (v5.21.0) for Prop Cap's Max LTV equation.</t>
  </si>
  <si>
    <t>5.22.0</t>
  </si>
  <si>
    <t>Exit Strategy: refactored loan balance equation so only calcs if required (same output, faster). DataPage: implemented additional links to SBL Quotes tab per M.Jahnke. AutoSave to Enodo for Web Narrative enabled.</t>
  </si>
  <si>
    <t>5.21.0</t>
  </si>
  <si>
    <t>SBL Quotes: Prop Cap updates per M.Jahnke; User can edit Street Address spelling (e.g. "Street" instead of "St") if a Census Tract# has already been entered, which implies the initial Address/City/State/Zipcode lookup has already occurred. Fannie Hist Ops: fixed T12 Data (column V) lookups which had an off-by-one-row lookup error.</t>
  </si>
  <si>
    <t>5.20.0</t>
  </si>
  <si>
    <t>SBL Quotes: UPB now returns original Loan Amount if Full Term IO, not '0'; UPB for Prop Cap does not conflict with UPB for Fannie for the same loan option number (bug).</t>
  </si>
  <si>
    <t>5.19.2</t>
  </si>
  <si>
    <t>The accuracy of Property Location data by address, including Freddie and Fannie market data is improved.</t>
  </si>
  <si>
    <t>5.19.1</t>
  </si>
  <si>
    <t>DataPage: fixed links to SBL Quotes (regression bug from v5.19.0). Exit Strategy visible by default. Application fee for Prop Cap loan set to $12,500.</t>
  </si>
  <si>
    <t>5.19.0</t>
  </si>
  <si>
    <t>SBL Quotes formula update: UPB is now based on Actual/360 amortization; Estimated NCF now adjusts per FNM regions - 3% unless Pre-Review (2%).</t>
  </si>
  <si>
    <t>5.18.6</t>
  </si>
  <si>
    <t>SBL Quotes formula revision: FNM Tier2 &lt;=$2MM adder revised to be 0.82% for all property types per J.Footer.</t>
  </si>
  <si>
    <t>5.18.5</t>
  </si>
  <si>
    <t>SBL Quotes formula update: added Seniors adjustment for FNM &lt;=$2MM adder per J.Footer.</t>
  </si>
  <si>
    <t>5.18.4</t>
  </si>
  <si>
    <t>SBL Quotes formula update: IO Credit is updated to reflect changes from 4bps to 1bps, removing WE/Top adjustment, etc.</t>
  </si>
  <si>
    <t>5.18.3</t>
  </si>
  <si>
    <t>RentComps tweaks per B.DuFour</t>
  </si>
  <si>
    <t>5.18.2</t>
  </si>
  <si>
    <t>SBL Quotes formula fixes: Prop Cap Max LTV per J.Footer, and FRE 'Lack of Experience' adder.</t>
  </si>
  <si>
    <t>5.18.1</t>
  </si>
  <si>
    <t>FNM Hist Ops: fixed equation error found for T11 Model/Office cell.</t>
  </si>
  <si>
    <t>5.18.0</t>
  </si>
  <si>
    <t>B2B: fixes - Rent Roll as Json, handles Properties with special characters such as '&amp;'.</t>
  </si>
  <si>
    <t>5.17.7</t>
  </si>
  <si>
    <t>Removed invalid 321(0) Prepay option from pulldown for Prop Cap 5yr Fixed loans.</t>
  </si>
  <si>
    <t>5.17.6</t>
  </si>
  <si>
    <t>Fixed issue with Proprietary Capital prepayment lookup failure for some types.</t>
  </si>
  <si>
    <t>5.17.5</t>
  </si>
  <si>
    <t>Reset default Loan Amounts to '0' per M.Alexander comment.</t>
  </si>
  <si>
    <t>5.17.4</t>
  </si>
  <si>
    <t>Freddie Affordability Discount and Additional Discounts now lookup by-region data from FRE rates table instead of hard-coded constants.</t>
  </si>
  <si>
    <t>5.17.3</t>
  </si>
  <si>
    <t>Fannie Affordability Discount changed from 40 to 50 bps. Linked-Loans switch restored to 'No' by default.</t>
  </si>
  <si>
    <t>5.17.2</t>
  </si>
  <si>
    <t>Regression bug fix for v5.17.1: SBL Quotes Freddie NOI cell formula was overwritten with hard-coded value.</t>
  </si>
  <si>
    <t>5.17.1</t>
  </si>
  <si>
    <t>Updated instructions Note text for 5 yr Equivalent on 3 Yr Float option for Proprietary Capital.</t>
  </si>
  <si>
    <t>5.17.0</t>
  </si>
  <si>
    <t>Many updates to Proprietary Capital rate model.</t>
  </si>
  <si>
    <t>5.16.3</t>
  </si>
  <si>
    <t>Added Existing Mortgage UPB to B2B Export, with Validation.</t>
  </si>
  <si>
    <t>5.16.2</t>
  </si>
  <si>
    <t>FNM Affordability updates with M.Jahnke.</t>
  </si>
  <si>
    <t>5.16.1</t>
  </si>
  <si>
    <t>Has Geocode data based on full address or Census Tract#, rather than simple Zip Code lookup.</t>
  </si>
  <si>
    <t>5.15.6</t>
  </si>
  <si>
    <t>Updates to Small Loans $2MM or smaller for G&amp;S per M.Jahnke zoom session.</t>
  </si>
  <si>
    <t>5.15.5</t>
  </si>
  <si>
    <t>Fannie Affordability Discount changed from 30 to 40 bps, with possible Rural 10 bps discount.</t>
  </si>
  <si>
    <t>5.15.4</t>
  </si>
  <si>
    <t>SBL Quotes formula fixes per M.Jahnke.</t>
  </si>
  <si>
    <t>5.15.3</t>
  </si>
  <si>
    <t>B2B: Improved manual input validation of header dates on Freddie I&amp;E.</t>
  </si>
  <si>
    <t>5.15.2</t>
  </si>
  <si>
    <t>Regression Bug fix for v5.15.1: FRE Servicing Fee pointed to wrong input cell.</t>
  </si>
  <si>
    <t>5.15.1</t>
  </si>
  <si>
    <t>B2B: completed data equation and mapping from model.</t>
  </si>
  <si>
    <t>5.15.0</t>
  </si>
  <si>
    <t>B2B: major additons to workbook-level validation prior to sending payload to platform.</t>
  </si>
  <si>
    <t>Version:  5.35.2  (9/14/2023)   (created with Enodo)</t>
  </si>
  <si>
    <t>Producer View</t>
  </si>
  <si>
    <t>Standard Underwriting Analysis Spreadsheet</t>
  </si>
  <si>
    <t xml:space="preserve">Fannie Mae Option# </t>
  </si>
  <si>
    <t>Not selected</t>
  </si>
  <si>
    <t>Variable_Min_Stress_UW_DSCR</t>
  </si>
  <si>
    <t>N/A</t>
  </si>
  <si>
    <t>Lender Information</t>
  </si>
  <si>
    <t>Property Information</t>
  </si>
  <si>
    <t>Unit Mix</t>
  </si>
  <si>
    <t>Seniors/Student</t>
  </si>
  <si>
    <t>Supplemental Analysis</t>
  </si>
  <si>
    <t xml:space="preserve">    </t>
  </si>
  <si>
    <t>Supplemental NCF ANALYSIS</t>
  </si>
  <si>
    <t>SARM_FixedLoanAmount</t>
  </si>
  <si>
    <t>Eligible for</t>
  </si>
  <si>
    <t xml:space="preserve">     </t>
  </si>
  <si>
    <t>Lender Name</t>
  </si>
  <si>
    <t>Walker &amp; Dunlop, LLC</t>
  </si>
  <si>
    <t>Yr. Built (Yr. Renovated)</t>
  </si>
  <si>
    <t>XXXX</t>
  </si>
  <si>
    <t>No. of Units</t>
  </si>
  <si>
    <t>Avg. S.F.</t>
  </si>
  <si>
    <t>% of Units</t>
  </si>
  <si>
    <t>No. of Beds</t>
  </si>
  <si>
    <t>1st Mortgage</t>
  </si>
  <si>
    <t>2nd Mortgage</t>
  </si>
  <si>
    <t>3rd Mortgage</t>
  </si>
  <si>
    <t>UNDERWRITTEN NCF ANALYSIS (Floor)</t>
  </si>
  <si>
    <t>SOURCES &amp; USES / FINANCING OBJECTIVES</t>
  </si>
  <si>
    <t xml:space="preserve">Eligible for </t>
  </si>
  <si>
    <t>High Needs Rural</t>
  </si>
  <si>
    <t>Originator</t>
  </si>
  <si>
    <t>Property Type</t>
  </si>
  <si>
    <t>Multifamily</t>
  </si>
  <si>
    <t>Studio</t>
  </si>
  <si>
    <t>Tier</t>
  </si>
  <si>
    <t>Current NCF</t>
  </si>
  <si>
    <t>FNM Afford</t>
  </si>
  <si>
    <t>Deputy Chief Underwriter</t>
  </si>
  <si>
    <t>Building Type</t>
  </si>
  <si>
    <t>Select</t>
  </si>
  <si>
    <t>1BR</t>
  </si>
  <si>
    <t>Term</t>
  </si>
  <si>
    <t>NCF to Support  Supplemental DSCR</t>
  </si>
  <si>
    <t>TRANSACTION SOURCES AND USES:</t>
  </si>
  <si>
    <t>TOTAL BASIS &amp; EQUITY CALCULATION:</t>
  </si>
  <si>
    <t>AMI DATA FROM SERVER</t>
  </si>
  <si>
    <t>Discount</t>
  </si>
  <si>
    <t>Underwriter</t>
  </si>
  <si>
    <t>No. Of Buildings</t>
  </si>
  <si>
    <t>2BR / 1BA</t>
  </si>
  <si>
    <t>Amortization</t>
  </si>
  <si>
    <t>NCF available for Underwriting</t>
  </si>
  <si>
    <t>SOURCES</t>
  </si>
  <si>
    <t># of Units</t>
  </si>
  <si>
    <t>Utilities Are Included:</t>
  </si>
  <si>
    <t>Analyst</t>
  </si>
  <si>
    <t>Gross Building Area Sq. Ft.</t>
  </si>
  <si>
    <t>2BR / 2BA</t>
  </si>
  <si>
    <t>Interest Only</t>
  </si>
  <si>
    <t>Lender Loan Amount</t>
  </si>
  <si>
    <r>
      <t xml:space="preserve">Land &amp; Improvements </t>
    </r>
    <r>
      <rPr>
        <color rgb="FF0000FF"/>
        <family val="2"/>
        <rFont val="Arial"/>
        <sz val="8"/>
      </rPr>
      <t>(based on purch price)</t>
    </r>
  </si>
  <si>
    <t>&lt;=</t>
  </si>
  <si>
    <t>Net Rentable Area</t>
  </si>
  <si>
    <t>3BR</t>
  </si>
  <si>
    <t>Original Loan Amount</t>
  </si>
  <si>
    <t>UNDERWRITTEN NCF ANALYSIS (Actual)</t>
  </si>
  <si>
    <t>Other</t>
  </si>
  <si>
    <t>(Existing Financing or Mezz)</t>
  </si>
  <si>
    <t>Required Repairs</t>
  </si>
  <si>
    <t>Sponsor</t>
  </si>
  <si>
    <t>Sq. Feet Commercial</t>
  </si>
  <si>
    <t>4+BR</t>
  </si>
  <si>
    <t>Original (Per/Unit)</t>
  </si>
  <si>
    <t>Equipment and Fixtures</t>
  </si>
  <si>
    <t>&gt; 50 Units</t>
  </si>
  <si>
    <t>Sponsor Name</t>
  </si>
  <si>
    <t>Commercial % (of GBA)</t>
  </si>
  <si>
    <t>UPB</t>
  </si>
  <si>
    <t>Management Company</t>
  </si>
  <si>
    <t>UPB (Per/Unit)</t>
  </si>
  <si>
    <t>TOTAL SOURCES</t>
  </si>
  <si>
    <t>Prior Capitalized Financial Costs</t>
  </si>
  <si>
    <t>≤ 50 Units</t>
  </si>
  <si>
    <t>Affordability Estimator</t>
  </si>
  <si>
    <t>Manual Input</t>
  </si>
  <si>
    <t>Interest Rate</t>
  </si>
  <si>
    <t>Est. Costs of Mortgage</t>
  </si>
  <si>
    <t>NA</t>
  </si>
  <si>
    <t>Location</t>
  </si>
  <si>
    <t>Estimated Qualifying Units &lt;= 120% AMI</t>
  </si>
  <si>
    <t>-</t>
  </si>
  <si>
    <t>of total units</t>
  </si>
  <si>
    <t>Constant</t>
  </si>
  <si>
    <t>USES</t>
  </si>
  <si>
    <t>Other costs (explain)</t>
  </si>
  <si>
    <t>Property Name</t>
  </si>
  <si>
    <t>Estimated Qualifying Units &lt;= 100% AMI</t>
  </si>
  <si>
    <t>Annual Debt Service</t>
  </si>
  <si>
    <t>Use Amortizing DS?</t>
  </si>
  <si>
    <t>Yes</t>
  </si>
  <si>
    <t>Existing UPB</t>
  </si>
  <si>
    <t>Total Basis</t>
  </si>
  <si>
    <t>Report matches Server:</t>
  </si>
  <si>
    <t>Address</t>
  </si>
  <si>
    <t>Map</t>
  </si>
  <si>
    <t>Estimated Qualifying Units &lt;= 80% AMI</t>
  </si>
  <si>
    <t>Prepayment penalty</t>
  </si>
  <si>
    <t>Less Existing Loan(s)</t>
  </si>
  <si>
    <t>Cost Burden:</t>
  </si>
  <si>
    <t>City</t>
  </si>
  <si>
    <t>Estimated Qualifying Units &lt;= 60% AMI</t>
  </si>
  <si>
    <t>Proposed Loan</t>
  </si>
  <si>
    <t>is Rural:</t>
  </si>
  <si>
    <t>County</t>
  </si>
  <si>
    <t>County not found</t>
  </si>
  <si>
    <t>Estimated Qualifying Units &lt;= 50% AMI</t>
  </si>
  <si>
    <t>Loan Term Analysis</t>
  </si>
  <si>
    <t>Equity (Cash or Holding)</t>
  </si>
  <si>
    <t xml:space="preserve">High Needs Rural: </t>
  </si>
  <si>
    <t>State</t>
  </si>
  <si>
    <t>XX</t>
  </si>
  <si>
    <t>Estimated % Exclusion from FHFA Scorecard Cap</t>
  </si>
  <si>
    <t>Amortization Type</t>
  </si>
  <si>
    <t>Actual/360</t>
  </si>
  <si>
    <t>30/360</t>
  </si>
  <si>
    <t>Lender Financing Fee</t>
  </si>
  <si>
    <t>Equity as a % of Total Basis</t>
  </si>
  <si>
    <t>Mission Driven data</t>
  </si>
  <si>
    <t>Zip Code</t>
  </si>
  <si>
    <t>XXXXX</t>
  </si>
  <si>
    <t>Expected Closing</t>
  </si>
  <si>
    <t>Coterminous</t>
  </si>
  <si>
    <t>Mortgage Broker's Fee</t>
  </si>
  <si>
    <t>Per Fannie:</t>
  </si>
  <si>
    <t>units</t>
  </si>
  <si>
    <t>Requires Manual Lookup</t>
  </si>
  <si>
    <t>If Refinance</t>
  </si>
  <si>
    <t>First Payment Date</t>
  </si>
  <si>
    <t>Lender Application Fee</t>
  </si>
  <si>
    <t>Overall Sponsor Credit Exposure:</t>
  </si>
  <si>
    <t>Per Freddie:</t>
  </si>
  <si>
    <t>Expected Closing of Refinance</t>
  </si>
  <si>
    <t>00/00/0000</t>
  </si>
  <si>
    <t>Maturity Date</t>
  </si>
  <si>
    <t>Lender Legal Fee</t>
  </si>
  <si>
    <t>1)</t>
  </si>
  <si>
    <t>Lender Outstanding Balances:</t>
  </si>
  <si>
    <t>Discounts:</t>
  </si>
  <si>
    <t>Origination Fees</t>
  </si>
  <si>
    <t>Existing Mortgage (UPB)</t>
  </si>
  <si>
    <t>P/U</t>
  </si>
  <si>
    <t>P/B</t>
  </si>
  <si>
    <t>Yield Maintenance End Date</t>
  </si>
  <si>
    <t>Fannie Mae Fees</t>
  </si>
  <si>
    <t>2)</t>
  </si>
  <si>
    <t>Lender Exposure</t>
  </si>
  <si>
    <t>Affordability &gt; 40% Upcapped:</t>
  </si>
  <si>
    <t>Commitment Source</t>
  </si>
  <si>
    <t>Actual Admin Closing Costs (max 3%)</t>
  </si>
  <si>
    <t>Expected Closing Date of Proposed Mortgage</t>
  </si>
  <si>
    <t>Fannie Mae Counsel Fees (if applicable)</t>
  </si>
  <si>
    <t>3)</t>
  </si>
  <si>
    <t>Lender Commitments:</t>
  </si>
  <si>
    <t>Affordability &gt; 50% Upcapped:</t>
  </si>
  <si>
    <t>Broker Fee</t>
  </si>
  <si>
    <t>Cap Ex (Escrowed at 100%)</t>
  </si>
  <si>
    <t>Maturity Date of Proposed Mortgage</t>
  </si>
  <si>
    <t>Required Repairs &amp; Add'l Holdback</t>
  </si>
  <si>
    <t>Affordability &gt; 80% Upcapped:</t>
  </si>
  <si>
    <t>% of Loan Amount</t>
  </si>
  <si>
    <t>Prepayment Penalty Amount</t>
  </si>
  <si>
    <t>Remaining Term</t>
  </si>
  <si>
    <t>Years</t>
  </si>
  <si>
    <t>Initial Reserve Deposit</t>
  </si>
  <si>
    <t>Total Lender Exposure (2&amp;3):</t>
  </si>
  <si>
    <t>Additional ( at least 30% of units less than 60% AMI):</t>
  </si>
  <si>
    <t>Walker &amp; Dunlop Fee</t>
  </si>
  <si>
    <t>Total Refinance Cost</t>
  </si>
  <si>
    <t>Remaining YM</t>
  </si>
  <si>
    <t>Borrower Legal, Survey, Title, Etc.</t>
  </si>
  <si>
    <t>Additional (at least 50% of units less than 80% AMI):</t>
  </si>
  <si>
    <t>% of Loan to Capped Refinance Costs</t>
  </si>
  <si>
    <t>Remaining IO</t>
  </si>
  <si>
    <t>Fannie Mae Large Loan Fee</t>
  </si>
  <si>
    <t>Premium Execution</t>
  </si>
  <si>
    <t>Rehabilitation Escrow</t>
  </si>
  <si>
    <t>Appraisal and Underwriting Value Information</t>
  </si>
  <si>
    <t>TOTAL COSTS</t>
  </si>
  <si>
    <t>Appraisal Company</t>
  </si>
  <si>
    <t>Name of Appraiser</t>
  </si>
  <si>
    <t>Excess Proceeds / Shortfall</t>
  </si>
  <si>
    <t>Minimum FNM Origination Fee</t>
  </si>
  <si>
    <t>Appraisal Date of Value</t>
  </si>
  <si>
    <t>XX/XX/XX</t>
  </si>
  <si>
    <t>Supplemental &amp; Assumtion</t>
  </si>
  <si>
    <t>Insurable Value</t>
  </si>
  <si>
    <t>Is Supplemental Associated with an Assumption?</t>
  </si>
  <si>
    <t>TBD</t>
  </si>
  <si>
    <t>Additional Deposits:</t>
  </si>
  <si>
    <t>Loan Structure</t>
  </si>
  <si>
    <t>Sales Approach</t>
  </si>
  <si>
    <t>Refundable Good Faith at</t>
  </si>
  <si>
    <t>Delegated Level</t>
  </si>
  <si>
    <t>Delegated</t>
  </si>
  <si>
    <t>Income Approach</t>
  </si>
  <si>
    <t>Completion Assurance at</t>
  </si>
  <si>
    <t>N/A (Delegated Level is not PD)</t>
  </si>
  <si>
    <t>Cost Approach</t>
  </si>
  <si>
    <t>Delivery Assurance at</t>
  </si>
  <si>
    <t>Loan Execution Type</t>
  </si>
  <si>
    <t>(Standard) DUS MBS</t>
  </si>
  <si>
    <t>Appraised Value</t>
  </si>
  <si>
    <t>Fannie Mae New Loan Test (Required)</t>
  </si>
  <si>
    <t>Interest Rate Type</t>
  </si>
  <si>
    <t>Fixed</t>
  </si>
  <si>
    <t>Underwriting Value</t>
  </si>
  <si>
    <t>Please note per Section 202.04 of the Fannie Mae Guide:  If the Senior Mortgage Loan matures within the 7 year period occurring after the closing date of the Supplemental Mortgage Loan, the Lender must also perform the "New Loan Test", found below, based on the remaining term of the 1st Mortgage.</t>
  </si>
  <si>
    <t>Loan Purpose</t>
  </si>
  <si>
    <t>Refinance</t>
  </si>
  <si>
    <t>Appraised Cap Rate</t>
  </si>
  <si>
    <t>Interest Calculation</t>
  </si>
  <si>
    <t>Underwritten Cap Rate</t>
  </si>
  <si>
    <t>Rate Lock Type</t>
  </si>
  <si>
    <t>Standard</t>
  </si>
  <si>
    <t>Prepayment Type</t>
  </si>
  <si>
    <t>YM - Standard</t>
  </si>
  <si>
    <t>Underwriting Data</t>
  </si>
  <si>
    <t>ILP/WDIP/CPF Criteria</t>
  </si>
  <si>
    <t>ILP</t>
  </si>
  <si>
    <t>WDIP</t>
  </si>
  <si>
    <t>CPF</t>
  </si>
  <si>
    <t>Guide Required</t>
  </si>
  <si>
    <t>Requested</t>
  </si>
  <si>
    <t>Breakeven Occupancy Analysis</t>
  </si>
  <si>
    <t>Loan Tier</t>
  </si>
  <si>
    <t>Property Type:</t>
  </si>
  <si>
    <t>any</t>
  </si>
  <si>
    <t>Tier #</t>
  </si>
  <si>
    <t>Amortization % (over term)</t>
  </si>
  <si>
    <t>LTV of "New Loan"</t>
  </si>
  <si>
    <t>Deal Type (Acquisition, Refinance, others):</t>
  </si>
  <si>
    <t>Tier LTV</t>
  </si>
  <si>
    <t>Annual Debt Service (actual rate)</t>
  </si>
  <si>
    <t>Amortizing</t>
  </si>
  <si>
    <t>Min UW DSCR</t>
  </si>
  <si>
    <t>Loan Amount:</t>
  </si>
  <si>
    <t>Min Tier UW DSCR (Actual/Note)</t>
  </si>
  <si>
    <t>Debt Yield</t>
  </si>
  <si>
    <t>Amort of "New Loan" (years)</t>
  </si>
  <si>
    <t>Interest Rate Type (Fixed or Variable):</t>
  </si>
  <si>
    <t>Either</t>
  </si>
  <si>
    <t>Min Tier UW DSCR (Floor)</t>
  </si>
  <si>
    <t xml:space="preserve">Exit Rate </t>
  </si>
  <si>
    <t>Alternative Exit Rate</t>
  </si>
  <si>
    <t>Note Rate of "New Loan"</t>
  </si>
  <si>
    <t>Loan-to-Value (LTV) is at or below maximum:</t>
  </si>
  <si>
    <t>Term (years)</t>
  </si>
  <si>
    <t>LTV Exit</t>
  </si>
  <si>
    <t>Alternative LTV Exit</t>
  </si>
  <si>
    <t>Floor Rate of "New Loan"</t>
  </si>
  <si>
    <t>Debt Product Integration Guide</t>
  </si>
  <si>
    <t>Send it:</t>
  </si>
  <si>
    <t>Amortization (years)</t>
  </si>
  <si>
    <t>Loan Constant of "New Loan"</t>
  </si>
  <si>
    <t>Loan Underwriting Metrics</t>
  </si>
  <si>
    <t>Maximum Loan to Value ("Combined")</t>
  </si>
  <si>
    <t>Interest Only (years)</t>
  </si>
  <si>
    <t>DSCR's (Combined)</t>
  </si>
  <si>
    <t>DSCR's</t>
  </si>
  <si>
    <t>IO DSCR</t>
  </si>
  <si>
    <t>Required DSCR's</t>
  </si>
  <si>
    <t>Maximum Loan Amount of "New Loan"</t>
  </si>
  <si>
    <t>Actual UW DSCR</t>
  </si>
  <si>
    <t>Pricing</t>
  </si>
  <si>
    <t>Floor UW DSCR</t>
  </si>
  <si>
    <t>Pricing Tier</t>
  </si>
  <si>
    <t>Appraised LTV</t>
  </si>
  <si>
    <t>Pricing for Tier Dropping Supplemental Loans (Not Applicable)</t>
  </si>
  <si>
    <t>Treasury/Index</t>
  </si>
  <si>
    <t>UW LTV</t>
  </si>
  <si>
    <t>Tier Dropping Supplemental Loan</t>
  </si>
  <si>
    <t>No</t>
  </si>
  <si>
    <t>Pricing Tier applicable to aggregate loan amount (assuming aggregate loan amount is a new first )</t>
  </si>
  <si>
    <t>Investor Spread</t>
  </si>
  <si>
    <t>LTC (if acquisition)</t>
  </si>
  <si>
    <t>Actual Guaranty Fee of Original Loan</t>
  </si>
  <si>
    <t>Pass Through Rate</t>
  </si>
  <si>
    <t>Actual Servicing Fee of Original Loan</t>
  </si>
  <si>
    <t>Guaranty Fee</t>
  </si>
  <si>
    <t>Loan Sizing Constraints</t>
  </si>
  <si>
    <t>Current Guaranty Fee at Combined Tier</t>
  </si>
  <si>
    <t>Servicing Fee</t>
  </si>
  <si>
    <t>Application Loan Amount</t>
  </si>
  <si>
    <t>Current Servicing Fee at Combined Tier</t>
  </si>
  <si>
    <t>Please note: Tier Plus is currently the best available pricing for a supplemental loan (without a waiver)</t>
  </si>
  <si>
    <t>Other Bond Fees</t>
  </si>
  <si>
    <t>Requested Loan</t>
  </si>
  <si>
    <t>Current Guaranty Fee at Supplemental Tier</t>
  </si>
  <si>
    <t>Total Spread</t>
  </si>
  <si>
    <t>Max Loan @ LTV</t>
  </si>
  <si>
    <t>Current Servicing Fee at Supplemental Tier</t>
  </si>
  <si>
    <t>Note Rate</t>
  </si>
  <si>
    <t>Max Loan @ Actual UW DSCR</t>
  </si>
  <si>
    <t xml:space="preserve">Calculated Guarantee Fee </t>
  </si>
  <si>
    <t>Underwriting Floor</t>
  </si>
  <si>
    <t>Max Loan @ Floor UW DSCR</t>
  </si>
  <si>
    <t xml:space="preserve">Calculated Servicing Fee </t>
  </si>
  <si>
    <t>Actual Constant</t>
  </si>
  <si>
    <t>Max Loan @ Variable Rate</t>
  </si>
  <si>
    <t>Floor Constant</t>
  </si>
  <si>
    <t>Max Loan @ New Loan Test</t>
  </si>
  <si>
    <t>Combined Debt Service</t>
  </si>
  <si>
    <t>Not to Exceed Rate (Fixed Rate)</t>
  </si>
  <si>
    <t>ACTUAL LOAN</t>
  </si>
  <si>
    <t>Combined Loan Amount</t>
  </si>
  <si>
    <t>Loss Sharing</t>
  </si>
  <si>
    <t>Additional Tolerances</t>
  </si>
  <si>
    <t>Quote Loan Amount plus</t>
  </si>
  <si>
    <t>RL Loan Amount plus</t>
  </si>
  <si>
    <t>Max. Approved Loan Amount</t>
  </si>
  <si>
    <t>Analysis</t>
  </si>
  <si>
    <t>FNM</t>
  </si>
  <si>
    <t>Last updated:</t>
  </si>
  <si>
    <t>09/15/2023, 13:37:47</t>
  </si>
  <si>
    <t>FRE</t>
  </si>
  <si>
    <t xml:space="preserve"> | City, XX</t>
  </si>
  <si>
    <t>Asset Summary</t>
  </si>
  <si>
    <t>Requested Loan Terms</t>
  </si>
  <si>
    <t>Cost Basis, Rent Growth, Net Worth/Liquidity Analysis</t>
  </si>
  <si>
    <t>Index Rates</t>
  </si>
  <si>
    <t>SBL_FRE_RegionalPricingGridRegionCode</t>
  </si>
  <si>
    <t>NE</t>
  </si>
  <si>
    <t>Northeast</t>
  </si>
  <si>
    <t>Adjustments</t>
  </si>
  <si>
    <t>Deal Name</t>
  </si>
  <si>
    <t>Cash-In/Out</t>
  </si>
  <si>
    <t>Inputs</t>
  </si>
  <si>
    <t>&lt;==</t>
  </si>
  <si>
    <t>Source</t>
  </si>
  <si>
    <t>Date</t>
  </si>
  <si>
    <t>1 yr</t>
  </si>
  <si>
    <t>2 yr</t>
  </si>
  <si>
    <t>3 yr</t>
  </si>
  <si>
    <t>4 yr</t>
  </si>
  <si>
    <t>5 yr</t>
  </si>
  <si>
    <t>7 yr</t>
  </si>
  <si>
    <t>10 yr</t>
  </si>
  <si>
    <t>20 yr</t>
  </si>
  <si>
    <t>30 yr</t>
  </si>
  <si>
    <t>SBL_FRE_RegionalPricingGridTimestamp</t>
  </si>
  <si>
    <t>FanniePricingSupplement (from Qapp)</t>
  </si>
  <si>
    <t>Assumptions (Blue = Freddie, Green = Fannie)  Version: 5.35.2, released: 9/14/23</t>
  </si>
  <si>
    <t>Indicative Loan Pricing</t>
  </si>
  <si>
    <t>Freddie Mac - SBL</t>
  </si>
  <si>
    <t>Fannie Mae - SML</t>
  </si>
  <si>
    <t>Proprietary Capital</t>
  </si>
  <si>
    <t>Loan Request:</t>
  </si>
  <si>
    <t>Acquisition Date</t>
  </si>
  <si>
    <t>Treasury Rates</t>
  </si>
  <si>
    <t>Freddie &amp; Fannie Rates</t>
  </si>
  <si>
    <t>5 YR Hybrid</t>
  </si>
  <si>
    <t>7 YR Hybrid</t>
  </si>
  <si>
    <t>10 YR Hybrid</t>
  </si>
  <si>
    <t>5 YR Fixed</t>
  </si>
  <si>
    <t>7 YR Fixed</t>
  </si>
  <si>
    <t>10 YR Fixed</t>
  </si>
  <si>
    <t>maxLTV</t>
  </si>
  <si>
    <t>(not yet implemented)</t>
  </si>
  <si>
    <t>Last Pricing Update</t>
  </si>
  <si>
    <t>Option 1</t>
  </si>
  <si>
    <t>Option 2</t>
  </si>
  <si>
    <t>Option 3</t>
  </si>
  <si>
    <t>Option 4</t>
  </si>
  <si>
    <t>Option 5</t>
  </si>
  <si>
    <t>Option 6</t>
  </si>
  <si>
    <t>Option 7</t>
  </si>
  <si>
    <t>Option 8</t>
  </si>
  <si>
    <t>Option 9</t>
  </si>
  <si>
    <t>Option 10</t>
  </si>
  <si>
    <t>Option 11</t>
  </si>
  <si>
    <t>Option 12</t>
  </si>
  <si>
    <t>MSA or Market</t>
  </si>
  <si>
    <t>Loan Type:</t>
  </si>
  <si>
    <t>Acquisition Price</t>
  </si>
  <si>
    <t>Daily Pricing Grid</t>
  </si>
  <si>
    <t>SBL - Northeast Region Pricing Grid - Top/Standard Markets Effective:    Tuesday  09/12/2023</t>
  </si>
  <si>
    <t>minDSCR</t>
  </si>
  <si>
    <t>Loan Product</t>
  </si>
  <si>
    <t>12 YR Fixed</t>
  </si>
  <si>
    <t>15 YR Fixed</t>
  </si>
  <si>
    <t>10 YR Variable</t>
  </si>
  <si>
    <t>3 YR Floating</t>
  </si>
  <si>
    <t>5 YR Floating</t>
  </si>
  <si>
    <t>7 YR Floating</t>
  </si>
  <si>
    <t>FNMA Delegated Level</t>
  </si>
  <si>
    <t>I/O Request:</t>
  </si>
  <si>
    <t>CapEX since Acquisition</t>
  </si>
  <si>
    <t>1mo Term SOFR</t>
  </si>
  <si>
    <t>Section A - Base Available Loan Structures</t>
  </si>
  <si>
    <t>verySmallLoan</t>
  </si>
  <si>
    <t>Street Address</t>
  </si>
  <si>
    <t/>
  </si>
  <si>
    <t>Loan Amount</t>
  </si>
  <si>
    <t>FNMA Mkt. - Strong, Standard, or Pre-review</t>
  </si>
  <si>
    <t>Prepay Request:</t>
  </si>
  <si>
    <t>Select in Column B</t>
  </si>
  <si>
    <t>Current Debt</t>
  </si>
  <si>
    <t>30 day Avg SOFR</t>
  </si>
  <si>
    <t>Loan Type</t>
  </si>
  <si>
    <t>Hybrid</t>
  </si>
  <si>
    <t>smallLoanEligibleMarket</t>
  </si>
  <si>
    <t>City, State</t>
  </si>
  <si>
    <t>City, XX</t>
  </si>
  <si>
    <t>Fixed | Floating Rate Term</t>
  </si>
  <si>
    <t>5 YR</t>
  </si>
  <si>
    <t>7 YR</t>
  </si>
  <si>
    <t>10 YR</t>
  </si>
  <si>
    <t>5 YR | 15 YR</t>
  </si>
  <si>
    <t>7 YR | 13 YR</t>
  </si>
  <si>
    <t>12 YR</t>
  </si>
  <si>
    <t>15 YR</t>
  </si>
  <si>
    <t>10 YR | 10 YR</t>
  </si>
  <si>
    <t>3 YR</t>
  </si>
  <si>
    <t>FNMA Eligible Market</t>
  </si>
  <si>
    <t>Estimated Rate:</t>
  </si>
  <si>
    <t>Select Loan Option (Cell B42)</t>
  </si>
  <si>
    <t>Rent Roll at Acquisition (gross monthly rent)</t>
  </si>
  <si>
    <t>From  &gt; $6MM</t>
  </si>
  <si>
    <t>From &gt; $6MM</t>
  </si>
  <si>
    <t>Fixed Term</t>
  </si>
  <si>
    <t>smallLoanNationwideMarket</t>
  </si>
  <si>
    <t>Zip Code (must have Address and City, State too)</t>
  </si>
  <si>
    <t>Full Term IO</t>
  </si>
  <si>
    <t>WD Market Rating</t>
  </si>
  <si>
    <t>Amortization (Years)</t>
  </si>
  <si>
    <t>Rent Roll Current (gross monthly rent)</t>
  </si>
  <si>
    <t>Fannie Pricing</t>
  </si>
  <si>
    <t>pricing ↓</t>
  </si>
  <si>
    <t>Hardcoded↓</t>
  </si>
  <si>
    <t>Floating Term</t>
  </si>
  <si>
    <t>affordableOverFiftyUnits</t>
  </si>
  <si>
    <t>Census Tract#</t>
  </si>
  <si>
    <t>Interest Only Period</t>
  </si>
  <si>
    <t>Freddie Market Tier (Freddie Only)</t>
  </si>
  <si>
    <t>Existing Loan Type</t>
  </si>
  <si>
    <t>Market Cap Rate</t>
  </si>
  <si>
    <t>Fixed Rate, Tier 2</t>
  </si>
  <si>
    <t>Posted Grid</t>
  </si>
  <si>
    <t>$6MM and Below</t>
  </si>
  <si>
    <t>Above $6MM</t>
  </si>
  <si>
    <t>IO Pricing</t>
  </si>
  <si>
    <t>Balloon/Amortization</t>
  </si>
  <si>
    <t>20|30</t>
  </si>
  <si>
    <t>5|30</t>
  </si>
  <si>
    <t>7|30</t>
  </si>
  <si>
    <t>10|30</t>
  </si>
  <si>
    <t>affordableT2</t>
  </si>
  <si>
    <t>Latitude | Longitude</t>
  </si>
  <si>
    <t>Prepay during Fixed, Floating</t>
  </si>
  <si>
    <t>YM</t>
  </si>
  <si>
    <t>YM,1%</t>
  </si>
  <si>
    <t>1% Prepayment</t>
  </si>
  <si>
    <t>Security Gauge Rating</t>
  </si>
  <si>
    <t>Annual Payment</t>
  </si>
  <si>
    <t>Borrower Estimate of Value</t>
  </si>
  <si>
    <t>Term (yrs)</t>
  </si>
  <si>
    <t>YM (yrs)</t>
  </si>
  <si>
    <t>TSY</t>
  </si>
  <si>
    <t>TSY Floor</t>
  </si>
  <si>
    <t>G&amp;S</t>
  </si>
  <si>
    <t>Gross Rate</t>
  </si>
  <si>
    <t>2 Yr</t>
  </si>
  <si>
    <t>3 Yr</t>
  </si>
  <si>
    <t>5 Yr</t>
  </si>
  <si>
    <t>Full Term</t>
  </si>
  <si>
    <r>
      <t>Max IO Period (Yrs)</t>
    </r>
    <r>
      <rPr>
        <b/>
        <color theme="1"/>
        <family val="2"/>
        <rFont val="Calibri"/>
        <scheme val="minor"/>
        <sz val="10"/>
        <vertAlign val="superscript"/>
      </rPr>
      <t>1</t>
    </r>
  </si>
  <si>
    <t>affordableT3</t>
  </si>
  <si>
    <t># Units</t>
  </si>
  <si>
    <t>Rate Lock Period</t>
  </si>
  <si>
    <t>Units:</t>
  </si>
  <si>
    <t>Annual Payment during/if IO</t>
  </si>
  <si>
    <t>Proposed Loan Amount</t>
  </si>
  <si>
    <t>Prepay During Fixed</t>
  </si>
  <si>
    <t>affordableT4</t>
  </si>
  <si>
    <t>Min Debt Coverage Ratio</t>
  </si>
  <si>
    <t>FRE Hybrid ARM Secondary Test DSCR</t>
  </si>
  <si>
    <t>--</t>
  </si>
  <si>
    <t>Proposed Annual Debt Service</t>
  </si>
  <si>
    <t>Prepay During Floating</t>
  </si>
  <si>
    <t>ruralHousingInitiative</t>
  </si>
  <si>
    <t>Year Built</t>
  </si>
  <si>
    <t>Max Loan to Value</t>
  </si>
  <si>
    <t>Building Type:</t>
  </si>
  <si>
    <t>LTV/DSCR - Top Markets</t>
  </si>
  <si>
    <t>80/1.20</t>
  </si>
  <si>
    <t>affordableMHC</t>
  </si>
  <si>
    <t>Date Priced</t>
  </si>
  <si>
    <t>Debt Coverage Ratio as Underwritten</t>
  </si>
  <si>
    <t>Year Built:</t>
  </si>
  <si>
    <t>Affordability</t>
  </si>
  <si>
    <t>Cost Basis Analysis</t>
  </si>
  <si>
    <t>LTV/DSCR - Standard Markets</t>
  </si>
  <si>
    <t>80/1.25</t>
  </si>
  <si>
    <t>specialPublicPurpose</t>
  </si>
  <si>
    <t>Loan To Value as Underwritten</t>
  </si>
  <si>
    <t>Class:</t>
  </si>
  <si>
    <t>Fannie Mae Mission Driven %</t>
  </si>
  <si>
    <t>Years/Months Under Ownership</t>
  </si>
  <si>
    <t>Section B - Base Loan Pricing Coupon*</t>
  </si>
  <si>
    <t>buyUp5</t>
  </si>
  <si>
    <t>MSA</t>
  </si>
  <si>
    <t>Estimated Interest Rate</t>
  </si>
  <si>
    <t>Physical Occupancy as of Application:</t>
  </si>
  <si>
    <t>Freddie Mac Mission Driven %</t>
  </si>
  <si>
    <t>Cost Basis Total</t>
  </si>
  <si>
    <t>Fixed Pricing (Standard Markets)</t>
  </si>
  <si>
    <t>buyUp7</t>
  </si>
  <si>
    <t>MSA Type</t>
  </si>
  <si>
    <t>Approximate Annual Payment (Amort)</t>
  </si>
  <si>
    <t>LTC</t>
  </si>
  <si>
    <t>Fixed Pricing (Top Markets)</t>
  </si>
  <si>
    <t>buyUp10</t>
  </si>
  <si>
    <t>W&amp;D Market Grouping</t>
  </si>
  <si>
    <t>Approximate Annual Payment (IO)</t>
  </si>
  <si>
    <t>Ownership and Cap Ex History</t>
  </si>
  <si>
    <t>NRI Growth and Occupancy History</t>
  </si>
  <si>
    <t>Cash In/Out</t>
  </si>
  <si>
    <t>↑</t>
  </si>
  <si>
    <t>Section C - Loan Pricing Adjustments</t>
  </si>
  <si>
    <t>buyUp12</t>
  </si>
  <si>
    <t>Percent of Population in College | Military</t>
  </si>
  <si>
    <t xml:space="preserve">The interest rates listed above and any spreads derived there from are subject to market influences, which may impact loan proceeds.  All terms are subject to review and approval by the lender and are subject to change. This analysis is based upon information provided to Walker &amp; Dunlop and/or market assumptions, which may not be supported by final underwriting conclusions. Final terms and conditions are subject to Fannie Mae and/or Freddie Mac approval. </t>
  </si>
  <si>
    <t>Acquisition or Refinance</t>
  </si>
  <si>
    <t>Recent NRI/NCF Growth and Physical Occ.</t>
  </si>
  <si>
    <t>Cashout (%)</t>
  </si>
  <si>
    <t>Qualified Mission Loans</t>
  </si>
  <si>
    <t>buyUp15</t>
  </si>
  <si>
    <t>Freddie Region</t>
  </si>
  <si>
    <t>Acquisition Date or Date to be Acquired</t>
  </si>
  <si>
    <t>Current Physical Occupancy</t>
  </si>
  <si>
    <t>Estimated 3% Closing Costs (acquisition loan)</t>
  </si>
  <si>
    <t>Standard Markets   ≥50% | ≥80%</t>
  </si>
  <si>
    <t>-15 | -30</t>
  </si>
  <si>
    <t>buyUp18</t>
  </si>
  <si>
    <t>Freddie Market Tier</t>
  </si>
  <si>
    <t>Contract Price / Orig. Acquisition Price</t>
  </si>
  <si>
    <t>Minimum Occupancy Over T3</t>
  </si>
  <si>
    <t>Top Markets  ≥50% | ≥80%</t>
  </si>
  <si>
    <t>buyUp30</t>
  </si>
  <si>
    <t>Market Tier DCR Adjustment</t>
  </si>
  <si>
    <t>Capital Expenditure since Acquisition</t>
  </si>
  <si>
    <t>Current T3 NRI (annualized)</t>
  </si>
  <si>
    <t>Rent Growth Analysis</t>
  </si>
  <si>
    <t>uwFloorStrong</t>
  </si>
  <si>
    <t>Regulatory Agreement</t>
  </si>
  <si>
    <t>Loan Underwriting</t>
  </si>
  <si>
    <t>Freddie Mac</t>
  </si>
  <si>
    <t>Fannie Mae</t>
  </si>
  <si>
    <t>Other Soft Costs</t>
  </si>
  <si>
    <t>Quote Sizer NCF</t>
  </si>
  <si>
    <t>Annualized Rent at Acquisition</t>
  </si>
  <si>
    <t>Fixed Rate, Tier 3, $6MM and Below</t>
  </si>
  <si>
    <t>↑   IO Pricing (same as Tier 2)   ↑</t>
  </si>
  <si>
    <t>Qualified 5-50 LI Property (≥50% of Units)</t>
  </si>
  <si>
    <t>uwFloorLT80</t>
  </si>
  <si>
    <t>Affordability Discount &gt;50% Uncapped</t>
  </si>
  <si>
    <t>Requested Loan Amount</t>
  </si>
  <si>
    <t>Cost Basis</t>
  </si>
  <si>
    <t>Cap Rate (Underwritten)</t>
  </si>
  <si>
    <t>Annualized Rent Current</t>
  </si>
  <si>
    <t>uwFloorLT120</t>
  </si>
  <si>
    <t>Additional Discount (≥ 80% less than 80% AMI)</t>
  </si>
  <si>
    <t>Product</t>
  </si>
  <si>
    <t>NRI at Acquisition</t>
  </si>
  <si>
    <t>Rent Growth</t>
  </si>
  <si>
    <t>Alternative Prepay Protections</t>
  </si>
  <si>
    <t>uwFloorLT144</t>
  </si>
  <si>
    <t>-- Requires Trading Desk to Price</t>
  </si>
  <si>
    <t>Years Owned</t>
  </si>
  <si>
    <t>Capitalized Income Value Add since Acq.</t>
  </si>
  <si>
    <t>Value Creation through Rent Growth</t>
  </si>
  <si>
    <t>Alternative 1</t>
  </si>
  <si>
    <t>Linked Loan / Scattered Site?</t>
  </si>
  <si>
    <t>Projected Loan Amount</t>
  </si>
  <si>
    <t>Underwritten Value Estimate</t>
  </si>
  <si>
    <t>Acqusion Cost + Value Add</t>
  </si>
  <si>
    <t>Estimated Value thru Analysis</t>
  </si>
  <si>
    <t>Pricing Change</t>
  </si>
  <si>
    <t>NYS Rent Stabilized &gt; 50%?</t>
  </si>
  <si>
    <t>Unavailable DCR/LTV Adjustment</t>
  </si>
  <si>
    <t>LTV</t>
  </si>
  <si>
    <t>Difference (estimate thru analysis - borrower's est)</t>
  </si>
  <si>
    <t>DSCR adder for Lack of Experience</t>
  </si>
  <si>
    <r>
      <t>Alternative 2</t>
    </r>
    <r>
      <rPr>
        <b/>
        <color theme="1"/>
        <family val="2"/>
        <rFont val="Calibri"/>
        <scheme val="minor"/>
        <sz val="10"/>
        <vertAlign val="superscript"/>
      </rPr>
      <t>2</t>
    </r>
  </si>
  <si>
    <t>321(3),1%</t>
  </si>
  <si>
    <t>3(2),2(2),1(3),1%</t>
  </si>
  <si>
    <t>3(3),2(3),1(4),1%</t>
  </si>
  <si>
    <t>321(3)</t>
  </si>
  <si>
    <t>3(2),2(2),1(3)</t>
  </si>
  <si>
    <t>3(3),2(3),1(4)</t>
  </si>
  <si>
    <t xml:space="preserve">Cash out Refinance? </t>
  </si>
  <si>
    <t xml:space="preserve">W&amp;D Origination Fee </t>
  </si>
  <si>
    <t>Net Worth and Liquidity Analysis</t>
  </si>
  <si>
    <t>Actual</t>
  </si>
  <si>
    <t>Minimum</t>
  </si>
  <si>
    <t>Excess/Short</t>
  </si>
  <si>
    <t>Fannie Market Tier</t>
  </si>
  <si>
    <t>Premium Buy-up W&amp;D</t>
  </si>
  <si>
    <t>Conventional</t>
  </si>
  <si>
    <t>Total of Sponsor Net Worth (combine all)</t>
  </si>
  <si>
    <t>Is Property Type MAH?</t>
  </si>
  <si>
    <t>Minimum Premium/Buy-Up</t>
  </si>
  <si>
    <t>2nd Supp?</t>
  </si>
  <si>
    <t>Total of Sponsor Liquidity (combine all)</t>
  </si>
  <si>
    <r>
      <t>Alternative 3</t>
    </r>
    <r>
      <rPr>
        <b/>
        <color theme="1"/>
        <family val="2"/>
        <rFont val="Calibri"/>
        <scheme val="minor"/>
        <sz val="10"/>
        <vertAlign val="superscript"/>
      </rPr>
      <t>2</t>
    </r>
  </si>
  <si>
    <t>310(3),0%</t>
  </si>
  <si>
    <t>310(3)</t>
  </si>
  <si>
    <t>Is Highly Affordable (≥ 75% at ≤ 80% AMI)</t>
  </si>
  <si>
    <t>Freddie/Fannie Fee Portion</t>
  </si>
  <si>
    <t>3rd Supp?</t>
  </si>
  <si>
    <t>Is High Needs Rural with ≥ 50% at ≤ 80% AMI?</t>
  </si>
  <si>
    <t>Broker Buy-up</t>
  </si>
  <si>
    <t>Assumption?</t>
  </si>
  <si>
    <t>Green Rewards?</t>
  </si>
  <si>
    <t>Total Origination Fee</t>
  </si>
  <si>
    <t>$0</t>
  </si>
  <si>
    <t>Chapter 9 SBL?</t>
  </si>
  <si>
    <t>Loan Size &lt;$1M</t>
  </si>
  <si>
    <t>Small Loan Buffer?</t>
  </si>
  <si>
    <t>Acquisition / Refinance</t>
  </si>
  <si>
    <t>Prepayment Option</t>
  </si>
  <si>
    <t>Yield Maintenance</t>
  </si>
  <si>
    <t>Fixed Rate, Tier 4, $6MM and Below</t>
  </si>
  <si>
    <r>
      <t>Regulatory Agreement</t>
    </r>
    <r>
      <rPr>
        <b/>
        <color theme="1"/>
        <family val="2"/>
        <rFont val="Calibri"/>
        <scheme val="minor"/>
        <sz val="10"/>
        <vertAlign val="superscript"/>
      </rPr>
      <t>3</t>
    </r>
  </si>
  <si>
    <t>Purchase Price</t>
  </si>
  <si>
    <t>Tier (FNM / PC)</t>
  </si>
  <si>
    <t>Tier 2 (70%)</t>
  </si>
  <si>
    <t>Estimated Cap Rate</t>
  </si>
  <si>
    <t>Calculated DCR (IO For PC)</t>
  </si>
  <si>
    <t>Sponsorship Summary</t>
  </si>
  <si>
    <t>Management Summary</t>
  </si>
  <si>
    <t>LTV ≤ 70% | ≤ 65% | ≤ 55%</t>
  </si>
  <si>
    <t>-4 | -8 | -12</t>
  </si>
  <si>
    <t>Freddie NOI</t>
  </si>
  <si>
    <t>Calculated LTV</t>
  </si>
  <si>
    <t>Sponsor (per Salesforce)</t>
  </si>
  <si>
    <t>Self Managed?</t>
  </si>
  <si>
    <t>Freddie UW Value</t>
  </si>
  <si>
    <t>Calculated Debt Yield</t>
  </si>
  <si>
    <t>Guarantor / KP Names</t>
  </si>
  <si>
    <t>Guarantor lives within 100 mi. of the Subect?</t>
  </si>
  <si>
    <t>DSCR ≥ 1.30 | ≥ 1.40 | ≥ 1.50</t>
  </si>
  <si>
    <t>-6 | -12 | -16</t>
  </si>
  <si>
    <t>Freddie UW Value Per Unit</t>
  </si>
  <si>
    <t>IO Period</t>
  </si>
  <si>
    <t>Repeat Fannie Mae Guarantors / KPs?</t>
  </si>
  <si>
    <t>Headquarters (City/State)</t>
  </si>
  <si>
    <t>Section D - Excess Premium (Buy-Up or Ongoing Spread)</t>
  </si>
  <si>
    <t>Fannie NOI</t>
  </si>
  <si>
    <t>Default IO Period</t>
  </si>
  <si>
    <t>BPs Per Point of Premium</t>
  </si>
  <si>
    <t>Fannie UW Value</t>
  </si>
  <si>
    <t>IO Full Term?</t>
  </si>
  <si>
    <t>Repeat Freddie Mac Guarantors?</t>
  </si>
  <si>
    <t>Years experience managing MF</t>
  </si>
  <si>
    <t>Fannie UW Value Per Unit</t>
  </si>
  <si>
    <t>At Least One Local Guarantor / KP?</t>
  </si>
  <si>
    <t>Local Office</t>
  </si>
  <si>
    <r>
      <t xml:space="preserve">Mkt is Strong or select Eligible </t>
    </r>
    <r>
      <rPr>
        <color theme="1"/>
        <family val="2"/>
        <rFont val="Calibri"/>
        <scheme val="minor"/>
        <sz val="8"/>
      </rPr>
      <t>(LA,DC, or Chicago)</t>
    </r>
  </si>
  <si>
    <t>Extended Delivery (FRE) / Forward Curve (FNM)</t>
  </si>
  <si>
    <t>Standard Delivery</t>
  </si>
  <si>
    <t>Aggregate Guarantor / KP Liquidity</t>
  </si>
  <si>
    <t>Specialize in Multifamily?</t>
  </si>
  <si>
    <t>SBL - Northeast Region Pricing Grid - Small/Very Small Markets   Effective: Tuesday  09/12/2023</t>
  </si>
  <si>
    <t>LTV Test</t>
  </si>
  <si>
    <t>N/A: Hybrid</t>
  </si>
  <si>
    <t>Aggregate Guarantor / KP Net Worth</t>
  </si>
  <si>
    <t>Specialize in Value Add properties?</t>
  </si>
  <si>
    <t>Borrower Priority (for PD Exit Rate)</t>
  </si>
  <si>
    <t>Hybrid Test</t>
  </si>
  <si>
    <t>Number of Borrowers</t>
  </si>
  <si>
    <t># MF properties managed in Sub. market?</t>
  </si>
  <si>
    <t>Loan is secured by Seniors or MAH property</t>
  </si>
  <si>
    <t>Base Coupon (TSY for FNM)</t>
  </si>
  <si>
    <t>Will any Borrower ownership be syndicated?</t>
  </si>
  <si>
    <t>Total # of MF units managed in portfolio</t>
  </si>
  <si>
    <r>
      <t>Expense Ratio &lt; 50% (</t>
    </r>
    <r>
      <rPr>
        <color theme="1"/>
        <family val="2"/>
        <rFont val="Calibri"/>
        <scheme val="minor"/>
        <sz val="8"/>
      </rPr>
      <t>from Fannie Historical Ops</t>
    </r>
    <r>
      <rPr>
        <color theme="1"/>
        <family val="2"/>
        <rFont val="Calibri"/>
        <scheme val="minor"/>
        <sz val="11"/>
      </rPr>
      <t>)</t>
    </r>
  </si>
  <si>
    <t>Investor Spread (FNM/PC)</t>
  </si>
  <si>
    <t>Borrower is a Corporation or a GP?</t>
  </si>
  <si>
    <t>Borrower Selections</t>
  </si>
  <si>
    <t>Credit Fees (FNM)</t>
  </si>
  <si>
    <t>Other Adjustments</t>
  </si>
  <si>
    <t>FNM_TierTbl</t>
  </si>
  <si>
    <t>Borrower Loan Program Accepted</t>
  </si>
  <si>
    <t>None</t>
  </si>
  <si>
    <t>Transaction Summary Questions</t>
  </si>
  <si>
    <t>Small Loan Spread Adder</t>
  </si>
  <si>
    <t>Tier 4</t>
  </si>
  <si>
    <t>No Floor</t>
  </si>
  <si>
    <r>
      <t>Max IO Period (Yrs)</t>
    </r>
    <r>
      <rPr>
        <b/>
        <color theme="1"/>
        <family val="2"/>
        <rFont val="Calibri"/>
        <scheme val="minor"/>
        <sz val="10"/>
        <vertAlign val="superscript"/>
      </rPr>
      <t>1</t>
    </r>
  </si>
  <si>
    <t xml:space="preserve">Borrower Loan Option Accepted </t>
  </si>
  <si>
    <t>Premium Adjustment</t>
  </si>
  <si>
    <t>Please select an answer for "Recent NRI/NCF Growth and Physical Occupancy" above.</t>
  </si>
  <si>
    <t>Tier 3</t>
  </si>
  <si>
    <t>Prepayment Schedule</t>
  </si>
  <si>
    <t>Prepay Adjustment</t>
  </si>
  <si>
    <r>
      <t>Tier 2</t>
    </r>
    <r>
      <rPr>
        <color theme="1"/>
        <family val="2"/>
        <rFont val="Calibri"/>
        <scheme val="minor"/>
        <sz val="10"/>
        <vertAlign val="superscript"/>
      </rPr>
      <t>1</t>
    </r>
    <r>
      <rPr>
        <color theme="1"/>
        <family val="2"/>
        <rFont val="Calibri"/>
        <scheme val="minor"/>
        <sz val="10"/>
      </rPr>
      <t>, 1-83mo</t>
    </r>
  </si>
  <si>
    <t>Application Fee</t>
  </si>
  <si>
    <t>I/O Credit or Addition</t>
  </si>
  <si>
    <t>Tier 2, 1-83mo</t>
  </si>
  <si>
    <t>LTV (Acq)/LTV (Refi)/DSCR - Small</t>
  </si>
  <si>
    <t>75/70/1.30</t>
  </si>
  <si>
    <t>Additional Deal Information</t>
  </si>
  <si>
    <t>Affordability Adjustment</t>
  </si>
  <si>
    <t>Please select an answer for "Acquisition or Refinance" above.</t>
  </si>
  <si>
    <r>
      <t>Tier 2</t>
    </r>
    <r>
      <rPr>
        <color theme="1"/>
        <family val="2"/>
        <rFont val="Calibri"/>
        <scheme val="minor"/>
        <sz val="10"/>
        <vertAlign val="superscript"/>
      </rPr>
      <t>1</t>
    </r>
    <r>
      <rPr>
        <color theme="1"/>
        <family val="2"/>
        <rFont val="Calibri"/>
        <scheme val="minor"/>
        <sz val="10"/>
      </rPr>
      <t>, 84-119mo</t>
    </r>
  </si>
  <si>
    <t>LTV (Acq)/LTV (Refi)/DSCR - V Small</t>
  </si>
  <si>
    <t>75/70/1.40</t>
  </si>
  <si>
    <t>Tier 2, 84-119mo</t>
  </si>
  <si>
    <t>Select Producer Above</t>
  </si>
  <si>
    <t>DCR Adjustment</t>
  </si>
  <si>
    <r>
      <t>Tier 2</t>
    </r>
    <r>
      <rPr>
        <color theme="1"/>
        <family val="2"/>
        <rFont val="Calibri"/>
        <scheme val="minor"/>
        <sz val="10"/>
        <vertAlign val="superscript"/>
      </rPr>
      <t>1</t>
    </r>
    <r>
      <rPr>
        <color theme="1"/>
        <family val="2"/>
        <rFont val="Calibri"/>
        <scheme val="minor"/>
        <sz val="10"/>
      </rPr>
      <t>, 120-143mo</t>
    </r>
  </si>
  <si>
    <t>Fixed Pricing (Very Small Markets)</t>
  </si>
  <si>
    <t>LTV Adjustment</t>
  </si>
  <si>
    <r>
      <t xml:space="preserve">LOAN OBJECTIVE: How do the requested Loan Terms above support the BORROWER's OPERATING PLAN?  What terms are </t>
    </r>
    <r>
      <rPr>
        <family val="2"/>
        <rFont val="Calibri"/>
        <scheme val="minor"/>
        <sz val="10"/>
        <u/>
      </rPr>
      <t>most</t>
    </r>
    <r>
      <rPr>
        <family val="2"/>
        <rFont val="Calibri"/>
        <scheme val="minor"/>
        <sz val="10"/>
      </rPr>
      <t xml:space="preserve"> important to the Borrower? - i.e. proceeds, IO, rate, loan term, prepay, etc. If getting a cashout, what will the Borrower do with the proceeds.</t>
    </r>
  </si>
  <si>
    <t>Tier 2, 120-143mo</t>
  </si>
  <si>
    <t>Fixed Pricing (Small Markets)</t>
  </si>
  <si>
    <t xml:space="preserve">Regulatory Agreement Adjustment </t>
  </si>
  <si>
    <t>Variable Rate (not implemented, incomplete)</t>
  </si>
  <si>
    <t>Libor</t>
  </si>
  <si>
    <t>Additional Affordability Discounts (MHC adder PC)</t>
  </si>
  <si>
    <t>ARM 7/6</t>
  </si>
  <si>
    <t>Link Loan Adder (FRE/PC) / ≤ $2MM (FNM)</t>
  </si>
  <si>
    <t>10yr SARM</t>
  </si>
  <si>
    <t>Very Small Markets   ≥50% | ≥80%</t>
  </si>
  <si>
    <t>-10 | -25</t>
  </si>
  <si>
    <t>Key Principal/Guarantor</t>
  </si>
  <si>
    <r>
      <t>Small Loan Buffer</t>
    </r>
    <r>
      <rPr>
        <color theme="1"/>
        <family val="2"/>
        <rFont val="Calibri"/>
        <scheme val="minor"/>
        <sz val="10"/>
      </rPr>
      <t xml:space="preserve"> (Investor Spread)</t>
    </r>
  </si>
  <si>
    <t>SPONSOR EXPERIENCE: How long have the Guarantors /KPs owned multifamily in the Subject Market?  What is the Guarantors / KP's expereince with renovations and lease ups? Can specific before / after examples be cited with the renovation timeline, pre and post renovation NRI, and amount spent?  How does Sponsor experneice support the Borrower's Operating Plan above?</t>
  </si>
  <si>
    <t>Hybrid Arms</t>
  </si>
  <si>
    <t>Small Markets   ≥50% | ≥80%</t>
  </si>
  <si>
    <t>G&amp;S Adjustments (FNM) / Student Adder (PC)</t>
  </si>
  <si>
    <t>10 yr fxd, 10 YM, Hybrid</t>
  </si>
  <si>
    <t>Program Adjustment</t>
  </si>
  <si>
    <t>10 yr fxd, 3332221111, Hybrid</t>
  </si>
  <si>
    <t>10 yr fxd, 5544332211, Hybrid</t>
  </si>
  <si>
    <t>5 yr fxd, 32111, Hybrid</t>
  </si>
  <si>
    <t>Annual Payment (Amort)</t>
  </si>
  <si>
    <t>Asset Supplemental Information</t>
  </si>
  <si>
    <t>5 yr fxd, 5 YM, Hybrid</t>
  </si>
  <si>
    <t>5 yr fxd, 54321, Hybrid</t>
  </si>
  <si>
    <t>Product Requirements:</t>
  </si>
  <si>
    <t>7 yr fxd, 3322111, Hybrid</t>
  </si>
  <si>
    <t>Min DSCR (IO for PC)</t>
  </si>
  <si>
    <t>Unit Amperage &lt; 60 Amps?</t>
  </si>
  <si>
    <t>Voucher Tenant Concentration %</t>
  </si>
  <si>
    <t>7 yr fxd, 5544321, Hybrid</t>
  </si>
  <si>
    <r>
      <t>Alternative 2</t>
    </r>
    <r>
      <rPr>
        <b/>
        <color theme="1"/>
        <family val="2"/>
        <rFont val="Calibri"/>
        <scheme val="minor"/>
        <sz val="10"/>
        <vertAlign val="superscript"/>
      </rPr>
      <t>2</t>
    </r>
  </si>
  <si>
    <t>Requested Min DSCR (PC+FRE Req / FNM Floor)</t>
  </si>
  <si>
    <t>RET Escrow Collection Deferral?</t>
  </si>
  <si>
    <t>Single Emp., Corporate, Non-Profit Conc. %</t>
  </si>
  <si>
    <t>7 yr fxd, 7 YM, Hybrid</t>
  </si>
  <si>
    <t>Max LTV</t>
  </si>
  <si>
    <t>Insurance Escrow Collection Deferral?</t>
  </si>
  <si>
    <t>Master Lease Concentration %</t>
  </si>
  <si>
    <t>Constraint</t>
  </si>
  <si>
    <t>Is a stabilized T-12 available?</t>
  </si>
  <si>
    <t>Percent of Units with less than 350 SF. (FNMA)</t>
  </si>
  <si>
    <t>Options</t>
  </si>
  <si>
    <r>
      <t>Alternative 3</t>
    </r>
    <r>
      <rPr>
        <b/>
        <color theme="1"/>
        <family val="2"/>
        <rFont val="Calibri"/>
        <scheme val="minor"/>
        <sz val="10"/>
        <vertAlign val="superscript"/>
      </rPr>
      <t>2</t>
    </r>
  </si>
  <si>
    <t>Max Loan Amount: DSCR</t>
  </si>
  <si>
    <t>5 yr | 4.5 yrs YM</t>
  </si>
  <si>
    <t>Max Loan Amount: LTV</t>
  </si>
  <si>
    <t>7 yr | 6.5 yrs YM</t>
  </si>
  <si>
    <t>Loan Size &lt;$1M - Small</t>
  </si>
  <si>
    <t>Max Loan Amount: Floor Rate (PC-Debt Yield)</t>
  </si>
  <si>
    <t xml:space="preserve">   Is comm. GPR or NRA &gt;40% of GPR or NRA?</t>
  </si>
  <si>
    <t xml:space="preserve">     Number of Properties?</t>
  </si>
  <si>
    <t>10 yr | 9.5 yrs YM</t>
  </si>
  <si>
    <t>Loan Size &lt;$1M - Very Small</t>
  </si>
  <si>
    <t>Floor Rate</t>
  </si>
  <si>
    <t xml:space="preserve">   Is 10% vacancy factor applied?</t>
  </si>
  <si>
    <t xml:space="preserve">     Are all buildings less than 3 milies apart?</t>
  </si>
  <si>
    <t>12 yr | 11.5 yrs YM</t>
  </si>
  <si>
    <t>PC Debt Yield</t>
  </si>
  <si>
    <t>Owner-occupied or owner-affiliated units?</t>
  </si>
  <si>
    <t>Any rent/income restrictions?</t>
  </si>
  <si>
    <t>15 yr | 14.5 yrs YM</t>
  </si>
  <si>
    <r>
      <t>Regulatory Agreement - Small</t>
    </r>
    <r>
      <rPr>
        <b/>
        <color theme="1"/>
        <family val="2"/>
        <rFont val="Calibri"/>
        <scheme val="minor"/>
        <sz val="10"/>
        <vertAlign val="superscript"/>
      </rPr>
      <t>3</t>
    </r>
  </si>
  <si>
    <t>PC Eligible Market</t>
  </si>
  <si>
    <t>Tax Abatement?</t>
  </si>
  <si>
    <t xml:space="preserve">     HAP contract?</t>
  </si>
  <si>
    <t>18 yr | 15 yrs YM</t>
  </si>
  <si>
    <r>
      <t>Regulatory Agreement - Very Small</t>
    </r>
    <r>
      <rPr>
        <b/>
        <color theme="1"/>
        <family val="2"/>
        <rFont val="Calibri"/>
        <scheme val="minor"/>
        <sz val="10"/>
        <vertAlign val="superscript"/>
      </rPr>
      <t>3</t>
    </r>
  </si>
  <si>
    <t>(PD) Base Exit Rate</t>
  </si>
  <si>
    <t xml:space="preserve">   Is it Freddie Mac/Fannie Mae compliant?</t>
  </si>
  <si>
    <t xml:space="preserve">     LURA</t>
  </si>
  <si>
    <t>30 yr | 15 yrs YM</t>
  </si>
  <si>
    <t>Max Proceeds</t>
  </si>
  <si>
    <t xml:space="preserve">   Can abatement documentation be provided?</t>
  </si>
  <si>
    <t>LURA with &gt;24 months in recap period, nonprofit Borrower or GP, or subordinate debt?</t>
  </si>
  <si>
    <t>LTV (Acq) ≤ 65% | ≤ 60% | ≤ 50%</t>
  </si>
  <si>
    <t>Any violent, drug related crimes OR persistent pattern of lesser crimes at the Subject property in past 5 years?</t>
  </si>
  <si>
    <t>5 yr | 3 yrs YM</t>
  </si>
  <si>
    <t>LTV (Refi) ≤ 60% | ≤ 55% | ≤ 45%</t>
  </si>
  <si>
    <t>Over/(Short) Request</t>
  </si>
  <si>
    <t>7 yr | 5 yrs YM</t>
  </si>
  <si>
    <t>Est. Base Exit NCF at Maturity +1 Yr @3.2% Rent Growth</t>
  </si>
  <si>
    <t>10 yr | 7 yrs YM</t>
  </si>
  <si>
    <t>DCR</t>
  </si>
  <si>
    <t>UPB at Maturity (Actual/360)</t>
  </si>
  <si>
    <t>Small Markets</t>
  </si>
  <si>
    <t>Exit Value</t>
  </si>
  <si>
    <t>Variable Rate</t>
  </si>
  <si>
    <t>≥ 1.40 | ≥ 1.50 | ≥ 1.60</t>
  </si>
  <si>
    <t>Annual NCF Growth Rate</t>
  </si>
  <si>
    <t>Very Small Markets</t>
  </si>
  <si>
    <t>≥ 1.50 | ≥ 1.60 | ≥ 1.70</t>
  </si>
  <si>
    <t>LTV @ Refinance (1st)</t>
  </si>
  <si>
    <t>Strengths and Weaknesses</t>
  </si>
  <si>
    <t>Cap Rate to Achieve 80% LTV</t>
  </si>
  <si>
    <t>Select Strength</t>
  </si>
  <si>
    <t>Select Weakness</t>
  </si>
  <si>
    <t>Interest Rate @ Refi</t>
  </si>
  <si>
    <t>Resulting DSCR @ Refi</t>
  </si>
  <si>
    <t>LTV @ Refi (Interpolated Cap Rate)</t>
  </si>
  <si>
    <t>Intermediate Calcs</t>
  </si>
  <si>
    <t>Fixed Term (Yrs)</t>
  </si>
  <si>
    <t>Term Bracket</t>
  </si>
  <si>
    <t>120-143mo</t>
  </si>
  <si>
    <t>144+mo</t>
  </si>
  <si>
    <t>1-83mo</t>
  </si>
  <si>
    <r>
      <t>Is Tier 2</t>
    </r>
    <r>
      <rPr>
        <color theme="1"/>
        <family val="2"/>
        <rFont val="Calibri"/>
        <scheme val="minor"/>
        <sz val="11"/>
        <vertAlign val="superscript"/>
      </rPr>
      <t>1</t>
    </r>
  </si>
  <si>
    <t>FNM Floor Rate Tbl look-up string</t>
  </si>
  <si>
    <t>Tier 2, 144+mo</t>
  </si>
  <si>
    <t>Warn if Loan Amount doesn't match Projected</t>
  </si>
  <si>
    <t>FNM Pricing Table CHOOSE Index</t>
  </si>
  <si>
    <t>Servicing Fee (%)</t>
  </si>
  <si>
    <t>Prop Cap: Equiv Fixed Rate for Float Rate test</t>
  </si>
  <si>
    <t>Market Supplemental Information</t>
  </si>
  <si>
    <t>Neighborhood: Please provide a brief description of the Subject's neighborhood.  Where are the local employment, shopping, dining/entertainment, educational, and recreational centers for our Subject's tenant population? What public transportation exists?  Please describe the land uses in the immediat vicinity.</t>
  </si>
  <si>
    <t>Tertiary or poor performing market: Please provide a current description of the Subject's apartment housing market including current and future projections for employment, rent growth, vacancy, construction, and absorbtion.</t>
  </si>
  <si>
    <t>New Competition - N/A</t>
  </si>
  <si>
    <t>Sponsorship Supplemental Information - BORROWER / BORROWER PRINCIPALS / GUARANTORS / ORGANIZATIONAL STRUCTURE</t>
  </si>
  <si>
    <t>Please paste or create the proposed organizational chart for discussion below.  Please indicate proposed Guarantors, KPs or Borrower Principals, entity managers, and the ownership percentages to the best of your ability.</t>
  </si>
  <si>
    <t>Is each Borrower either an LLC or LP?</t>
  </si>
  <si>
    <t>Aggregate Guarantor Net Worth</t>
  </si>
  <si>
    <t>Is any Borrower an MAE?</t>
  </si>
  <si>
    <t>Aggregate Guarantor Liquidity</t>
  </si>
  <si>
    <t>Will / Is the Borrower Ownership Syndicated?</t>
  </si>
  <si>
    <t>Aggregate Borrower Principal Net Worth (Inc. Guarantors)</t>
  </si>
  <si>
    <t># of MF Properties (5+ units) owned among Guarantors</t>
  </si>
  <si>
    <t># Warm Body Guarantors</t>
  </si>
  <si>
    <t>Guarantors own at least 1 MF Prop. for entire last 3 yrs?</t>
  </si>
  <si>
    <t># US Citizen Warm Body Guarantors</t>
  </si>
  <si>
    <t>Repeat WD Guarantor?</t>
  </si>
  <si>
    <t># Foreign Warm Body Guarantors</t>
  </si>
  <si>
    <t>Repeat Freddie Mac Borrower</t>
  </si>
  <si>
    <t>Does at least one Foreign Guarantor Reside in US?</t>
  </si>
  <si>
    <t>Is Borrower an Individual or Revocable Trust?</t>
  </si>
  <si>
    <t>Does Foreign Guarantor have US MF Experience?</t>
  </si>
  <si>
    <t>Borrower Principal Negative Credit History (See Below)</t>
  </si>
  <si>
    <t># Guarantors with FICO score &gt; 680</t>
  </si>
  <si>
    <r>
      <t xml:space="preserve">Borrower principal has material negative credit history, been in default, involved in a foreclosure or been given relief by any lender under the terms of any mortgage loan, mezzanine loan, contract for deed or similar arrangement (i.e. by modification, workout, forbearance), or material derogatory web search results (e.g. felony or financial criminal record, bankruptcy, foreclosure/short sale, material historical litigation and/or pending litigation) - </t>
    </r>
    <r>
      <rPr>
        <b/>
        <color theme="1"/>
        <family val="2"/>
        <rFont val="Calibri"/>
        <scheme val="minor"/>
        <sz val="10"/>
      </rPr>
      <t>If Yes Explain Below.</t>
    </r>
  </si>
  <si>
    <t>Underwriting Supplemental Information</t>
  </si>
  <si>
    <t>Please describe your tax underwriting conclusion.  Are you familiar with taxation in the market or have you consulted an appraiser?  What is the typical assessment ratio and do the underwritten taxes and value, support an assessment in that range?</t>
  </si>
  <si>
    <t xml:space="preserve">Please describe anything else we should know about your proforma underwiritng.  (i.e cap ex removal from operating statements, exit assumptions, etc.) </t>
  </si>
  <si>
    <t>Please note any market or sale conditions that affected the property's last sale or are currently affecting the property's value.</t>
  </si>
  <si>
    <t>Please provide a link with asset videos/photos and Subject Maps</t>
  </si>
  <si>
    <t>Please provide the Box link containing supplemental information (if available).</t>
  </si>
  <si>
    <t>Programmatic Exception List - Effective 12/15/2020</t>
  </si>
  <si>
    <t>New Programmatic Exception</t>
  </si>
  <si>
    <t>TOC Category</t>
  </si>
  <si>
    <t>Credit Policy (CP)
Name</t>
  </si>
  <si>
    <t xml:space="preserve">Topic </t>
  </si>
  <si>
    <t>Description</t>
  </si>
  <si>
    <t xml:space="preserve"> Not Compliant</t>
  </si>
  <si>
    <t>FM Waiver Approval Date</t>
  </si>
  <si>
    <t>Loan Characteristics / Valuation</t>
  </si>
  <si>
    <t>Credit Parameters</t>
  </si>
  <si>
    <t>Small Balance Loans</t>
  </si>
  <si>
    <t>Loan limits</t>
  </si>
  <si>
    <t>Loan size less than $1.0MM not allowed. Any loan sized between $1.00M and $1.2MM is subject to Freddie Mac review</t>
  </si>
  <si>
    <t>EXCEPTION</t>
  </si>
  <si>
    <t>Programs and Products</t>
  </si>
  <si>
    <t>SBL</t>
  </si>
  <si>
    <t>Loan size &gt; $6MM located in a Small or Very Small Market</t>
  </si>
  <si>
    <t>Loan &gt;$6MM has a property with &gt; 100 units</t>
  </si>
  <si>
    <t>Loan &gt;$6MM has a property with a DCR &lt; 1.25x</t>
  </si>
  <si>
    <t>Underwriting</t>
  </si>
  <si>
    <t>Appraisal Report &amp;
Property Valuation</t>
  </si>
  <si>
    <t>SBL - Underwritten Value</t>
  </si>
  <si>
    <t>Loan to cost &gt;80% within 1 year of changing ownership (refinance or acquisition)</t>
  </si>
  <si>
    <t>DCR &amp; LTV Parameters</t>
  </si>
  <si>
    <t>SBL – DCR</t>
  </si>
  <si>
    <t>DCR &lt; policy min by ≤ 0.10x</t>
  </si>
  <si>
    <t>DCR &lt; policy min by &gt; 0.10x</t>
  </si>
  <si>
    <t>SBL – LTV</t>
  </si>
  <si>
    <t>LTV &gt; policy max by &gt; 10%</t>
  </si>
  <si>
    <t>&lt;$1.2M</t>
  </si>
  <si>
    <t>LTV &gt; policy max by ≤ 10%</t>
  </si>
  <si>
    <t>Security Gauge</t>
  </si>
  <si>
    <t>SBL - Interest Only Period</t>
  </si>
  <si>
    <t>IO period for longer than allowed by policy</t>
  </si>
  <si>
    <t>SBL – Escrows</t>
  </si>
  <si>
    <t>Real Estate Tax Escrow collection is deferred and LTV is &gt; 65%</t>
  </si>
  <si>
    <t>Insurance Escrow collection is deferred</t>
  </si>
  <si>
    <t>Upfront statement encompassing all "non-starter" questions</t>
  </si>
  <si>
    <t>SBL – Hybrid ARM</t>
  </si>
  <si>
    <t>Hybrid ARM Secondary Test: DCR &lt; 1.00x outside of Top market</t>
  </si>
  <si>
    <t>Cash out parameters are not met (must be accompanied by LTV or DCR selection)</t>
  </si>
  <si>
    <t>Short Term Rentals (airbnb)</t>
  </si>
  <si>
    <t>Sponsor / Borrower</t>
  </si>
  <si>
    <t>Borrower Financial</t>
  </si>
  <si>
    <t>Borrower principal net worth (1x UPB) not policy compliant</t>
  </si>
  <si>
    <t>Borrower principal liquidity (9 mths DS) not policy compliant</t>
  </si>
  <si>
    <t>FICO</t>
  </si>
  <si>
    <t>No Guarantor with a FICO greater than 680.</t>
  </si>
  <si>
    <t>Borrower Credit history</t>
  </si>
  <si>
    <t>Borrower principal has material negative credit history, been in default, involved in a foreclosure or been given relief by any lender under the terms of any mortgage loan, mezzanine loan, contract for deed or similar arrangement (i.e. by modification, workout, forbearance), or material derogatory web search results (e.g. felony or financial criminal record, bankruptcy, foreclosure/short sale, material historical litigation and/or pending litigation)</t>
  </si>
  <si>
    <t>Guarantor</t>
  </si>
  <si>
    <t>No Warm Body Guarantor/Entity Guarantor Only</t>
  </si>
  <si>
    <t>Foreign carve-out Guarantor without institutional &amp; US multifamily experience and cumulative 2x net worth &amp; liquidity minimum when no other Guarantor is a US Citizen or 2) Sole foreign Guarantor does not reside in the US</t>
  </si>
  <si>
    <t>Borrower structure not compliant with policy</t>
  </si>
  <si>
    <t>Borrower that is a MAE</t>
  </si>
  <si>
    <t>Borrower that is a Corporation or General Partnership</t>
  </si>
  <si>
    <t>Borrower Requirements</t>
  </si>
  <si>
    <t>SBL – TIC</t>
  </si>
  <si>
    <t>Syndicated TIC or TIC structures with &gt; 5 co-tenants</t>
  </si>
  <si>
    <t>Borrower</t>
  </si>
  <si>
    <t>Sponsorship doesn't meet minimum experience requirement. - At the time of Seller Application, at least one Borrower
Principal with Control of the Borrower has ownership and control in either (i) a minimum of three (3) MF properties, with at least one for a minimum of the preceding two years or (ii) at least one multifamily property for the five preceding years.</t>
  </si>
  <si>
    <t>SBL – Documentation</t>
  </si>
  <si>
    <t>Insufficient documentation provided per the Borrower Requirements Policy</t>
  </si>
  <si>
    <t>Very Small Market loan where the Controlling member is new to Freddie Mac and the Optigo Lender</t>
  </si>
  <si>
    <t>Property Operations - Operating History</t>
  </si>
  <si>
    <t>Missing YTD, stabilized T-12 historical property operating financial statement or T12 occupancy statement</t>
  </si>
  <si>
    <t>Missing trailing monthly property collections for previous six months when the loan request is a refinance. Missing trailing monthly property collections for the previous three months is required for Acquisitions.</t>
  </si>
  <si>
    <t>Property Operations - Underwriting</t>
  </si>
  <si>
    <t>SBL - Commercial Income</t>
  </si>
  <si>
    <t>Commercial GPR or NRA &gt; 40% of GPR or NRA</t>
  </si>
  <si>
    <t>Commercial Income</t>
  </si>
  <si>
    <t>Commercial 10% vacancy and TI/LC are required to be Underwritten. Prescreen would assume TI/LC waiver or less than 10% vacancy is being used.</t>
  </si>
  <si>
    <t>Tenancy</t>
  </si>
  <si>
    <t>Owner occupied, or owner affiliated unit that is not underwritten pursuant to section 8SBL.8 of the Guide.</t>
  </si>
  <si>
    <t>SBL – Occupancy</t>
  </si>
  <si>
    <t>DISCUSS</t>
  </si>
  <si>
    <t>Physical occupancy at Final Underwriting &lt;90% and &gt;=85% as applied to the subject's three consecutive average month physical occupancy</t>
  </si>
  <si>
    <t>Income &amp; Expense</t>
  </si>
  <si>
    <t>Underwritten NRI &gt; the NRI calculated from the rent roll received with the Final U/W Package</t>
  </si>
  <si>
    <t>N/A at Screen</t>
  </si>
  <si>
    <t>Tax abatement benefit underwritten without required documentation or does not pass cashflow analysis test</t>
  </si>
  <si>
    <t>Tax Abatement</t>
  </si>
  <si>
    <t>SBL – Tax Abatement</t>
  </si>
  <si>
    <t>Tax abatement not policy compliant or not on the Freddie Mac Approved list</t>
  </si>
  <si>
    <t>Property Operations - Rent Roll</t>
  </si>
  <si>
    <t>A rent roll dated more than 7 days from the Final U/W Package date is used to underwrite rents</t>
  </si>
  <si>
    <t>Single employer (25%+), non-profit/transitional units (25%+), corporate (25%+)</t>
  </si>
  <si>
    <t>Student Concentration (regardless undergraduate/graduate) up to 25% is subject to prescreen; greater than and equal to 25% results in no path forward</t>
  </si>
  <si>
    <t>Military Concentration up to 25% is subject to prescreen; greater than and equal to 25% results in no path forward</t>
  </si>
  <si>
    <t>Any Nonresidential lease operating under a non-standard or controversial public use (i.e. a liquor store; a gun shop or
firearm range; massage parlor, pawn shop, or any business which sells, rents or permits the viewing of “adult” or
pornographic materials; an off-track betting parlor or arcade; operation of a so-called “head shop”; a burlesque or strip club; or any illegal activity)</t>
  </si>
  <si>
    <t>Master Lease concentration greater than 25%</t>
  </si>
  <si>
    <t>Property Operations - Management</t>
  </si>
  <si>
    <t>Property Management</t>
  </si>
  <si>
    <t>Borrower Principal is located greater than 100-miles from the subject property and third party management is not provided</t>
  </si>
  <si>
    <t>Property Characteristics - General</t>
  </si>
  <si>
    <t>Appraisal, Property Condition Report or Seismic Report not policy compliant (loan ≤ $6MM)</t>
  </si>
  <si>
    <t>Linked Loans</t>
  </si>
  <si>
    <t>SBL Linked Buildings located in a Small or Very Small SBL Market</t>
  </si>
  <si>
    <t>SBL Linked Buildings within &gt; 3 but ≤ 5 miles of each other</t>
  </si>
  <si>
    <t>Micro Units (defined as less than 250 SF) at a cap of 5% of the unit count</t>
  </si>
  <si>
    <t>SBL – Inspection</t>
  </si>
  <si>
    <t>Delegation of a Complete Property Inspection</t>
  </si>
  <si>
    <t>Inspections</t>
  </si>
  <si>
    <t>Post COVID: Lender inspection not policy-compliant</t>
  </si>
  <si>
    <t>Affordability Components</t>
  </si>
  <si>
    <t>Affordable restrictions: any rent/income restricted property &gt;50 units or any affordable property &lt;50 units with a HAP contract, LURA with &gt;24 months in investor recapture period, non-profit borrower/GP or subordinate debt</t>
  </si>
  <si>
    <t>Property Characteristics - Condition</t>
  </si>
  <si>
    <t>Electric Load</t>
  </si>
  <si>
    <t>Subject property does not qualify for omission of load test parameters between 40amps and 60amps</t>
  </si>
  <si>
    <t>Priority Repairs not escrowed at 100% when 1) repair amount is ≥ 2% of the loan amount or $25,000, whichever is greater or 2) if the property is in below average or poor condition. In addition to a 100% escrow, the Loan Agreement must require that the Priority Repairs be completed within 12 months of origination.</t>
  </si>
  <si>
    <t>Property Characteristics - Location</t>
  </si>
  <si>
    <t>Insurance</t>
  </si>
  <si>
    <t>Law and Ordinance insurance is not provided when the subject property is legally non-conforming and the zoning ordinance does not allow the property to be rebuilt 100% to its current use</t>
  </si>
  <si>
    <t>Zoning</t>
  </si>
  <si>
    <t>Non-permitted or non-legally occupied or marketed residential/commercial unit</t>
  </si>
  <si>
    <t>Crime</t>
  </si>
  <si>
    <t>Violent, drug related or persistent pattern of lesser crimes at the subject property in past 5 years</t>
  </si>
  <si>
    <t>Credit Risks and Non-starters - Effective 9/30/2020</t>
  </si>
  <si>
    <t>Credit Risks</t>
  </si>
  <si>
    <t>(requires sufficient mitigation in Optigo LenderASR/investment brief but does not require SBL Exception Form**)</t>
  </si>
  <si>
    <t>Mitigated</t>
  </si>
  <si>
    <t>Any material credit risk to the transaction that is not defined in the above category</t>
  </si>
  <si>
    <t>Subject property was purchased out of foreclosure or receivership by current sponsor</t>
  </si>
  <si>
    <t>Cash-out loan proceeds</t>
  </si>
  <si>
    <t>Loan to cost &gt;80% within 1-2 years of purchase</t>
  </si>
  <si>
    <t>Stressed valuation (ex. cap rate/value per unit/GRM top of comparable range, value conclusion lacks comparables sales, inputted underwritten cap rate materially different than Appraiser’s concluded direct cap rate, etc.)</t>
  </si>
  <si>
    <t>TIC borrower with the applicable loan document provisions</t>
  </si>
  <si>
    <t>Guarantor’s REO has material amount of 1) recourse debt, 2) pending maturities, 3) underperforming assets (below 1.00 DCR/greater than 80% LTV) 4) inflated values</t>
  </si>
  <si>
    <t>Limited operating history or inconsistent reporting (i.e. missing 1st 2nd or 3rd year historical property financials, monthly property financials not produced, large amount of capital expenditures expensed without detail, etc.). Missing 2nd year stabilized historical property operating financial statement for 1) refinance where the property maintained stabilized operations during that historical year or 2) acquisition by non-local sponsor in any market or 3) any loan in Small or Very Small Market</t>
  </si>
  <si>
    <t>property operating financial statement for 1) refinance where the property maintained stabilized operations during that historical year or</t>
  </si>
  <si>
    <t>2) acquisition by non-local sponsor in any market or 3) any loan in Small or Very Small Market</t>
  </si>
  <si>
    <t>Volatile or irregular historical income or expenses</t>
  </si>
  <si>
    <t>Declining or volatile collections</t>
  </si>
  <si>
    <t>Significant year over year historical subject property rent growth above subject’s market and underwritten income only supported by T-3 collections or less</t>
  </si>
  <si>
    <t>Underwritten expense ratio &lt;30% for non-top markets or below FRE portfolio submarket range</t>
  </si>
  <si>
    <t>Underwritten management fee &lt;5% in non-top markets, but equal to or greater than market &amp; contract</t>
  </si>
  <si>
    <t>Underwritten collections above T-3 (but below rent roll)</t>
  </si>
  <si>
    <t>Underwritten vacancy below sub-market vacancy (generally REIS and Appraiser vacancy conclusion reliance)</t>
  </si>
  <si>
    <t>Subject rents are above market/comparables</t>
  </si>
  <si>
    <t xml:space="preserve">High % of rollover MTM leases </t>
  </si>
  <si>
    <t>Subject’s property management lacks local experience</t>
  </si>
  <si>
    <t>Section 8 vouchers of any concentration; or Single employer, or corporate concentration up to 25%</t>
  </si>
  <si>
    <t>Unusual easement or shared amenities</t>
  </si>
  <si>
    <t>Subject property units’ interiors are significantly inferior to subject area and risks obsolescence or significant capital expenditures during loan term</t>
  </si>
  <si>
    <t>Down unit due to unit damage</t>
  </si>
  <si>
    <t>Material amount of open code violations</t>
  </si>
  <si>
    <t>Environmental concern (REC, UST, soil contamination, historical issue, etc.)</t>
  </si>
  <si>
    <t>High number of criminal incidents in subject’s neighborhood but not at subject property</t>
  </si>
  <si>
    <t>Tertiary market or perception of market volatility</t>
  </si>
  <si>
    <t>Flag lot or undesirable location or impaired visibility from public access road</t>
  </si>
  <si>
    <t>Credit Risks - No  Path Forward (9/30/2020)</t>
  </si>
  <si>
    <t>Septic Tanks</t>
  </si>
  <si>
    <t>Private Wells</t>
  </si>
  <si>
    <t>SEL &gt;= 40%</t>
  </si>
  <si>
    <t>Fractured condos</t>
  </si>
  <si>
    <t>Borrower is an individual or revocable trust</t>
  </si>
  <si>
    <t>*It is best practice for SBL Optigo lenders to prescreen multiple “Credit Risks” with the regional SBL Production office if impact is deemed material to the transaction. This prescreen is intended as a vetting of the issue(s) and is not a formal exception. This approach should prevent changes to proceeds, increased pricing or other requirements during Freddie Mac underwriting review.</t>
  </si>
  <si>
    <t>Input Values from FNM Loans for PD Calculation</t>
  </si>
  <si>
    <t>Limits per  the Expanded Delegation Table</t>
  </si>
  <si>
    <t>Testing for Pass/Fail (or NA)</t>
  </si>
  <si>
    <t>Property - Conventional or MAH:</t>
  </si>
  <si>
    <t>values from DataPage</t>
  </si>
  <si>
    <t>values from SBL Quotes tab</t>
  </si>
  <si>
    <t>Pass</t>
  </si>
  <si>
    <t>(Selected Loan)</t>
  </si>
  <si>
    <t>(to DataPage)</t>
  </si>
  <si>
    <t>Expand grouping ↑ to see each loan option from SBL Quotes</t>
  </si>
  <si>
    <t>Selected Loan</t>
  </si>
  <si>
    <t>Expanded Delegation</t>
  </si>
  <si>
    <t>LoanAmount</t>
  </si>
  <si>
    <t>Requirements  (per Fannie Mae document "Expanded Delegation - Small Loans" dated August 22, 2023)</t>
  </si>
  <si>
    <t>Is MAH</t>
  </si>
  <si>
    <t>(to DataPage) ↓</t>
  </si>
  <si>
    <t>LoanType</t>
  </si>
  <si>
    <t>Variable</t>
  </si>
  <si>
    <t>Fail</t>
  </si>
  <si>
    <t>Mortgage Loan Type</t>
  </si>
  <si>
    <t>must be a fixed rate Mortgage Loan</t>
  </si>
  <si>
    <t>Fannie Mkt Tier</t>
  </si>
  <si>
    <t>PD Maximum Loan Amount</t>
  </si>
  <si>
    <t>Strong Mkt or Eligible MSA</t>
  </si>
  <si>
    <t>and LTV doesn't exceed 65%</t>
  </si>
  <si>
    <t>Loan Amt: $0,000</t>
  </si>
  <si>
    <t xml:space="preserve"> or Priority Borrower</t>
  </si>
  <si>
    <t>All Mortgage Loans</t>
  </si>
  <si>
    <t>DSCR</t>
  </si>
  <si>
    <t>Minimum Base Exit Rate</t>
  </si>
  <si>
    <t>Is Priority Borrower</t>
  </si>
  <si>
    <t>LTV exceeds 65%</t>
  </si>
  <si>
    <t>Is Strong or Eligible</t>
  </si>
  <si>
    <t>LTV: 0.00%</t>
  </si>
  <si>
    <t>LTV does not exceed 65%</t>
  </si>
  <si>
    <t>Base Exit Rate</t>
  </si>
  <si>
    <t>Pre-Review Markets</t>
  </si>
  <si>
    <t>Located in one of:</t>
  </si>
  <si>
    <t>Houston-The Woodlands-Sugar Land, TX</t>
  </si>
  <si>
    <t>Cleveland-Elyria, OH</t>
  </si>
  <si>
    <t>Is PreReviewMkt</t>
  </si>
  <si>
    <t xml:space="preserve"> and:</t>
  </si>
  <si>
    <t>DSCR: 0.000</t>
  </si>
  <si>
    <t>Actual Amortizing DSCR</t>
  </si>
  <si>
    <t>must be at least</t>
  </si>
  <si>
    <t>LoanTerm</t>
  </si>
  <si>
    <t>must not exceed</t>
  </si>
  <si>
    <t>Requested yrs of IO</t>
  </si>
  <si>
    <t>Yrs of Amortization</t>
  </si>
  <si>
    <t>Max Yrs of IO per Guide</t>
  </si>
  <si>
    <t>Tier 2</t>
  </si>
  <si>
    <t>Occupancy</t>
  </si>
  <si>
    <t>Min Physical Occupancy</t>
  </si>
  <si>
    <t>Min Economic Occupancy</t>
  </si>
  <si>
    <t>Physical Occupancy</t>
  </si>
  <si>
    <t>Not Applicable</t>
  </si>
  <si>
    <t>Phys Occ: 95.05%</t>
  </si>
  <si>
    <t>Small Mortgage Loans</t>
  </si>
  <si>
    <t>Economic Occupancy</t>
  </si>
  <si>
    <t>Cash Out</t>
  </si>
  <si>
    <t xml:space="preserve">Cash-out, and </t>
  </si>
  <si>
    <t>Strong market</t>
  </si>
  <si>
    <t>Is Cashout deal</t>
  </si>
  <si>
    <t>not Cash-out</t>
  </si>
  <si>
    <t>or one of:</t>
  </si>
  <si>
    <t>Chicago-Naperville-Elgin, IL</t>
  </si>
  <si>
    <t>Is Strong or Select Mkt</t>
  </si>
  <si>
    <t>Los Angeles-Long Beach-Anaheim, CA</t>
  </si>
  <si>
    <t>Washington-Arlington-Alexandria, DC-VA-MD-WV</t>
  </si>
  <si>
    <t>Other Cash-out</t>
  </si>
  <si>
    <t>Number of Units</t>
  </si>
  <si>
    <t>Underwritten DSCR</t>
  </si>
  <si>
    <t>Min Actual Amortizing DSCR</t>
  </si>
  <si>
    <t>Is 5-50 (non-Student)</t>
  </si>
  <si>
    <t>Is Strong or LA</t>
  </si>
  <si>
    <t>Property Size and Location</t>
  </si>
  <si>
    <t>Min Loan Term</t>
  </si>
  <si>
    <t>Units: 101</t>
  </si>
  <si>
    <t>Is 5-50 Property</t>
  </si>
  <si>
    <t>doesn't exceed Small Mortgage Loan per the Guide</t>
  </si>
  <si>
    <t>No IO variances to Form 4660</t>
  </si>
  <si>
    <t>Strong, or</t>
  </si>
  <si>
    <t>All other Mortgages</t>
  </si>
  <si>
    <t>Insurance, Tax, Replacement Reserve Escrows</t>
  </si>
  <si>
    <t>Lender may vary the insurance, real estate tax, or Replacement Reserve escrow deposits if the Mortgage Loan:</t>
  </si>
  <si>
    <t>• is a Choice Refinance Loan; or</t>
  </si>
  <si>
    <t>• meets all of the following:</t>
  </si>
  <si>
    <t>o   LTV is less than or equal to 70%;</t>
  </si>
  <si>
    <t>o   Site inspection results in an overall rating of a “1” or a “2,” as shown on the Fannie Mae</t>
  </si>
  <si>
    <t>Assessment Addendum tab of the MBA Master Inspection Form;</t>
  </si>
  <si>
    <t>o   Completion/Repairs must be less than 4% of the Underwriting Value for refinance transactions</t>
  </si>
  <si>
    <t xml:space="preserve">          and less than 6% of the Underwritten Value for acquisition transactions; and</t>
  </si>
  <si>
    <t>o   the borrower is a Repeat Borrower.</t>
  </si>
  <si>
    <t>NOTE: this Expanded Delegation cannot be used if the Mortgage Loan is secured by a Rent-Stabilized</t>
  </si>
  <si>
    <t>Property located in New York State</t>
  </si>
  <si>
    <t>Underwritten NCF</t>
  </si>
  <si>
    <t>Lender may vary from the Underwritten NCF calculation, including the declining NRI requirement, if the Mortgage Loan is secured by a</t>
  </si>
  <si>
    <t>Property located in a Strong market or Eligible MSA and the following components of the Underwritten NCF comply with the Guide:</t>
  </si>
  <si>
    <t>• Gross Potential Rent;</t>
  </si>
  <si>
    <t>• physical vacancy;</t>
  </si>
  <si>
    <t>• bad debt;</t>
  </si>
  <si>
    <t>• concessions;</t>
  </si>
  <si>
    <t>• commercial income/vacancy;</t>
  </si>
  <si>
    <t>• recreation vehicle income; and</t>
  </si>
  <si>
    <t>• real estate taxes.</t>
  </si>
  <si>
    <t>NOTE: Lender may vary underwritten economic vacancy down to 3% for a 5-50 Property in a Strong</t>
  </si>
  <si>
    <t>Market or Eligible MSA as long as the Mortgage Loan does not exceed the maximum amount listed in</t>
  </si>
  <si>
    <t>the definition of Small Mortgage Loan</t>
  </si>
  <si>
    <t>Key Principle Guaranty Obligation</t>
  </si>
  <si>
    <t>(Small Balance Loans)</t>
  </si>
  <si>
    <t>Non-Recourse Guaranty not required for Tier 3 and Tier 4 Small Mortgage Loans.</t>
  </si>
  <si>
    <t>Is SARM</t>
  </si>
  <si>
    <t>SARMs</t>
  </si>
  <si>
    <t>&lt;=== or, select based on evaluating these criteria</t>
  </si>
  <si>
    <t>Is Repeat Borrower</t>
  </si>
  <si>
    <t>All Others</t>
  </si>
  <si>
    <t>Borrower Status</t>
  </si>
  <si>
    <t>Priority</t>
  </si>
  <si>
    <t>Repeat</t>
  </si>
  <si>
    <t>Minimum Loan Amount</t>
  </si>
  <si>
    <t>Maximum LTV</t>
  </si>
  <si>
    <t>Is Full Term IO</t>
  </si>
  <si>
    <t>Strike Rate: =IFERROR(IF(B38,'SARM Sizing'!F38,'SARM Sizing'!F37),0)</t>
  </si>
  <si>
    <t>Minimum Strike Rate</t>
  </si>
  <si>
    <t>Strike Rate</t>
  </si>
  <si>
    <t>=IFERROR(IF(B38,'SARM Sizing'!F38,'SARM Sizing'!F37),0)</t>
  </si>
  <si>
    <t>Interest Rate Spread/yr</t>
  </si>
  <si>
    <t>='SARM Sizing'!F36</t>
  </si>
  <si>
    <t>Rate Spread: ='SARM Sizing'!F36</t>
  </si>
  <si>
    <t>Minimum Interest Rate Spread/yr</t>
  </si>
  <si>
    <t>Initial Rate Cap</t>
  </si>
  <si>
    <t>=</t>
  </si>
  <si>
    <t>Initial Interest Rate Cap</t>
  </si>
  <si>
    <t>Rate Caps</t>
  </si>
  <si>
    <t>='SARM Sizing'!O6</t>
  </si>
  <si>
    <t xml:space="preserve">Selected on SARMS wks: </t>
  </si>
  <si>
    <t>Subsequent Interest Rate Cap</t>
  </si>
  <si>
    <t>3yrs, 2yrs</t>
  </si>
  <si>
    <t>3yrs, 3yrs, 1yr</t>
  </si>
  <si>
    <t>3yrs, 3yrs, 3yrs, 1yr</t>
  </si>
  <si>
    <t>Strike Rate Calcuation</t>
  </si>
  <si>
    <t>Full Term IO Loans</t>
  </si>
  <si>
    <t>IO Basis</t>
  </si>
  <si>
    <t>Amort Basis</t>
  </si>
  <si>
    <t>NOTE: When the Interest Rate Cap Term is 5-years, Lender must perform an escrow analysis on the replacement cap every 6 months.</t>
  </si>
  <si>
    <t>Built: XXXX</t>
  </si>
  <si>
    <t>Costar</t>
  </si>
  <si>
    <t>Axiometrics (if Students)</t>
  </si>
  <si>
    <t>Estimated First Payment Date</t>
  </si>
  <si>
    <t># of DUS GW Errors</t>
  </si>
  <si>
    <t>Google Maps</t>
  </si>
  <si>
    <t>Update grey cells on SBL Quotes, yellow cells manually</t>
  </si>
  <si>
    <t>Loan Options    (set loan amount to zero to exclude)</t>
  </si>
  <si>
    <t>Enter '$0' in Loan Amount to exclude that column from DUS Gateway upload</t>
  </si>
  <si>
    <t>Term (Years)</t>
  </si>
  <si>
    <t>Fixed/Floating</t>
  </si>
  <si>
    <t>Fixed Rate</t>
  </si>
  <si>
    <t>Primary Prepayment Option</t>
  </si>
  <si>
    <t>Primary Prepayment Option (Months)</t>
  </si>
  <si>
    <t>NOI</t>
  </si>
  <si>
    <t>Property Value</t>
  </si>
  <si>
    <t>Renovation Budget</t>
  </si>
  <si>
    <t>Closing Costs</t>
  </si>
  <si>
    <t>Total Costs</t>
  </si>
  <si>
    <t>Existing Debt to be Paid Off</t>
  </si>
  <si>
    <t>Interest Only (Years)</t>
  </si>
  <si>
    <t>Treasury Rate</t>
  </si>
  <si>
    <t>Estimated Spread Over Index (bps)</t>
  </si>
  <si>
    <t>Amortizing Payment</t>
  </si>
  <si>
    <t>Loan Amt by DSCR</t>
  </si>
  <si>
    <t>Loan Amt at Floor DSCR</t>
  </si>
  <si>
    <t>Loan Amt by LTV</t>
  </si>
  <si>
    <t>Loan Amt by LTC</t>
  </si>
  <si>
    <t>Actual LTV</t>
  </si>
  <si>
    <t>Actual LTC</t>
  </si>
  <si>
    <t>Min DSCR</t>
  </si>
  <si>
    <t>Actual DSCR</t>
  </si>
  <si>
    <t>Floor Rate/Max Rate (Strike = 2.12%)</t>
  </si>
  <si>
    <t>Floor DSCR</t>
  </si>
  <si>
    <t>Floor UW DSCR (Max Rate)</t>
  </si>
  <si>
    <t>Guide Tier Level</t>
  </si>
  <si>
    <t>Guide Min UW DSCR per Guide</t>
  </si>
  <si>
    <t>Guide Maximum LTV</t>
  </si>
  <si>
    <t xml:space="preserve">Standard Exit </t>
  </si>
  <si>
    <t>NCF at Maturity +1 Yr</t>
  </si>
  <si>
    <t>UPB at Maturity</t>
  </si>
  <si>
    <t>Alternative Exit</t>
  </si>
  <si>
    <t>Alternative NCF at Maturity +1 Yr</t>
  </si>
  <si>
    <t>Alternative Exit Value</t>
  </si>
  <si>
    <t>City, XX XXXXX</t>
  </si>
  <si>
    <t>Is Student or Seniors:</t>
  </si>
  <si>
    <t>Last Year to Show:</t>
  </si>
  <si>
    <t>↓ Requires DUS Gateway lookup ↓</t>
  </si>
  <si>
    <t>Std (Base) Exit Strategy</t>
  </si>
  <si>
    <t>Yr</t>
  </si>
  <si>
    <t>Proposed Transaction (1st Mortgage)</t>
  </si>
  <si>
    <t>INCOME - default Growth Rates</t>
  </si>
  <si>
    <t>Loan Term</t>
  </si>
  <si>
    <t>Gross Potential Rent (GPR)</t>
  </si>
  <si>
    <t>Loan Start Date</t>
  </si>
  <si>
    <t>Less Vacancy:</t>
  </si>
  <si>
    <t>Years of IO</t>
  </si>
  <si>
    <t>Less Bad Debt:</t>
  </si>
  <si>
    <t>Less Concessions:</t>
  </si>
  <si>
    <t>Net Rental Income</t>
  </si>
  <si>
    <t>Exit Strategy Summary</t>
  </si>
  <si>
    <t>Alternative</t>
  </si>
  <si>
    <t>Laundry</t>
  </si>
  <si>
    <t>Parking</t>
  </si>
  <si>
    <t>Commercial</t>
  </si>
  <si>
    <t>Other    (Total 1-8)</t>
  </si>
  <si>
    <t>Cumulative Amort. over Term (1st)</t>
  </si>
  <si>
    <t>EGI</t>
  </si>
  <si>
    <t>EXPENSES</t>
  </si>
  <si>
    <t>Growth</t>
  </si>
  <si>
    <t>Management (%EGI)</t>
  </si>
  <si>
    <t>Conventional Exit (term of loan)</t>
  </si>
  <si>
    <t>Administration</t>
  </si>
  <si>
    <t>Terminal Cap Rate</t>
  </si>
  <si>
    <t>Payroll</t>
  </si>
  <si>
    <t>Utilities</t>
  </si>
  <si>
    <t>Desired LTV to Test</t>
  </si>
  <si>
    <t>Water &amp; Sewer</t>
  </si>
  <si>
    <t>Cap Rate to Achieve LTV</t>
  </si>
  <si>
    <t>Repair &amp; Maint.</t>
  </si>
  <si>
    <t>Required DSCR @ Refi</t>
  </si>
  <si>
    <t>R.E. Taxes</t>
  </si>
  <si>
    <t>Amortization @ Refi</t>
  </si>
  <si>
    <t>Replacement Reserves</t>
  </si>
  <si>
    <t>Total Expenses</t>
  </si>
  <si>
    <t>NCF</t>
  </si>
  <si>
    <t>UW Test</t>
  </si>
  <si>
    <t>Total Debt Service</t>
  </si>
  <si>
    <t>Interest Rate @ Refi (UW Test)</t>
  </si>
  <si>
    <t>Amortization @ Refi (UW Test)</t>
  </si>
  <si>
    <t>Resulting DSCR at Refi Rate</t>
  </si>
  <si>
    <t>UW Interpolated LTV Exit</t>
  </si>
  <si>
    <t>Amortization of 1st (After IO)</t>
  </si>
  <si>
    <t>Interpolated UW Cap Rate</t>
  </si>
  <si>
    <t>UPB of 1st (Actual/360)</t>
  </si>
  <si>
    <t>Total UPB</t>
  </si>
  <si>
    <t>DSC at UPB @ Refi Interest Rate</t>
  </si>
  <si>
    <t>UPB to Value</t>
  </si>
  <si>
    <t>Alt Exit Strategy</t>
  </si>
  <si>
    <t>Rent Bump</t>
  </si>
  <si>
    <t>Phase-In (yrs):</t>
  </si>
  <si>
    <t>INCOME</t>
  </si>
  <si>
    <t>UPB of 1st</t>
  </si>
  <si>
    <t>Copy this Template into your Source Workbook and complete the Linked Values sections to reference data values to their corresponding row label.</t>
  </si>
  <si>
    <t>TheDUS Gateway Data File Tool can then be mapped to this worksheet.</t>
  </si>
  <si>
    <t># of Cells with Errors</t>
  </si>
  <si>
    <t>Record #</t>
  </si>
  <si>
    <t>Linked Values References</t>
  </si>
  <si>
    <t>Export Keys</t>
  </si>
  <si>
    <t>Linked Values</t>
  </si>
  <si>
    <t>Loan_Amount</t>
  </si>
  <si>
    <t>Interest Type</t>
  </si>
  <si>
    <t>Interest_Type</t>
  </si>
  <si>
    <t>Variable Product Type</t>
  </si>
  <si>
    <t>Variable_Product_Type</t>
  </si>
  <si>
    <t>Lien Position</t>
  </si>
  <si>
    <t>Lien_Position</t>
  </si>
  <si>
    <t>Supplemental Type</t>
  </si>
  <si>
    <t>Supplemental_Type</t>
  </si>
  <si>
    <t>Loan Term (months)</t>
  </si>
  <si>
    <t>Loan_Term_months</t>
  </si>
  <si>
    <t>Interest Only Period (months)</t>
  </si>
  <si>
    <t>Interest_Only_Period_months</t>
  </si>
  <si>
    <t>Amortization Term (months)</t>
  </si>
  <si>
    <t>Amortization_Term_months</t>
  </si>
  <si>
    <t>Loss Sharing Percent</t>
  </si>
  <si>
    <t>Loss_Sharing_Percent</t>
  </si>
  <si>
    <t>100.00%</t>
  </si>
  <si>
    <t>Prepayment Component (1)</t>
  </si>
  <si>
    <t>Prepayment_Component_1</t>
  </si>
  <si>
    <t>Prepayment Component to Months (1)</t>
  </si>
  <si>
    <t>Prepayment_Component_to_Months_1</t>
  </si>
  <si>
    <t>Prepayment Component (2)</t>
  </si>
  <si>
    <t>Prepayment_Component_2</t>
  </si>
  <si>
    <t>Prepayment Component to Months (2)</t>
  </si>
  <si>
    <t>Prepayment_Component_to_Months_2</t>
  </si>
  <si>
    <t>Declining Premium Schedule</t>
  </si>
  <si>
    <t>Declining_Premium_Schedule</t>
  </si>
  <si>
    <t>Other Prepayment Premium Schedule Description</t>
  </si>
  <si>
    <t>Other_Prepayment_Premium_Schedule</t>
  </si>
  <si>
    <t>Property Gross Potential Rent</t>
  </si>
  <si>
    <t>Property_Gross_Potential_Rent</t>
  </si>
  <si>
    <t>Property Economic Vacancy Amount</t>
  </si>
  <si>
    <t>Property_Economic_Vacancy_Amount</t>
  </si>
  <si>
    <t>Property Other Income</t>
  </si>
  <si>
    <t>Property_Other_Income</t>
  </si>
  <si>
    <t>Property Management Fee</t>
  </si>
  <si>
    <t>Property_Management_Fee</t>
  </si>
  <si>
    <t>Property Real Estate Taxes</t>
  </si>
  <si>
    <t>Property_Real_Estate_Taxes</t>
  </si>
  <si>
    <t>Property Insurance</t>
  </si>
  <si>
    <t>Property_Insurance</t>
  </si>
  <si>
    <t>Property Other Expenses</t>
  </si>
  <si>
    <t>Property_Other_Expenses</t>
  </si>
  <si>
    <t>Property Replacement Reserves</t>
  </si>
  <si>
    <t>Property_Replacement_Reserves</t>
  </si>
  <si>
    <t>Property Actual Cooperative NCF</t>
  </si>
  <si>
    <t>Property_Actual_Cooperative_NCF</t>
  </si>
  <si>
    <t>Property Purchase Price Amount</t>
  </si>
  <si>
    <t>Property_Purchase_Price</t>
  </si>
  <si>
    <t>Property Built-Up Cost Amount</t>
  </si>
  <si>
    <t>Property_Cost</t>
  </si>
  <si>
    <t>Property Underwritten Value Amount</t>
  </si>
  <si>
    <t>Property_Underwritten_Value</t>
  </si>
  <si>
    <t>Property Total Unit Count</t>
  </si>
  <si>
    <t>Property_Unit_Count</t>
  </si>
  <si>
    <t>1st Lien Interest Type</t>
  </si>
  <si>
    <t>X1st_Lien_Interest_Type</t>
  </si>
  <si>
    <t>1st Lien Original Loan Amount</t>
  </si>
  <si>
    <t>X1st_Lien_Original_Loan_Amount</t>
  </si>
  <si>
    <t>1st Lien Actual Fixed / Fixed Equivalent Interest Rate</t>
  </si>
  <si>
    <t>X1st_Lien_Actual_Fixed_Fixed_Equivalent_Interest_Rate</t>
  </si>
  <si>
    <t>1st Lien Loan Term (months)</t>
  </si>
  <si>
    <t>X1st_Lien_Loan_Term_months</t>
  </si>
  <si>
    <t>1st Lien Interest Only Period (months)</t>
  </si>
  <si>
    <t>X1st_Lien_Interest_Only_Period_months</t>
  </si>
  <si>
    <t>1st Lien Amortization Term (months)</t>
  </si>
  <si>
    <t>X1st_Lien_Amortization_Term_months</t>
  </si>
  <si>
    <t>1st Lien Variable UW Interest Rate</t>
  </si>
  <si>
    <t>X1st_Lien_Variable_UW_Interest_Rate</t>
  </si>
  <si>
    <t>1st Lien Purchased Cap Strike Rate</t>
  </si>
  <si>
    <t>X1st_Lien_Purchased_Cap_Strike_Rate</t>
  </si>
  <si>
    <t>1st Lien Interest Basis</t>
  </si>
  <si>
    <t>X1st_Lien_Interest_Basis</t>
  </si>
  <si>
    <t>1st Lien Loan Maturity Date</t>
  </si>
  <si>
    <t>X1st_Lien_Loan_Maturity_Date</t>
  </si>
  <si>
    <t>1st Lien Current UPB Amount</t>
  </si>
  <si>
    <t>X1st_Lien_Current_UPB_Amount</t>
  </si>
  <si>
    <t>1st Lien Required Min DSCR for Loan Sizing</t>
  </si>
  <si>
    <t>X1st_Lien_Required_Min_DSCR_for_Loan_Sizing</t>
  </si>
  <si>
    <t>2nd Lien Interest Type</t>
  </si>
  <si>
    <t>X2nd_Lien_Interest_Type</t>
  </si>
  <si>
    <t>2nd Lien Original Loan Amount</t>
  </si>
  <si>
    <t>X2nd_Lien_Original_Loan_Amount</t>
  </si>
  <si>
    <t>2nd Lien Actual Fixed / Fixed Equivalent Interest Rate</t>
  </si>
  <si>
    <t>X2nd_Lien_Actual_Fixed_Fixed_Equivalent_Interest_Rate</t>
  </si>
  <si>
    <t>2nd Lien Loan Term (months)</t>
  </si>
  <si>
    <t>X2nd_Lien_Loan_Term_months</t>
  </si>
  <si>
    <t>2nd Lien Interest Only Period (months)</t>
  </si>
  <si>
    <t>X2nd_Lien_Interest_Only_Period_months</t>
  </si>
  <si>
    <t>2nd Lien Amortization Term (months)</t>
  </si>
  <si>
    <t>X2nd_Lien_Amortization_Term_months</t>
  </si>
  <si>
    <t>2nd Lien Variable UW Interest Rate</t>
  </si>
  <si>
    <t>X2nd_Lien_Variable_UW_Interest_Rate</t>
  </si>
  <si>
    <t>2nd Lien Purchased Cap Strike Rate</t>
  </si>
  <si>
    <t>X2nd_Lien_Purchased_Cap_Strike_Rate</t>
  </si>
  <si>
    <t>2nd Lien Interest Basis</t>
  </si>
  <si>
    <t>X2nd_Lien_Interest_Basis</t>
  </si>
  <si>
    <t>2nd Lien Loan Maturity Date</t>
  </si>
  <si>
    <t>X2nd_Lien_Loan_Maturity_Date</t>
  </si>
  <si>
    <t>2nd Lien Current UPB Amount</t>
  </si>
  <si>
    <t>X2nd_Lien_Current_UPB_Amount</t>
  </si>
  <si>
    <t>2nd Lien Required Min DSCR for Loan Sizing</t>
  </si>
  <si>
    <t>X2nd_Lien_Required_Min_DSCR_for_Loan_Sizing</t>
  </si>
  <si>
    <t>Pricing Method</t>
  </si>
  <si>
    <t>Pricing_Method</t>
  </si>
  <si>
    <t>Latest Pricing Memo Guaranty Fee</t>
  </si>
  <si>
    <t>Latest_Pricing_Memo_Guaranty_Fee</t>
  </si>
  <si>
    <t>Latest Pricing Memo Servicing Fee</t>
  </si>
  <si>
    <t>Latest_Pricing_Memo_Servicing_Fee</t>
  </si>
  <si>
    <t>Commitment Period (days)</t>
  </si>
  <si>
    <t>Commitment_Period_days</t>
  </si>
  <si>
    <t>Rate_Lock_Type</t>
  </si>
  <si>
    <t>Interest Basis</t>
  </si>
  <si>
    <t>Interest_Basis</t>
  </si>
  <si>
    <t>Loan Purchase Price (% of par)</t>
  </si>
  <si>
    <t>Loan_Purchase_Price_of_par</t>
  </si>
  <si>
    <t>0.0%</t>
  </si>
  <si>
    <t>Excess Origination/Premium Amount</t>
  </si>
  <si>
    <t>Excess_OriginationPremium_Amount</t>
  </si>
  <si>
    <t>Estimated Origination Fee</t>
  </si>
  <si>
    <t>Estimated_Origination_Fee</t>
  </si>
  <si>
    <t>2.00%</t>
  </si>
  <si>
    <t>Origination Fee Paid to Broker</t>
  </si>
  <si>
    <t>Origination_Fee_Paid_to_Broker</t>
  </si>
  <si>
    <t>1.00%</t>
  </si>
  <si>
    <t>Origination Fee Paid to Correspondent</t>
  </si>
  <si>
    <t>Origination_Fee_Paid_to_Correspondent</t>
  </si>
  <si>
    <t>0.00%</t>
  </si>
  <si>
    <t>Fixed Index Rate Type</t>
  </si>
  <si>
    <t>Fixed_Index_Rate_Type</t>
  </si>
  <si>
    <t>Treasury_Rate</t>
  </si>
  <si>
    <t>4.314%</t>
  </si>
  <si>
    <t>4.451%</t>
  </si>
  <si>
    <t>Total Fixed Rate Investor Spread</t>
  </si>
  <si>
    <t>Total_Fixed_Rate_Investor_Spread</t>
  </si>
  <si>
    <t>0.860%</t>
  </si>
  <si>
    <t>0.980%</t>
  </si>
  <si>
    <t>1.160%</t>
  </si>
  <si>
    <t>0.862%</t>
  </si>
  <si>
    <t>0.921%</t>
  </si>
  <si>
    <t>0.916%</t>
  </si>
  <si>
    <t>Requested Fixed Rate Guaranty Fee</t>
  </si>
  <si>
    <t>Requested_Fixed_Rate_Guaranty_Fee</t>
  </si>
  <si>
    <t>1.152%</t>
  </si>
  <si>
    <t>1.032%</t>
  </si>
  <si>
    <t>0.912%</t>
  </si>
  <si>
    <t>1.080%</t>
  </si>
  <si>
    <t>0.960%</t>
  </si>
  <si>
    <t>Requested Fixed Rate Servicing Fee</t>
  </si>
  <si>
    <t>Requested_Fixed_Rate_Servicing_Fee</t>
  </si>
  <si>
    <t>0.768%</t>
  </si>
  <si>
    <t>0.688%</t>
  </si>
  <si>
    <t>0.608%</t>
  </si>
  <si>
    <t>0.720%</t>
  </si>
  <si>
    <t>0.640%</t>
  </si>
  <si>
    <t>Other Fixed Rate/Fee/Spread</t>
  </si>
  <si>
    <t>Other_Fixed_RateFeeSpread</t>
  </si>
  <si>
    <t>Index Rate Type</t>
  </si>
  <si>
    <t>Index_Rate_Type</t>
  </si>
  <si>
    <t>Index Rate</t>
  </si>
  <si>
    <t>Index_Rate</t>
  </si>
  <si>
    <t>0.000%</t>
  </si>
  <si>
    <t>Total Variable Rate Investor Spread</t>
  </si>
  <si>
    <t>Total_Variable_Rate_Investor_Spread</t>
  </si>
  <si>
    <t>Requested Variable Rate Guaranty Fee</t>
  </si>
  <si>
    <t>Requested_Variable_Rate_Guaranty_Fee</t>
  </si>
  <si>
    <t>Requested Variable Rate Servicing Fee</t>
  </si>
  <si>
    <t>Requested_Variable_Rate_Servicing_Fee</t>
  </si>
  <si>
    <t>Cap Cost Factor</t>
  </si>
  <si>
    <t>Cap_Cost_Factor</t>
  </si>
  <si>
    <t>Underwritten Stress / Max Lifetime Pass Thru Rate</t>
  </si>
  <si>
    <t>Underwritten_Stress_Max_Lifetime_Pass_Thru_Rate</t>
  </si>
  <si>
    <t>SARM Initial Cap Term (months)</t>
  </si>
  <si>
    <t>SARM_Initial_Cap_Term_months</t>
  </si>
  <si>
    <t>SARM Min Cap Strike Rate %</t>
  </si>
  <si>
    <t>SARM_Min_Cap_Strike_Rate</t>
  </si>
  <si>
    <t>UW Interest Rate Floor (per Guide)</t>
  </si>
  <si>
    <t>UW_Interest_Rate_Floor_per_Guide</t>
  </si>
  <si>
    <t>5.000%</t>
  </si>
  <si>
    <t>7.214%</t>
  </si>
  <si>
    <t>7.394%</t>
  </si>
  <si>
    <t>6.897%</t>
  </si>
  <si>
    <t>6.694%</t>
  </si>
  <si>
    <t>7.172%</t>
  </si>
  <si>
    <t>6.967%</t>
  </si>
  <si>
    <t>Guide_Tier_Level</t>
  </si>
  <si>
    <t>Guide Min Actual Cooperative DSCR</t>
  </si>
  <si>
    <t>Guide_Min_Actual_Cooperative_DSCR</t>
  </si>
  <si>
    <t>Guide_Min_UW_DSCR_per_Guide</t>
  </si>
  <si>
    <t>Guide_Maximum_LTV</t>
  </si>
  <si>
    <t>80.0%</t>
  </si>
  <si>
    <t>65.0%</t>
  </si>
  <si>
    <t>55.0%</t>
  </si>
  <si>
    <t>Guide FRT Min Actual Cooperative DSCR</t>
  </si>
  <si>
    <t>Guide_FRT_Min_Actual_Cooperative_DSCR</t>
  </si>
  <si>
    <t>Guide FRT Min UW DSCR per Guide</t>
  </si>
  <si>
    <t>Guide_FRT_Min_UW_DSCR_per_Guide</t>
  </si>
  <si>
    <t>Guide FRT LTV</t>
  </si>
  <si>
    <t>Guide_FRT_LTV</t>
  </si>
  <si>
    <t>75.0%</t>
  </si>
  <si>
    <t>Requested Tier Level</t>
  </si>
  <si>
    <t>Requested_Tier_Level</t>
  </si>
  <si>
    <t>Requested Min Actual Cooperative DSCR</t>
  </si>
  <si>
    <t>Requested_Min_Actual_Cooperative_DSCR</t>
  </si>
  <si>
    <t>Requested Min UW DSCR per Guide</t>
  </si>
  <si>
    <t>Requested_Min_UW_DSCR_per_Guide</t>
  </si>
  <si>
    <t>Requested Min Amortizing UW NCF DSCR</t>
  </si>
  <si>
    <t>Requested_Min_Amortizing_UW_NCF_DSCR</t>
  </si>
  <si>
    <t>Requested Maximum LTV</t>
  </si>
  <si>
    <t>Requested_Maximum_LTV</t>
  </si>
  <si>
    <t>Requested Maximum LTC</t>
  </si>
  <si>
    <t>Requested_Maximum_LTC</t>
  </si>
  <si>
    <t>Requested FRT Min Actual NCF COOP DSCR</t>
  </si>
  <si>
    <t>Requested_FRT_Min_Actual_NCF_COOP_DSCR</t>
  </si>
  <si>
    <t>Requested FRT Min UW DSCR per Guide</t>
  </si>
  <si>
    <t>Requested_FRT_Min_UW_DSCR_per_Guide</t>
  </si>
  <si>
    <t>Requested FRT Min Amortizing UW NCF DSCR</t>
  </si>
  <si>
    <t>Requested_FRT_Min_Amortizing_UW_NCF_DSCR</t>
  </si>
  <si>
    <t>Requested FRT LTV</t>
  </si>
  <si>
    <t>Requested_FRT_LTV</t>
  </si>
  <si>
    <t>Expected Exit Refinance Costs</t>
  </si>
  <si>
    <t>Expected_Exit_Refinance_Costs</t>
  </si>
  <si>
    <t>Expected Exit Amortization Term</t>
  </si>
  <si>
    <t>Expected_Exit_Amortization_Term</t>
  </si>
  <si>
    <t>Expected Exit Min UW DSCR per Guide</t>
  </si>
  <si>
    <t>Expected_Exit_Min_UW_DSCR_per_Guide</t>
  </si>
  <si>
    <t>Expected Exit Maximum LTV</t>
  </si>
  <si>
    <t>Expected_Exit_Maximum_LTV</t>
  </si>
  <si>
    <t>Expected Exit Refinance Interest Rate</t>
  </si>
  <si>
    <t>Expected_Exit_Refinance_Interest_Rate</t>
  </si>
  <si>
    <t>Expected Exit Terminal Cap Rate</t>
  </si>
  <si>
    <t>Expected_Exit_Terminal_Cap_Rate</t>
  </si>
  <si>
    <t>Mezzanine and Preferred Equity Debt Service</t>
  </si>
  <si>
    <t>Mezzanine_and_Preferred_Equity_Debt_Service</t>
  </si>
  <si>
    <t>Subordinate Financing 1</t>
  </si>
  <si>
    <t>Subordinate_Financing_1</t>
  </si>
  <si>
    <t>Subordinate Financing 2</t>
  </si>
  <si>
    <t>Subordinate_Financing_2</t>
  </si>
  <si>
    <t>Subordinate Financing 3</t>
  </si>
  <si>
    <t>Subordinate_Financing_3</t>
  </si>
  <si>
    <t>Mezz/Preferred Equity 1</t>
  </si>
  <si>
    <t>MezzPreferred_Equity_1</t>
  </si>
  <si>
    <t>Mezz/Preferred Equity 2</t>
  </si>
  <si>
    <t>MezzPreferred_Equity_2</t>
  </si>
  <si>
    <t>LIHTC Equity</t>
  </si>
  <si>
    <t>LIHTC_Equity</t>
  </si>
  <si>
    <t>Other Sources</t>
  </si>
  <si>
    <t>Other_Sources</t>
  </si>
  <si>
    <t>Payoff Existing Mortgage Loan</t>
  </si>
  <si>
    <t>Payoff_Existing_Mortgage_Loan</t>
  </si>
  <si>
    <t>Prepayment Premium</t>
  </si>
  <si>
    <t>Prepayment_Premium</t>
  </si>
  <si>
    <t>Property Development / Construction Cost</t>
  </si>
  <si>
    <t>Property_Development_Construction_Cost</t>
  </si>
  <si>
    <t>Affiliated Mezzanine Debt or Preferred Equity Payoff</t>
  </si>
  <si>
    <t>Affiliated_Mezzanine_Debt_or_Preferred_Equity_Payoff</t>
  </si>
  <si>
    <t>Non-Affiliated Mezzanine Debt or Preferred Equity Payoff</t>
  </si>
  <si>
    <t>NonAffiliated_Mezzanine_Debt_or_Preferred_Equity_Payoff</t>
  </si>
  <si>
    <t>Property Funded Capital Improvements</t>
  </si>
  <si>
    <t>Property_Funded_Capital_Improvements</t>
  </si>
  <si>
    <t>Property Funded Capital Expenditures (Replacement Reserve) Account</t>
  </si>
  <si>
    <t>Property_Funded_Capital_Expenditures_Replacement_Reserve_Account</t>
  </si>
  <si>
    <t>Property Funded Completion Repairs</t>
  </si>
  <si>
    <t>Property_Funded_Completion_Repairs</t>
  </si>
  <si>
    <t>Property Funded Other Escrows</t>
  </si>
  <si>
    <t>Property_Funded_Other_Escrows</t>
  </si>
  <si>
    <t>Interest Rate Cap/Hedging Fees</t>
  </si>
  <si>
    <t>Interest_Rate_CapHedging_Fees</t>
  </si>
  <si>
    <t>Origination_Fees</t>
  </si>
  <si>
    <t>Lender Closing/Transaction Fees</t>
  </si>
  <si>
    <t>Lender_ClosingTransaction_Fees</t>
  </si>
  <si>
    <t>Third Party Closing/Transaction Fees</t>
  </si>
  <si>
    <t>Third_Party_ClosingTransaction_Fees</t>
  </si>
  <si>
    <t>Other Uses</t>
  </si>
  <si>
    <t>Other_Uses</t>
  </si>
  <si>
    <t>Note: make certain any new rows are included in the above range "DUS_Gateway_Data"</t>
  </si>
  <si>
    <t>Econ. Vac %</t>
  </si>
  <si>
    <t>Concession %</t>
  </si>
  <si>
    <t>Res Vacancy %</t>
  </si>
  <si>
    <t>Bad Debt %</t>
  </si>
  <si>
    <t>RR/mo</t>
  </si>
  <si>
    <t xml:space="preserve">Historical Rent Collections </t>
  </si>
  <si>
    <t>T-1</t>
  </si>
  <si>
    <t>T-3</t>
  </si>
  <si>
    <t>T-6</t>
  </si>
  <si>
    <t>T-12</t>
  </si>
  <si>
    <t>Number of Units&gt;</t>
  </si>
  <si>
    <t># of Units:</t>
  </si>
  <si>
    <t>Avg Monthly Net Rental Collections</t>
  </si>
  <si>
    <t>Vacancy</t>
  </si>
  <si>
    <t>Annualized Net Rental Collections</t>
  </si>
  <si>
    <t>Management Fee</t>
  </si>
  <si>
    <t>SOURCE OF DATA</t>
  </si>
  <si>
    <t>Operating Statement</t>
  </si>
  <si>
    <t>Ytd</t>
  </si>
  <si>
    <t>T-12 / Year-To-Date</t>
  </si>
  <si>
    <t>3rd month back</t>
  </si>
  <si>
    <t>2nd month back</t>
  </si>
  <si>
    <t>1st month back</t>
  </si>
  <si>
    <t>T-3 Annualized</t>
  </si>
  <si>
    <t>Borrower Budget As is Proforma</t>
  </si>
  <si>
    <t>Borrower Budget As Stabilized Proforma</t>
  </si>
  <si>
    <t>Appraisal As Is Proforma</t>
  </si>
  <si>
    <t>Appraisal As Stabilized Proforma</t>
  </si>
  <si>
    <t>W&amp;D Underwriting</t>
  </si>
  <si>
    <t>Comps</t>
  </si>
  <si>
    <t>Year 3 Back</t>
  </si>
  <si>
    <t>Year 2 Back</t>
  </si>
  <si>
    <t>Year 1 Back</t>
  </si>
  <si>
    <t>Statement</t>
  </si>
  <si>
    <t>TIME PERIOD</t>
  </si>
  <si>
    <t>Months</t>
  </si>
  <si>
    <t xml:space="preserve">SBL Income Expense Comparable Engine - EXTERNAL
</t>
  </si>
  <si>
    <t>PER</t>
  </si>
  <si>
    <t>% Change</t>
  </si>
  <si>
    <t>All Rate locked SBL loans through December, 2022</t>
  </si>
  <si>
    <t>UNIT</t>
  </si>
  <si>
    <t>vs. PY</t>
  </si>
  <si>
    <t>Can Overide</t>
  </si>
  <si>
    <t>NOTES</t>
  </si>
  <si>
    <t>Gross Potential Rent-Residential</t>
  </si>
  <si>
    <t>Per Unit</t>
  </si>
  <si>
    <t>Less:  Residential Concessions</t>
  </si>
  <si>
    <t># of Loans</t>
  </si>
  <si>
    <t>Less: Residential Vacancy</t>
  </si>
  <si>
    <t>Avg Final Loan Amount</t>
  </si>
  <si>
    <t>Less:  Residential Bad Debt</t>
  </si>
  <si>
    <t>Average</t>
  </si>
  <si>
    <t>Median</t>
  </si>
  <si>
    <t>Standard Deviation</t>
  </si>
  <si>
    <t>Short Term Premiums</t>
  </si>
  <si>
    <t>Total Units</t>
  </si>
  <si>
    <t>Residential NET RENTAL INCOME</t>
  </si>
  <si>
    <t>Total Residential</t>
  </si>
  <si>
    <t xml:space="preserve">   Monthly Residential NRI</t>
  </si>
  <si>
    <t>Efficiency/Studio</t>
  </si>
  <si>
    <t>1 Bedroom</t>
  </si>
  <si>
    <t>Less: Commercial Vacancy</t>
  </si>
  <si>
    <t>2 Bedroom</t>
  </si>
  <si>
    <t>Commercial NET RENTAL INCOME</t>
  </si>
  <si>
    <t>3 Bedroom</t>
  </si>
  <si>
    <t>Monthly Commercial NRI</t>
  </si>
  <si>
    <t>4 Bedroom</t>
  </si>
  <si>
    <t xml:space="preserve">Coop Maint Fee </t>
  </si>
  <si>
    <t>Annual Residential NRI/Unit</t>
  </si>
  <si>
    <t>Utility Reimbursement</t>
  </si>
  <si>
    <t>Annual Commercial NRI/Unit</t>
  </si>
  <si>
    <t>Real Estate Taxes</t>
  </si>
  <si>
    <t>Cable</t>
  </si>
  <si>
    <t>Total Insurance</t>
  </si>
  <si>
    <t>Miscellaneous Other Income</t>
  </si>
  <si>
    <t>Sub-Total, Utilities/Water &amp; Sewer</t>
  </si>
  <si>
    <t>Total Other Income</t>
  </si>
  <si>
    <t>TOTAL FIXED EXPENSES</t>
  </si>
  <si>
    <t>Repair and Maintenance</t>
  </si>
  <si>
    <t>Nonresident Mgt.</t>
  </si>
  <si>
    <t>FIXED EXPENSES</t>
  </si>
  <si>
    <t>Total Payroll</t>
  </si>
  <si>
    <t>Total Gen &amp; Admin Expenses</t>
  </si>
  <si>
    <t>Miscellaneous Expenses</t>
  </si>
  <si>
    <t>Fuel</t>
  </si>
  <si>
    <t>TOTAL OPERATING EXPENSES</t>
  </si>
  <si>
    <t>Gas</t>
  </si>
  <si>
    <t>TOTAL EXPENSES</t>
  </si>
  <si>
    <t>Electricity</t>
  </si>
  <si>
    <t>Total Expenses &amp; Reserves</t>
  </si>
  <si>
    <t>Expense Ratio</t>
  </si>
  <si>
    <t>OPERATING EXPENSES</t>
  </si>
  <si>
    <t>Management Fee (% of EGI)</t>
  </si>
  <si>
    <t>Trash Removal</t>
  </si>
  <si>
    <t>Pest Control</t>
  </si>
  <si>
    <t>Bldg. Maint. &amp; Repair</t>
  </si>
  <si>
    <t>Int. &amp; Ext. Decorating</t>
  </si>
  <si>
    <t>Cleaning/Turnover</t>
  </si>
  <si>
    <t>Elevator Maintenance</t>
  </si>
  <si>
    <t>Recreation Amenities</t>
  </si>
  <si>
    <t>Parking Maint/Snow</t>
  </si>
  <si>
    <t>Grounds Maintenance</t>
  </si>
  <si>
    <t>Onsite Manager Salary</t>
  </si>
  <si>
    <t xml:space="preserve">Security </t>
  </si>
  <si>
    <t>Other Salaries</t>
  </si>
  <si>
    <t>Payroll Taxes &amp; Benefits</t>
  </si>
  <si>
    <t>Apt Allowance</t>
  </si>
  <si>
    <t>Advertising</t>
  </si>
  <si>
    <t>Office/Model/Down Units</t>
  </si>
  <si>
    <t>Office Expenses</t>
  </si>
  <si>
    <t>Legal &amp; Audit</t>
  </si>
  <si>
    <t>Leased Furniture</t>
  </si>
  <si>
    <t>License/Permits</t>
  </si>
  <si>
    <t>Other Taxes or  Assmnts</t>
  </si>
  <si>
    <t>Corporate Units</t>
  </si>
  <si>
    <t>Commercial Expenses</t>
  </si>
  <si>
    <t>Ground Rents</t>
  </si>
  <si>
    <t>TI&amp;LC</t>
  </si>
  <si>
    <t>Total Expenses/Reserves % of EGI</t>
  </si>
  <si>
    <t>Calculated NOI</t>
  </si>
  <si>
    <t>Capital Expenditures</t>
  </si>
  <si>
    <t>Cash Flow Before Debt Service</t>
  </si>
  <si>
    <t>Property: XXXX</t>
  </si>
  <si>
    <t>HISTORICAL OPERATING EXPENSE ANALYSIS</t>
  </si>
  <si>
    <t>Data Source</t>
  </si>
  <si>
    <t>Op Statement</t>
  </si>
  <si>
    <t>T-11</t>
  </si>
  <si>
    <t>T-10</t>
  </si>
  <si>
    <t>T-9</t>
  </si>
  <si>
    <t>T-8</t>
  </si>
  <si>
    <t>T-7</t>
  </si>
  <si>
    <t>T-5</t>
  </si>
  <si>
    <t>T-4</t>
  </si>
  <si>
    <t>T-2</t>
  </si>
  <si>
    <t>TR</t>
  </si>
  <si>
    <t>TR-12 Statement (9/2022)</t>
  </si>
  <si>
    <t>Budget</t>
  </si>
  <si>
    <t>Appraisal</t>
  </si>
  <si>
    <t>1st Lien Underwriting</t>
  </si>
  <si>
    <t>2nd Lien Underwriting</t>
  </si>
  <si>
    <t>3rd Lien Underwriting</t>
  </si>
  <si>
    <t>Lender</t>
  </si>
  <si>
    <t>Quote</t>
  </si>
  <si>
    <t>UW Notes:</t>
  </si>
  <si>
    <t>Other Notes:</t>
  </si>
  <si>
    <t>3 yr. Average</t>
  </si>
  <si>
    <t>Use Trailing Figures? &gt;&gt;&gt;</t>
  </si>
  <si>
    <t>Annualized</t>
  </si>
  <si>
    <t>Statement Mos.</t>
  </si>
  <si>
    <t>$PU/MO</t>
  </si>
  <si>
    <t>Year 1</t>
  </si>
  <si>
    <t>Adjusted</t>
  </si>
  <si>
    <t>Year</t>
  </si>
  <si>
    <t>plus 3%</t>
  </si>
  <si>
    <t>Annualized GPR (Rent Roll)</t>
  </si>
  <si>
    <t>Less Vacancy Loss</t>
  </si>
  <si>
    <t>Less Bad Debt</t>
  </si>
  <si>
    <t>Less Concessions</t>
  </si>
  <si>
    <t>Net Rentable Income</t>
  </si>
  <si>
    <t>Economic Vacancy</t>
  </si>
  <si>
    <t>Must be &gt; 5%</t>
  </si>
  <si>
    <t>Monthly NRI</t>
  </si>
  <si>
    <t>Laundry/Vending Income (Net)</t>
  </si>
  <si>
    <t>Parking Income (Net)</t>
  </si>
  <si>
    <t>Commercial Income (Net)</t>
  </si>
  <si>
    <t>Other (describe)</t>
  </si>
  <si>
    <t>RUBS</t>
  </si>
  <si>
    <t>Other Income (Allowable)</t>
  </si>
  <si>
    <t>App Fee</t>
  </si>
  <si>
    <t>Forfeit Deposits</t>
  </si>
  <si>
    <t>Late/Early Term Fees</t>
  </si>
  <si>
    <t>Pet Deposits</t>
  </si>
  <si>
    <t>Premiums</t>
  </si>
  <si>
    <t>Corporate Prem.</t>
  </si>
  <si>
    <t>Community Fee</t>
  </si>
  <si>
    <t>Second Occupant</t>
  </si>
  <si>
    <t>Respite Care</t>
  </si>
  <si>
    <t>Support Plans (AL/ALZ)</t>
  </si>
  <si>
    <t>Unallowable</t>
  </si>
  <si>
    <t>Excluded</t>
  </si>
  <si>
    <t>T-12 + 3%</t>
  </si>
  <si>
    <t>Other Taxes or Assessments</t>
  </si>
  <si>
    <t>Licenses</t>
  </si>
  <si>
    <t>Ground Rent</t>
  </si>
  <si>
    <t>Total Fixed</t>
  </si>
  <si>
    <t>Trash Removal (including contract)</t>
  </si>
  <si>
    <t>Gas / Fuel / Other</t>
  </si>
  <si>
    <t>Paint/Decorating/Turnover</t>
  </si>
  <si>
    <t>Pool Maintenance</t>
  </si>
  <si>
    <t>Park'g Maint/Snow/Other</t>
  </si>
  <si>
    <t>Gardening/Landscape</t>
  </si>
  <si>
    <t>Management Fees</t>
  </si>
  <si>
    <t>3.5% of EGI</t>
  </si>
  <si>
    <t>Manager Salary</t>
  </si>
  <si>
    <t>Other Leasing Salaries</t>
  </si>
  <si>
    <t>Maintenance Super Salary</t>
  </si>
  <si>
    <t>Other Maintenance Salaries</t>
  </si>
  <si>
    <t>Apartment Allowances</t>
  </si>
  <si>
    <t>Bonuses/Commissions/Other</t>
  </si>
  <si>
    <t>Benefits &amp; Payroll Taxes</t>
  </si>
  <si>
    <t>Advertising &amp; Marketing</t>
  </si>
  <si>
    <t>Professional Fees</t>
  </si>
  <si>
    <t>Meals Expense (Seniors Only)</t>
  </si>
  <si>
    <t>Room Expense - House Keeping (Seniors Only)</t>
  </si>
  <si>
    <t>General Administrative</t>
  </si>
  <si>
    <t>Office / Model Apts.</t>
  </si>
  <si>
    <t>Telephone / Cable</t>
  </si>
  <si>
    <t>Security Contract</t>
  </si>
  <si>
    <t>Other Administrative</t>
  </si>
  <si>
    <t>Other Expense</t>
  </si>
  <si>
    <t>Capital Expenditures (Replacement Reserves)</t>
  </si>
  <si>
    <t>#Units * 250</t>
  </si>
  <si>
    <t>Net Cash Flow</t>
  </si>
  <si>
    <t>Total Expenses Less RET &amp; RR</t>
  </si>
  <si>
    <t>Partnership Expenses:</t>
  </si>
  <si>
    <t>BL-Interest</t>
  </si>
  <si>
    <t>BL-Principal</t>
  </si>
  <si>
    <t>BL-Depreciation</t>
  </si>
  <si>
    <r>
      <t>BL-</t>
    </r>
    <r>
      <rPr>
        <b/>
        <color rgb="FF0000FF"/>
        <family val="2"/>
        <rFont val="Calibri"/>
        <scheme val="minor"/>
        <sz val="10"/>
      </rPr>
      <t>Other 1</t>
    </r>
  </si>
  <si>
    <r>
      <t>BL-</t>
    </r>
    <r>
      <rPr>
        <b/>
        <color rgb="FF0000FF"/>
        <family val="2"/>
        <rFont val="Calibri"/>
        <scheme val="minor"/>
        <sz val="10"/>
      </rPr>
      <t>Other 2</t>
    </r>
  </si>
  <si>
    <r>
      <t>BL-</t>
    </r>
    <r>
      <rPr>
        <b/>
        <color rgb="FF0000FF"/>
        <family val="2"/>
        <rFont val="Calibri"/>
        <scheme val="minor"/>
        <sz val="10"/>
      </rPr>
      <t>Other 3</t>
    </r>
  </si>
  <si>
    <r>
      <t>BL-</t>
    </r>
    <r>
      <rPr>
        <b/>
        <color rgb="FF0000FF"/>
        <family val="2"/>
        <rFont val="Calibri"/>
        <scheme val="minor"/>
        <sz val="10"/>
      </rPr>
      <t>Other 4</t>
    </r>
  </si>
  <si>
    <t>NCF - Calculated</t>
  </si>
  <si>
    <t>EXCLUDED INCOME ITEMS</t>
  </si>
  <si>
    <t>EXCLUDED EXPENSE ITEMS</t>
  </si>
  <si>
    <t>NCF - Operating Statement</t>
  </si>
  <si>
    <t>Difference (Calculated NCF &amp; Op. St.)</t>
  </si>
  <si>
    <t>Capital Expenditures (Below the Line)</t>
  </si>
  <si>
    <t>W&amp;D Kick-Off Memo - XXXX, City, XX</t>
  </si>
  <si>
    <t>DEAL SUMMARY:</t>
  </si>
  <si>
    <t>WDX Producer</t>
  </si>
  <si>
    <t>Deal Folder URL</t>
  </si>
  <si>
    <t>[URL]</t>
  </si>
  <si>
    <t>Full Address</t>
  </si>
  <si>
    <t>, City, XX XXXXX</t>
  </si>
  <si>
    <t>Repeat Sponsor</t>
  </si>
  <si>
    <t>Last Deal with Sponsor</t>
  </si>
  <si>
    <t>[Deal Name]</t>
  </si>
  <si>
    <t>EXTERNAL CONTACT INFORMATION:</t>
  </si>
  <si>
    <t>Borrower Contact</t>
  </si>
  <si>
    <t>Contact Name</t>
  </si>
  <si>
    <t>Contact Phone</t>
  </si>
  <si>
    <t>Contact Email</t>
  </si>
  <si>
    <t>Borrower Legal Contact</t>
  </si>
  <si>
    <t>Attorney Name</t>
  </si>
  <si>
    <t>Attorney Company</t>
  </si>
  <si>
    <t>Attorney Phone</t>
  </si>
  <si>
    <t>Attorney Email</t>
  </si>
  <si>
    <t>Borrower Insurance Contact</t>
  </si>
  <si>
    <t>Agent Name</t>
  </si>
  <si>
    <t>Agent Company</t>
  </si>
  <si>
    <t>Agent Phone</t>
  </si>
  <si>
    <t>Agent Email</t>
  </si>
  <si>
    <t>KEY DATES:</t>
  </si>
  <si>
    <t>Est. Third Party Reports Due Date</t>
  </si>
  <si>
    <t>Est. Site Visit Date</t>
  </si>
  <si>
    <t>Est. Submittal to Freddie Date</t>
  </si>
  <si>
    <t>Est. Rate Lock Date</t>
  </si>
  <si>
    <t>Est. Closing Date</t>
  </si>
  <si>
    <t>THIRD-PARTY BROKER INFORMATION:</t>
  </si>
  <si>
    <t>Broker involved?</t>
  </si>
  <si>
    <t>Copy broker on all correspondence?</t>
  </si>
  <si>
    <t>Broker Contact</t>
  </si>
  <si>
    <t>Broker Name</t>
  </si>
  <si>
    <t>Broker Company</t>
  </si>
  <si>
    <t>Broker Phone</t>
  </si>
  <si>
    <t>Broker Email</t>
  </si>
  <si>
    <t>Broker Fee (Amount + Structure)</t>
  </si>
  <si>
    <t>Describe fee amount paid to broker (% or $) and agreed-upon split structure</t>
  </si>
  <si>
    <t>COST &amp; FEES:</t>
  </si>
  <si>
    <t>Cost / Fee Cap(s):</t>
  </si>
  <si>
    <t>e.g. "WDX producer will be capping costs. Expenses above $X will be paid out of WDX producer origination fee." or "N/A"</t>
  </si>
  <si>
    <t>DEAL NUANCES (MEMO TO CLOSER &amp; UNDERWRITER):</t>
  </si>
  <si>
    <t>e.g. Sponsor credit, experience, financials, etc…</t>
  </si>
  <si>
    <t>Property</t>
  </si>
  <si>
    <t>e.g. Crime, known deferred maintenance, etc…</t>
  </si>
  <si>
    <t>e.g. Declining collections, lack of stabilized operating history, choppy trends, etc…</t>
  </si>
  <si>
    <t>e.g. Self-managed vs. third-party manager, etc…</t>
  </si>
  <si>
    <t>e.g. Discuss other potential issues or deal nuances that UW and closing should be made aware of.</t>
  </si>
  <si>
    <t>QLtr_NmbrOfColumnsToShow</t>
  </si>
  <si>
    <t>Producer's Name</t>
  </si>
  <si>
    <t>Producer's Email</t>
  </si>
  <si>
    <t>Producer's Phone#(s)</t>
  </si>
  <si>
    <t># of Options to show:</t>
  </si>
  <si>
    <t>We have reviewed the information on the above referenced property and are pleased to offer the following loan proposal:</t>
  </si>
  <si>
    <r>
      <rPr>
        <b/>
        <color rgb="FFFFFFFF"/>
        <family val="2"/>
        <rFont val="Calibri"/>
        <sz val="8"/>
      </rPr>
      <t>Freddie Mac</t>
    </r>
  </si>
  <si>
    <t>Indicative Loan Amount</t>
  </si>
  <si>
    <t>Indicative Interest Rate</t>
  </si>
  <si>
    <t>Maximum Loan-to-Value</t>
  </si>
  <si>
    <t>Minimum DSCR Calculated on a 30 YR AM</t>
  </si>
  <si>
    <t>Prepayment Terms (Years)</t>
  </si>
  <si>
    <t>Yield Maintenance,1%</t>
  </si>
  <si>
    <t>Recourse</t>
  </si>
  <si>
    <t>Non-recourse</t>
  </si>
  <si>
    <t>Escrows</t>
  </si>
  <si>
    <t>Deferred</t>
  </si>
  <si>
    <t>Origination Fee</t>
  </si>
  <si>
    <t>Freddie Mac Application Fee</t>
  </si>
  <si>
    <t>Refundable Lender Application Fee</t>
  </si>
  <si>
    <t>Good Faith Deposit</t>
  </si>
  <si>
    <t>Estimated Lender Legal Fees</t>
  </si>
  <si>
    <t>Supplemental Loan</t>
  </si>
  <si>
    <t>Additional Quote Stipulations</t>
  </si>
  <si>
    <t>Proposed loan terms are based on an estimated underwritten NOI of $-1,616,089 and are subject to Lender approval and appraisal support. Terms assume borrower meets minimum requirements including, but not limited to: (1) minimum net worth greater than or equal to the loan amount; (2) combined liquidity greater than or equal to 9 months' debt service; (3) acceptable credit history; and (4) acceptable experience owning/operating multifamily. Terms also assume the property is stabilized at an average occupancy of no less than 90% for the trailing three months and collections over the trailing three-month period are steady or improving. Quote dated xx/xx/xxxx.</t>
  </si>
  <si>
    <r>
      <rPr>
        <b/>
        <color rgb="FFFFFFFF"/>
        <family val="2"/>
        <rFont val="Calibri"/>
        <sz val="8"/>
      </rPr>
      <t>Fannie Mae</t>
    </r>
  </si>
  <si>
    <t>Spread over Index</t>
  </si>
  <si>
    <t>Index</t>
  </si>
  <si>
    <t>10-year UST</t>
  </si>
  <si>
    <t>5-year UST</t>
  </si>
  <si>
    <t>30-Day Average SOFR</t>
  </si>
  <si>
    <t>Taxes, Insurance, Replacement Reserves</t>
  </si>
  <si>
    <t>Fannie Mae Delivery Fee</t>
  </si>
  <si>
    <t>1% (2% if SERL)</t>
  </si>
  <si>
    <t>Available</t>
  </si>
  <si>
    <t>Walker Private Lending</t>
  </si>
  <si>
    <t>Term SOFR</t>
  </si>
  <si>
    <t>Non-Refundable Lender Application Fee</t>
  </si>
  <si>
    <t>UW NOI:</t>
  </si>
  <si>
    <t>Quote dated:</t>
  </si>
  <si>
    <t>xx/xx/xxxx</t>
  </si>
  <si>
    <t>For Conditional Formatting ==&gt;</t>
  </si>
  <si>
    <t>QUOTE SHEET</t>
  </si>
  <si>
    <t>Freddie SBL</t>
  </si>
  <si>
    <t>Fannie SML</t>
  </si>
  <si>
    <t>Prepay (Fixed/Floating)</t>
  </si>
  <si>
    <t>Non-Recourse</t>
  </si>
  <si>
    <t>Standard Carveouts</t>
  </si>
  <si>
    <t>70%</t>
  </si>
  <si>
    <t>80%</t>
  </si>
  <si>
    <t>65%</t>
  </si>
  <si>
    <t>55%</t>
  </si>
  <si>
    <t>Minimum DSCR</t>
  </si>
  <si>
    <t>1.40x</t>
  </si>
  <si>
    <t>1.25x</t>
  </si>
  <si>
    <t>1.35x</t>
  </si>
  <si>
    <t>1.55x</t>
  </si>
  <si>
    <t>Underwritten LTV</t>
  </si>
  <si>
    <t>0%</t>
  </si>
  <si>
    <t>0.00x</t>
  </si>
  <si>
    <t>Prepayment</t>
  </si>
  <si>
    <t>9.5 YM</t>
  </si>
  <si>
    <t>11.5 YM</t>
  </si>
  <si>
    <t>14.5 YM</t>
  </si>
  <si>
    <t>15 YM</t>
  </si>
  <si>
    <t>Current Rate</t>
  </si>
  <si>
    <t>New Interest Rate</t>
  </si>
  <si>
    <t>New Rate Index (Floating)</t>
  </si>
  <si>
    <t>30-Day Avg SOFR</t>
  </si>
  <si>
    <t>New Rate Spread (Floating)</t>
  </si>
  <si>
    <t>Floating Rate Period</t>
  </si>
  <si>
    <t>Biannual Interest Rate Adjustment</t>
  </si>
  <si>
    <t>Current Annual Debt Service</t>
  </si>
  <si>
    <t>New Annual Debt Service</t>
  </si>
  <si>
    <t>New Annual Debt Service (IO)</t>
  </si>
  <si>
    <t>Debt Service Savings (Increase)</t>
  </si>
  <si>
    <t>Debt Service IO Savings (Increase)</t>
  </si>
  <si>
    <t>Closing Fee</t>
  </si>
  <si>
    <t>Agency Review Fee</t>
  </si>
  <si>
    <t>Impounds</t>
  </si>
  <si>
    <t>RE Tax, Replacement Reserves</t>
  </si>
  <si>
    <t>RE Tax, Insurance, Replacement Reserves</t>
  </si>
  <si>
    <t>All terms are subject to review and approval by the lender and are subject to change.This analysis is based upon information provided to Walker &amp; Dunlop and/or market assumptions. Final terms and conditions are subject to Fannie Mae and/or Freddie Mac approval. 
This quote is subject to verification of several borrower and property attributes including but not limited to:
Principals of Borrower have (1) combined net worth equal to or greater than the loan amount, (2) combined liquidity equal to or greater than 9 months of debt service, (3) acceptable credit history, and (4) acceptable experience in multifamily ownership.  The property (1) is stabilized at a minimum average 90% occupancy for trailing 3 months and (2) operating history is indicative of current performance.</t>
  </si>
  <si>
    <t>FRE_PrepayAdjustmentsTable</t>
  </si>
  <si>
    <t>FRE_PremiumAdjustmentsTable</t>
  </si>
  <si>
    <r>
      <t xml:space="preserve">FRE_PrepayStrings </t>
    </r>
    <r>
      <rPr>
        <color theme="0"/>
        <family val="2"/>
        <rFont val="Calibri"/>
        <scheme val="minor"/>
        <sz val="8"/>
      </rPr>
      <t xml:space="preserve"> (used by Prepay Option Data Validation pulldowns)</t>
    </r>
  </si>
  <si>
    <t>Type</t>
  </si>
  <si>
    <t>Prepay Strings</t>
  </si>
  <si>
    <t>Total Premium</t>
  </si>
  <si>
    <t>Portion to Seller</t>
  </si>
  <si>
    <t>Portion to Freddie</t>
  </si>
  <si>
    <t>54321</t>
  </si>
  <si>
    <t>5544321</t>
  </si>
  <si>
    <t>5544332211</t>
  </si>
  <si>
    <t>Alt 1</t>
  </si>
  <si>
    <t>Alt 2</t>
  </si>
  <si>
    <t>54321,1%</t>
  </si>
  <si>
    <t>Alt 3</t>
  </si>
  <si>
    <t>5544321,1%</t>
  </si>
  <si>
    <t>5544332211,1%</t>
  </si>
  <si>
    <t>used only by</t>
  </si>
  <si>
    <t>Proprietary Cap</t>
  </si>
  <si>
    <t>Application Issuance Date:</t>
  </si>
  <si>
    <t>Application Expiration Date:</t>
  </si>
  <si>
    <r>
      <t>The undersigned (the “</t>
    </r>
    <r>
      <rPr>
        <b/>
        <color theme="1"/>
        <family val="1"/>
        <rFont val="Times New Roman"/>
        <sz val="11"/>
      </rPr>
      <t>Applicant</t>
    </r>
    <r>
      <rPr>
        <color theme="1"/>
        <family val="1"/>
        <rFont val="Times New Roman"/>
        <sz val="11"/>
      </rPr>
      <t>”) hereby makes an application to Walker &amp; Dunlop, LLC (“</t>
    </r>
    <r>
      <rPr>
        <b/>
        <color theme="1"/>
        <family val="1"/>
        <rFont val="Times New Roman"/>
        <sz val="11"/>
      </rPr>
      <t>Walker &amp; Dunlop</t>
    </r>
    <r>
      <rPr>
        <color theme="1"/>
        <family val="1"/>
        <rFont val="Times New Roman"/>
        <sz val="11"/>
      </rPr>
      <t>” or “</t>
    </r>
    <r>
      <rPr>
        <b/>
        <color theme="1"/>
        <family val="1"/>
        <rFont val="Times New Roman"/>
        <sz val="11"/>
      </rPr>
      <t>Lender</t>
    </r>
    <r>
      <rPr>
        <color theme="1"/>
        <family val="1"/>
        <rFont val="Times New Roman"/>
        <sz val="11"/>
      </rPr>
      <t>”) for a Commitment for a permanent loan (the “</t>
    </r>
    <r>
      <rPr>
        <b/>
        <color theme="1"/>
        <family val="1"/>
        <rFont val="Times New Roman"/>
        <sz val="11"/>
      </rPr>
      <t>Mortgage Loan</t>
    </r>
    <r>
      <rPr>
        <color theme="1"/>
        <family val="1"/>
        <rFont val="Times New Roman"/>
        <sz val="11"/>
      </rPr>
      <t>”) to be secured by a first lien on the</t>
    </r>
    <r>
      <rPr>
        <b/>
        <color theme="1"/>
        <family val="1"/>
        <rFont val="Times New Roman"/>
        <sz val="11"/>
      </rPr>
      <t xml:space="preserve"> </t>
    </r>
    <r>
      <rPr>
        <color theme="1"/>
        <family val="1"/>
        <rFont val="Times New Roman"/>
        <sz val="11"/>
      </rPr>
      <t>property described below under the Freddie Mac Small Balance Loan Program ("</t>
    </r>
    <r>
      <rPr>
        <b/>
        <color theme="1"/>
        <family val="1"/>
        <rFont val="Times New Roman"/>
        <sz val="11"/>
      </rPr>
      <t>Freddie Mac SBL Program</t>
    </r>
    <r>
      <rPr>
        <color theme="1"/>
        <family val="1"/>
        <rFont val="Times New Roman"/>
        <sz val="11"/>
      </rPr>
      <t>").</t>
    </r>
  </si>
  <si>
    <r>
      <t>Property Name(s):</t>
    </r>
    <r>
      <rPr>
        <color theme="1"/>
        <family val="1"/>
        <rFont val="Times New Roman"/>
        <sz val="11"/>
      </rPr>
      <t xml:space="preserve"> </t>
    </r>
  </si>
  <si>
    <t>Number of Units:</t>
  </si>
  <si>
    <t>101 Units</t>
  </si>
  <si>
    <t>Property Address(es):</t>
  </si>
  <si>
    <t>Borrower:</t>
  </si>
  <si>
    <t>Mortgage Loan Purpose:</t>
  </si>
  <si>
    <t>Security:</t>
  </si>
  <si>
    <r>
      <t>1</t>
    </r>
    <r>
      <rPr>
        <color theme="1"/>
        <family val="1"/>
        <rFont val="Times New Roman"/>
        <sz val="11"/>
        <vertAlign val="superscript"/>
      </rPr>
      <t>st</t>
    </r>
    <r>
      <rPr>
        <color theme="1"/>
        <family val="1"/>
        <rFont val="Times New Roman"/>
        <sz val="11"/>
      </rPr>
      <t xml:space="preserve"> Lien</t>
    </r>
  </si>
  <si>
    <r>
      <t>When we have received your acceptance of this application (the “</t>
    </r>
    <r>
      <rPr>
        <b/>
        <color theme="1"/>
        <family val="1"/>
        <rFont val="Times New Roman"/>
        <sz val="11"/>
      </rPr>
      <t>Application</t>
    </r>
    <r>
      <rPr>
        <color theme="1"/>
        <family val="1"/>
        <rFont val="Times New Roman"/>
        <sz val="11"/>
      </rPr>
      <t>”) along with the required deposits as well as any required documentation, we will process your Application based on the following terms and conditions or such other conditions as Walker &amp; Dunlop and Freddie Mac may determine reasonably appropriate</t>
    </r>
    <r>
      <rPr>
        <b/>
        <color theme="1"/>
        <family val="1"/>
        <rFont val="Times New Roman"/>
        <sz val="11"/>
      </rPr>
      <t xml:space="preserve">.  </t>
    </r>
    <r>
      <rPr>
        <color theme="1"/>
        <family val="1"/>
        <rFont val="Times New Roman"/>
        <sz val="11"/>
      </rPr>
      <t>A commitment for the Loan ("</t>
    </r>
    <r>
      <rPr>
        <b/>
        <color theme="1"/>
        <family val="1"/>
        <rFont val="Times New Roman"/>
        <sz val="11"/>
      </rPr>
      <t>Loan Commitment</t>
    </r>
    <r>
      <rPr>
        <color theme="1"/>
        <family val="1"/>
        <rFont val="Times New Roman"/>
        <sz val="11"/>
      </rPr>
      <t>") will be issued pursuant to the terms and conditions set forth below only if the Loan satisfies the conditions of this Application and the Freddie Mac Small Balance Loan Program.</t>
    </r>
    <r>
      <rPr>
        <b/>
        <color theme="1"/>
        <family val="1"/>
        <rFont val="Times New Roman"/>
        <sz val="11"/>
      </rPr>
      <t xml:space="preserve"> </t>
    </r>
  </si>
  <si>
    <t xml:space="preserve">THIS APPLICATION IS FOR A LOAN UNDER FREDDIE MAC’S SMALL BALANCE LOAN PROGRAM.  BORROWER ACKNOWLEDGES THAT THIS LOAN WILL BE SOLD TO FREDDIE MAC AND THAT FREDDIE MAC INTENDS TO SELL THIS LOAN INTO A COMMERCIAL MORTGAGE-BACKED SECURITIZATION (“SECURITIZED”) OR SIMILAR TYPE EXECUTION (I.E. TO A “REMIC TRUST”) AND THAT THE LOAN WILL NOT BE HELD IN FREDDIE MAC’S PORTFOLIO. THUS, THE REQUIREMENTS AND PROVISIONS IN THIS APPLICATION AND IN THE LOAN DOCUMENTS ARE ANALOGOUS TO THOSE FOR A SECURITIZED CONDUIT LOAN. PLEASE CONTACT THE UNDERSIGNED IF YOU HAVE ANY QUESTIONS CONCERNING THE FREDDIE MAC SBL PROGRAM OR REQUIREMENTS. FORM LOAN DOCUMENTS FOR THE FREDDIE MAC SBL PROGRAM ARE AVAILABLE UPON REQUEST IF YOU WISH TO REVIEW ANY FORM PROVISIONS PRIOR TO EXECUTING THIS APPLICATION. </t>
  </si>
  <si>
    <t xml:space="preserve">Loan Amount: </t>
  </si>
  <si>
    <t>Please Select Loan Option on SBL Quotes Tab (Cell B42)</t>
  </si>
  <si>
    <r>
      <t>Estimated Interest Rate</t>
    </r>
    <r>
      <rPr>
        <color theme="1"/>
        <family val="1"/>
        <rFont val="Times New Roman"/>
        <sz val="11"/>
      </rPr>
      <t xml:space="preserve">: </t>
    </r>
  </si>
  <si>
    <t>0.00% as of the Date of Issuance.</t>
  </si>
  <si>
    <t xml:space="preserve">Upon execution and delivery of this Loan Application in accordance with its terms, Freddie Mac guarantees to hold the coupon rate quoted in this application for 35 business days at no additional cost to the borrower. This valuable benefit is contingent on Freddie Mac receiving the complete underwriting package for this loan from Walker &amp; Dunlop within 35 business days from the date of acceptance of this application. Any submissions received by Freddie Mac after this date will be subject to repricing. </t>
  </si>
  <si>
    <t>Interest Calculation Method:</t>
  </si>
  <si>
    <t xml:space="preserve">Actual/360 </t>
  </si>
  <si>
    <t xml:space="preserve">Product: </t>
  </si>
  <si>
    <t xml:space="preserve">Term:  </t>
  </si>
  <si>
    <t>0 months</t>
  </si>
  <si>
    <t>Interest-Only Period:</t>
  </si>
  <si>
    <t xml:space="preserve">Amortization: </t>
  </si>
  <si>
    <t>0 months; balance due at loan maturity.</t>
  </si>
  <si>
    <t xml:space="preserve">Fixed Rate/Adjustable Rate Period: </t>
  </si>
  <si>
    <t>0 months, loan will convert to floating rate after fixed rate period ends.</t>
  </si>
  <si>
    <t>Periodic Adjustment of Interest Rate:</t>
  </si>
  <si>
    <t xml:space="preserve">Prepayment Schedule: </t>
  </si>
  <si>
    <t>Please choose a prepayment schedule in cell B54 on the SBL Quotes tab.</t>
  </si>
  <si>
    <t>Maximum LTV:</t>
  </si>
  <si>
    <t>Minimum DSCR:</t>
  </si>
  <si>
    <t>Guarantor(s):</t>
  </si>
  <si>
    <t xml:space="preserve">The Guarantor(s) will execute an acknowledgment of liability for the non-recourse carveouts.  Guarantor designation is subject to review and approval by Freddie Mac. </t>
  </si>
  <si>
    <t>Borrowing Entity:</t>
  </si>
  <si>
    <t>Single Asset Entities Required.</t>
  </si>
  <si>
    <t>Non-Recourse:</t>
  </si>
  <si>
    <t>Non-recourse to the Borrower with standard Freddie Mac exceptions/carveouts.</t>
  </si>
  <si>
    <t>Monthly Payments (P&amp;I):</t>
  </si>
  <si>
    <t xml:space="preserve">The monthly payment will be determined following Lender’s and Borrower’s execution of the Commitment, upon locking the Interest Rate based on the terms above.  Payment of monthly installments shall be made in immediately available funds on the first day of the month, by pre-authorized ACH debit from a bank account established and maintained by Borrower for such purpose.  </t>
  </si>
  <si>
    <t>Debt Service Reserve:</t>
  </si>
  <si>
    <r>
      <t xml:space="preserve">At Closing, Borrower shall escrow with the Lender an estimated amount which represents twelve (12) months of principal and interest payments calculated on a 30-year amortization basis, even if the loan has an interest only period. </t>
    </r>
    <r>
      <rPr>
        <color theme="1"/>
        <family val="1"/>
        <i/>
        <rFont val="Times New Roman"/>
        <sz val="11"/>
      </rPr>
      <t>Final amount to be determined at closing.</t>
    </r>
  </si>
  <si>
    <t>Releasing Funds Back to Borrower: The release of the remaining DSR will be within 30 days following satisfaction of the following five items:</t>
  </si>
  <si>
    <t>• Lender receives a release request from the borrower.</t>
  </si>
  <si>
    <t>• All federal, state and local emergency declarations or similar government actions related to COVID-19 have been lifted for at least 90 days or 12 months have elapsed since closing.</t>
  </si>
  <si>
    <t>• All due diligence items have been completed to Freddie Mac’s specifications and borrower has remediated all deferred due diligence shortfalls.</t>
  </si>
  <si>
    <t>• If borrower and Freddie Mac entered into a forbearance agreement, all of the forborne debt service payments have been repaid.</t>
  </si>
  <si>
    <t>• Borrower provides evidence satisfactory to Freddie Mac of residential occupancy at a minimum of 80% and collections, on a three-month average and for the last month, that satisfy the policy minimum underwritten Debt Coverage Ratio (DCR) for the loan. For example, 1.20x for Top Markets, 1.25x for Standard, etc., with appropriate adjustments for cash-out, full-term interest-only, etc.</t>
  </si>
  <si>
    <t xml:space="preserve">If the borrower does not satisfy the five items above within 15 months after the Effective Date of the Loan Agreement, the remainder of the DSR will be used first to pay down any remaining forborne debt service and then transferred to the Capital Replacement and Repair Reserve for the balance of the loan term and may be used to reimburse the borrower for the cost of Capital Replacements. </t>
  </si>
  <si>
    <t>Borrowers may choose to participate in forbearance per the terms of the CARES Act and Freddie Mac’s guidelines. If the borrower chooses forbearance, the forborne payments will be spread over the following 12 months’ debt service payments. If borrower’s repayment of forborne amounts begins while the DSR is still in effect, for any month where collections are below break-even, borrower may also apply the DSR to that month’s 1/12 repayment of the forborne amount.</t>
  </si>
  <si>
    <t>For properties located in areas where Freddie Mac requires a seismic report, SBL will require the borrower to carry earthquake insurance on the property until a satisfactory seismic report is complete.</t>
  </si>
  <si>
    <t xml:space="preserve">The lender is required to confirm with the title company issuing the title insurance policy for the loan that the recorder’s office for the property jurisdiction is receiving documents for recording (whether in person, electronically, by mail, overnight delivery, or drop box) in order to close the SBL loan. </t>
  </si>
  <si>
    <t>Escrow Deposits:</t>
  </si>
  <si>
    <t>Real Estate Taxes: Required</t>
  </si>
  <si>
    <t>Property/Liability Insurance: Required</t>
  </si>
  <si>
    <t>Replacement Reserves: Required</t>
  </si>
  <si>
    <t>Required Repairs/Repair Reserves*: TBD</t>
  </si>
  <si>
    <t>Required Repairs*:</t>
  </si>
  <si>
    <t xml:space="preserve">The Repair Escrow will be deferred if the total Priority Repair amount is less than $25,000, subject to Freddie Mac UW review, otherwise the Repair Escrow is required to be funded at 100% of the estimated repair cost and completed within 12 months of closing.  The required repair escrow deposit will be reimbursed upon verification and confirmation that repairs have been completed in a satisfactory manner.  </t>
  </si>
  <si>
    <t xml:space="preserve">Mortgage Loan Documents:              </t>
  </si>
  <si>
    <r>
      <t>The Mortgage Loan shall be evidenced, governed and secured by all such documentation or other instruments required by Lender and Freddie Mac (the “</t>
    </r>
    <r>
      <rPr>
        <b/>
        <color theme="1"/>
        <family val="1"/>
        <rFont val="Times New Roman"/>
        <sz val="11"/>
      </rPr>
      <t>Mortgage Loan Documents</t>
    </r>
    <r>
      <rPr>
        <color theme="1"/>
        <family val="1"/>
        <rFont val="Times New Roman"/>
        <sz val="11"/>
      </rPr>
      <t xml:space="preserve">”).  Borrower will be required to execute the Mortgage Loan documents on standard Freddie Mac forms, the terms of which are not subject to negotiation. The form Mortgage Loan documents will be provided by Lender or its counsel. </t>
    </r>
  </si>
  <si>
    <t>Secondary Financing:</t>
  </si>
  <si>
    <t xml:space="preserve">Not permitted. </t>
  </si>
  <si>
    <t xml:space="preserve">Assumption: </t>
  </si>
  <si>
    <t xml:space="preserve">The Loan is assumable subject to underwriting approval of the Lender and Freddie Mac with payment of a 1% transfer fee, and a non-refundable assumption processing fee of $5,000. Borrower shall pay all costs of Lender's legal counsel involved with closing the assumption.  </t>
  </si>
  <si>
    <r>
      <t>Application Deposit</t>
    </r>
    <r>
      <rPr>
        <color theme="1"/>
        <family val="1"/>
        <rFont val="Times New Roman"/>
        <sz val="11"/>
      </rPr>
      <t xml:space="preserve">: </t>
    </r>
  </si>
  <si>
    <t>Upon execution of this Application, Borrower will deposit with Lender the sum of $7,500 as a refundable Application Deposit, which will reimburse Lender for the cost of certain analysis and third party reports including, but not limited to, the Appraisal Report, Property Condition Report, Environmental Database Report (Phase I/II, if applicable), Zoning Report, Operations and Maintenance Programs, Credit Reports, Background Searches, Insurance Review, and Site Inspection Fees. Total Lender diligence costs have an estimated range of $15,000 to $17,500. Any due diligence costs incurred for the transaction above and beyond the initial application deposit will be paid by the borrower at closing. Conversely, should total due diligence costs come in lower than the Application deposit, the remainder shall be refundable to the Borrower.</t>
  </si>
  <si>
    <t>Freddie Mac Application Fee:</t>
  </si>
  <si>
    <t>Total Due:</t>
  </si>
  <si>
    <t>$7,500.00</t>
  </si>
  <si>
    <t>Legal Fees:</t>
  </si>
  <si>
    <t xml:space="preserve">To be determined.  Upon execution of this application, Lender will engage its own counsel to commence legal due diligence.  Borrower shall be responsible for Lender’s legal and costs relative to title insurance, survey costs, and recording upon Borrower’s execution of the Application, whether the Loan closes or not.  Such Legal Fees shall be paid at the earlier to occur of the closing of the Loan or the expiration or early termination of this Application for any reason.  </t>
  </si>
  <si>
    <t>Mortgage Origination Fee:</t>
  </si>
  <si>
    <t>Rate Lock Deposit:</t>
  </si>
  <si>
    <t xml:space="preserve">1.0% of the Loan Amount, payable prior to Rate Lock. The Deposit will be either (i) refunded to Borrower (a) if Rate Lock does not occur and this Application is terminated, or (b) if Rate Lock occurs and the loan is closed or (ii) applied against the Breakage Fee defined below.  Borrower will have the right to rate lock the interest rate after: (I) a Commitment has been issued by Lender, (II) the Commitment is accepted by Borrower, and (iii) Lender confirms that all the conditions identified in the Commitment as Rate Lock conditions have been met by Borrower.  Additionally, Rate Lock is subject to verified receipt by Lender of payment of the Rate Lock Deposit.  </t>
  </si>
  <si>
    <t xml:space="preserve"> </t>
  </si>
  <si>
    <t>Damages / Breakage Fee:</t>
  </si>
  <si>
    <t xml:space="preserve">If Borrower accepts a Loan Commitment and Rate Lock occurs, but the Loan subsequently fails to close for any reason other than the sole negligence or willful misconduct of Lender or, upon delivery to Freddie Mac, does not meet the requirements in the Loan Commitment and Borrower fails to correct/supply any issue or items required to complete the delivery, Borrower will be liable for the Breakage Fee defined in the Loan Commitment. </t>
  </si>
  <si>
    <t>Special Terms and Conditions:</t>
  </si>
  <si>
    <t xml:space="preserve">Estimated Interest Rate noted above is based on terms listed within this application and pricing indications from Freddie Mac at the time of application issuance: </t>
  </si>
  <si>
    <t xml:space="preserve">• Rate is also subject to 50% or more of the units being qualified mission affordable and/or qualifying as very low-income units as determined by Freddie Mac at time of rate lock and close.   </t>
  </si>
  <si>
    <t>• If LTV and DSC of the loan, or Affordability, at the time of rate lock and close are different, pricing is subject to change.</t>
  </si>
  <si>
    <t>• Property to maintain an average 90% physical occupancy for the three (3) months prior to rate lock.</t>
  </si>
  <si>
    <t>Borrower to meet minimum net worth and liquidity requirements per Freddie Mac guidelines:</t>
  </si>
  <si>
    <t>Property to meet minimum NRI of $119,366/monthly and $1,432,397/annually.</t>
  </si>
  <si>
    <t>Property valuation to meet or exceed ($32,321,786)</t>
  </si>
  <si>
    <t>UW NCF to meet or exceed ($1,742,202) subject to appraisal, engineering and market support.</t>
  </si>
  <si>
    <t xml:space="preserve">Single Counsel to review and confirm whether requirements are met for a survey. </t>
  </si>
  <si>
    <t>Signed credit authorization for each Borrower Principal/Guarantor must be provided for loan process to begin.</t>
  </si>
  <si>
    <t xml:space="preserve">All terms of the proposed loan are subject to full Lender property inspection to be conducted during underwriting, and/or receipt and satisfactory review of executed SBL document, Borrower Certification of Property Condition. </t>
  </si>
  <si>
    <t>Additional material terms or conditions relating to this Loan are still being determined and will be formalized or evidenced when a Loan Commitment is issued.</t>
  </si>
  <si>
    <t>Title / Escrow Services:</t>
  </si>
  <si>
    <t xml:space="preserve">If title contact is not identified on Schedule B, then escrow services shall be coordinated through one of Lender’s preferred national title company contacts at the time of underwriting. </t>
  </si>
  <si>
    <t>Legal Searches:</t>
  </si>
  <si>
    <t xml:space="preserve">Applicant acknowledges that Walker &amp; Dunlop will be performing legal searches on, at a minimum, Guarantor(s) and Borrowing Entity, as a requirement of loan closing. This cost will be incurred by the Guarantor and settled out of escrow prior to loan funding. </t>
  </si>
  <si>
    <t>Closing Fees:</t>
  </si>
  <si>
    <t>Applicant acknowledges that any due diligence costs incurred for the transaction above and beyond the initial application deposit will be paid by the borrower at closing or otherwise upon termination of this Application. Conversely, should total due diligence costs come in lower than the Application deposit, the remainder shall be refundable to the Borrower.</t>
  </si>
  <si>
    <r>
      <t>Governing Law</t>
    </r>
    <r>
      <rPr>
        <color theme="1"/>
        <family val="1"/>
        <rFont val="Times New Roman"/>
        <sz val="11"/>
      </rPr>
      <t>:</t>
    </r>
  </si>
  <si>
    <t>This application will be governed by the laws of Maryland.</t>
  </si>
  <si>
    <t>FHFA &amp; OFAC Certification</t>
  </si>
  <si>
    <t>Applicant acknowledges that neither the Borrowing Entity nor Guarantor or any members, shareholders, partners, beneficiaries, or trustees thereof (if applicable) is a person or entity that is included on the most current FHFA Suspended Counterparty List (SCP List) published by the Federal Housing Finance Agency, is a person or entity that is included on the Specially Designated National and Blocked Persons (SDN) list published by the US. Treasury Department Office of Foreign Assets Control (OFAC), or a person or entity that is included on the most current OFAC Consolidated Sanctions List.</t>
  </si>
  <si>
    <t>&lt;The remainder of this page has been intentionally left blank&gt;</t>
  </si>
  <si>
    <t>Acceptance Disclaimer</t>
  </si>
  <si>
    <r>
      <t xml:space="preserve">This Application does not constitute a Mortgage Loan Commitment and will expire if we have not received your acceptance, together with the required fees and deposits, by no later </t>
    </r>
    <r>
      <rPr>
        <b/>
        <color theme="1"/>
        <family val="1"/>
        <rFont val="Times New Roman"/>
        <sz val="10"/>
      </rPr>
      <t>than 7 business days following the date</t>
    </r>
    <r>
      <rPr>
        <color theme="1"/>
        <family val="1"/>
        <rFont val="Times New Roman"/>
        <sz val="10"/>
      </rPr>
      <t xml:space="preserve"> of this Application.  Following your acceptance, Walker &amp; Dunlop will provide an underwriting and legal checklist setting forth required information necessary for Mortgage Loan approval. Additional requests may be made as deemed appropriate by Walker &amp; Dunlop and/or Freddie Mac. Applicant agrees to furnish or provide access to all information on a timely and complete basis. Upon Walker &amp; Dunlop’s review and approval of all legal and underwriting aspects of the Mortgage Loan, a separate written Loan Commitment will be issued reflecting the final Mortgage Loan terms and any conditions for closing.</t>
    </r>
  </si>
  <si>
    <t xml:space="preserve">You agree that Walker &amp; Dunlop may release any information to those persons we determine to have a legitimate business purpose for it in connection with the processing of your Application. </t>
  </si>
  <si>
    <t xml:space="preserve">This Application may be modified or terminated by Walker &amp; Dunlop in its sole discretion if subsequent to the date of this Application there are material changes in the Property, the Applicant, Guarantor or the value of the security, or if representations made by the Applicant pursuant to this Application are substantially incorrect or if Applicant fails to disclose material facts. </t>
  </si>
  <si>
    <t xml:space="preserve">Applicant agrees that it will not seek financing for the Property from another lender for a period of 120 days from the date of acceptance of this Application.  </t>
  </si>
  <si>
    <r>
      <t xml:space="preserve">If you agree with the terms and conditions stated above, </t>
    </r>
    <r>
      <rPr>
        <color theme="1"/>
        <family val="1"/>
        <rFont val="Times New Roman"/>
        <sz val="10"/>
        <u/>
      </rPr>
      <t>please return</t>
    </r>
    <r>
      <rPr>
        <color theme="1"/>
        <family val="1"/>
        <rFont val="Times New Roman"/>
        <sz val="10"/>
      </rPr>
      <t xml:space="preserve">: </t>
    </r>
  </si>
  <si>
    <t xml:space="preserve">1. A signed copy of this Application. </t>
  </si>
  <si>
    <t xml:space="preserve">2. The Application Fee; and </t>
  </si>
  <si>
    <r>
      <t xml:space="preserve">3. Signed credit authorizations for </t>
    </r>
    <r>
      <rPr>
        <color theme="1"/>
        <family val="1"/>
        <rFont val="Times New Roman"/>
        <sz val="10"/>
        <u/>
      </rPr>
      <t>each</t>
    </r>
    <r>
      <rPr>
        <color theme="1"/>
        <family val="1"/>
        <rFont val="Times New Roman"/>
        <sz val="10"/>
      </rPr>
      <t xml:space="preserve"> Borrower Principal/Guarantor to the below account:</t>
    </r>
  </si>
  <si>
    <t>Wire Instructions for Walker &amp; Dunlop, LLC</t>
  </si>
  <si>
    <t xml:space="preserve">Bank Name               </t>
  </si>
  <si>
    <t>PNC Bank</t>
  </si>
  <si>
    <t xml:space="preserve">                                    </t>
  </si>
  <si>
    <r>
      <t>1900 E 9</t>
    </r>
    <r>
      <rPr>
        <b/>
        <color theme="1"/>
        <family val="1"/>
        <rFont val="Times New Roman"/>
        <sz val="11"/>
        <vertAlign val="superscript"/>
      </rPr>
      <t>th</t>
    </r>
    <r>
      <rPr>
        <b/>
        <color theme="1"/>
        <family val="1"/>
        <rFont val="Times New Roman"/>
        <sz val="11"/>
      </rPr>
      <t xml:space="preserve"> Street</t>
    </r>
  </si>
  <si>
    <t>Cleveland, OH 44144</t>
  </si>
  <si>
    <t xml:space="preserve">                                    </t>
  </si>
  <si>
    <t xml:space="preserve">ABA #                         </t>
  </si>
  <si>
    <t>041-000-124</t>
  </si>
  <si>
    <t xml:space="preserve">Account Name          </t>
  </si>
  <si>
    <t xml:space="preserve">Account #                   </t>
  </si>
  <si>
    <t xml:space="preserve">Reference:                 </t>
  </si>
  <si>
    <t>We appreciate the opportunity to serve your financing needs and look forward to a timely Mortgage Loan closing.</t>
  </si>
  <si>
    <t xml:space="preserve">Sincerely, </t>
  </si>
  <si>
    <t>ACCEPTED and APPROVED on _______________, 2021, by Applicant indicated below.</t>
  </si>
  <si>
    <t>Applicant Name: _________________________________________________________</t>
  </si>
  <si>
    <t>Applicant Signature: ______________________________________________________</t>
  </si>
  <si>
    <t>ATTACHMENTS:</t>
  </si>
  <si>
    <t>Schedule A:</t>
  </si>
  <si>
    <t>Borrower Organizational Structure</t>
  </si>
  <si>
    <t>Schedule B:</t>
  </si>
  <si>
    <t>Credit Authorization(s)</t>
  </si>
  <si>
    <t>Schedule C:</t>
  </si>
  <si>
    <t>Deal Contact Sheet</t>
  </si>
  <si>
    <t>Schedule A – Borrower Organizational Structure</t>
  </si>
  <si>
    <t>Schedule B - Credit Authorization(s)</t>
  </si>
  <si>
    <t xml:space="preserve">By signing below, you (“Guarantor/Borrowing Entity”) hereby authorize Walker &amp; Dunlop (“Lender”) to obtain any and all necessary credit and background searches to process this loan request. In addition, you authorize Walker &amp; Dunlop to discuss this transaction with the necessary parties with reference to payoff information, insurance information and title information as necessary to expedite the processing of this transaction. </t>
  </si>
  <si>
    <t>Guarantor:</t>
  </si>
  <si>
    <t>Name:</t>
  </si>
  <si>
    <t>Title:</t>
  </si>
  <si>
    <t>Full Address:</t>
  </si>
  <si>
    <t>SSN:</t>
  </si>
  <si>
    <r>
      <t>DOB:</t>
    </r>
    <r>
      <rPr>
        <color theme="1"/>
        <family val="1"/>
        <rFont val="Times New Roman"/>
        <sz val="11"/>
        <u/>
      </rPr>
      <t xml:space="preserve"> </t>
    </r>
  </si>
  <si>
    <t>Signature:</t>
  </si>
  <si>
    <t>Date:</t>
  </si>
  <si>
    <t>Additional Individual/Guarantor:</t>
  </si>
  <si>
    <t>DOB:</t>
  </si>
  <si>
    <r>
      <t>Name:</t>
    </r>
    <r>
      <rPr>
        <color theme="1"/>
        <family val="1"/>
        <rFont val="Times New Roman"/>
        <sz val="11"/>
        <u/>
      </rPr>
      <t xml:space="preserve"> </t>
    </r>
  </si>
  <si>
    <t>State of Formation:</t>
  </si>
  <si>
    <t>Date of Formation:</t>
  </si>
  <si>
    <t>Taxpayer Identification Number (TIN):</t>
  </si>
  <si>
    <t>Additional Principal/Entity:</t>
  </si>
  <si>
    <t>Schedule C - Deal Contact Sheet</t>
  </si>
  <si>
    <t>SEE ATTACHED</t>
  </si>
  <si>
    <t>Version #</t>
  </si>
  <si>
    <t>Timestamp</t>
  </si>
  <si>
    <t>IO Period (mo's)</t>
  </si>
  <si>
    <t>Premium       /Buy-Up</t>
  </si>
  <si>
    <t>Additional Affordability Discounts</t>
  </si>
  <si>
    <t>ATTN:</t>
  </si>
  <si>
    <t>TBD LLC</t>
  </si>
  <si>
    <t>1914 Terracina Drive #130</t>
  </si>
  <si>
    <t>Sacramento, CA 95834</t>
  </si>
  <si>
    <t>Dear XXXX:</t>
  </si>
  <si>
    <r>
      <t>The undersigned (the “</t>
    </r>
    <r>
      <rPr>
        <b/>
        <color theme="1"/>
        <family val="1"/>
        <rFont val="Times New Roman"/>
        <sz val="11"/>
      </rPr>
      <t>Applicant</t>
    </r>
    <r>
      <rPr>
        <color theme="1"/>
        <family val="1"/>
        <rFont val="Times New Roman"/>
        <sz val="11"/>
      </rPr>
      <t>”) hereby makes an application to Walker &amp; Dunlop, LLC (“</t>
    </r>
    <r>
      <rPr>
        <b/>
        <color theme="1"/>
        <family val="1"/>
        <rFont val="Times New Roman"/>
        <sz val="11"/>
      </rPr>
      <t>Walker &amp; Dunlop</t>
    </r>
    <r>
      <rPr>
        <color theme="1"/>
        <family val="1"/>
        <rFont val="Times New Roman"/>
        <sz val="11"/>
      </rPr>
      <t>”) for a Commitment for a permanent loan (the “</t>
    </r>
    <r>
      <rPr>
        <b/>
        <color theme="1"/>
        <family val="1"/>
        <rFont val="Times New Roman"/>
        <sz val="11"/>
      </rPr>
      <t>Mortgage Loan</t>
    </r>
    <r>
      <rPr>
        <color theme="1"/>
        <family val="1"/>
        <rFont val="Times New Roman"/>
        <sz val="11"/>
      </rPr>
      <t>”) to be secured by a first lien on the multifamily property described below under the Fannie Mae Small Loan Multifamily Delegated Underwriting and Servicing Product.</t>
    </r>
  </si>
  <si>
    <t xml:space="preserve">Property Name: </t>
  </si>
  <si>
    <t>Property Address:</t>
  </si>
  <si>
    <r>
      <t>When we have received your acceptance of this application (the “</t>
    </r>
    <r>
      <rPr>
        <b/>
        <color theme="1"/>
        <family val="1"/>
        <rFont val="Times New Roman"/>
        <sz val="11"/>
      </rPr>
      <t>Application</t>
    </r>
    <r>
      <rPr>
        <color theme="1"/>
        <family val="1"/>
        <rFont val="Times New Roman"/>
        <sz val="11"/>
      </rPr>
      <t xml:space="preserve">”) along with the required deposits as well as any required documentation, we will process your Application based on the following terms and conditions or such other conditions as Walker &amp; Dunlop may determine reasonably appropriate.  </t>
    </r>
  </si>
  <si>
    <t xml:space="preserve">Estimated Interest Rate: </t>
  </si>
  <si>
    <r>
      <t xml:space="preserve">The actual interest rate will be set based on market conditions at the time of rate lock.  The estimated interest rate is the sum of current 10-year U.S. Treasury index plus an indicative spread for an estimated rate of </t>
    </r>
    <r>
      <rPr>
        <b/>
        <color theme="1"/>
        <family val="1"/>
        <rFont val="Times New Roman"/>
        <sz val="11"/>
      </rPr>
      <t>3.24%</t>
    </r>
    <r>
      <rPr>
        <color theme="1"/>
        <family val="1"/>
        <rFont val="Times New Roman"/>
        <sz val="11"/>
      </rPr>
      <t xml:space="preserve"> as of </t>
    </r>
    <r>
      <rPr>
        <b/>
        <color theme="1"/>
        <family val="1"/>
        <rFont val="Times New Roman"/>
        <sz val="11"/>
      </rPr>
      <t>10/26/2020</t>
    </r>
    <r>
      <rPr>
        <color theme="1"/>
        <family val="1"/>
        <rFont val="Times New Roman"/>
        <sz val="11"/>
      </rPr>
      <t>. The 10-year U.S. Treasury will be based on the greater of a 0.90% floor or the actual 10-year UST at the time of rate lock. Both the index and the spread are subject to change based on market conditions at the time of rate lock.</t>
    </r>
  </si>
  <si>
    <t>0 months; 360 months amortization thereafter</t>
  </si>
  <si>
    <t xml:space="preserve">Fixed Rate Period: </t>
  </si>
  <si>
    <r>
      <t>Prepayment Schedule as provided in the Mortgage Loan Documents. The Prepayment Premium will be the greater of (i) one percent (1.00%) of the outstanding principal balance of the Mortgage Loan or (ii) the yield maintenance amount during the first 9.5 (114 months) years of the term of the Mortgage Loan (the “</t>
    </r>
    <r>
      <rPr>
        <b/>
        <color theme="1"/>
        <family val="1"/>
        <rFont val="Times New Roman"/>
        <sz val="11"/>
      </rPr>
      <t>Yield Maintenance Period</t>
    </r>
    <r>
      <rPr>
        <color theme="1"/>
        <family val="1"/>
        <rFont val="Times New Roman"/>
        <sz val="11"/>
      </rPr>
      <t xml:space="preserve">”) After the Yield Maintenance Period, the Prepayment Fee is one percent (1.00%) of the outstanding principal balance of the Mortgage Loan.  There will be no Prepayment Fee during the last three (3) months of the term of the Mortgage Loan.  </t>
    </r>
  </si>
  <si>
    <t>Key Principal/Guarantor:</t>
  </si>
  <si>
    <t>Mr. ____________</t>
  </si>
  <si>
    <t>(based on information provided to date and subject to Walker &amp; Dunlop’s confirmation after full underwriting). The Key Principal(s)/Guarantor(s) will be responsible for and execute, in the Fannie Mae required form, a guarantee of payment for losses related to certain “non-recourse carve-outs”. In the Fannie Mae Small Loan space, every Key Principal is considered a Guarantor and every Guarantor is considered a Key Principal.</t>
  </si>
  <si>
    <t>TBD, LLC</t>
  </si>
  <si>
    <t>(If MAE, Walker &amp; Dunlop reserves the right to investigate the financial performance of all the underlying assets in the MAE to ensure those assets will not impact the subject collateral).</t>
  </si>
  <si>
    <t>Non-recourse to the Borrower with standard Fannie Mae exceptions/carveouts.</t>
  </si>
  <si>
    <t xml:space="preserve">Real Estate Taxes: </t>
  </si>
  <si>
    <t>Required</t>
  </si>
  <si>
    <t xml:space="preserve">Property/Liability Insurance: </t>
  </si>
  <si>
    <t xml:space="preserve">Replacement Reserves: </t>
  </si>
  <si>
    <t>Required Repairs/Repair Reserves*:</t>
  </si>
  <si>
    <t>Ground Lease:</t>
  </si>
  <si>
    <t xml:space="preserve">Debt Service Reserve: </t>
  </si>
  <si>
    <t>At closing, Borrower shall escrow with the Lender an amount which represents eighteen (18) months of principal and interest payments calculated on a 30-year amortization basis, even if the loan has an interest only period. This escrow will be held for a minimum of six (6) months after the closing date plus one (1) additional successive quarter after the Property attains an actual amortizing DSCR equal to the minimum underwritten  DSCR. The Debt Service Reserve will be released no later  than thirty-six (36) months after the closing date if not released prior or drawn upon.</t>
  </si>
  <si>
    <t>Any amount (no minimum) of required repairs will be escrowed at 125% of the reported figure per the Property Condition Report and (if applicable) a Seismic Risk Assessment Report for properties located in an elevated seismic zone. The required repair escrow deposit will be reimbursed upon verification and confirmation that repairs have been completed in a satisfactory manner.</t>
  </si>
  <si>
    <r>
      <t>The Mortgage Loan shall be evidenced, governed and secured by all such documentation or other instruments required by Lender and Fannie Mae (the “</t>
    </r>
    <r>
      <rPr>
        <b/>
        <color theme="1"/>
        <family val="1"/>
        <rFont val="Times New Roman"/>
        <sz val="11"/>
      </rPr>
      <t>Mortgage Loan Documents</t>
    </r>
    <r>
      <rPr>
        <color theme="1"/>
        <family val="1"/>
        <rFont val="Times New Roman"/>
        <sz val="11"/>
      </rPr>
      <t>”).</t>
    </r>
  </si>
  <si>
    <t xml:space="preserve">Fannie Mae DUS Supplemental Mortgage Loans only, in Lender’s sole and absolute discretion. </t>
  </si>
  <si>
    <t xml:space="preserve">The Mortgage Loan may be assumed at any time, subject to a satisfactory review by Lender and Fannie Mae, in their sole discretion, of the assuming party’s credit and management experience and the payment to Lender of a one percent (1.00%) assumption fee together with all expenses in connection therewith, including Lender Counsel fees.  </t>
  </si>
  <si>
    <t xml:space="preserve">Application Deposit: </t>
  </si>
  <si>
    <t>Upon execution of this Application, Borrower will deposit with Lender the sum of Fifteen Thousand Dollars ($15,000.00) a refundable Application Deposit, which will reimburse Lender for the cost of certain analysis and third party reports including, but not limited to, the Appraisal Report, Property Condition Report, Environmental Database Report (Phase I/II, if applicable), Zoning Report, Operations and Maintenance Programs, Credit Reports, Background Searches, Insurance Review, and Site Inspection Fees. Total Lender diligence costs have an estimated range of $15,000 to $17,500. Any due diligence costs incurred for the transaction above and beyond the initial application deposit will be paid by the borrower at closing. Conversely, should total due diligence costs come in lower than the Application deposit, the remainder shall be refundable to the Borrower.</t>
  </si>
  <si>
    <t xml:space="preserve">Legal Fees:         </t>
  </si>
  <si>
    <t xml:space="preserve">1.0% Payable to Walker &amp; Dunlop and Monroe and Giordano, LLC. </t>
  </si>
  <si>
    <t>Good Faith Deposit:</t>
  </si>
  <si>
    <t xml:space="preserve">1.0% of the committed Mortgage Loan Amount, due prior to rate lock.  The good faith deposit will be refunded at Mortgage Loan closing.  </t>
  </si>
  <si>
    <t xml:space="preserve">Fannie Mae Delivery Fee: </t>
  </si>
  <si>
    <t>0.10% of final loan amount is due from Borrower at the time of rate lock and is non-refundable.</t>
  </si>
  <si>
    <t>Property to maintain minimum 85% physical occupancy and 70% economic occupancy for three (3) consecutive months prior to rate lock.</t>
  </si>
  <si>
    <t>Borrower to meet minimum net worth and liquidity requirements per Fannie Mae guidelines:</t>
  </si>
  <si>
    <t>o   Key Principal/Guarantor(s) to provide 2 months’ most recent bank statements (all pages) evidencing minimum liquidity worth 9-months of Principal &amp; Interest.</t>
  </si>
  <si>
    <t>Current sizing is based on a minimum net rental income (NRI) of $119,366/month or $1,432,397/annualized prior to rate lock. NRI must exclude rent premiums attributed to park owned homes, if applicable.</t>
  </si>
  <si>
    <t xml:space="preserve">Current monthly T-12 and rent roll required during underwriting, along with Certified Rent Collections Report by Unit &amp; Rent Delinquency Report dated no more than five days prior to rate lock. </t>
  </si>
  <si>
    <t>Current sizing based on UW NCF ($1,742,202)/annually subject to appraisal, engineering and market support.</t>
  </si>
  <si>
    <t>Property valuation to meet or exceed $0 subject to appraisal support.</t>
  </si>
  <si>
    <t>Interest Only subject to Loan Exit Analysis prior to rate lock</t>
  </si>
  <si>
    <t>Property will require land survey if existing one has not been conducted.</t>
  </si>
  <si>
    <t xml:space="preserve">Pricing is contingent upon at least 90% Mission-driven per FHFA scorecard. </t>
  </si>
  <si>
    <t>Subject to verification of mobile home community license and adequate park/community permits.</t>
  </si>
  <si>
    <t>Signed credit authorization for each Key Principal/Guarantor must be provided for loan process to begin.</t>
  </si>
  <si>
    <t>All terms of the proposed loan are subject to full Lender property inspection to be conducted during underwriting.</t>
  </si>
  <si>
    <t xml:space="preserve">Loan to meet PD metrics (7.25% DY / 6.75% exit rate) for interest only and DSCR floor waiver or Pre-Review waiver will be required in UW. </t>
  </si>
  <si>
    <t>Neither the Borrowing Entity nor Guarantor or any members, shareholders, partners, beneficiaries, or trustees thereof (if applicable) is a person or entity that is included on the most current FHFA Suspended Counterparty List (SCP List) published by the Federal Housing Finance Agency, is a person or entity that is included on the Specially Designated National and Blocked Persons (SDN) list published by the US. Treasury Department Office of Foreign Assets Control (OFAC), or a person or entity that is included on the most current OFAC Consolidated Sanctions List.</t>
  </si>
  <si>
    <t xml:space="preserve">If acceptable, title and escrow services shall be coordinated through one of Lender’s preferred national title company contacts. </t>
  </si>
  <si>
    <t xml:space="preserve">Applicant intends on using the preferred contact above:                        </t>
  </si>
  <si>
    <t>If yes, applicant acknowledges that Walker &amp; Dunlop will open title and escrow in connection with the proposed transaction.</t>
  </si>
  <si>
    <t>If no, and applicant would like to use an alternate title/escrow contact, please provide the contact information below:</t>
  </si>
  <si>
    <t>Agent Name:  ________________________________________</t>
  </si>
  <si>
    <t>Title Firm:  __________________________________________</t>
  </si>
  <si>
    <t>Phone Number:  ______________________________________</t>
  </si>
  <si>
    <t xml:space="preserve">       </t>
  </si>
  <si>
    <t>Email Address:  _______________________________________</t>
  </si>
  <si>
    <r>
      <t xml:space="preserve">Any and all fees associated with title and escrow services provided in conjunction with the proposed loan will be incurred by the borrower. This incurred amount will be settled during escrow and is </t>
    </r>
    <r>
      <rPr>
        <b/>
        <color theme="1"/>
        <family val="1"/>
        <rFont val="Times New Roman"/>
        <sz val="11"/>
      </rPr>
      <t>not included</t>
    </r>
    <r>
      <rPr>
        <color theme="1"/>
        <family val="1"/>
        <rFont val="Times New Roman"/>
        <sz val="11"/>
      </rPr>
      <t xml:space="preserve"> in the approximate closing costs for this transaction. </t>
    </r>
  </si>
  <si>
    <t>Please note, if the borrower elects to use an alternate title/escrow contact, title and escrow will not be opened by Walker &amp; Dunlop</t>
  </si>
  <si>
    <t>Applicant Initial__________</t>
  </si>
  <si>
    <t>Applicant acknowledges that any due diligence costs incurred for the transaction above and beyond the initial application deposit will be paid by the borrower at closing. Conversely, should total due diligence costs come in lower than the Application deposit, the remainder shall be refundable to the Borrower.</t>
  </si>
  <si>
    <r>
      <t xml:space="preserve">This Application does not constitute a Mortgage Loan Commitment and will expire if we have not received your acceptance, together with the required fees and deposits, by no later than </t>
    </r>
    <r>
      <rPr>
        <b/>
        <family val="1"/>
        <rFont val="Times New Roman"/>
        <sz val="11"/>
      </rPr>
      <t>3 business days following the date</t>
    </r>
    <r>
      <rPr>
        <family val="1"/>
        <rFont val="Times New Roman"/>
        <sz val="11"/>
      </rPr>
      <t xml:space="preserve"> of this Application.  Following your acceptance, Walker &amp; Dunlop will provide an underwriting and legal checklist setting forth required information necessary for Mortgage Loan approval.  Additional requests may be made as deemed appropriate by Walker &amp; Dunlop.  Applicant agrees to furnish or provide access to all information on a timely and complete basis. Upon Walker &amp; Dunlop’s review and approval of all legal and underwriting aspects of the Mortgage Loan, a separate written Mortgage Loan Commitment will be issued reflecting the final Mortgage Loan terms and any conditions for closing.</t>
    </r>
  </si>
  <si>
    <r>
      <t xml:space="preserve">If you agree with the terms and conditions stated above, </t>
    </r>
    <r>
      <rPr>
        <family val="1"/>
        <rFont val="Times New Roman"/>
        <sz val="11"/>
        <u/>
      </rPr>
      <t>please return</t>
    </r>
    <r>
      <rPr>
        <family val="1"/>
        <rFont val="Times New Roman"/>
        <sz val="11"/>
      </rPr>
      <t xml:space="preserve">: </t>
    </r>
  </si>
  <si>
    <t xml:space="preserve">1. A signed copy of this Term Loan Proposal. </t>
  </si>
  <si>
    <t>3. Signed credit authorizations for each Key Principal/Guarantor by 09/25/2023 to the below account:</t>
  </si>
  <si>
    <t>1900 E 9th Street</t>
  </si>
  <si>
    <t>ABA #</t>
  </si>
  <si>
    <t>Account Name</t>
  </si>
  <si>
    <t>Account #</t>
  </si>
  <si>
    <t>Reference:</t>
  </si>
  <si>
    <t>ACCEPTED and APPROVED on _______________, 2020, by Applicant indicated below.</t>
  </si>
  <si>
    <r>
      <t>Applicant Name:</t>
    </r>
    <r>
      <rPr>
        <color theme="1"/>
        <family val="1"/>
        <rFont val="Times New Roman"/>
        <sz val="11"/>
      </rPr>
      <t xml:space="preserve"> ______________________________________________       </t>
    </r>
  </si>
  <si>
    <r>
      <t>Applicant Signature:</t>
    </r>
    <r>
      <rPr>
        <color theme="1"/>
        <family val="1"/>
        <rFont val="Times New Roman"/>
        <sz val="11"/>
      </rPr>
      <t xml:space="preserve"> ___________________________________________ </t>
    </r>
  </si>
  <si>
    <t xml:space="preserve">Additional Contact Information  </t>
  </si>
  <si>
    <t>Insurance Contact:</t>
  </si>
  <si>
    <t>Name: ______________________________</t>
  </si>
  <si>
    <t>Firm: _______________________________</t>
  </si>
  <si>
    <t>Phone: ______________________________</t>
  </si>
  <si>
    <t xml:space="preserve">Email: ______________________________          </t>
  </si>
  <si>
    <t>Property Onsite Contact:</t>
  </si>
  <si>
    <t>Borrower Legal/Counsel Contact:</t>
  </si>
  <si>
    <t>Validation</t>
  </si>
  <si>
    <t>&lt;== Error Counter</t>
  </si>
  <si>
    <t>Not yet implemented</t>
  </si>
  <si>
    <t xml:space="preserve">SBL FRE Quote Option# </t>
  </si>
  <si>
    <t>&lt;No FRE Option Selected&gt;</t>
  </si>
  <si>
    <t>Min</t>
  </si>
  <si>
    <t>Max</t>
  </si>
  <si>
    <t>isRequired</t>
  </si>
  <si>
    <t>is Valid</t>
  </si>
  <si>
    <t>warn min</t>
  </si>
  <si>
    <t>warn max</t>
  </si>
  <si>
    <t>FRE Field</t>
  </si>
  <si>
    <t>Data</t>
  </si>
  <si>
    <t>Number Units</t>
  </si>
  <si>
    <t>Reponse from FRE:</t>
  </si>
  <si>
    <t>Not Sent</t>
  </si>
  <si>
    <t>New Loan</t>
  </si>
  <si>
    <t>Buy Up Percent</t>
  </si>
  <si>
    <t>0.75%</t>
  </si>
  <si>
    <t>Buy Down Dollars</t>
  </si>
  <si>
    <t>Delivery Type</t>
  </si>
  <si>
    <t>requires manual entry</t>
  </si>
  <si>
    <t>ERL Funding Timing</t>
  </si>
  <si>
    <t>Hedge Protection</t>
  </si>
  <si>
    <t>red text if invalid</t>
  </si>
  <si>
    <t>Lien position</t>
  </si>
  <si>
    <t>Max Capped Note Rate</t>
  </si>
  <si>
    <t>Net Spread to Freddie Mac</t>
  </si>
  <si>
    <t>Prepay Type</t>
  </si>
  <si>
    <t>SBL Yield Maintenance</t>
  </si>
  <si>
    <t>Product Type</t>
  </si>
  <si>
    <t>Conventional Mortgage</t>
  </si>
  <si>
    <t>&lt;&lt;&lt;   has no data validation</t>
  </si>
  <si>
    <t>Supplemental</t>
  </si>
  <si>
    <t>Swap Transaction</t>
  </si>
  <si>
    <t>Yield Maintenance with Treasuries Plus:</t>
  </si>
  <si>
    <t>YM with TSY</t>
  </si>
  <si>
    <t>Ext Submitter Email</t>
  </si>
  <si>
    <t>@walkerdunlop.com</t>
  </si>
  <si>
    <t>Originator Email</t>
  </si>
  <si>
    <t>Acquisition/Refinance</t>
  </si>
  <si>
    <t>Amort after IO Term</t>
  </si>
  <si>
    <t>Amortization Schedule</t>
  </si>
  <si>
    <t>Applicable Index Type</t>
  </si>
  <si>
    <t>Cash out Refinance?</t>
  </si>
  <si>
    <t>Existing Mortgage - UPB</t>
  </si>
  <si>
    <t>Extended Delivery</t>
  </si>
  <si>
    <t>Final Float</t>
  </si>
  <si>
    <t>Final Float Term</t>
  </si>
  <si>
    <t>Gross spread (%)</t>
  </si>
  <si>
    <t>Interest-Only Term (in mos)</t>
  </si>
  <si>
    <t>Premium/Buy-Up</t>
  </si>
  <si>
    <t>Prepay Term</t>
  </si>
  <si>
    <t>Rent Roll Date</t>
  </si>
  <si>
    <t>Scattered Site</t>
  </si>
  <si>
    <t>Total Term</t>
  </si>
  <si>
    <t>Underwritten Note Rate (%)</t>
  </si>
  <si>
    <t>UW NOI</t>
  </si>
  <si>
    <t>UW Value</t>
  </si>
  <si>
    <t>UW Value Per Unit</t>
  </si>
  <si>
    <t>SUMMARY OF HISTORICAL OPERATIONS</t>
  </si>
  <si>
    <t>Property Name:</t>
  </si>
  <si>
    <t>Number of Beds:</t>
  </si>
  <si>
    <t>Operating</t>
  </si>
  <si>
    <t>T-12 Annualized</t>
  </si>
  <si>
    <t>T-11 Annualized</t>
  </si>
  <si>
    <t>T-10 Annualized</t>
  </si>
  <si>
    <t>T-9 Annualized</t>
  </si>
  <si>
    <t>T-8 Annualized</t>
  </si>
  <si>
    <t>T-7 Annualized</t>
  </si>
  <si>
    <t>T-6 Annualized</t>
  </si>
  <si>
    <t>T-5 Annualized</t>
  </si>
  <si>
    <t>T-4 Annualized</t>
  </si>
  <si>
    <t>T-2 Annualized</t>
  </si>
  <si>
    <t>T-1 Annualized</t>
  </si>
  <si>
    <t>Lender Underwriting</t>
  </si>
  <si>
    <t>3 Yr. Average</t>
  </si>
  <si>
    <t>Expense Comps</t>
  </si>
  <si>
    <t>Income</t>
  </si>
  <si>
    <t>$PB/MO</t>
  </si>
  <si>
    <t>(1-6)</t>
  </si>
  <si>
    <t>(7)</t>
  </si>
  <si>
    <t>(8)</t>
  </si>
  <si>
    <t>(9)</t>
  </si>
  <si>
    <t>Subtotal</t>
  </si>
  <si>
    <t>Expenses</t>
  </si>
  <si>
    <t>Exp. Line Items</t>
  </si>
  <si>
    <t>$PU/YR</t>
  </si>
  <si>
    <t>$PB/YR</t>
  </si>
  <si>
    <t>Page 2</t>
  </si>
  <si>
    <t>Management Fee (% EGI)</t>
  </si>
  <si>
    <t>(17)</t>
  </si>
  <si>
    <t>General &amp; Administrative</t>
  </si>
  <si>
    <t>(2,4,27-31)</t>
  </si>
  <si>
    <t>(25)</t>
  </si>
  <si>
    <t>(26)</t>
  </si>
  <si>
    <t>Payroll / Benefits</t>
  </si>
  <si>
    <t>(18-24)</t>
  </si>
  <si>
    <t>(6-8)</t>
  </si>
  <si>
    <t>Repairs and Maintenance</t>
  </si>
  <si>
    <t>(10-16)</t>
  </si>
  <si>
    <t>(3)</t>
  </si>
  <si>
    <t>(1)</t>
  </si>
  <si>
    <t>(5)</t>
  </si>
  <si>
    <t>Other Expenses</t>
  </si>
  <si>
    <t>(32)</t>
  </si>
  <si>
    <t>% EGI</t>
  </si>
  <si>
    <t>Per square foot NRA</t>
  </si>
  <si>
    <t>Ratio of UW NCF to Appraisal NCF</t>
  </si>
  <si>
    <t>1st Debt Service</t>
  </si>
  <si>
    <t>2nd Debt Service</t>
  </si>
  <si>
    <t>3rd Debt Service</t>
  </si>
  <si>
    <t>1st. DSCR</t>
  </si>
  <si>
    <t>2nd. DSCR</t>
  </si>
  <si>
    <t>3rd. DSCR</t>
  </si>
  <si>
    <t>1st DSCR (Actual)</t>
  </si>
  <si>
    <t>1st DSCR (Floor)</t>
  </si>
  <si>
    <t>Combined Debt Service (Variable)</t>
  </si>
  <si>
    <t>1st DSCR (Pay)</t>
  </si>
  <si>
    <t>1st DSCR (Stress)</t>
  </si>
  <si>
    <t>Capital Improvements</t>
  </si>
  <si>
    <t>Breakeven Occupancy</t>
  </si>
  <si>
    <t>Cash Flow After Debt Service</t>
  </si>
  <si>
    <t>Yield</t>
  </si>
  <si>
    <t>From</t>
  </si>
  <si>
    <t>2019 to 2020</t>
  </si>
  <si>
    <t>2020 to 2021</t>
  </si>
  <si>
    <t>2021 to TR-12 Statement (9/2022)</t>
  </si>
  <si>
    <t>TR-12 Statement (9/2022) to Appraisal</t>
  </si>
  <si>
    <t>Appraisal to Lender Underwriting</t>
  </si>
  <si>
    <t>Appraisal Adjusted to Lender Underwriting</t>
  </si>
  <si>
    <t>TR-12 Statement (9/2022) to Lender Underwriting</t>
  </si>
  <si>
    <t>TR-12 Statement (9/2022) (2022) to Quote</t>
  </si>
  <si>
    <t>GPR % Growth from Year to Year</t>
  </si>
  <si>
    <t>NRI % Growth from Year to Year</t>
  </si>
  <si>
    <t>EGI % Growth from Year to Year</t>
  </si>
  <si>
    <t>Expense % Growth from Year to Year</t>
  </si>
  <si>
    <t>NCF % Growth from Year to Year</t>
  </si>
  <si>
    <t>UW Cap Rate:</t>
  </si>
  <si>
    <t># Units:</t>
  </si>
  <si>
    <t>Loan:</t>
  </si>
  <si>
    <t>Exit Rate:</t>
  </si>
  <si>
    <t>Loan Per Unit:</t>
  </si>
  <si>
    <t>Exit LTV:</t>
  </si>
  <si>
    <t>UW Value:</t>
  </si>
  <si>
    <t>UW LTV:</t>
  </si>
  <si>
    <t>UW Value per Unit:</t>
  </si>
  <si>
    <t>Show_Mkt_Rent_Column</t>
  </si>
  <si>
    <t>Unit Type has No Units</t>
  </si>
  <si>
    <t>Rent Roll Analysis</t>
  </si>
  <si>
    <t>Rent Roll Date:</t>
  </si>
  <si>
    <t>All Units have matching Unit Type</t>
  </si>
  <si>
    <t xml:space="preserve"># of Unit Types: </t>
  </si>
  <si>
    <t>All Unit Types have at least one matching Unit</t>
  </si>
  <si>
    <t>Unit Types</t>
  </si>
  <si>
    <t>Underwriter Notes:</t>
  </si>
  <si>
    <t># Bedrooms =&gt;</t>
  </si>
  <si>
    <t># Bedrooms</t>
  </si>
  <si>
    <t>Vacant Unit</t>
  </si>
  <si>
    <t># Baths =&gt;</t>
  </si>
  <si>
    <t># Baths</t>
  </si>
  <si>
    <t>Market Rent</t>
  </si>
  <si>
    <t>Is Chapter 9</t>
  </si>
  <si>
    <t># Bedrooms / # Bathrooms =&gt;</t>
  </si>
  <si>
    <t>1 / 0</t>
  </si>
  <si>
    <t>0 / 0</t>
  </si>
  <si>
    <t>2 / 0</t>
  </si>
  <si>
    <t># Bedrooms / # Baths</t>
  </si>
  <si>
    <t>Source:</t>
  </si>
  <si>
    <t>Designated Unit Type =&gt;</t>
  </si>
  <si>
    <t>1 BR</t>
  </si>
  <si>
    <t>1 TH</t>
  </si>
  <si>
    <t>2 BR</t>
  </si>
  <si>
    <t>2 TH</t>
  </si>
  <si>
    <t>1 CH</t>
  </si>
  <si>
    <t>F</t>
  </si>
  <si>
    <t>G</t>
  </si>
  <si>
    <t>H</t>
  </si>
  <si>
    <t>I</t>
  </si>
  <si>
    <t>J</t>
  </si>
  <si>
    <t>K</t>
  </si>
  <si>
    <t>L</t>
  </si>
  <si>
    <t>M</t>
  </si>
  <si>
    <t>N</t>
  </si>
  <si>
    <t>O</t>
  </si>
  <si>
    <t>P</t>
  </si>
  <si>
    <t>Q</t>
  </si>
  <si>
    <t>R</t>
  </si>
  <si>
    <t>S</t>
  </si>
  <si>
    <t>T</t>
  </si>
  <si>
    <t>U</t>
  </si>
  <si>
    <t>V</t>
  </si>
  <si>
    <t>W</t>
  </si>
  <si>
    <t>X</t>
  </si>
  <si>
    <t>Y</t>
  </si>
  <si>
    <t>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</si>
  <si>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</si>
  <si>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</si>
  <si>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</si>
  <si>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</si>
  <si>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</si>
  <si>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</si>
  <si>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</si>
  <si>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</si>
  <si>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</si>
  <si>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</si>
  <si>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</si>
  <si>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</si>
  <si>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</si>
  <si>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</si>
  <si>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</si>
  <si>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</si>
  <si>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</si>
  <si>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</si>
  <si>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</si>
  <si>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</si>
  <si>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</si>
  <si>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</si>
  <si>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</si>
  <si>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</si>
  <si>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</si>
  <si>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</si>
  <si>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</si>
  <si>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</si>
  <si>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</si>
  <si>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</si>
  <si>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</si>
  <si>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</si>
  <si>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</si>
  <si>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</si>
  <si>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</si>
  <si>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</si>
  <si>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</si>
  <si>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</si>
  <si>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</si>
  <si>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</si>
  <si>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</si>
  <si>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</si>
  <si>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</si>
  <si>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</si>
  <si>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</si>
  <si>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</si>
  <si>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</si>
  <si>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</si>
  <si>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</si>
  <si>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</si>
  <si>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</si>
  <si>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</si>
  <si>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</si>
  <si>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</si>
  <si>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</si>
  <si>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</si>
  <si>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</si>
  <si>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</si>
  <si>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</si>
  <si>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</si>
  <si>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</si>
  <si>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</si>
  <si>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</si>
  <si>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</si>
  <si>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</si>
  <si>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</si>
  <si>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</si>
  <si>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</si>
  <si>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</si>
  <si>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</si>
  <si>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</si>
  <si>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</si>
  <si>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</si>
  <si>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</si>
  <si>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</si>
  <si>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</si>
  <si>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</si>
  <si>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</si>
  <si>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EA</t>
  </si>
  <si>
    <t>EB</t>
  </si>
  <si>
    <t>EC</t>
  </si>
  <si>
    <t>ED</t>
  </si>
  <si>
    <t>EE</t>
  </si>
  <si>
    <t>EF</t>
  </si>
  <si>
    <t>EG</t>
  </si>
  <si>
    <t>EH</t>
  </si>
  <si>
    <t>EI</t>
  </si>
  <si>
    <t>EJ</t>
  </si>
  <si>
    <t>EK</t>
  </si>
  <si>
    <t>EL</t>
  </si>
  <si>
    <t>EM</t>
  </si>
  <si>
    <t>EN</t>
  </si>
  <si>
    <t>EO</t>
  </si>
  <si>
    <t>EP</t>
  </si>
  <si>
    <t>EQ</t>
  </si>
  <si>
    <t>ER</t>
  </si>
  <si>
    <t>ES</t>
  </si>
  <si>
    <t>ET</t>
  </si>
  <si>
    <t>EU</t>
  </si>
  <si>
    <t>EV</t>
  </si>
  <si>
    <t>EW</t>
  </si>
  <si>
    <t>EX</t>
  </si>
  <si>
    <t>EY</t>
  </si>
  <si>
    <t>EZ</t>
  </si>
  <si>
    <t>FA</t>
  </si>
  <si>
    <t>FB</t>
  </si>
  <si>
    <t>FC</t>
  </si>
  <si>
    <t>FD</t>
  </si>
  <si>
    <t>FE</t>
  </si>
  <si>
    <t>FF</t>
  </si>
  <si>
    <t>FG</t>
  </si>
  <si>
    <t>FH</t>
  </si>
  <si>
    <t>FI</t>
  </si>
  <si>
    <t>FJ</t>
  </si>
  <si>
    <t>Unit Type</t>
  </si>
  <si>
    <t>Market Rent =&gt;</t>
  </si>
  <si>
    <t>Fannie Mae Affordability Estimator</t>
  </si>
  <si>
    <t>Fannie Mae Rent Roll Template</t>
  </si>
  <si>
    <t>Square Footage =&gt;</t>
  </si>
  <si>
    <t>Square Footage</t>
  </si>
  <si>
    <t>Market</t>
  </si>
  <si>
    <t>UW Rent Adjusted</t>
  </si>
  <si>
    <t>GPR/unit</t>
  </si>
  <si>
    <t>ERents</t>
  </si>
  <si>
    <t>Employee</t>
  </si>
  <si>
    <t>Model / 
Office</t>
  </si>
  <si>
    <t>Units w/o Matching Unit Type</t>
  </si>
  <si>
    <t>Unit #</t>
  </si>
  <si>
    <t>A) Number of 
Bedrooms Per Unit</t>
  </si>
  <si>
    <t>B) Monthly Rent Per Unit Type</t>
  </si>
  <si>
    <t>C) Number of Units Per Bedroom Type</t>
  </si>
  <si>
    <t>Unit Identifier</t>
  </si>
  <si>
    <t>Unit Suffix</t>
  </si>
  <si>
    <t>Tenant Name</t>
  </si>
  <si>
    <t>Unit Bedrooms Count</t>
  </si>
  <si>
    <t>Tenant Contract Rent Amount</t>
  </si>
  <si>
    <t>Utilities Included in Contract Rent Indicator</t>
  </si>
  <si>
    <t>AMI Percent Restriction Level</t>
  </si>
  <si>
    <t>Manufactured Housing Pad Only Rent Amount</t>
  </si>
  <si>
    <t>Manufactured Housing Rental Unit Only Rent Amount</t>
  </si>
  <si>
    <t>Manufactured Housing RV Pad Only Rent Amount</t>
  </si>
  <si>
    <t>Manufactured Housing Production Date Pre-1976 Year Indicator</t>
  </si>
  <si>
    <t>Market Comparable Rent Amount</t>
  </si>
  <si>
    <t>Subsidy Rent Type</t>
  </si>
  <si>
    <t>Subsidy Rent Detailed Amount</t>
  </si>
  <si>
    <t>Concession Amount</t>
  </si>
  <si>
    <t>Concession Term Count</t>
  </si>
  <si>
    <t>Seniors Housing Unit Care Segment Type</t>
  </si>
  <si>
    <t>Seniors Housing Care Or Service Fee Amount</t>
  </si>
  <si>
    <t>Private Pay Indicator</t>
  </si>
  <si>
    <t>Private Room Indicator</t>
  </si>
  <si>
    <t>Lease Status Type</t>
  </si>
  <si>
    <t>Unit Square Feet Number</t>
  </si>
  <si>
    <t>Subunit Type</t>
  </si>
  <si>
    <t>Unit Full Bathrooms Count</t>
  </si>
  <si>
    <t>Unit Half Bathrooms Count</t>
  </si>
  <si>
    <t>Additional Fee Type</t>
  </si>
  <si>
    <t>Additional Fee Detailed Amount</t>
  </si>
  <si>
    <t>Lease Begin Date</t>
  </si>
  <si>
    <t>Lease End Date</t>
  </si>
  <si>
    <t>Move In Date</t>
  </si>
  <si>
    <t>Move Out Date</t>
  </si>
  <si>
    <t>Paid Through Date</t>
  </si>
  <si>
    <t>Security Deposit Amount</t>
  </si>
  <si>
    <t>Seniors Housing Community Fee Amount</t>
  </si>
  <si>
    <t>Unit Charge Amount</t>
  </si>
  <si>
    <t>Unit Billing Amount</t>
  </si>
  <si>
    <t>Tenant Guarantee Indicator</t>
  </si>
  <si>
    <t>Lease Comment Text</t>
  </si>
  <si>
    <t>Floor Plan Name</t>
  </si>
  <si>
    <t>O/V</t>
  </si>
  <si>
    <t>Building #</t>
  </si>
  <si>
    <t>Market Rent per Rent Roll</t>
  </si>
  <si>
    <t>Tenant</t>
  </si>
  <si>
    <t>Contract
 Rent</t>
  </si>
  <si>
    <t>Rent
Adjustments</t>
  </si>
  <si>
    <t>UW Rent
Adjusted</t>
  </si>
  <si>
    <t>Concession</t>
  </si>
  <si>
    <t>Emp Allow</t>
  </si>
  <si>
    <t>Model
/Office</t>
  </si>
  <si>
    <t>Subsidy</t>
  </si>
  <si>
    <t>Lease Start Date</t>
  </si>
  <si>
    <t>Contract Rent</t>
  </si>
  <si>
    <t>Vacant at Market</t>
  </si>
  <si>
    <t>Erents</t>
  </si>
  <si>
    <t>1-100</t>
  </si>
  <si>
    <t>Williams, Lenon</t>
  </si>
  <si>
    <t>2 Bedroom Unit</t>
  </si>
  <si>
    <t>Occupied</t>
  </si>
  <si>
    <t>Apartment</t>
  </si>
  <si>
    <t>1-101</t>
  </si>
  <si>
    <t>Sutton, Charles</t>
  </si>
  <si>
    <t>1-102</t>
  </si>
  <si>
    <t>Salazar, Alondra</t>
  </si>
  <si>
    <t>1-103</t>
  </si>
  <si>
    <t>Mendoza, Ruben</t>
  </si>
  <si>
    <t>1-104</t>
  </si>
  <si>
    <t>Diep, Suong</t>
  </si>
  <si>
    <t>1-105</t>
  </si>
  <si>
    <t>Flores, Damian</t>
  </si>
  <si>
    <t>1-106</t>
  </si>
  <si>
    <t>Perez, Ruben</t>
  </si>
  <si>
    <t>1-107</t>
  </si>
  <si>
    <t>Fernandez, Juan</t>
  </si>
  <si>
    <t>2-200</t>
  </si>
  <si>
    <t>Farris, Tremaine</t>
  </si>
  <si>
    <t>1 Bedroom Unit</t>
  </si>
  <si>
    <t>2-201</t>
  </si>
  <si>
    <t>Justus O,  Ogunmeru</t>
  </si>
  <si>
    <t>2-202</t>
  </si>
  <si>
    <t>Violanti, Zachary</t>
  </si>
  <si>
    <t>2-203</t>
  </si>
  <si>
    <t>Robin, John</t>
  </si>
  <si>
    <t>2-204</t>
  </si>
  <si>
    <t>Marfiandra, Kevin</t>
  </si>
  <si>
    <t>2-205</t>
  </si>
  <si>
    <t>Aouadi,  Nejmeddine</t>
  </si>
  <si>
    <t>2-206</t>
  </si>
  <si>
    <t>Alexandra, Kleis</t>
  </si>
  <si>
    <t>2-207</t>
  </si>
  <si>
    <t>DAndrea,  Anthony</t>
  </si>
  <si>
    <t>2-208</t>
  </si>
  <si>
    <t>Nguyen, Anh</t>
  </si>
  <si>
    <t>2-209</t>
  </si>
  <si>
    <t>Garcia, Michael</t>
  </si>
  <si>
    <t>2-210</t>
  </si>
  <si>
    <t>McNeil, Linda</t>
  </si>
  <si>
    <t>2-211</t>
  </si>
  <si>
    <t>Stevens, William</t>
  </si>
  <si>
    <t>2-212</t>
  </si>
  <si>
    <t>Rivera, Antonie</t>
  </si>
  <si>
    <t>2-213</t>
  </si>
  <si>
    <t>Minjarez, Auden</t>
  </si>
  <si>
    <t>2-214</t>
  </si>
  <si>
    <t>De la Cruz,  Neftali</t>
  </si>
  <si>
    <t>2-215</t>
  </si>
  <si>
    <t>Ezenwa, Nkechi</t>
  </si>
  <si>
    <t>3-300</t>
  </si>
  <si>
    <t>Cuai, Blak</t>
  </si>
  <si>
    <t>3-301</t>
  </si>
  <si>
    <t>Portillo-Rodriguez , Sergio</t>
  </si>
  <si>
    <t>3-302</t>
  </si>
  <si>
    <t>HI-TECH  ELECTRIC,  INC., *</t>
  </si>
  <si>
    <t>3-303</t>
  </si>
  <si>
    <t>Molina Jr., Paul</t>
  </si>
  <si>
    <t>3-304</t>
  </si>
  <si>
    <t>Been, Jennifer</t>
  </si>
  <si>
    <t>Vacant</t>
  </si>
  <si>
    <t>3-305</t>
  </si>
  <si>
    <t>VACANT</t>
  </si>
  <si>
    <t>3-306</t>
  </si>
  <si>
    <t>Gonzalez, Oscar</t>
  </si>
  <si>
    <t>3-307</t>
  </si>
  <si>
    <t>Melvin, Presley</t>
  </si>
  <si>
    <t>4-400</t>
  </si>
  <si>
    <t>Leland, Matthew</t>
  </si>
  <si>
    <t>0 Bedroom Unit (Efficiency/Studio)</t>
  </si>
  <si>
    <t>4-401</t>
  </si>
  <si>
    <t>4-402</t>
  </si>
  <si>
    <t>Alvarado, Jovana</t>
  </si>
  <si>
    <t>4-403</t>
  </si>
  <si>
    <t>Baker, Elizabeth</t>
  </si>
  <si>
    <t>4-404</t>
  </si>
  <si>
    <t>Taylor, Ashley</t>
  </si>
  <si>
    <t>4-405</t>
  </si>
  <si>
    <t>Webb, Keara</t>
  </si>
  <si>
    <t>4-406</t>
  </si>
  <si>
    <t>4-407</t>
  </si>
  <si>
    <t>Chang, Kristina</t>
  </si>
  <si>
    <t>4-408</t>
  </si>
  <si>
    <t>Fragoso, Jose</t>
  </si>
  <si>
    <t>4-409</t>
  </si>
  <si>
    <t>Martinez, Soledad</t>
  </si>
  <si>
    <t>4-410</t>
  </si>
  <si>
    <t>Rios, Natalie</t>
  </si>
  <si>
    <t>4-411</t>
  </si>
  <si>
    <t>Bealies, Austin</t>
  </si>
  <si>
    <t>5-500</t>
  </si>
  <si>
    <t>Patnode,  Zachary</t>
  </si>
  <si>
    <t>5-501</t>
  </si>
  <si>
    <t>Dunn, Marvin</t>
  </si>
  <si>
    <t>5-502</t>
  </si>
  <si>
    <t>Coffield ,  Zachary</t>
  </si>
  <si>
    <t>5-503</t>
  </si>
  <si>
    <t>Jefferson, Jamil</t>
  </si>
  <si>
    <t>5-504</t>
  </si>
  <si>
    <t>Mcfadin, James</t>
  </si>
  <si>
    <t>5-505</t>
  </si>
  <si>
    <t>Atchison, Angela</t>
  </si>
  <si>
    <t>5-506</t>
  </si>
  <si>
    <t>Rivera, Amber</t>
  </si>
  <si>
    <t>5-507</t>
  </si>
  <si>
    <t>Marshall, Kody</t>
  </si>
  <si>
    <t>5-508</t>
  </si>
  <si>
    <t>Martinez, Adan</t>
  </si>
  <si>
    <t>5-509</t>
  </si>
  <si>
    <t>Martinez, Eurigue</t>
  </si>
  <si>
    <t>5-510</t>
  </si>
  <si>
    <t>Ayala, Joanna</t>
  </si>
  <si>
    <t>5-511</t>
  </si>
  <si>
    <t>Peters, Dillon</t>
  </si>
  <si>
    <t>5-512</t>
  </si>
  <si>
    <t>Villegas, Josie</t>
  </si>
  <si>
    <t>5-513</t>
  </si>
  <si>
    <t>Emmauel,  Agbelusi</t>
  </si>
  <si>
    <t>6-600</t>
  </si>
  <si>
    <t>Jackson, Johnny</t>
  </si>
  <si>
    <t>6-601</t>
  </si>
  <si>
    <t>Gonzales,  Christopher</t>
  </si>
  <si>
    <t>6-602</t>
  </si>
  <si>
    <t>Davis, Dena</t>
  </si>
  <si>
    <t>6-603</t>
  </si>
  <si>
    <t>West, Rebecca</t>
  </si>
  <si>
    <t>6-604</t>
  </si>
  <si>
    <t>Valenzuela, Evan</t>
  </si>
  <si>
    <t>6-605</t>
  </si>
  <si>
    <t>Hulett, Larry</t>
  </si>
  <si>
    <t>6-606</t>
  </si>
  <si>
    <t>Dorais, Kyla</t>
  </si>
  <si>
    <t>6-607</t>
  </si>
  <si>
    <t>Nelson, Daijia</t>
  </si>
  <si>
    <t>6-608</t>
  </si>
  <si>
    <t>Sigala, David</t>
  </si>
  <si>
    <t>6-609</t>
  </si>
  <si>
    <t>Mundell,  Stephano</t>
  </si>
  <si>
    <t>6-610</t>
  </si>
  <si>
    <t>Trujillo, Jose</t>
  </si>
  <si>
    <t>6-611</t>
  </si>
  <si>
    <t>Acharya, Kiran</t>
  </si>
  <si>
    <t>6-612</t>
  </si>
  <si>
    <t>Dean, Logan</t>
  </si>
  <si>
    <t>6-613</t>
  </si>
  <si>
    <t>Taylor, Richard</t>
  </si>
  <si>
    <t>6-614</t>
  </si>
  <si>
    <t>Taamilo,  Wynonna</t>
  </si>
  <si>
    <t>6-615</t>
  </si>
  <si>
    <t>Ruiz, Jose</t>
  </si>
  <si>
    <t>7-700</t>
  </si>
  <si>
    <t>Perkins, Di`Sha</t>
  </si>
  <si>
    <t>7-701</t>
  </si>
  <si>
    <t>Walters, Kailyn</t>
  </si>
  <si>
    <t>7-702</t>
  </si>
  <si>
    <t>Sanchez, Refugio</t>
  </si>
  <si>
    <t>7-703</t>
  </si>
  <si>
    <t>Gibson, Thomas</t>
  </si>
  <si>
    <t>7-704</t>
  </si>
  <si>
    <t>Guel, Starlett</t>
  </si>
  <si>
    <t>7-705</t>
  </si>
  <si>
    <t>7-706</t>
  </si>
  <si>
    <t>Ogunbajo, Abiola</t>
  </si>
  <si>
    <t>7-707</t>
  </si>
  <si>
    <t>Blekestad,  Catherine</t>
  </si>
  <si>
    <t>7-708</t>
  </si>
  <si>
    <t>Pesson, Tony</t>
  </si>
  <si>
    <t>7-709</t>
  </si>
  <si>
    <t>Perez, Christian</t>
  </si>
  <si>
    <t>7-710</t>
  </si>
  <si>
    <t>Bahm, Elissa</t>
  </si>
  <si>
    <t>7-711</t>
  </si>
  <si>
    <t>Mbakwa, Festus</t>
  </si>
  <si>
    <t>7-712</t>
  </si>
  <si>
    <t>Montonez,  Josemar</t>
  </si>
  <si>
    <t>7-713</t>
  </si>
  <si>
    <t>Villa, Gilbert</t>
  </si>
  <si>
    <t>8-800</t>
  </si>
  <si>
    <t>Walls, Joel</t>
  </si>
  <si>
    <t>8-801</t>
  </si>
  <si>
    <t>Daniels, Amy</t>
  </si>
  <si>
    <t>8-802</t>
  </si>
  <si>
    <t>Rios, Sugey</t>
  </si>
  <si>
    <t>8-803</t>
  </si>
  <si>
    <t>Hernandez,  Douglas</t>
  </si>
  <si>
    <t>8-804</t>
  </si>
  <si>
    <t>Paramo,  Stephanie</t>
  </si>
  <si>
    <t>8-805</t>
  </si>
  <si>
    <t>Spake, Mchenzi</t>
  </si>
  <si>
    <t>8-806</t>
  </si>
  <si>
    <t>Pertile, Megan</t>
  </si>
  <si>
    <t>8-807</t>
  </si>
  <si>
    <t>8-808</t>
  </si>
  <si>
    <t>Muhammad,  Keith</t>
  </si>
  <si>
    <t>8-809</t>
  </si>
  <si>
    <t>Roberts, Norman</t>
  </si>
  <si>
    <t>8-810</t>
  </si>
  <si>
    <t>Turner, Shawna</t>
  </si>
  <si>
    <t>8-811</t>
  </si>
  <si>
    <t>Rickard, Ryan</t>
  </si>
  <si>
    <t>9-900</t>
  </si>
  <si>
    <t>Madrid, Joshua</t>
  </si>
  <si>
    <t>Total Rent/Month:</t>
  </si>
  <si>
    <t>Total Occupied Units:</t>
  </si>
  <si>
    <t>Total Vacant Units:</t>
  </si>
  <si>
    <t>% Unit Type:</t>
  </si>
  <si>
    <t>Average Rent/Month:</t>
  </si>
  <si>
    <t>GPR/Month:</t>
  </si>
  <si>
    <t>Annual GPR:</t>
  </si>
  <si>
    <t>No. Vacant Units:</t>
  </si>
  <si>
    <t>Leased Rents (Including Model and Emp):</t>
  </si>
  <si>
    <t>% Vacant:</t>
  </si>
  <si>
    <t>Vacant Units at Market:</t>
  </si>
  <si>
    <t>Physical Occupancy:</t>
  </si>
  <si>
    <t>UW Economic Occupancy:</t>
  </si>
  <si>
    <t>Gross Potential Rent Per Month (GPR):</t>
  </si>
  <si>
    <t>Gross Potential Rent Annualized (GPR):</t>
  </si>
  <si>
    <t>Total Units:</t>
  </si>
  <si>
    <t>Commercial Building Rent Roll and Underwriting</t>
  </si>
  <si>
    <t>Unit</t>
  </si>
  <si>
    <t>Name</t>
  </si>
  <si>
    <t>Square Feet</t>
  </si>
  <si>
    <t>Actual Rent</t>
  </si>
  <si>
    <t>Rent psf p.a.</t>
  </si>
  <si>
    <t>Lease Start
Date</t>
  </si>
  <si>
    <t>Lease End
Date</t>
  </si>
  <si>
    <t>Total</t>
  </si>
  <si>
    <t>Actual Monthly Rent:</t>
  </si>
  <si>
    <t>Actual Annual Rent:</t>
  </si>
  <si>
    <t>Vacancy (10%):</t>
  </si>
  <si>
    <t>EGI:</t>
  </si>
  <si>
    <t>Commercial Income as % of UW EGI:</t>
  </si>
  <si>
    <t>Landlord Expenses</t>
  </si>
  <si>
    <t>Management:</t>
  </si>
  <si>
    <t>Taxes:</t>
  </si>
  <si>
    <t>Insurance:</t>
  </si>
  <si>
    <t>Common Area Utilities Plus 2 Apts:</t>
  </si>
  <si>
    <t>Other:</t>
  </si>
  <si>
    <t>Reserves for Leasing Commissions:</t>
  </si>
  <si>
    <t>on commercial only</t>
  </si>
  <si>
    <t>Reserves for T&amp;I:</t>
  </si>
  <si>
    <t>Reserves for Apts:</t>
  </si>
  <si>
    <t>per unit</t>
  </si>
  <si>
    <t>Total Expenses:</t>
  </si>
  <si>
    <t>NOI of Commercial Space:</t>
  </si>
  <si>
    <t>Underwritten Commercial NOI:</t>
  </si>
  <si>
    <t>underwriter used appraisers numbers</t>
  </si>
  <si>
    <t>OS 1 Yr Back</t>
  </si>
  <si>
    <t>OS 2 Yr Back</t>
  </si>
  <si>
    <t>OS 3 Yr Back</t>
  </si>
  <si>
    <t>OS 1-Yr Back</t>
  </si>
  <si>
    <t>OS 2-Yr Back</t>
  </si>
  <si>
    <t>OS 3-Yr Back</t>
  </si>
  <si>
    <t>Show All</t>
  </si>
  <si>
    <r>
      <t>User Categorization</t>
    </r>
    <r>
      <rPr>
        <b/>
        <family val="2"/>
        <rFont val="Calibri"/>
        <scheme val="minor"/>
        <sz val="9"/>
      </rPr>
      <t xml:space="preserve"> (Double-click cells below for Smart pull-down)</t>
    </r>
  </si>
  <si>
    <t>Enodo Categorization</t>
  </si>
  <si>
    <t>Expense Line Items</t>
  </si>
  <si>
    <t>TOTAL</t>
  </si>
  <si>
    <t>User Categorization</t>
  </si>
  <si>
    <t>Appraiser's Line Items</t>
  </si>
  <si>
    <t>Appraisal Total</t>
  </si>
  <si>
    <t>Adjusted Appraisal Total</t>
  </si>
  <si>
    <t>Avg</t>
  </si>
  <si>
    <t>StDev</t>
  </si>
  <si>
    <t>Less Concessions (income line item)</t>
  </si>
  <si>
    <t>RUBS (income line item)</t>
  </si>
  <si>
    <t>RUBS (expense line item)</t>
  </si>
  <si>
    <t>Net Rental Income Analysis</t>
  </si>
  <si>
    <t>Historical Collections
(Adjusted for Non-Revenue Units)</t>
  </si>
  <si>
    <t>Discretionary Adjustments</t>
  </si>
  <si>
    <t>Report</t>
  </si>
  <si>
    <t>Add Back</t>
  </si>
  <si>
    <t xml:space="preserve">% of </t>
  </si>
  <si>
    <t>Economic</t>
  </si>
  <si>
    <t>Net Rental</t>
  </si>
  <si>
    <t>"X"</t>
  </si>
  <si>
    <t>Adj. Economic</t>
  </si>
  <si>
    <t>Adjusted NRI</t>
  </si>
  <si>
    <t>GPR</t>
  </si>
  <si>
    <t>Model/Office</t>
  </si>
  <si>
    <t>Total GPR</t>
  </si>
  <si>
    <t>Concessions</t>
  </si>
  <si>
    <t>Bad Debt</t>
  </si>
  <si>
    <t>Collections</t>
  </si>
  <si>
    <t>Adjustment</t>
  </si>
  <si>
    <t>January</t>
  </si>
  <si>
    <t>February</t>
  </si>
  <si>
    <t>March</t>
  </si>
  <si>
    <t>April</t>
  </si>
  <si>
    <t>May</t>
  </si>
  <si>
    <t>June</t>
  </si>
  <si>
    <t>July</t>
  </si>
  <si>
    <t>August</t>
  </si>
  <si>
    <t>September</t>
  </si>
  <si>
    <t>October</t>
  </si>
  <si>
    <t>November</t>
  </si>
  <si>
    <t>December</t>
  </si>
  <si>
    <t>Last Month</t>
  </si>
  <si>
    <t>NRI (Un-Adj)</t>
  </si>
  <si>
    <t>NRI (Adj)</t>
  </si>
  <si>
    <t>Tr-1</t>
  </si>
  <si>
    <t>Tr-3</t>
  </si>
  <si>
    <t>Tr-6</t>
  </si>
  <si>
    <t>Tr-9</t>
  </si>
  <si>
    <t>Tr-12</t>
  </si>
  <si>
    <t>Last</t>
  </si>
  <si>
    <t>NRI (T12)</t>
  </si>
  <si>
    <t>Hist. Ops (T12)</t>
  </si>
  <si>
    <t>NRI ANALYSIS</t>
  </si>
  <si>
    <t>Rent Roll (Date):</t>
  </si>
  <si>
    <t>Unit Count</t>
  </si>
  <si>
    <t>Occ.</t>
  </si>
  <si>
    <t>Cert. by Lender and Borr.:</t>
  </si>
  <si>
    <t>Underwritten NRI</t>
  </si>
  <si>
    <t>Contract Rents:</t>
  </si>
  <si>
    <t>96 Units</t>
  </si>
  <si>
    <t>Vacant Units @ market:</t>
  </si>
  <si>
    <t>5 Units</t>
  </si>
  <si>
    <t>Model Units @ market:</t>
  </si>
  <si>
    <t>0 Units</t>
  </si>
  <si>
    <t>Employee Discounts:</t>
  </si>
  <si>
    <t>Total Rents per month:</t>
  </si>
  <si>
    <t>Annualized:</t>
  </si>
  <si>
    <t>Total Physical Occ.</t>
  </si>
  <si>
    <t>Underwritten NRI Variance</t>
  </si>
  <si>
    <t>UW GPR:</t>
  </si>
  <si>
    <t xml:space="preserve">UW Vs. </t>
  </si>
  <si>
    <t>NRI Trend Analysis</t>
  </si>
  <si>
    <t xml:space="preserve">NRI Adjustment Calculation (If Applicable) </t>
  </si>
  <si>
    <t>T-3 Vs. T-6:</t>
  </si>
  <si>
    <t>Pre-Review Required:</t>
  </si>
  <si>
    <t xml:space="preserve"> NRI Adjustment:</t>
  </si>
  <si>
    <t>T-3 Vs. T-12:</t>
  </si>
  <si>
    <t>Min. 2% Adj. Required:</t>
  </si>
  <si>
    <t>Adjusted NRI:</t>
  </si>
  <si>
    <t xml:space="preserve">Notes: </t>
  </si>
  <si>
    <t xml:space="preserve">Adjusted Rent Collections </t>
  </si>
  <si>
    <t>E</t>
  </si>
  <si>
    <t>B</t>
  </si>
  <si>
    <t>Y-Axis Label</t>
  </si>
  <si>
    <t>NRI</t>
  </si>
  <si>
    <t>21</t>
  </si>
  <si>
    <t>Oct-21</t>
  </si>
  <si>
    <t>22</t>
  </si>
  <si>
    <t>Nov-21</t>
  </si>
  <si>
    <t>Dec-21</t>
  </si>
  <si>
    <t>Jan-22</t>
  </si>
  <si>
    <t>Feb-22</t>
  </si>
  <si>
    <t>Mar-22</t>
  </si>
  <si>
    <t>Apr-22</t>
  </si>
  <si>
    <t>May-22</t>
  </si>
  <si>
    <t>Jun-22</t>
  </si>
  <si>
    <t>Jul-22</t>
  </si>
  <si>
    <t>Aug-22</t>
  </si>
  <si>
    <t>Sep-22</t>
  </si>
  <si>
    <t>Expense Comparable Analysis</t>
  </si>
  <si>
    <t>Enodo Expense Comps</t>
  </si>
  <si>
    <t>Expense Year:</t>
  </si>
  <si>
    <t>Lender's Expense Comparables</t>
  </si>
  <si>
    <t>2022 Per Unit Expenses</t>
  </si>
  <si>
    <t>2021 - 2022</t>
  </si>
  <si>
    <t>#</t>
  </si>
  <si>
    <t>Project Name</t>
  </si>
  <si>
    <t>Similarity</t>
  </si>
  <si>
    <t>Units/Beds</t>
  </si>
  <si>
    <t>Occ</t>
  </si>
  <si>
    <t>Mgmt. % of EGI</t>
  </si>
  <si>
    <t>Mgmt.</t>
  </si>
  <si>
    <t>Adv</t>
  </si>
  <si>
    <t>Prof</t>
  </si>
  <si>
    <t>Admin</t>
  </si>
  <si>
    <t>W&amp;S</t>
  </si>
  <si>
    <t>R&amp;M</t>
  </si>
  <si>
    <t>Insur- ance</t>
  </si>
  <si>
    <t>RET</t>
  </si>
  <si>
    <t>RR</t>
  </si>
  <si>
    <t>Total (less RET and RR)</t>
  </si>
  <si>
    <t>% Diff</t>
  </si>
  <si>
    <t>% of EGI</t>
  </si>
  <si>
    <t>Prior NCF</t>
  </si>
  <si>
    <t>NCF Change</t>
  </si>
  <si>
    <t>Prior DSCR</t>
  </si>
  <si>
    <t>UW Loan Amt</t>
  </si>
  <si>
    <t>UW NCF</t>
  </si>
  <si>
    <t>Orig. Year</t>
  </si>
  <si>
    <t>Payroll + R&amp;M</t>
  </si>
  <si>
    <t>Payroll + R&amp;M + Admin + Prof + Adv</t>
  </si>
  <si>
    <t>Maximum</t>
  </si>
  <si>
    <t>UW</t>
  </si>
  <si>
    <t>Appraiser's Expense Comparables</t>
  </si>
  <si>
    <t>DUS Insights Expense Comparables</t>
  </si>
  <si>
    <t>Borrower's Portfolio Expenses</t>
  </si>
  <si>
    <t>XXXX - Unit Mix</t>
  </si>
  <si>
    <t>HasUnitCountsMatch</t>
  </si>
  <si>
    <t>Warning - Unit Counts for DataPage and Unit Counts for Rent Comps don't match</t>
  </si>
  <si>
    <t>%</t>
  </si>
  <si>
    <t># of
Bedrooms</t>
  </si>
  <si>
    <t># of
Baths</t>
  </si>
  <si>
    <t>Size
(sq ft)</t>
  </si>
  <si>
    <t>Market
Rent/mo</t>
  </si>
  <si>
    <t>Market
Rent/sq ft</t>
  </si>
  <si>
    <t>Total Rent /mo</t>
  </si>
  <si>
    <t>Average Actual
Rent/mo</t>
  </si>
  <si>
    <t>Avg Actual
Rent/mo w/ Conc</t>
  </si>
  <si>
    <t>Average Actual
Rent/sq ft</t>
  </si>
  <si>
    <t>Units Occupied</t>
  </si>
  <si>
    <t>Units
Vacant</t>
  </si>
  <si>
    <t>% Physically
Vacant</t>
  </si>
  <si>
    <t>Designated Unit Type</t>
  </si>
  <si>
    <t>Column in RR</t>
  </si>
  <si>
    <t>UnitMix_UnitTypesRowVisibility</t>
  </si>
  <si>
    <t>1/0</t>
  </si>
  <si>
    <t>0/0</t>
  </si>
  <si>
    <t>2/0</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</si>
  <si>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</si>
  <si>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</si>
  <si>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</si>
  <si>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</si>
  <si>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</si>
  <si>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</si>
  <si>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</si>
  <si>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</si>
  <si>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</si>
  <si>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</si>
  <si>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</si>
  <si>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</si>
  <si>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</si>
  <si>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</si>
  <si>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</si>
  <si>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</si>
  <si>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</si>
  <si>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</si>
  <si>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</si>
  <si>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</si>
  <si>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</si>
  <si>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</si>
  <si>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</si>
  <si>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</si>
  <si>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</si>
  <si>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</si>
  <si>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r>
      <t>NRA (ft</t>
    </r>
    <r>
      <rPr>
        <color theme="1"/>
        <family val="2"/>
        <rFont val="Calibri"/>
        <scheme val="minor"/>
        <sz val="10"/>
        <vertAlign val="superscript"/>
      </rPr>
      <t>2</t>
    </r>
    <r>
      <rPr>
        <color theme="1"/>
        <family val="2"/>
        <rFont val="Calibri"/>
        <scheme val="minor"/>
        <sz val="10"/>
      </rPr>
      <t>)</t>
    </r>
  </si>
  <si>
    <t>Housing Affordability</t>
  </si>
  <si>
    <t>Submarket Average Market Rent:</t>
  </si>
  <si>
    <t>Difference (Subject vs. Submarket):</t>
  </si>
  <si>
    <t>Submarket Inventory:</t>
  </si>
  <si>
    <t>Median Sales Price of Existing Homes:</t>
  </si>
  <si>
    <t>Units under construction in Submarket:</t>
  </si>
  <si>
    <t>Avg. 30-yr fixed mortgage int. rate:</t>
  </si>
  <si>
    <t>Inventory Growth:</t>
  </si>
  <si>
    <t>Mort. Payment (assuming 10% down &amp; 1.5% T&amp;I):</t>
  </si>
  <si>
    <t>Percentage home ownership to rentals:</t>
  </si>
  <si>
    <t>% Difference between Mortgage Cost &amp; Subject Rent:</t>
  </si>
  <si>
    <t>For Unit Mix on Data Page</t>
  </si>
  <si>
    <t>Avg Actual Rent/mo</t>
  </si>
  <si>
    <t>Total Sq. Ft.</t>
  </si>
  <si>
    <t>Avg Sq. Ft.</t>
  </si>
  <si>
    <t>2BR / 1.0BA</t>
  </si>
  <si>
    <t>2BR / 1.5BA</t>
  </si>
  <si>
    <t>2BR / 2.0BA</t>
  </si>
  <si>
    <t>2BR / 2.5BA</t>
  </si>
  <si>
    <t>For Unit Mix on Rent Comps (not implemented for SBL Sizer)</t>
  </si>
  <si>
    <t>UnitMix_RentCompsRowVisibility</t>
  </si>
  <si>
    <t>Avg Act Rent</t>
  </si>
  <si>
    <t>Sqft</t>
  </si>
  <si>
    <t>Floorplans</t>
  </si>
  <si>
    <t>Property Name: XXXX</t>
  </si>
  <si>
    <t># Borrowers</t>
  </si>
  <si>
    <t># KPs / Guarantors</t>
  </si>
  <si>
    <t># Principals</t>
  </si>
  <si>
    <t>Entity Information:</t>
  </si>
  <si>
    <t>Borrower #1</t>
  </si>
  <si>
    <t>Borrower #2</t>
  </si>
  <si>
    <t>Borrower #3</t>
  </si>
  <si>
    <t>Borrower #4</t>
  </si>
  <si>
    <t>Borrower #5</t>
  </si>
  <si>
    <t>Borrower #6</t>
  </si>
  <si>
    <t>Borrower #7</t>
  </si>
  <si>
    <t>Borrower #8</t>
  </si>
  <si>
    <t>Borrower #9</t>
  </si>
  <si>
    <t>Borrower #10</t>
  </si>
  <si>
    <t>KP #1</t>
  </si>
  <si>
    <t>KP #2</t>
  </si>
  <si>
    <t>KP #3</t>
  </si>
  <si>
    <t>KP #4</t>
  </si>
  <si>
    <t>KP #5</t>
  </si>
  <si>
    <t>KP #6</t>
  </si>
  <si>
    <t>KP #7</t>
  </si>
  <si>
    <t>KP #8</t>
  </si>
  <si>
    <t>Principal #1</t>
  </si>
  <si>
    <t>Principal #2</t>
  </si>
  <si>
    <t>Principal #3</t>
  </si>
  <si>
    <t>Principal #4</t>
  </si>
  <si>
    <t>Principal #5</t>
  </si>
  <si>
    <t>Principal #6</t>
  </si>
  <si>
    <t>Principal #7</t>
  </si>
  <si>
    <t>Principal #8</t>
  </si>
  <si>
    <t>Principal #9</t>
  </si>
  <si>
    <t>Principal #10</t>
  </si>
  <si>
    <t>Principal #11</t>
  </si>
  <si>
    <t>Principal #12</t>
  </si>
  <si>
    <t>Principal #13</t>
  </si>
  <si>
    <t>Principal #14</t>
  </si>
  <si>
    <t>Principal #15</t>
  </si>
  <si>
    <t>&lt;=  Hide unneeded columns, do not delete.</t>
  </si>
  <si>
    <t>Name: max length of 50 characters, no illegal characters: ", ', &lt;, &gt;, &amp;</t>
  </si>
  <si>
    <t xml:space="preserve">  Deleting columns will cause C&amp;D Export to fail.</t>
  </si>
  <si>
    <t>Financial Information Waived?</t>
  </si>
  <si>
    <t>Financial Information Dated:</t>
  </si>
  <si>
    <t>Assets</t>
  </si>
  <si>
    <t>Bank Cash &amp; Certificates of Deposit</t>
  </si>
  <si>
    <t>Marketable Securities</t>
  </si>
  <si>
    <t>Total Cash and Equivalent</t>
  </si>
  <si>
    <t>Unlisted Stocks or Value in Closely Held Companies</t>
  </si>
  <si>
    <t>Value of Personal Residences</t>
  </si>
  <si>
    <t>Value of Other Real Estate</t>
  </si>
  <si>
    <t>Value of all Real Estate</t>
  </si>
  <si>
    <t>Accounts Receivable</t>
  </si>
  <si>
    <t>Notes Receivable</t>
  </si>
  <si>
    <t>IRA's/Life Insurance</t>
  </si>
  <si>
    <t>Other Assets</t>
  </si>
  <si>
    <t>Sub-Total Other Assets</t>
  </si>
  <si>
    <t>Total Assets</t>
  </si>
  <si>
    <t>Liabilities</t>
  </si>
  <si>
    <t>Secured by Personal Residence</t>
  </si>
  <si>
    <t>Secured by Other Real Estate Owned</t>
  </si>
  <si>
    <t>Sub-Total of all Real Estate</t>
  </si>
  <si>
    <t>Accounts Payable</t>
  </si>
  <si>
    <t>Notes Payable</t>
  </si>
  <si>
    <t>Other Liabilities</t>
  </si>
  <si>
    <t>Sub-Total Other Liabilities</t>
  </si>
  <si>
    <t>TOTAL LIABILITIES</t>
  </si>
  <si>
    <t>Net Worth</t>
  </si>
  <si>
    <t>Approximate cash flow from real estate?</t>
  </si>
  <si>
    <t>Contingent Liabilities</t>
  </si>
  <si>
    <t>Current Liabilities</t>
  </si>
  <si>
    <t>Amount of Liquidity Verified (KP's Only)</t>
  </si>
  <si>
    <t>% of Liquidity Verified</t>
  </si>
  <si>
    <t>Prior W&amp;D experience?, If yes = $</t>
  </si>
  <si>
    <t>Prior FNMA experience?, If yes = $</t>
  </si>
  <si>
    <t>C&amp;D Participant Role</t>
  </si>
  <si>
    <t>Liquidity Ratio:</t>
  </si>
  <si>
    <t>Tangible Net Worth Ratio:</t>
  </si>
  <si>
    <t>Portfolio DSCR:</t>
  </si>
  <si>
    <t>Borrower's, Key Principal's and Principals Credit Information:</t>
  </si>
  <si>
    <t>Domestic Borrower?</t>
  </si>
  <si>
    <t>Single asset entity:</t>
  </si>
  <si>
    <t>Type of Entity:</t>
  </si>
  <si>
    <t>Date Formed:</t>
  </si>
  <si>
    <t>Address:</t>
  </si>
  <si>
    <t>City:</t>
  </si>
  <si>
    <t>State:</t>
  </si>
  <si>
    <t>Zip:</t>
  </si>
  <si>
    <t>Years of Ownership/Mgmt Experience:</t>
  </si>
  <si>
    <t>Years of Mgmt Experience in this Market:</t>
  </si>
  <si>
    <t>Percent of Ownership:</t>
  </si>
  <si>
    <t>Credit Checks</t>
  </si>
  <si>
    <t>Date of Credit Report/Public Record Search:</t>
  </si>
  <si>
    <t>Fico Score</t>
  </si>
  <si>
    <t>Date of AEC?</t>
  </si>
  <si>
    <t>Date of Google Search?</t>
  </si>
  <si>
    <t>Date of OFAC?</t>
  </si>
  <si>
    <t>Date of Lexis/Nexis?</t>
  </si>
  <si>
    <t>Date of LDP (HUD):</t>
  </si>
  <si>
    <t>Date of EPLS (HUD)</t>
  </si>
  <si>
    <t>Date of Suspended CP (FHFA)</t>
  </si>
  <si>
    <t>Courtlink Search</t>
  </si>
  <si>
    <t>FRM Report ("N/A" if not required for the transaction)</t>
  </si>
  <si>
    <t>Credit Check Acceptable?</t>
  </si>
  <si>
    <t>Combined KP Net Worth / 0.00% of Loan Amount</t>
  </si>
  <si>
    <t>Combined KP Liquidity  / 0.00% of Loan Amount</t>
  </si>
  <si>
    <t>Bottom Righthand Corner Cell</t>
  </si>
  <si>
    <t>Combined KP Net Worth as % of Loan Amount</t>
  </si>
  <si>
    <t>Combined KP Liquidity as % of Loan Amount</t>
  </si>
  <si>
    <t>Schedule of Real Estate Owned</t>
  </si>
  <si>
    <t>Key Principal:</t>
  </si>
  <si>
    <t>NOTE - FOR OCC % PLEASE REFLECT CURRENT OCCUPANCY BASED ON % OF TENANTS CURRENTLY PAYING RENT</t>
  </si>
  <si>
    <t>Property Info</t>
  </si>
  <si>
    <t>Debt</t>
  </si>
  <si>
    <t>Cash Flow</t>
  </si>
  <si>
    <t>Valuation</t>
  </si>
  <si>
    <t>Lender Valuation</t>
  </si>
  <si>
    <t>Ownership</t>
  </si>
  <si>
    <t>Stress DSCR Test</t>
  </si>
  <si>
    <t>Property 
Name</t>
  </si>
  <si>
    <t>Asset Type</t>
  </si>
  <si>
    <t>Units</t>
  </si>
  <si>
    <t>Occ. 
%</t>
  </si>
  <si>
    <t>Owned Since</t>
  </si>
  <si>
    <t>Status</t>
  </si>
  <si>
    <t>Outstanding Loan(s)</t>
  </si>
  <si>
    <t>Supplemental Loan(s)</t>
  </si>
  <si>
    <t>Total Loan(s)</t>
  </si>
  <si>
    <t>Combined Annual Debt Service</t>
  </si>
  <si>
    <t>Interest Rate 
(1st / 2nd)</t>
  </si>
  <si>
    <t>IO or Amortizing Debt Service</t>
  </si>
  <si>
    <t>Maturity Date(s)</t>
  </si>
  <si>
    <t>Lender(s)</t>
  </si>
  <si>
    <t>FNMA 
or 
FRE Mac Loan</t>
  </si>
  <si>
    <t>Forbearance Requested/Granted due to Covid-19 (Y/N)</t>
  </si>
  <si>
    <t>NCF
(before Debt Service)</t>
  </si>
  <si>
    <t>Total
DCR</t>
  </si>
  <si>
    <t>Market Value</t>
  </si>
  <si>
    <t>Value per Unit</t>
  </si>
  <si>
    <t>Implied Cap Rate</t>
  </si>
  <si>
    <t>XXXX Ownership Role</t>
  </si>
  <si>
    <t>XXXX Ownership Interest</t>
  </si>
  <si>
    <t>Total Equity</t>
  </si>
  <si>
    <t>Total CF</t>
  </si>
  <si>
    <t>Amount of Recourse</t>
  </si>
  <si>
    <t>MV per Stressed Cap Rate</t>
  </si>
  <si>
    <t>Stressed LTV</t>
  </si>
  <si>
    <t>Debt Service at Stressed Interest Rate</t>
  </si>
  <si>
    <t>KP Equity / Cash Flow:</t>
  </si>
  <si>
    <t>Equity / Cash Flow:</t>
  </si>
  <si>
    <t>W&amp;D Loans</t>
  </si>
  <si>
    <t>FNMA Loans</t>
  </si>
  <si>
    <t>Commercial/Retail/Office</t>
  </si>
  <si>
    <t>NOTE - FOR OCC % PLEASE REFLECT CURRENT OCCUPANCY BASED ON % OF TENANTS CURRENTLY PAYING RENT AND IDENTIFY RETAIL TENANTS CURRENTLY CLOSED DUE TO COVID-19</t>
  </si>
  <si>
    <t>Sq.Ft.</t>
  </si>
  <si>
    <t>Value per SF</t>
  </si>
  <si>
    <t>Land</t>
  </si>
  <si>
    <t>Asset Type  
(to be built)</t>
  </si>
  <si>
    <t>Acres</t>
  </si>
  <si>
    <t>Anticipated YR of Const.</t>
  </si>
  <si>
    <t>Under Construction / Non-Stabilized</t>
  </si>
  <si>
    <t>Units/
Sq.Ft.</t>
  </si>
  <si>
    <t>Estimated Date of Completion</t>
  </si>
  <si>
    <t>Est. Date of Stabilization</t>
  </si>
  <si>
    <t>Equity Reported in Financial Statements</t>
  </si>
  <si>
    <t>Difference between FS and SREO</t>
  </si>
  <si>
    <t>% Difference between FS and SREO</t>
  </si>
  <si>
    <t>NCF 
(before Debt Service)</t>
  </si>
  <si>
    <t>#Comps</t>
  </si>
  <si>
    <t>#Incomplete</t>
  </si>
  <si>
    <t>XXXX - Rent Comparable Analysis</t>
  </si>
  <si>
    <t xml:space="preserve">   Seniors  ======================================&gt;</t>
  </si>
  <si>
    <t>Has Data</t>
  </si>
  <si>
    <t>Has All Non-UnitType data</t>
  </si>
  <si>
    <t>Number of Complete UnitType rows</t>
  </si>
  <si>
    <t>UnitType is complete</t>
  </si>
  <si>
    <t>Is Complete &amp; Valid</t>
  </si>
  <si>
    <t xml:space="preserve">Property Name </t>
  </si>
  <si>
    <t>Property Address</t>
  </si>
  <si>
    <t>Property City</t>
  </si>
  <si>
    <t>Property State</t>
  </si>
  <si>
    <t>Property Zip</t>
  </si>
  <si>
    <t>Occ%</t>
  </si>
  <si>
    <t># of Bed- rooms</t>
  </si>
  <si>
    <t># of Bath- rooms</t>
  </si>
  <si>
    <t>Min Unit Size(SF)</t>
  </si>
  <si>
    <t>Max Unit Size(SF)</t>
  </si>
  <si>
    <t>Min Rent /Unit</t>
  </si>
  <si>
    <t>Max Rent /Unit</t>
  </si>
  <si>
    <t>Rent Range/Unit by  Independent Living</t>
  </si>
  <si>
    <t>Rent Range/Unit by Assisted Living</t>
  </si>
  <si>
    <t>Rent Range/Unit by Alzheimer’s Care</t>
  </si>
  <si>
    <t>Rent Range/Unit by Skilled Nursing</t>
  </si>
  <si>
    <t>Comparable 1</t>
  </si>
  <si>
    <t>Comparable 2</t>
  </si>
  <si>
    <t>Comparable 3</t>
  </si>
  <si>
    <t>Comparable 4</t>
  </si>
  <si>
    <t>Comparable 5</t>
  </si>
  <si>
    <t>Comparable 6</t>
  </si>
  <si>
    <t>Comparable 7</t>
  </si>
  <si>
    <t>Comparable 8</t>
  </si>
  <si>
    <t>Comparable 9</t>
  </si>
  <si>
    <t>Comparable 10</t>
  </si>
  <si>
    <t># Comps</t>
  </si>
  <si>
    <t># Incomplete</t>
  </si>
  <si>
    <t>Is Complete</t>
  </si>
  <si>
    <t>Sales Comparable Analysis</t>
  </si>
  <si>
    <t>Date of Sale</t>
  </si>
  <si>
    <t>Average Sq. Ft./Unit</t>
  </si>
  <si>
    <t>Sale Price</t>
  </si>
  <si>
    <t>Sale Price/Sq. Ft.</t>
  </si>
  <si>
    <t>Sale Price/Unit</t>
  </si>
  <si>
    <t>Adj. Price/Unit</t>
  </si>
  <si>
    <t>Comparison</t>
  </si>
  <si>
    <t>ENGINEERING REPORT SUMMARY &amp; RESERVE CALCULATION</t>
  </si>
  <si>
    <t>Company:</t>
  </si>
  <si>
    <t>Overall Condition of Asset:</t>
  </si>
  <si>
    <t>Fair</t>
  </si>
  <si>
    <t>Date of Report:</t>
  </si>
  <si>
    <t>Report Complete:</t>
  </si>
  <si>
    <t>Reserve Schedule Term:</t>
  </si>
  <si>
    <t>Immediate</t>
  </si>
  <si>
    <t>Initial</t>
  </si>
  <si>
    <t>Inflation</t>
  </si>
  <si>
    <t>YEAR</t>
  </si>
  <si>
    <t>Engineer's Item</t>
  </si>
  <si>
    <t>Repairs</t>
  </si>
  <si>
    <t>Deposit</t>
  </si>
  <si>
    <t>Factor</t>
  </si>
  <si>
    <t>Inflation factor</t>
  </si>
  <si>
    <t>Escrow Interest Rate</t>
  </si>
  <si>
    <t>Paving Repairs/Seal Coat</t>
  </si>
  <si>
    <t>----</t>
  </si>
  <si>
    <t>Sidewalk Repairs</t>
  </si>
  <si>
    <t>Refinish Pools</t>
  </si>
  <si>
    <t>Exterior Paint &amp; Repair</t>
  </si>
  <si>
    <t>Clubhouse Finish</t>
  </si>
  <si>
    <t>Clubhouse Condensers</t>
  </si>
  <si>
    <t>Laundry DHW Heater</t>
  </si>
  <si>
    <t>Unit DHW Heaters</t>
  </si>
  <si>
    <t>Unit Pad Mounted Condensers</t>
  </si>
  <si>
    <t>Carpet in Units</t>
  </si>
  <si>
    <t>Vinyl Floors</t>
  </si>
  <si>
    <t>Countertop &amp; Sinks</t>
  </si>
  <si>
    <t>Dishwashers</t>
  </si>
  <si>
    <t>Ranges</t>
  </si>
  <si>
    <t>Refrigerators</t>
  </si>
  <si>
    <t>UNDERWRITER'S TOTAL</t>
  </si>
  <si>
    <t>Escrow/Initial Deposit</t>
  </si>
  <si>
    <t>Collected Per Unit Per Year</t>
  </si>
  <si>
    <t>Min. RR/Unit/Anum:</t>
  </si>
  <si>
    <t>Total Annual Collection</t>
  </si>
  <si>
    <t>Reserves with ID:</t>
  </si>
  <si>
    <t>Interest</t>
  </si>
  <si>
    <t>Reserves w/o ID:</t>
  </si>
  <si>
    <t>Escrow Balance</t>
  </si>
  <si>
    <t>Replacement Reserves Waived?</t>
  </si>
  <si>
    <t>IMMEDIATE REPAIRS</t>
  </si>
  <si>
    <t>Completion Timeframe (post closing)</t>
  </si>
  <si>
    <t>Amount</t>
  </si>
  <si>
    <t>Inflation Factor</t>
  </si>
  <si>
    <t>Escrow Amount</t>
  </si>
  <si>
    <t>Life Safety Items</t>
  </si>
  <si>
    <t>Repair Description</t>
  </si>
  <si>
    <t>Critical Repairs</t>
  </si>
  <si>
    <t>Deferred Maintenance Costs</t>
  </si>
  <si>
    <t>Green Rewards</t>
  </si>
  <si>
    <t>Completion Repair Escrow</t>
  </si>
  <si>
    <t>Immediate Repairs Waived?</t>
  </si>
  <si>
    <t>Calculated RR/Unit:</t>
  </si>
  <si>
    <t>RR/Unit</t>
  </si>
  <si>
    <t>Prior to Rate Lock</t>
  </si>
  <si>
    <t>Prior to Closing</t>
  </si>
  <si>
    <t>1 Month</t>
  </si>
  <si>
    <t>2 Months</t>
  </si>
  <si>
    <t>3 Months</t>
  </si>
  <si>
    <t>6 Months</t>
  </si>
  <si>
    <t>12 Months</t>
  </si>
  <si>
    <t>Completed</t>
  </si>
  <si>
    <t>Fannie Mae (FM) Underwriter's Data Form (4662)</t>
  </si>
  <si>
    <t>Version 5.1 | Last Revised 11/2020</t>
  </si>
  <si>
    <t>Deal Name:</t>
  </si>
  <si>
    <t>Lender Name:</t>
  </si>
  <si>
    <t>Fannie Mae Commitment Number:</t>
  </si>
  <si>
    <t>Funding/Pool Number (MBS Only):</t>
  </si>
  <si>
    <t>Borrower Loan Purpose:</t>
  </si>
  <si>
    <t>Application Loan Amount:</t>
  </si>
  <si>
    <t>Number of Buildings:</t>
  </si>
  <si>
    <t>Mezz. Loan Acquisition UPB:</t>
  </si>
  <si>
    <t>Mo. Pmt:</t>
  </si>
  <si>
    <t>Phase Number:</t>
  </si>
  <si>
    <t>Pricing Tier:</t>
  </si>
  <si>
    <t>Rate Lock Term:</t>
  </si>
  <si>
    <t>Year Completed:</t>
  </si>
  <si>
    <t>Tier Drop Eligible?</t>
  </si>
  <si>
    <t>Expiration Date:</t>
  </si>
  <si>
    <t>Constructed Units:</t>
  </si>
  <si>
    <t>Treasury Rate:</t>
  </si>
  <si>
    <t>Total Residential Units:</t>
  </si>
  <si>
    <t>Gross Spread:</t>
  </si>
  <si>
    <t>Rentable Residential Area:</t>
  </si>
  <si>
    <t>sq. ft.</t>
  </si>
  <si>
    <t>Cap Cost Factor:</t>
  </si>
  <si>
    <t>(SARMs Only)</t>
  </si>
  <si>
    <t>UW Floor Rate:</t>
  </si>
  <si>
    <t>(Fixed Rate Only)</t>
  </si>
  <si>
    <t>Age Restricted?</t>
  </si>
  <si>
    <t>Taxes Escrowed?</t>
  </si>
  <si>
    <t>UW Rate:</t>
  </si>
  <si>
    <t>Terrorism Ins. Coverage?</t>
  </si>
  <si>
    <t>Insurance Escrowed?</t>
  </si>
  <si>
    <t>Seismic Zone 3 or 4?</t>
  </si>
  <si>
    <t>Other Special Escrows?</t>
  </si>
  <si>
    <t>High Seismic Risk?</t>
  </si>
  <si>
    <t>All Utilities Included in Rent?</t>
  </si>
  <si>
    <t>USGS PGA Calculation Tutorial</t>
  </si>
  <si>
    <t>Op. Statement (Fiscal Year):</t>
  </si>
  <si>
    <t>UW Phys. Occ.:</t>
  </si>
  <si>
    <t>UW Econ. Occ.:</t>
  </si>
  <si>
    <t>Affordable Housing Type:</t>
  </si>
  <si>
    <t>UW Property Value:</t>
  </si>
  <si>
    <t>as of date:</t>
  </si>
  <si>
    <t>Describe if "Other":</t>
  </si>
  <si>
    <t>Mezz. CLTV:</t>
  </si>
  <si>
    <t>HAP Remaining Term:</t>
  </si>
  <si>
    <t>mos.</t>
  </si>
  <si>
    <t>Affordable Housing Data Guidance</t>
  </si>
  <si>
    <t>(Include Hard Addtl Debt)</t>
  </si>
  <si>
    <t>(Only with Mezz. Financing)</t>
  </si>
  <si>
    <t>For All Properties with Income or Rent Restrictions:</t>
  </si>
  <si>
    <t>(Max. Total = 100%)</t>
  </si>
  <si>
    <t>UW EGI:</t>
  </si>
  <si>
    <t>UW Tot. Op. Exp.:</t>
  </si>
  <si>
    <t>% of Units at or Below 80% AMI ("Low Income"):</t>
  </si>
  <si>
    <t>UW NCF:</t>
  </si>
  <si>
    <t>Co-Op Equiv. NCF:</t>
  </si>
  <si>
    <t>% of Units at or Below 60% AMI:</t>
  </si>
  <si>
    <t>% of Units at or Below 50% AMI ("Very Low Income"):</t>
  </si>
  <si>
    <t>Min. UW DSCR Hurdle:</t>
  </si>
  <si>
    <t>Total Percentage of Units with Income or Rent Restrictions:</t>
  </si>
  <si>
    <t>UW DSCR per Guide Rqmts.:</t>
  </si>
  <si>
    <t>Actual DSCR:</t>
  </si>
  <si>
    <t>DSCR at Max. Payment:</t>
  </si>
  <si>
    <t>Immediate Repair Total:</t>
  </si>
  <si>
    <t>Combined Actual DSCR:</t>
  </si>
  <si>
    <t>(Incl. Mezz. Financing)</t>
  </si>
  <si>
    <t>Lender Comments:</t>
  </si>
  <si>
    <t>Chief Underwriter</t>
  </si>
  <si>
    <t>Underwriter's Data Form</t>
  </si>
  <si>
    <t>Form 4662</t>
  </si>
  <si>
    <t>©2020 Fannie Mae</t>
  </si>
  <si>
    <t>Fannie Mae</t>
  </si>
  <si>
    <t>Walker &amp; Dunlop - Fannie Mae Trade Term Sheet</t>
  </si>
  <si>
    <t>Estimated Loan Amount</t>
  </si>
  <si>
    <t>Property:</t>
  </si>
  <si>
    <t>Pricing Information:</t>
  </si>
  <si>
    <t>Trade Price: Expected</t>
  </si>
  <si>
    <t>Today's Rate</t>
  </si>
  <si>
    <t>Minimum Fee Collected?</t>
  </si>
  <si>
    <t>City, XX, XXXXX</t>
  </si>
  <si>
    <t>Max Note Rate (for max proceeds):</t>
  </si>
  <si>
    <t>Max Approved Loan Amount</t>
  </si>
  <si>
    <t>Property County:</t>
  </si>
  <si>
    <t>Approved Fixed Rate</t>
  </si>
  <si>
    <t>Approved Variable Rate</t>
  </si>
  <si>
    <t>Approved Fixed Rate Constant</t>
  </si>
  <si>
    <t>Approved Variable Constant</t>
  </si>
  <si>
    <t>Fixed Rate (Remaining NCF's)</t>
  </si>
  <si>
    <t>Variable Rate (Remaining NCF's)</t>
  </si>
  <si>
    <t>Loan Details</t>
  </si>
  <si>
    <t>Settlement &amp; Trade Data:</t>
  </si>
  <si>
    <t>Approved Floor Rate</t>
  </si>
  <si>
    <t>Stress Rate</t>
  </si>
  <si>
    <t>Rem. NCF (Note Rate)</t>
  </si>
  <si>
    <t>Rem. NCF (Pay Rate)</t>
  </si>
  <si>
    <t>Est Loan Amt / Max Approved Loan Amount:</t>
  </si>
  <si>
    <t>Closing Date:</t>
  </si>
  <si>
    <t>XX/XX/XXXX</t>
  </si>
  <si>
    <t>Approved Floor Constant</t>
  </si>
  <si>
    <t>Stress Constant</t>
  </si>
  <si>
    <t>Interest Rate:</t>
  </si>
  <si>
    <t>Settlement Date:</t>
  </si>
  <si>
    <t>Rem. NCF (Floor Rate)</t>
  </si>
  <si>
    <t>Rem. NCF (Stress Rate)</t>
  </si>
  <si>
    <t>Lien Position:</t>
  </si>
  <si>
    <t>First</t>
  </si>
  <si>
    <t>Not to Exceed (Fixed Rate)</t>
  </si>
  <si>
    <t>Loan Term:</t>
  </si>
  <si>
    <t>Delivery Tolerance (Up/Down):</t>
  </si>
  <si>
    <t>Max Rate (SARM)</t>
  </si>
  <si>
    <t>Prepayment Protection (string):</t>
  </si>
  <si>
    <t>Product Type:</t>
  </si>
  <si>
    <t>DUS MBS</t>
  </si>
  <si>
    <t>Interest Only Period:</t>
  </si>
  <si>
    <t>Number  of Loans:</t>
  </si>
  <si>
    <t>Min Actual UW DSCR (Actual/Note)</t>
  </si>
  <si>
    <t>Min Actual UW DSCR (Pay Rate)</t>
  </si>
  <si>
    <t>Amortization Term (UW / Actual):</t>
  </si>
  <si>
    <t>Percentage of Initial Pool Balance:</t>
  </si>
  <si>
    <t>Interest Accrual:</t>
  </si>
  <si>
    <t>Eligible for Re-Securitization:</t>
  </si>
  <si>
    <t>Min UW DSCR (Floor)</t>
  </si>
  <si>
    <t>Min Tier UW DSCR (Stress Rate)</t>
  </si>
  <si>
    <t>UST Floor (%):</t>
  </si>
  <si>
    <t>Not Received</t>
  </si>
  <si>
    <t>Rate Constant</t>
  </si>
  <si>
    <t>Approved Loan Amount</t>
  </si>
  <si>
    <t>Max Loan @ UW DSCR Actual Rate</t>
  </si>
  <si>
    <t>Max Loan @ UW DSCR Floor Rate</t>
  </si>
  <si>
    <t>Max Loan @ UW DSCR Pay Rate</t>
  </si>
  <si>
    <t>Max Loan @ UW DSCR Stress Rate</t>
  </si>
  <si>
    <t>Standard Multifamily</t>
  </si>
  <si>
    <r>
      <t>Tier /</t>
    </r>
    <r>
      <rPr>
        <color rgb="FF0000FF"/>
        <family val="2"/>
        <rFont val="Calibri"/>
        <scheme val="minor"/>
        <sz val="11"/>
      </rPr>
      <t xml:space="preserve"> Tier Dropping:</t>
    </r>
  </si>
  <si>
    <t>Specialty Property %:</t>
  </si>
  <si>
    <t xml:space="preserve">Guaranty Fee:                          </t>
  </si>
  <si>
    <t>Loan Purpose:</t>
  </si>
  <si>
    <t xml:space="preserve">Servicing Fee: </t>
  </si>
  <si>
    <r>
      <rPr>
        <family val="2"/>
        <rFont val="Calibri"/>
        <scheme val="minor"/>
        <sz val="11"/>
      </rPr>
      <t xml:space="preserve">Number of Units / </t>
    </r>
    <r>
      <rPr>
        <color rgb="FF0000FF"/>
        <family val="2"/>
        <rFont val="Calibri"/>
        <scheme val="minor"/>
        <sz val="11"/>
      </rPr>
      <t>Properties</t>
    </r>
    <r>
      <rPr>
        <color theme="1"/>
        <family val="2"/>
        <rFont val="Calibri"/>
        <scheme val="minor"/>
        <sz val="11"/>
      </rPr>
      <t>:</t>
    </r>
  </si>
  <si>
    <t>Total G&amp;S:</t>
  </si>
  <si>
    <t>U/W NCF:</t>
  </si>
  <si>
    <r>
      <t xml:space="preserve">Year Built / </t>
    </r>
    <r>
      <rPr>
        <color rgb="FF0000FF"/>
        <family val="2"/>
        <rFont val="Calibri"/>
        <scheme val="minor"/>
        <sz val="12"/>
      </rPr>
      <t>Renovated</t>
    </r>
    <r>
      <rPr>
        <family val="2"/>
        <rFont val="Calibri"/>
        <scheme val="minor"/>
        <sz val="12"/>
      </rPr>
      <t>:</t>
    </r>
  </si>
  <si>
    <t>Minimum UW NCF DSCR:</t>
  </si>
  <si>
    <t>Cross Default/Cross Collateralization:</t>
  </si>
  <si>
    <t>Est. UW NCF DSCR (amort / IO):</t>
  </si>
  <si>
    <t>Green Financing Type:</t>
  </si>
  <si>
    <t>U/W Property Value:</t>
  </si>
  <si>
    <t>Green Building Certification:</t>
  </si>
  <si>
    <t>Ownership Type:</t>
  </si>
  <si>
    <t>Fee Simple</t>
  </si>
  <si>
    <t>Estimated LTV:</t>
  </si>
  <si>
    <t>Pre-Existing Additional Debt (Bal):</t>
  </si>
  <si>
    <t>Affordability Information</t>
  </si>
  <si>
    <t>Restricted</t>
  </si>
  <si>
    <t>Rent Roll*</t>
  </si>
  <si>
    <t>Additional Debt (Rate/Maturity):</t>
  </si>
  <si>
    <t>% Units &lt;= 50% AMI</t>
  </si>
  <si>
    <t>Existing Credit Facility #Assets/UPB</t>
  </si>
  <si>
    <t>% of Units &gt; 50% - 60% AMI</t>
  </si>
  <si>
    <t>% of Units &gt; 60% - 80% AMI</t>
  </si>
  <si>
    <t>% of Units &gt; 80% - 100% AMI</t>
  </si>
  <si>
    <t>% of Units &gt; 100% - 120% AMI</t>
  </si>
  <si>
    <t>% of Units &gt; 120% AMI</t>
  </si>
  <si>
    <t>*Data based on the MAE Multifamily Affordability Estimator</t>
  </si>
  <si>
    <t>ARM Related Fields</t>
  </si>
  <si>
    <t>ARM Product</t>
  </si>
  <si>
    <t>Lifetime Pass Thru Cap:</t>
  </si>
  <si>
    <t>Convertible:</t>
  </si>
  <si>
    <t>Est. UW NCR DSCR at Cap:</t>
  </si>
  <si>
    <t>Lockout Term (months):</t>
  </si>
  <si>
    <t>Per Rate Change Cap:</t>
  </si>
  <si>
    <t>Standard Lookback (days):</t>
  </si>
  <si>
    <t>Fixed Principal Payment (SARM):</t>
  </si>
  <si>
    <t>Rate Reset Frequency (months):</t>
  </si>
  <si>
    <t>Estimated MBS Margin (bps):</t>
  </si>
  <si>
    <t>MBS Security Disclosures:</t>
  </si>
  <si>
    <t>Signatures:</t>
  </si>
  <si>
    <t>Underwriter:</t>
  </si>
  <si>
    <t>DCU:</t>
  </si>
  <si>
    <t>Applicant Check / Reviewed Commitment:</t>
  </si>
  <si>
    <t xml:space="preserve">Producer: </t>
  </si>
  <si>
    <t>Closer:</t>
  </si>
  <si>
    <t>Completed by Trading:</t>
  </si>
  <si>
    <t>Investor:</t>
  </si>
  <si>
    <t>Investor Spread:</t>
  </si>
  <si>
    <t>Investor Contact:</t>
  </si>
  <si>
    <t>Pass Thru/Coupon:</t>
  </si>
  <si>
    <t>Swap Spread:</t>
  </si>
  <si>
    <t>Gross Rate:</t>
  </si>
  <si>
    <t>Trade Price:</t>
  </si>
  <si>
    <t>Contract Taken By:</t>
  </si>
  <si>
    <t>Trader</t>
  </si>
  <si>
    <t>Time</t>
  </si>
  <si>
    <t>If apply, please include in "Other Notes" section:</t>
  </si>
  <si>
    <t>SARM details:</t>
  </si>
  <si>
    <t>Affordable details:</t>
  </si>
  <si>
    <t>ARM Index Description (1M Libor, 3M Libor)</t>
  </si>
  <si>
    <t>Affordable Type (HAP, LIHTC, LURA)</t>
  </si>
  <si>
    <t>Convertible (Yes or No)</t>
  </si>
  <si>
    <t>Income Restrictions % of Units at % AMI</t>
  </si>
  <si>
    <t>DSCR at Interest Rate Cap</t>
  </si>
  <si>
    <t>Term of Tax Credits 
(Benefit + Compliance Period)</t>
  </si>
  <si>
    <t>DSCR at Fixed Rate Test</t>
  </si>
  <si>
    <t>Provide copy of HAP Contract and/or LURA (if applicable)</t>
  </si>
  <si>
    <t>Note Rate Ceiling and/or Floor</t>
  </si>
  <si>
    <t>Fixed Principal Payment, what is it?</t>
  </si>
  <si>
    <t>Other Notes Examples:</t>
  </si>
  <si>
    <t>Rate Change Date (1st Payment Date)</t>
  </si>
  <si>
    <t>Green MBS/Certification</t>
  </si>
  <si>
    <t>Additional Disclosure for Non-Standard Characteristics:  Loans on Properties Securing Additional Current or Future Debt</t>
  </si>
  <si>
    <r>
      <rPr>
        <b/>
        <color rgb="FF000000"/>
        <family val="2"/>
        <rFont val="Calibri"/>
        <sz val="11"/>
      </rPr>
      <t>Bifurcated Mortgage Loan</t>
    </r>
    <r>
      <rPr>
        <color theme="1"/>
        <family val="2"/>
        <rFont val="Calibri"/>
        <scheme val="minor"/>
        <sz val="11"/>
      </rPr>
      <t xml:space="preserve">:  A Bifurcated Mortgage Loan is a single Mortgage Loan where the aggregate amount of the debt is divided among two separate Notes having the same (i.e., pari passu) payment priority, with both Notes being secured by a single Security Instrument. Each Note in a Bifurcated Mortgage Loan generally has different loan terms (e.g., Maturity Date, required Prepayment Premium), which permits the Borrower to pay off a portion of the total debt during the term of the Bifurcated Mortgage Loan. An example of a Bifurcated Mortgage Loan: one Note is subject to an Interest Reduction Program (“IRP”) and the other is not. </t>
    </r>
  </si>
  <si>
    <r>
      <rPr>
        <b/>
        <color rgb="FF000000"/>
        <family val="2"/>
        <rFont val="Calibri"/>
        <sz val="11"/>
      </rPr>
      <t>Split Mortgage Loan</t>
    </r>
    <r>
      <rPr>
        <color theme="1"/>
        <family val="2"/>
        <rFont val="Calibri"/>
        <scheme val="minor"/>
        <sz val="11"/>
      </rPr>
      <t xml:space="preserve">:  A Split Mortgage Loan consists of two Mortgage Loans, a Senior Mortgage Loan and a Subordinate Mortgage Loan, that are underwritten concurrently as a single credit, but are documented as separate Mortgage Loans (i.e., each is evidenced and/or secured by a separate Loan Agreement, Note, and Security Instrument). Each Mortgage Loan in a Split Mortgage Loan may have different loan terms (e.g., Maturity Date, required Prepayment Premium), which permits the Borrower to pay off a portion of the total debt during the term of the Split Mortgage Loan.
</t>
    </r>
    <r>
      <rPr>
        <b/>
        <color rgb="FF000000"/>
        <family val="2"/>
        <rFont val="Calibri"/>
        <sz val="11"/>
      </rPr>
      <t>NOTE</t>
    </r>
    <r>
      <rPr>
        <color theme="1"/>
        <family val="2"/>
        <rFont val="Calibri"/>
        <scheme val="minor"/>
        <sz val="11"/>
      </rPr>
      <t>: Additional details for delivering a Bifurcated Mortgage Loan or a Split Mortgage Loan are available in the “</t>
    </r>
    <r>
      <rPr>
        <color rgb="FF000000"/>
        <family val="2"/>
        <i/>
        <rFont val="Calibri"/>
        <sz val="11"/>
      </rPr>
      <t>Job Aid: Split, Bifurcated, and Interest Reduction Payment (IRP) Subsidy Loan Structures</t>
    </r>
    <r>
      <rPr>
        <color theme="1"/>
        <family val="2"/>
        <rFont val="Calibri"/>
        <scheme val="minor"/>
        <sz val="11"/>
      </rPr>
      <t xml:space="preserve">”. </t>
    </r>
  </si>
  <si>
    <r>
      <rPr>
        <b/>
        <color rgb="FF000000"/>
        <family val="2"/>
        <rFont val="Calibri"/>
        <sz val="11"/>
      </rPr>
      <t>Cross-Defaulted/Cross-Collateralized:</t>
    </r>
    <r>
      <rPr>
        <color theme="1"/>
        <family val="2"/>
        <rFont val="Calibri"/>
        <scheme val="minor"/>
        <sz val="11"/>
      </rPr>
      <t xml:space="preserve">  A Mortgage Loan with a provision that causes (i) a default under that Mortgage Loan due to the occurrence of a default under a second Mortgage Loan, and/or (ii) the Property securing that Mortgage Loan to also secure a second Mortgage Loan requires Additional Disclosure as provided by the "</t>
    </r>
    <r>
      <rPr>
        <color rgb="FF000000"/>
        <family val="2"/>
        <i/>
        <rFont val="Calibri"/>
        <sz val="11"/>
      </rPr>
      <t>Job Aid: Data Guidance for Cross-Defaulted and Cross-Collateralized Mortgage Loans</t>
    </r>
    <r>
      <rPr>
        <color theme="1"/>
        <family val="2"/>
        <rFont val="Calibri"/>
        <scheme val="minor"/>
        <sz val="11"/>
      </rPr>
      <t xml:space="preserve">”. Any crossdefaulted and/or cross- collateralized Mortgage Loan that allows for the release of one of the Properties or which contains a “due on sale” clause requires Additional Disclosure. </t>
    </r>
  </si>
  <si>
    <t xml:space="preserve">     Job Aid: Data Guidance for Cross-Defaulted and Cross-Collateralized Mortgage Loans</t>
  </si>
  <si>
    <r>
      <rPr>
        <b/>
        <color rgb="FF000000"/>
        <family val="2"/>
        <rFont val="Calibri"/>
        <sz val="11"/>
      </rPr>
      <t>Manufactured Housing Communities (MHC) Financing of Borrower-Owned Manufactured Homes (“Manufactured Housing Rentals”)</t>
    </r>
    <r>
      <rPr>
        <color theme="1"/>
        <family val="2"/>
        <rFont val="Calibri"/>
        <scheme val="minor"/>
        <sz val="11"/>
      </rPr>
      <t>:  Collateral for the Mortgage Loan includes Borrower-owned Manufactured Homes rented to tenants along with the Site Lease.</t>
    </r>
  </si>
  <si>
    <r>
      <rPr>
        <b/>
        <color rgb="FF000000"/>
        <family val="2"/>
        <rFont val="Calibri"/>
        <sz val="11"/>
      </rPr>
      <t>Mezzanine Financing or Preferred Equity</t>
    </r>
    <r>
      <rPr>
        <color theme="1"/>
        <family val="2"/>
        <rFont val="Calibri"/>
        <scheme val="minor"/>
        <sz val="11"/>
      </rPr>
      <t xml:space="preserve">:  Mortgage Loans with (i) Mezzanine Financing permitted under the Loan Agreement, including third party or DUS Lender Affiliate Mezzanine Financing, and which is secured by direct or indirect equity interests in the Borrower, or (ii) Preferred Equity that is identified as a Pre-Review Mortgage Loan in the Multifamily Underwriting Standards (Form 4660). Data for a Mortgage Loan with Hard Preferred Equity should be entered in the Mezzanine Financing fields in C&amp;D. This data will be disclosed in the Mezzanine data fields on Annex A, and in a footnote stating it is Hard Preferred Equity. </t>
    </r>
  </si>
  <si>
    <r>
      <rPr>
        <b/>
        <color rgb="FF000000"/>
        <family val="2"/>
        <rFont val="Calibri"/>
        <sz val="11"/>
      </rPr>
      <t>Senior Third-Party Debt</t>
    </r>
    <r>
      <rPr>
        <color theme="1"/>
        <family val="2"/>
        <rFont val="Calibri"/>
        <scheme val="minor"/>
        <sz val="11"/>
      </rPr>
      <t xml:space="preserve">:  Mortgage Loans with non-Fannie Mae financing secured by a Lien senior to the Mortgage Loan (e.g., state or federal loans or grants with senior Liens on the Property).
</t>
    </r>
    <r>
      <rPr>
        <b/>
        <color rgb="FF000000"/>
        <family val="2"/>
        <rFont val="Calibri"/>
        <sz val="11"/>
      </rPr>
      <t>NOTE</t>
    </r>
    <r>
      <rPr>
        <color theme="1"/>
        <family val="2"/>
        <rFont val="Calibri"/>
        <scheme val="minor"/>
        <sz val="11"/>
      </rPr>
      <t xml:space="preserve">: Subordinate debt that is currently in place or is being placed on the Property concurrently with the Mortgage Loan should not be submitted as Additional Disclosure. Data for such debt should be reflected in C&amp;D in the “Additional Debt” section on both the Commitment and Loan pages. A subset of this data will then be disclosed on Annex A. “Soft subordinate debt” should not be included as “Additional Debt” in C&amp;D. For assistance in determining if a transaction has soft subordinate debt, please contact your Fannie Mae Deal Team. </t>
    </r>
  </si>
  <si>
    <t>Additional Disclosure for Non-Standard Characteristics:  Prepayments</t>
  </si>
  <si>
    <r>
      <rPr>
        <b/>
        <color rgb="FF000000"/>
        <family val="2"/>
        <rFont val="Calibri"/>
        <sz val="11"/>
      </rPr>
      <t>Additional Non-Real Estate Collateral</t>
    </r>
    <r>
      <rPr>
        <color theme="1"/>
        <family val="2"/>
        <rFont val="Calibri"/>
        <scheme val="minor"/>
        <sz val="11"/>
      </rPr>
      <t xml:space="preserve">:  Mortgage Loans that are supported by a Letter of Credit or other additional collateral that secure specific performance by the Borrower and where the proceeds of the Letter of Credit or additional collateral may be used to pay down the Mortgage Loan if the Borrower fails to perform as required (e.g., a Mortgage Loan where an Achievement Agreement provides for a pay down of the Unpaid Principal Balance (UPB) if specific performance benchmarks at the Property are not met). </t>
    </r>
  </si>
  <si>
    <r>
      <rPr>
        <b/>
        <color rgb="FF000000"/>
        <family val="2"/>
        <rFont val="Calibri"/>
        <sz val="11"/>
      </rPr>
      <t>Partial Prepayment</t>
    </r>
    <r>
      <rPr>
        <color theme="1"/>
        <family val="2"/>
        <rFont val="Calibri"/>
        <scheme val="minor"/>
        <sz val="11"/>
      </rPr>
      <t>:  The Loan Documents permit the Borrower to make a voluntary partial Prepayment during the term of the Mortgage Loan (e.g., a partial Prepayment is permitted after a partial release of collateral).</t>
    </r>
  </si>
  <si>
    <t>Additional Disclosure for Non-Standard Characteristics:  Property-Related Issues</t>
  </si>
  <si>
    <r>
      <rPr>
        <b/>
        <color rgb="FF000000"/>
        <family val="2"/>
        <rFont val="Calibri"/>
        <sz val="11"/>
      </rPr>
      <t>Commercial Condominium Project (includes Vertical Subdivision or Air Rights)</t>
    </r>
    <r>
      <rPr>
        <color theme="1"/>
        <family val="2"/>
        <rFont val="Calibri"/>
        <scheme val="minor"/>
        <sz val="11"/>
      </rPr>
      <t xml:space="preserve">:  The Property consists of one or more multifamily housing units of a condominium project, together with any related facilities such as parking areas or recreation facilities, with the remaining units being used for purposes other than multifamily housing (i.e., retail sales). The remaining units are typically not included in the Property, but may include benefits and/or burdens such as easements, rights of way, or common areas that could impact the Property. A standard condominium or a fractured condominium does not require Additional Disclosure unless it is also a commercial condominium. </t>
    </r>
  </si>
  <si>
    <r>
      <rPr>
        <b/>
        <color rgb="FF000000"/>
        <family val="2"/>
        <rFont val="Calibri"/>
        <sz val="11"/>
      </rPr>
      <t>Delaware Statutory Trust (DST)</t>
    </r>
    <r>
      <rPr>
        <color theme="1"/>
        <family val="2"/>
        <rFont val="Calibri"/>
        <scheme val="minor"/>
        <sz val="11"/>
      </rPr>
      <t xml:space="preserve">:  Additional Disclosure is required if:
• the Mortgage Loan Documents permit the DST Borrower to reorganize as an LLC (other than a Springing LLC that is created upon any dissolution of the DST); or
• any DST Borrower is owned by a DST entity. </t>
    </r>
  </si>
  <si>
    <r>
      <rPr>
        <b/>
        <color rgb="FF000000"/>
        <family val="2"/>
        <rFont val="Calibri"/>
        <sz val="11"/>
      </rPr>
      <t>Due-on-Sale and Related Property Transfer Restrictions</t>
    </r>
    <r>
      <rPr>
        <color theme="1"/>
        <family val="2"/>
        <rFont val="Calibri"/>
        <scheme val="minor"/>
        <sz val="11"/>
      </rPr>
      <t xml:space="preserve">:  The Loan Documents contain an additional covenant or event of default providing that the Mortgage Loan will be in default or must be paid in full upon the occurrence of a specified event such as:
• the violation of a covenant requiring the Borrower, or an Affiliate of the Borrower, to acquire an adjacent or related Property (or a controlling interest in the entity owning such Property) so that the adjacent or related Property (or the controlling interest in the entity owning such Property) is not acquired by a third party that is not an Affiliate of the Borrower; or
• the purchase of the Property (or a transfer of a controlling interest in the Borrower or in a Key Principal) by a third party is permitted only if the third party also simultaneously purchases an existing or future phase of the Property or a related Property (or acquires a controlling interest in the entity that owns the phase or Property); a failure to comply with the restrictions on sale or transfer results in acceleration of the Mortgage Loan. </t>
    </r>
  </si>
  <si>
    <r>
      <rPr>
        <b/>
        <color rgb="FF000000"/>
        <family val="2"/>
        <rFont val="Calibri"/>
        <sz val="11"/>
      </rPr>
      <t>Future Release, Condemnation, or Property Not Security</t>
    </r>
    <r>
      <rPr>
        <color theme="1"/>
        <family val="2"/>
        <rFont val="Calibri"/>
        <scheme val="minor"/>
        <sz val="11"/>
      </rPr>
      <t xml:space="preserve">:  Mortgage Loans secured by a Property where a portion of the Property is:
• expected to be released after the MBS Issue Date (e.g., a partial release where the Borrower plans to sell a portion of the undeveloped area of the Property);
• scheduled to be condemned (e.g., a portion will be taken by a governmental agency through eminent domain); or
• not available as security for the Mortgage Loan. </t>
    </r>
  </si>
  <si>
    <r>
      <rPr>
        <b/>
        <color rgb="FF000000"/>
        <family val="2"/>
        <rFont val="Calibri"/>
        <sz val="11"/>
      </rPr>
      <t>Healthy Housing Rewards</t>
    </r>
    <r>
      <rPr>
        <color theme="1"/>
        <family val="2"/>
        <rFont val="Calibri"/>
        <scheme val="minor"/>
        <sz val="11"/>
      </rPr>
      <t xml:space="preserve">:  Mortgage Loans secured by a Property that participates in either:
• </t>
    </r>
    <r>
      <rPr>
        <b/>
        <color rgb="FF000000"/>
        <family val="2"/>
        <rFont val="Calibri"/>
        <sz val="11"/>
      </rPr>
      <t>Healthy Design</t>
    </r>
    <r>
      <rPr>
        <color theme="1"/>
        <family val="2"/>
        <rFont val="Calibri"/>
        <scheme val="minor"/>
        <sz val="11"/>
      </rPr>
      <t xml:space="preserve">:  A program that incentivizes borrowers to incorporate health-promoting design and operational features into their multifamily affordable housing (MAH) properties. (Requires Form 6265); or
• </t>
    </r>
    <r>
      <rPr>
        <b/>
        <color rgb="FF000000"/>
        <family val="2"/>
        <rFont val="Calibri"/>
        <sz val="11"/>
      </rPr>
      <t>Enhanced Resident Services</t>
    </r>
    <r>
      <rPr>
        <color theme="1"/>
        <family val="2"/>
        <rFont val="Calibri"/>
        <scheme val="minor"/>
        <sz val="11"/>
      </rPr>
      <t xml:space="preserve">:  A program that incentivizes borrowers to provide certain services (such as Health and Wellness, food access and security, youth education and enrichment, work and financial capability support and housing stability support programs) to the residents of the multifamily affordable housing (MAH) property. (Requires Form 6263). </t>
    </r>
  </si>
  <si>
    <r>
      <rPr>
        <b/>
        <color rgb="FF000000"/>
        <family val="2"/>
        <rFont val="Calibri"/>
        <sz val="11"/>
      </rPr>
      <t>Impairment on Use</t>
    </r>
    <r>
      <rPr>
        <color theme="1"/>
        <family val="2"/>
        <rFont val="Calibri"/>
        <scheme val="minor"/>
        <sz val="11"/>
      </rPr>
      <t xml:space="preserve">:  A special circumstance exists related to the use or operation of the Property that may negatively affect the performance of the Property or increase the likelihood of Prepayment of the Mortgage Loan (e.g., successful operation of the Property requires continued access to a private water source that is not under the control of the Borrower). </t>
    </r>
  </si>
  <si>
    <r>
      <rPr>
        <b/>
        <color rgb="FF000000"/>
        <family val="2"/>
        <rFont val="Calibri"/>
        <sz val="11"/>
      </rPr>
      <t>Insurance Related Partial Prepayment</t>
    </r>
    <r>
      <rPr>
        <color theme="1"/>
        <family val="2"/>
        <rFont val="Calibri"/>
        <scheme val="minor"/>
        <sz val="11"/>
      </rPr>
      <t xml:space="preserve">:  The Lender agrees at the Mortgage Loan Origination Date to use condemnation or insurance proceeds to pay down the Mortgage Loan, rather than to repair or restore the damaged Property. </t>
    </r>
  </si>
  <si>
    <r>
      <rPr>
        <b/>
        <color rgb="FF000000"/>
        <family val="2"/>
        <rFont val="Calibri"/>
        <sz val="11"/>
      </rPr>
      <t>Master Operating Lease</t>
    </r>
    <r>
      <rPr>
        <color theme="1"/>
        <family val="2"/>
        <rFont val="Calibri"/>
        <scheme val="minor"/>
        <sz val="11"/>
      </rPr>
      <t>:  The Property is subject to a master operating lease. Typically, the Borrower under the Loan Documents enters into a lease with a single entity tenant which operates the Property and an event of default under the master operating lease is an event of default under the Loan Documents. Typically, in these transactions the Mortgaged Property is owned by a non-profit or other 3rd party and is leased back to the Borrower. This is often done to qualify for Tax Abatement or Tax Exemption. Transitional Housing properties often use a master lease.</t>
    </r>
  </si>
  <si>
    <r>
      <rPr>
        <b/>
        <color rgb="FF000000"/>
        <family val="2"/>
        <rFont val="Calibri"/>
        <sz val="11"/>
      </rPr>
      <t>Seniors Housing Property Master Operating Lease</t>
    </r>
    <r>
      <rPr>
        <color theme="1"/>
        <family val="2"/>
        <rFont val="Calibri"/>
        <scheme val="minor"/>
        <sz val="11"/>
      </rPr>
      <t>:  The Seniors Housing Property is subject to a master operating lease that also covers properties outside the MBS Pool, and an event of default under the master operating lease is an event of default under the Loan Documents.</t>
    </r>
  </si>
  <si>
    <r>
      <rPr>
        <b/>
        <color rgb="FF000000"/>
        <family val="2"/>
        <rFont val="Calibri"/>
        <sz val="11"/>
      </rPr>
      <t>Participation Interests</t>
    </r>
    <r>
      <rPr>
        <color theme="1"/>
        <family val="2"/>
        <rFont val="Calibri"/>
        <scheme val="minor"/>
        <sz val="11"/>
      </rPr>
      <t xml:space="preserve">:  Any MBS Pool that holds a less than 100% participation interest in a Mortgage Loan. </t>
    </r>
  </si>
  <si>
    <r>
      <rPr>
        <b/>
        <color rgb="FF000000"/>
        <family val="2"/>
        <rFont val="Calibri"/>
        <sz val="11"/>
      </rPr>
      <t>Pending Litigation</t>
    </r>
    <r>
      <rPr>
        <color theme="1"/>
        <family val="2"/>
        <rFont val="Calibri"/>
        <scheme val="minor"/>
        <sz val="11"/>
      </rPr>
      <t xml:space="preserve">:  Significant litigation is ongoing that may have a material adverse effect on the future operations and performance of the Property or the Borrower, or materially increase the likelihood of an event of default under the Loan Documents. </t>
    </r>
  </si>
  <si>
    <r>
      <rPr>
        <b/>
        <color rgb="FF000000"/>
        <family val="2"/>
        <rFont val="Calibri"/>
        <sz val="11"/>
      </rPr>
      <t>Property Valuation</t>
    </r>
    <r>
      <rPr>
        <color theme="1"/>
        <family val="2"/>
        <rFont val="Calibri"/>
        <scheme val="minor"/>
        <sz val="11"/>
      </rPr>
      <t xml:space="preserve">:  An Underwriting Value used by the Lender and approved by Fannie Mae that differs from the methodology for determining Property value as required by the Guide. </t>
    </r>
  </si>
  <si>
    <r>
      <rPr>
        <b/>
        <color rgb="FF000000"/>
        <family val="2"/>
        <rFont val="Calibri"/>
        <sz val="11"/>
      </rPr>
      <t>Right to Purchase</t>
    </r>
    <r>
      <rPr>
        <color theme="1"/>
        <family val="2"/>
        <rFont val="Calibri"/>
        <scheme val="minor"/>
        <sz val="11"/>
      </rPr>
      <t xml:space="preserve">:  Additional Disclosure is required if a third-party has the right to purchase the Mortgaged Property. For example, if a Texas housing finance corporation has the right to purchase the property under the Texas Local Government Code, disclosure of the right to purchase is required. </t>
    </r>
  </si>
  <si>
    <r>
      <rPr>
        <b/>
        <color rgb="FF000000"/>
        <family val="2"/>
        <rFont val="Calibri"/>
        <sz val="11"/>
      </rPr>
      <t>Special Public Purpose</t>
    </r>
    <r>
      <rPr>
        <color theme="1"/>
        <family val="2"/>
        <rFont val="Calibri"/>
        <scheme val="minor"/>
        <sz val="11"/>
      </rPr>
      <t>:  Properties that adhere to the MAH requirements for Special Public Purpose.  Additional Disclosure comments must include:
• whether the Property is (i) Rent and Income restricted; (ii) Rent-Restricted, or (iii) Income Restricted; and
• details on when the Property must be in compliance with the Regulatory Agreement, including: ο if compliance is phased in over time; and ο the specific information on the timing (i.e., 12 months or 36 months; no deadline but is subject to the “Next Available Unit” rule; or no deadline – it states that the Property must “reserve” its units for qualified residents.)
See “</t>
    </r>
    <r>
      <rPr>
        <color rgb="FF000000"/>
        <family val="2"/>
        <i/>
        <rFont val="Calibri"/>
        <sz val="11"/>
      </rPr>
      <t>Job Aid:  Affordable Housing Data Guidance</t>
    </r>
    <r>
      <rPr>
        <color theme="1"/>
        <family val="2"/>
        <rFont val="Calibri"/>
        <scheme val="minor"/>
        <sz val="11"/>
      </rPr>
      <t xml:space="preserve">” for more details. </t>
    </r>
  </si>
  <si>
    <r>
      <rPr>
        <b/>
        <color rgb="FF000000"/>
        <family val="2"/>
        <rFont val="Calibri"/>
        <sz val="11"/>
      </rPr>
      <t>Sponsor-Dedicated Workforce Housing (SDW) with Cost Burdened and Very Cost Burdened</t>
    </r>
    <r>
      <rPr>
        <color theme="1"/>
        <family val="2"/>
        <rFont val="Calibri"/>
        <scheme val="minor"/>
        <sz val="11"/>
      </rPr>
      <t>:  A property that participates in the Sponsor-Dedicated Workforce Housing (SDW) program that uses FHFA’s “cost-burdened” (100% AMI) and “very cost-burdened” (120% AMI) markets to identify applicable geographies, or that adhere to the standard of a state or local housing affordability initiative.
-See “</t>
    </r>
    <r>
      <rPr>
        <color rgb="FF000000"/>
        <family val="2"/>
        <i/>
        <rFont val="Calibri"/>
        <sz val="11"/>
      </rPr>
      <t>DUS Disclose Frequently Asked Questions (FAQs)</t>
    </r>
    <r>
      <rPr>
        <color theme="1"/>
        <family val="2"/>
        <rFont val="Calibri"/>
        <scheme val="minor"/>
        <sz val="11"/>
      </rPr>
      <t>” for details on “cost-burdened” and “very cost-burdened markets”.
-See “</t>
    </r>
    <r>
      <rPr>
        <color rgb="FF000000"/>
        <family val="2"/>
        <i/>
        <rFont val="Calibri"/>
        <sz val="11"/>
      </rPr>
      <t>Job Aid: Affordable Housing Data Guidance</t>
    </r>
    <r>
      <rPr>
        <color theme="1"/>
        <family val="2"/>
        <rFont val="Calibri"/>
        <scheme val="minor"/>
        <sz val="11"/>
      </rPr>
      <t xml:space="preserve">” for more details. </t>
    </r>
  </si>
  <si>
    <t>Additional Disclosure for Non-Standard Characteristics:  Other</t>
  </si>
  <si>
    <r>
      <rPr>
        <b/>
        <color rgb="FF000000"/>
        <family val="2"/>
        <rFont val="Calibri"/>
        <sz val="11"/>
      </rPr>
      <t>Mortgage Loan Delivered in an MBS Pool without REMIC Tax Election</t>
    </r>
    <r>
      <rPr>
        <color theme="1"/>
        <family val="2"/>
        <rFont val="Calibri"/>
        <scheme val="minor"/>
        <sz val="11"/>
      </rPr>
      <t xml:space="preserve">:  If Fannie Mae has approved a Mortgage Loan for Delivery that fails to satisfy the requirements for making a REMIC tax election on the related MBS, Additional Disclosure is required to specify that a REMIC tax election will not be made upon securitization and that the MBS will be ineligible for re-securitization. For example, a Mortgage Loan is ineligible to make a REMIC tax election if: (i) the Lender cannot make the required Delivery representation in the Guide; or (ii) the aggregate UPB of a Seniors Housing Mortgage Loan exceeds 100% of the real estate value of the Property. In determining if the Mortgage Loan qualifies for a REMIC-eligible MBS, the value attributed to the real estate must only include value attributed to land and improvements, and must exclude all value attributed to goodwill, business value, intangibles, and/or furniture, fixtures and equipment in the Appraisal.
</t>
    </r>
    <r>
      <rPr>
        <b/>
        <color rgb="FF000000"/>
        <family val="2"/>
        <rFont val="Calibri"/>
        <sz val="11"/>
      </rPr>
      <t>NOTE</t>
    </r>
    <r>
      <rPr>
        <color theme="1"/>
        <family val="2"/>
        <rFont val="Calibri"/>
        <scheme val="minor"/>
        <sz val="11"/>
      </rPr>
      <t>: Fannie Mae will not generally approve a Mortgage Loan for Delivery that is not eligible to make a REMIC tax election.</t>
    </r>
  </si>
  <si>
    <r>
      <rPr>
        <b/>
        <color rgb="FF000000"/>
        <family val="2"/>
        <rFont val="Calibri"/>
        <sz val="11"/>
      </rPr>
      <t>Conflict Mortgage Loans (i.e., Lender’s Equity Interest)</t>
    </r>
    <r>
      <rPr>
        <color theme="1"/>
        <family val="2"/>
        <rFont val="Calibri"/>
        <scheme val="minor"/>
        <sz val="11"/>
      </rPr>
      <t xml:space="preserve">:  The Mortgage Loan is a Conflict Mortgage Loan. (Any equity interest acquired in the Borrower relating solely to obtaining the associated LIHTCs is not considered when determining if the Mortgage Loan is a Conflict Mortgage Loan.)
• A Conflict Mortgage is any Mortgage Loan in which:
          - a Lender, any Lender Affiliate, or any Lender Senior Executive 
</t>
    </r>
    <r>
      <rPr>
        <color rgb="FF000000"/>
        <family val="2"/>
        <i/>
        <rFont val="Calibri"/>
        <sz val="11"/>
      </rPr>
      <t xml:space="preserve">                    &gt; owns (or will own) any direct or indirect equity interest in the Borrower, or
                    &gt; directly or indirectly controls the Borrower; or
</t>
    </r>
    <r>
      <rPr>
        <color theme="1"/>
        <family val="2"/>
        <rFont val="Calibri"/>
        <scheme val="minor"/>
        <sz val="11"/>
      </rPr>
      <t xml:space="preserve">          - any Lender employee, or group of employees, owns (or will own) more than a 5% direct or indirect equity interest in the Borrower.
• Any Mortgage Loan with DLA Mezzanine Financing. </t>
    </r>
  </si>
  <si>
    <r>
      <rPr>
        <b/>
        <color rgb="FF000000"/>
        <family val="2"/>
        <rFont val="Calibri"/>
        <sz val="11"/>
      </rPr>
      <t>Expanded Housing Choice Vouchers</t>
    </r>
    <r>
      <rPr>
        <color theme="1"/>
        <family val="2"/>
        <rFont val="Calibri"/>
        <scheme val="minor"/>
        <sz val="11"/>
      </rPr>
      <t xml:space="preserve">:  The Expanded Housing Choice (EHC) pilot incentivizes Borrowers to accept HUD Housing Choice Vouchers as a valid source of income for eligible properties. The EHC pilot is currently available only for Properties located in North Carolina and Texas. Additional Disclosure is required generally to describe the additional Events of Default associated with participating in the program. </t>
    </r>
  </si>
  <si>
    <r>
      <rPr>
        <b/>
        <color rgb="FF000000"/>
        <family val="2"/>
        <rFont val="Calibri"/>
        <sz val="11"/>
      </rPr>
      <t>Full Recourse Mortgage Loan</t>
    </r>
    <r>
      <rPr>
        <color theme="1"/>
        <family val="2"/>
        <rFont val="Calibri"/>
        <scheme val="minor"/>
        <sz val="11"/>
      </rPr>
      <t xml:space="preserve">:  The Mortgage Loan is approved for Delivery and is either (i) full recourse to the Borrower, or (ii) includes a full or partial Payment Guaranty. </t>
    </r>
  </si>
  <si>
    <r>
      <rPr>
        <b/>
        <color rgb="FF000000"/>
        <family val="2"/>
        <rFont val="Calibri"/>
        <sz val="11"/>
      </rPr>
      <t>LIHTC Investment</t>
    </r>
    <r>
      <rPr>
        <color theme="1"/>
        <family val="2"/>
        <rFont val="Calibri"/>
        <scheme val="minor"/>
        <sz val="11"/>
      </rPr>
      <t xml:space="preserve">:  Fannie Mae is a LIHTC investor and owns, either directly or indirectly, an equity interest in the Borrower. Disclosure is required without regard to the amount of ownership (i.e., there is no de minimus exception). </t>
    </r>
  </si>
  <si>
    <r>
      <rPr>
        <b/>
        <color rgb="FF000000"/>
        <family val="2"/>
        <rFont val="Calibri"/>
        <sz val="11"/>
      </rPr>
      <t>MBS as Bond Collateral (i.e., MTEB)</t>
    </r>
    <r>
      <rPr>
        <color theme="1"/>
        <family val="2"/>
        <rFont val="Calibri"/>
        <scheme val="minor"/>
        <sz val="11"/>
      </rPr>
      <t xml:space="preserve">:  An MBS that collateralizes a Bond under an affordable housing program, and issues related to the performance of the parties under the Bond transaction may cause an early termination of the MBS. </t>
    </r>
  </si>
  <si>
    <r>
      <rPr>
        <b/>
        <color rgb="FF000000"/>
        <family val="2"/>
        <rFont val="Calibri"/>
        <sz val="11"/>
      </rPr>
      <t>Multiple Series Limited Liability Company</t>
    </r>
    <r>
      <rPr>
        <color theme="1"/>
        <family val="2"/>
        <rFont val="Calibri"/>
        <scheme val="minor"/>
        <sz val="11"/>
      </rPr>
      <t xml:space="preserve">:  A Borrower is formed under a Series LLC statute. </t>
    </r>
  </si>
  <si>
    <r>
      <t>Near Stabilized Property:</t>
    </r>
    <r>
      <rPr>
        <color rgb="FF000000"/>
        <family val="2"/>
        <rFont val="Calibri"/>
        <sz val="11"/>
      </rPr>
      <t xml:space="preserve">  A newly constructed or recently rehabilitated Property, with all construction or rehabilitation complete, which is expected to achieve Stabilized Residential Occupancy and the applicable required Underwritten Debt Service Coverage Ratio within 120 days (or other period approved by Fannie Mae) after the Mortgage Loan Origination Date. </t>
    </r>
    <r>
      <rPr>
        <color rgb="FF0000FF"/>
        <family val="2"/>
        <rFont val="Calibri"/>
        <sz val="11"/>
      </rPr>
      <t>Please add the following to the TTS in Other Notes: "Occupancy % is the “As-Stabilized” % occupancy expected in X months. As of the X/XX rent roll, property was Y% occupied and Z% pre-leased."</t>
    </r>
  </si>
  <si>
    <r>
      <rPr>
        <b/>
        <color rgb="FF000000"/>
        <family val="2"/>
        <rFont val="Calibri"/>
        <sz val="11"/>
      </rPr>
      <t>Non-Standard Events of Default and/or Personal Recourse Triggers</t>
    </r>
    <r>
      <rPr>
        <color theme="1"/>
        <family val="2"/>
        <rFont val="Calibri"/>
        <scheme val="minor"/>
        <sz val="11"/>
      </rPr>
      <t xml:space="preserve">:  The Loan Documents include one or more events of default that are not standard (e.g., the failure to maintain specific financial covenants, such as net worth and liquidity benchmarks; the failure to comply with the terms of an environmental indemnity agreement; litigation or arbitration or any action or event related to litigation or arbitration). The above examples are not intended to be a complete list of the non-standard events of default that require Additional Disclosure. </t>
    </r>
  </si>
  <si>
    <r>
      <rPr>
        <b/>
        <color rgb="FF000000"/>
        <family val="2"/>
        <rFont val="Calibri"/>
        <sz val="11"/>
      </rPr>
      <t>Operating Deficit Guaranty</t>
    </r>
    <r>
      <rPr>
        <color theme="1"/>
        <family val="2"/>
        <rFont val="Calibri"/>
        <scheme val="minor"/>
        <sz val="11"/>
      </rPr>
      <t xml:space="preserve">: Substantial rehabilitation is planned at the Property, and an operating deficit Guaranty is required. </t>
    </r>
  </si>
  <si>
    <r>
      <rPr>
        <b/>
        <color rgb="FF000000"/>
        <family val="2"/>
        <rFont val="Calibri"/>
        <sz val="11"/>
      </rPr>
      <t>Revenue or Expense Changes (e.g., Tax Abatements)</t>
    </r>
    <r>
      <rPr>
        <color theme="1"/>
        <family val="2"/>
        <rFont val="Calibri"/>
        <scheme val="minor"/>
        <sz val="11"/>
      </rPr>
      <t xml:space="preserve">: Additional Disclosure comments must include the length of the Tax Abatement and whether it eliminates or reduces the tax.
• The Property benefits from a state or local tax abatement or a payment in lieu of taxes (PILOT) arrangement and maintaining the tax abatement requires compliance with a state or local ordinance, the tax code, etc., and may require an annual application. (The Loan Documents generally include covenants requiring the Borrower to maintain (or obtain within a stated period from the Effective Date of the Mortgage Loan and maintain) the tax abatement with the failure of the Borrower to do so constituting an event of default.)
• The Property receives additional revenue from a source other than operations of the Property, and the revenue is a primary or significant contributing source of income needed to provide debt service for the Mortgage Loan. This additional revenue or reduced expense may or may not be considered in the underwriting of the Mortgage Loan, but the term of the agreement/arrangement providing the revenue is shorter than the term of the Mortgage Loan (e.g., significant assistance is provided under an agreement for a federal or state program). </t>
    </r>
  </si>
  <si>
    <r>
      <rPr>
        <b/>
        <color rgb="FF000000"/>
        <family val="2"/>
        <rFont val="Calibri"/>
        <sz val="11"/>
      </rPr>
      <t>Transfer/Assumption with Economic Test</t>
    </r>
    <r>
      <rPr>
        <color theme="1"/>
        <family val="2"/>
        <rFont val="Calibri"/>
        <scheme val="minor"/>
        <sz val="11"/>
      </rPr>
      <t>: The Loan Documents specify that a transfer of the Property (or a controlling interest in the Borrower or Key Principal), or an assumption of the Mortgage Loan will be approved only if a DSCR, LTV, or other economic test is met.</t>
    </r>
  </si>
  <si>
    <t>Systems Additional</t>
  </si>
  <si>
    <r>
      <t xml:space="preserve">For Systems Additional Disclosure, the Commitment in C&amp;D will need to indicate Additional Disclosure by selecting “Additional Disclosure – Yes”. However, the Lender does not need to mark the Mortgage Loan as requiring “Additional Disclosure” for marketing purposes. Form 4097 should include these non-standard characteristics. 
</t>
    </r>
    <r>
      <rPr>
        <b/>
        <color rgb="FF000000"/>
        <family val="2"/>
        <rFont val="Calibri"/>
        <sz val="11"/>
      </rPr>
      <t>Declining Prepayment Premium and Other Prepayment Premium</t>
    </r>
    <r>
      <rPr>
        <color theme="1"/>
        <family val="2"/>
        <rFont val="Calibri"/>
        <scheme val="minor"/>
        <sz val="11"/>
      </rPr>
      <t>:
• Loans delivered through MSFMS: The Mortgage Loan is a fixed or variable (including certain Hybrid ARM) rate Mortgage Loan and “Other Prepayment Premium” is selected as the Prepayment Protection Type in the MSFMS Acquisition system only. “Other Prepayment Premium” option is selected when Graduated Prepayment and Declining Prepayment Premium schedules are not available as allowable values in dropdown lists.
Please refer to “</t>
    </r>
    <r>
      <rPr>
        <color rgb="FF000000"/>
        <family val="2"/>
        <i/>
        <rFont val="Calibri"/>
        <sz val="11"/>
      </rPr>
      <t>Job Aid: Entering Data for Fixed and Variable Rate Mortgage Loans with Graduated Prepayment Premium Schedule</t>
    </r>
    <r>
      <rPr>
        <color theme="1"/>
        <family val="2"/>
        <rFont val="Calibri"/>
        <scheme val="minor"/>
        <sz val="11"/>
      </rPr>
      <t xml:space="preserve">” to see examples. </t>
    </r>
  </si>
  <si>
    <t>DO NOT DELETE OR CHANGE - DROP DOWN SELECTIONS</t>
  </si>
  <si>
    <t>Is_Fixed:</t>
  </si>
  <si>
    <t>SARM Loan</t>
  </si>
  <si>
    <t>Is SARM:</t>
  </si>
  <si>
    <t>ARM 5-5 Loan</t>
  </si>
  <si>
    <t>Is ARM:</t>
  </si>
  <si>
    <t>ARM 7-6 Loan</t>
  </si>
  <si>
    <t>Variable - Other</t>
  </si>
  <si>
    <t>Hybrid ARM Loan</t>
  </si>
  <si>
    <t>Coterminous Supplemental</t>
  </si>
  <si>
    <t>Non Coterminous Supplemental</t>
  </si>
  <si>
    <t>Coterminous Supplemental - 3rd</t>
  </si>
  <si>
    <t>Non Coterminous Supplemental - 3rd</t>
  </si>
  <si>
    <t>Prepayment:</t>
  </si>
  <si>
    <t>YM, then open</t>
  </si>
  <si>
    <t>YM - Modified</t>
  </si>
  <si>
    <t>Defeasance</t>
  </si>
  <si>
    <t>1 Yr LO - 1%</t>
  </si>
  <si>
    <t>2 Yr LO - 1%</t>
  </si>
  <si>
    <t>LO - Declining</t>
  </si>
  <si>
    <t>Declining</t>
  </si>
  <si>
    <t>Tier:</t>
  </si>
  <si>
    <t>Tier Dropping</t>
  </si>
  <si>
    <t>Pricing Structure:</t>
  </si>
  <si>
    <t>Enhanced Standard</t>
  </si>
  <si>
    <t>Tier Plus</t>
  </si>
  <si>
    <t>Tier Plus Plus</t>
  </si>
  <si>
    <t>First Level Delegated</t>
  </si>
  <si>
    <t>Second Level Delegated</t>
  </si>
  <si>
    <t>Fannie Approved Waiver</t>
  </si>
  <si>
    <t>Cooperative</t>
  </si>
  <si>
    <t>Manufactured Housing</t>
  </si>
  <si>
    <t>Seniors</t>
  </si>
  <si>
    <t>Dedicated Student</t>
  </si>
  <si>
    <t xml:space="preserve">Military </t>
  </si>
  <si>
    <t>Streamline Refinance</t>
  </si>
  <si>
    <t>Acquisition</t>
  </si>
  <si>
    <t>Garden</t>
  </si>
  <si>
    <t>High-Rise</t>
  </si>
  <si>
    <t>Mid-Rise</t>
  </si>
  <si>
    <t>Townhouse</t>
  </si>
  <si>
    <t>Project Affordability:</t>
  </si>
  <si>
    <t>Affordable Housing Type</t>
  </si>
  <si>
    <t>LIHTC</t>
  </si>
  <si>
    <t>Project Based HAP/Sec 8</t>
  </si>
  <si>
    <t>LIHTC &amp; Project Based HAP/Sec 8</t>
  </si>
  <si>
    <t xml:space="preserve">Other </t>
  </si>
  <si>
    <t>Other - Sponsor Initiated</t>
  </si>
  <si>
    <t>Other - Special Public Purpose</t>
  </si>
  <si>
    <t>Other - Sponsor Dedicated Workforce</t>
  </si>
  <si>
    <t>Not MAH</t>
  </si>
  <si>
    <t>Delivery:</t>
  </si>
  <si>
    <t>MBS</t>
  </si>
  <si>
    <t>Cash</t>
  </si>
  <si>
    <t>ERL:</t>
  </si>
  <si>
    <t>Received</t>
  </si>
  <si>
    <t>Pre-Review:</t>
  </si>
  <si>
    <t>Fee Sharing:</t>
  </si>
  <si>
    <t>Non Standard</t>
  </si>
  <si>
    <t>Applicant Check;</t>
  </si>
  <si>
    <t>Reviewed Commitment:</t>
  </si>
  <si>
    <t>Green Financing</t>
  </si>
  <si>
    <t>Green Certification</t>
  </si>
  <si>
    <t>Pending</t>
  </si>
  <si>
    <t>Approved</t>
  </si>
  <si>
    <t>DUS</t>
  </si>
  <si>
    <t>Non-DUS</t>
  </si>
  <si>
    <t>Credit Facility</t>
  </si>
  <si>
    <t>Bulk Delivery</t>
  </si>
  <si>
    <t>Negotiated Transaction</t>
  </si>
  <si>
    <t>Streamlined (SERL)</t>
  </si>
  <si>
    <t>ERL</t>
  </si>
  <si>
    <t>Prepayment Protection Strings:</t>
  </si>
  <si>
    <t>5/3</t>
  </si>
  <si>
    <t>YM(36), 1%(21), O(3)</t>
  </si>
  <si>
    <t>5/3 - open</t>
  </si>
  <si>
    <t>YM(36), O(24)</t>
  </si>
  <si>
    <t>5/4.5</t>
  </si>
  <si>
    <t>YM(54), 1%(3), O(3)</t>
  </si>
  <si>
    <t>5/4.5 - open</t>
  </si>
  <si>
    <t>YM(54), O(6)</t>
  </si>
  <si>
    <t>7/3</t>
  </si>
  <si>
    <t>YM(36), 1%(45), O(3)</t>
  </si>
  <si>
    <t>7/3 - open</t>
  </si>
  <si>
    <t>YM(36), O(48)</t>
  </si>
  <si>
    <t>7/5</t>
  </si>
  <si>
    <t>YM(60), 1%(21), O(3)</t>
  </si>
  <si>
    <t>7/5 - open</t>
  </si>
  <si>
    <t>YM(60), O(24)</t>
  </si>
  <si>
    <t>7/6.5</t>
  </si>
  <si>
    <t>YM(78), 1%(3), O(3)</t>
  </si>
  <si>
    <t>7/6.5 - open</t>
  </si>
  <si>
    <t>YM(78), O(6)</t>
  </si>
  <si>
    <t>10/5</t>
  </si>
  <si>
    <t>YM(60), 1%(57), O(3)</t>
  </si>
  <si>
    <t>10/5 - open</t>
  </si>
  <si>
    <t>YM(60), O(60)</t>
  </si>
  <si>
    <t>10/7</t>
  </si>
  <si>
    <t>YM(84), 1%(33), O(3)</t>
  </si>
  <si>
    <t>10/7 - open</t>
  </si>
  <si>
    <t>YM(84), O(36)</t>
  </si>
  <si>
    <t>10/9.5</t>
  </si>
  <si>
    <t>YM(114), 1%(3), O(3)</t>
  </si>
  <si>
    <t>10/9.5 - open</t>
  </si>
  <si>
    <t>YM(114), O(6)</t>
  </si>
  <si>
    <t>12/10</t>
  </si>
  <si>
    <t>YM(120), 1%(21), O(3)</t>
  </si>
  <si>
    <t>12/10 - open</t>
  </si>
  <si>
    <t>YM(120), O(24)</t>
  </si>
  <si>
    <t>12/11.5</t>
  </si>
  <si>
    <t>YM(138), 1%(3), O(3)</t>
  </si>
  <si>
    <t>12/11.5 - open</t>
  </si>
  <si>
    <t>YM(138), O(6)</t>
  </si>
  <si>
    <t>15/10</t>
  </si>
  <si>
    <t>YM(120), 1%(57), O(3)</t>
  </si>
  <si>
    <t>15/10 - open</t>
  </si>
  <si>
    <t>YM(120), O(60)</t>
  </si>
  <si>
    <t>15/14.5</t>
  </si>
  <si>
    <t>YM(174), 1%(3), O(3)</t>
  </si>
  <si>
    <t>15/14.5 - open</t>
  </si>
  <si>
    <t>YM(174), O(6)</t>
  </si>
  <si>
    <t>18/10</t>
  </si>
  <si>
    <t>YM(120), 1%(93), O(3)</t>
  </si>
  <si>
    <t>18/15</t>
  </si>
  <si>
    <t>YM(180), 1%(33), O(3)</t>
  </si>
  <si>
    <t>20/10</t>
  </si>
  <si>
    <t>YM(120), 1%(117), O(3)</t>
  </si>
  <si>
    <t>20/15</t>
  </si>
  <si>
    <t>YM(180), 1%(57), O(3)</t>
  </si>
  <si>
    <t>20/19.5</t>
  </si>
  <si>
    <t>YM(234), 1%(3), O(3)</t>
  </si>
  <si>
    <t>25/10</t>
  </si>
  <si>
    <t>YM(120), 1%(177), O(3)</t>
  </si>
  <si>
    <t>25/15</t>
  </si>
  <si>
    <t>YM(180), 1%(117), O(3)</t>
  </si>
  <si>
    <t>30/10</t>
  </si>
  <si>
    <t>YM(120), 1%(237), O(3)</t>
  </si>
  <si>
    <t>30/15</t>
  </si>
  <si>
    <t>YM(180), 1%(177), O(3)</t>
  </si>
  <si>
    <t>5yr Decline</t>
  </si>
  <si>
    <t>5%(12), 4%(12), 3%(12), 2%(12), 1%(9), O(3)</t>
  </si>
  <si>
    <t>7yr Decline</t>
  </si>
  <si>
    <t>L(24), 5%(12), 4%(12), 3%(12), 2%(12), 1%(9), O(3)</t>
  </si>
  <si>
    <t>10yr Decline</t>
  </si>
  <si>
    <t>5%(24), 4%(24), 3%(24), 2%(24), 1%(21), O(3)</t>
  </si>
  <si>
    <t>12yr Decline</t>
  </si>
  <si>
    <t>5%(48), 4%(24), 3%(24), 2%(24), 1%(21), O(3)</t>
  </si>
  <si>
    <t>15yr Decline</t>
  </si>
  <si>
    <t>5%(84), 4%(24), 3%(24), 2%(24), 1%(21), O(3)</t>
  </si>
  <si>
    <t>18yr Decline</t>
  </si>
  <si>
    <t>5%(84), 4%(24), 3%(24), 2%(24), 1%(57), O(3)</t>
  </si>
  <si>
    <t>30yr Decline</t>
  </si>
  <si>
    <t>5%(84), 4%(24), 3%(24), 2%(24), 1%(201), O(3)</t>
  </si>
  <si>
    <t>L(12), 1%(69), O(3)</t>
  </si>
  <si>
    <t>5yr SARM 1%</t>
  </si>
  <si>
    <t>L(12), 1%(45), O(3)</t>
  </si>
  <si>
    <t>7yr SARM 1%</t>
  </si>
  <si>
    <t>10yr  SARM 1%</t>
  </si>
  <si>
    <t>L(12), 1%(105), O(3)</t>
  </si>
  <si>
    <t>5yr SARM Decline</t>
  </si>
  <si>
    <t>L(12), 4%(12), 3%(12), 2%(12), 1%(9), O(3)</t>
  </si>
  <si>
    <t>7yr SARM Decline</t>
  </si>
  <si>
    <t>L(12), 4%(12), 3%(12), 2%(12), 1%(33), O(3)</t>
  </si>
  <si>
    <t>10yr SARM Decline</t>
  </si>
  <si>
    <t>L(12), 4%(12), 3%(12), 2%(12), 1%(57), O(3)</t>
  </si>
  <si>
    <t>Ownership Type</t>
  </si>
  <si>
    <t>Leasehold</t>
  </si>
  <si>
    <t xml:space="preserve">Cross Default/Cross Collateralization </t>
  </si>
  <si>
    <t>Cross Default Only</t>
  </si>
  <si>
    <t>Cross Default and Cross Collateralize</t>
  </si>
  <si>
    <t>One Way Cross Default Only</t>
  </si>
  <si>
    <t>Future Cross</t>
  </si>
  <si>
    <t>Preferred Equity Payment</t>
  </si>
  <si>
    <t>Mezzanine Payment</t>
  </si>
  <si>
    <t>Cap Strike Rate
(Get from Closing)</t>
  </si>
  <si>
    <t>C&amp;D Data Inputs</t>
  </si>
  <si>
    <t>From SARM Sizing Template:</t>
  </si>
  <si>
    <t>FixedPrinPayment</t>
  </si>
  <si>
    <t>ARM</t>
  </si>
  <si>
    <t>SARM</t>
  </si>
  <si>
    <t>SARMPayRate</t>
  </si>
  <si>
    <t>UW NCF DSCR</t>
  </si>
  <si>
    <t>SARMPayConstant</t>
  </si>
  <si>
    <t>Partial IO</t>
  </si>
  <si>
    <t>SARMStressConstant</t>
  </si>
  <si>
    <t>Fully IO</t>
  </si>
  <si>
    <t>SARMStressRate</t>
  </si>
  <si>
    <t>SARMInvestorSpread</t>
  </si>
  <si>
    <t>SARMGuarantyFee</t>
  </si>
  <si>
    <t>SARMCapCostFactor</t>
  </si>
  <si>
    <t>UW NCF DSCR IO</t>
  </si>
  <si>
    <t>SARMCushion</t>
  </si>
  <si>
    <t>SARMServicingFee</t>
  </si>
  <si>
    <t>UW NCF DSCR ALL IN</t>
  </si>
  <si>
    <t>UW NCF DSCR at Cap</t>
  </si>
  <si>
    <t>Counter</t>
  </si>
  <si>
    <t>Section</t>
  </si>
  <si>
    <t>Label</t>
  </si>
  <si>
    <t>Field Name</t>
  </si>
  <si>
    <t>Refers To</t>
  </si>
  <si>
    <t>R1C1 Reference</t>
  </si>
  <si>
    <t>Data Type</t>
  </si>
  <si>
    <t>Display Format</t>
  </si>
  <si>
    <t>Data Validation</t>
  </si>
  <si>
    <t>Data Validation Type (xlDVType)</t>
  </si>
  <si>
    <t>Data Validation Description</t>
  </si>
  <si>
    <t>Validation Allowable Values</t>
  </si>
  <si>
    <t>Value</t>
  </si>
  <si>
    <t>Source Worksheet</t>
  </si>
  <si>
    <t>Source Column</t>
  </si>
  <si>
    <t>Source Row</t>
  </si>
  <si>
    <t>Source Reference</t>
  </si>
  <si>
    <t>Source Formula (Or Constant)</t>
  </si>
  <si>
    <t>Source To Use</t>
  </si>
  <si>
    <t>Deal</t>
  </si>
  <si>
    <t>DL_NM</t>
  </si>
  <si>
    <t>'Form 4662'!$H$3</t>
  </si>
  <si>
    <t>R3C8</t>
  </si>
  <si>
    <t>General</t>
  </si>
  <si>
    <t>Fannie Mae Commitment Number</t>
  </si>
  <si>
    <t>CMT_NBR</t>
  </si>
  <si>
    <t>'Form 4662'!$O$4</t>
  </si>
  <si>
    <t>R4C15</t>
  </si>
  <si>
    <t>Number</t>
  </si>
  <si>
    <t>0</t>
  </si>
  <si>
    <t>Data is validated using an arbitrary formula.</t>
  </si>
  <si>
    <t>Whole Number with Character Length Equal To 6</t>
  </si>
  <si>
    <t>Funding / Pool Number (MBS Only)</t>
  </si>
  <si>
    <t>PL_NBR</t>
  </si>
  <si>
    <t>'Form 4662'!$O$5</t>
  </si>
  <si>
    <t>R5C15</t>
  </si>
  <si>
    <t>Length of text.</t>
  </si>
  <si>
    <t>Character Length Equal To 6</t>
  </si>
  <si>
    <t>LNDR_NM</t>
  </si>
  <si>
    <t>'Form 4662'!$AI$3</t>
  </si>
  <si>
    <t>R3C35</t>
  </si>
  <si>
    <t>PROP_NM</t>
  </si>
  <si>
    <t>'Form 4662'!$H$8</t>
  </si>
  <si>
    <t>R8C8</t>
  </si>
  <si>
    <t>PROP_TYP</t>
  </si>
  <si>
    <t>'Form 4662'!$H$9</t>
  </si>
  <si>
    <t>R9C8</t>
  </si>
  <si>
    <t>Value must be present in a specified list.</t>
  </si>
  <si>
    <t>Multifamily, Cooperative, Dedicated Student, Manufactured Housing, Seniors, Military</t>
  </si>
  <si>
    <t>BLDG_TYP</t>
  </si>
  <si>
    <t>'Form 4662'!$U$9</t>
  </si>
  <si>
    <t>R9C21</t>
  </si>
  <si>
    <t>Garden, High-Rise, Mid-Rise, Single Family Rental, Townhouse, Other</t>
  </si>
  <si>
    <t>Number of Buildings</t>
  </si>
  <si>
    <t>BLDG_CNT</t>
  </si>
  <si>
    <t>'Form 4662'!$U$10</t>
  </si>
  <si>
    <t>R10C21</t>
  </si>
  <si>
    <t>Whole numeric values.</t>
  </si>
  <si>
    <t>Whole Number Greater Than 0</t>
  </si>
  <si>
    <t>Rentable Residential Area</t>
  </si>
  <si>
    <t>RES_AREA</t>
  </si>
  <si>
    <t>'Form 4662'!$O$17</t>
  </si>
  <si>
    <t>R17C15</t>
  </si>
  <si>
    <t>Residential Units</t>
  </si>
  <si>
    <t>RES_UNTS</t>
  </si>
  <si>
    <t>'Form 4662'!$O$16</t>
  </si>
  <si>
    <t>R16C15</t>
  </si>
  <si>
    <t>Whole Number Greater Than 0 And Equal To The Sum Of The Phase Constructed Units (If Populated)</t>
  </si>
  <si>
    <t>UTIL_INCL</t>
  </si>
  <si>
    <t>'Form 4662'!$X$22</t>
  </si>
  <si>
    <t>R22C24</t>
  </si>
  <si>
    <t>True/False</t>
  </si>
  <si>
    <t>Yes,No</t>
  </si>
  <si>
    <t>YR_BLT</t>
  </si>
  <si>
    <t>'Form 4662'!$H$10</t>
  </si>
  <si>
    <t>R10C8</t>
  </si>
  <si>
    <t>Whole Number Between 1800 And Current Year + 5</t>
  </si>
  <si>
    <t>Phase 1 Completion Year</t>
  </si>
  <si>
    <t>PHS1_YR</t>
  </si>
  <si>
    <t>'Form 4662'!$L$13</t>
  </si>
  <si>
    <t>R13C12</t>
  </si>
  <si>
    <t>Phase 1 Constructed Units</t>
  </si>
  <si>
    <t>PHS1_UNTS</t>
  </si>
  <si>
    <t>'Form 4662'!$L$14</t>
  </si>
  <si>
    <t>R14C12</t>
  </si>
  <si>
    <t>Phase 2 Completion Year</t>
  </si>
  <si>
    <t>PHS2_YR</t>
  </si>
  <si>
    <t>'Form 4662'!$N$13</t>
  </si>
  <si>
    <t>R13C14</t>
  </si>
  <si>
    <t>Phase 2 Constructed Units</t>
  </si>
  <si>
    <t>PHS2_UNTS</t>
  </si>
  <si>
    <t>'Form 4662'!$N$14</t>
  </si>
  <si>
    <t>R14C14</t>
  </si>
  <si>
    <t>Phase 3 Completion Year</t>
  </si>
  <si>
    <t>PHS3_YR</t>
  </si>
  <si>
    <t>'Form 4662'!$P$13</t>
  </si>
  <si>
    <t>R13C16</t>
  </si>
  <si>
    <t>Phase 3 Constructed Units</t>
  </si>
  <si>
    <t>PHS3_UNTS</t>
  </si>
  <si>
    <t>'Form 4662'!$P$14</t>
  </si>
  <si>
    <t>R14C16</t>
  </si>
  <si>
    <t>Phase 4 Completion Year</t>
  </si>
  <si>
    <t>PHS4_YR</t>
  </si>
  <si>
    <t>'Form 4662'!$R$13</t>
  </si>
  <si>
    <t>R13C18</t>
  </si>
  <si>
    <t>Phase 4 Constructed Units</t>
  </si>
  <si>
    <t>PHS4_UNTS</t>
  </si>
  <si>
    <t>'Form 4662'!$R$14</t>
  </si>
  <si>
    <t>R14C18</t>
  </si>
  <si>
    <t>Phase 5 Completion Year</t>
  </si>
  <si>
    <t>PHS5_YR</t>
  </si>
  <si>
    <t>'Form 4662'!$T$13</t>
  </si>
  <si>
    <t>R13C20</t>
  </si>
  <si>
    <t>Phase 5 Constructed Units</t>
  </si>
  <si>
    <t>PHS5_UNTS</t>
  </si>
  <si>
    <t>'Form 4662'!$T$14</t>
  </si>
  <si>
    <t>R14C20</t>
  </si>
  <si>
    <t>Phase 6 Completion Year</t>
  </si>
  <si>
    <t>PHS6_YR</t>
  </si>
  <si>
    <t>'Form 4662'!$V$13</t>
  </si>
  <si>
    <t>R13C22</t>
  </si>
  <si>
    <t>Phase 6 Constructed Units</t>
  </si>
  <si>
    <t>PHS6_UNTS</t>
  </si>
  <si>
    <t>'Form 4662'!$V$14</t>
  </si>
  <si>
    <t>R14C22</t>
  </si>
  <si>
    <t>Phase 7 Completion Year</t>
  </si>
  <si>
    <t>PHS7_YR</t>
  </si>
  <si>
    <t>'Form 4662'!$X$13</t>
  </si>
  <si>
    <t>R13C24</t>
  </si>
  <si>
    <t>Phase 7 Constructed Units</t>
  </si>
  <si>
    <t>PHS7_UNTS</t>
  </si>
  <si>
    <t>'Form 4662'!$X$14</t>
  </si>
  <si>
    <t>R14C24</t>
  </si>
  <si>
    <t>Loan</t>
  </si>
  <si>
    <t>Borrower Loan Purpose</t>
  </si>
  <si>
    <t>LN_PRPS</t>
  </si>
  <si>
    <t>'Form 4662'!$AM$8</t>
  </si>
  <si>
    <t>R8C39</t>
  </si>
  <si>
    <t>Acquisition, Refinance, Forward Conversion, ARM to Fixed Conversion, Rehabilitation, Equity, Construction Take Out, New Construction</t>
  </si>
  <si>
    <t>APP_LN_AMT</t>
  </si>
  <si>
    <t>'Form 4662'!$AM$9</t>
  </si>
  <si>
    <t>R9C39</t>
  </si>
  <si>
    <t>Currency</t>
  </si>
  <si>
    <t>_($* #,##0.00_);_($* (#,##0.00);_($* "-"??_);_(@_)</t>
  </si>
  <si>
    <t>Numeric values.</t>
  </si>
  <si>
    <t>Decimal Greater Than 0</t>
  </si>
  <si>
    <t>TIER</t>
  </si>
  <si>
    <t>'Form 4662'!$AM$12</t>
  </si>
  <si>
    <t>R12C39</t>
  </si>
  <si>
    <t>2, 3, 4</t>
  </si>
  <si>
    <t>TIER_DRP</t>
  </si>
  <si>
    <t>'Form 4662'!$AM$13</t>
  </si>
  <si>
    <t>R13C39</t>
  </si>
  <si>
    <t>Rate Lock Term</t>
  </si>
  <si>
    <t>LCK_TRM</t>
  </si>
  <si>
    <t>'Form 4662'!$AV$12</t>
  </si>
  <si>
    <t>R12C48</t>
  </si>
  <si>
    <t>Lock Expiration Date</t>
  </si>
  <si>
    <t>LCK_EXP_DT</t>
  </si>
  <si>
    <t>'Form 4662'!$AV$13</t>
  </si>
  <si>
    <t>R13C48</t>
  </si>
  <si>
    <t>m/d/yyyy</t>
  </si>
  <si>
    <t>TRSY_RT</t>
  </si>
  <si>
    <t>'Form 4662'!$AO$15</t>
  </si>
  <si>
    <t>R15C41</t>
  </si>
  <si>
    <t>0.000</t>
  </si>
  <si>
    <t>Decimal Between 0 And 25</t>
  </si>
  <si>
    <t>Gross Spread</t>
  </si>
  <si>
    <t>GRS_SPRD</t>
  </si>
  <si>
    <t>'Form 4662'!$AO$16</t>
  </si>
  <si>
    <t>R16C41</t>
  </si>
  <si>
    <t>UW Floor Rate (If Applicable: Fixed Rate Loans Only)</t>
  </si>
  <si>
    <t>UW_FLR_RT</t>
  </si>
  <si>
    <t>'Form 4662'!$AO$18</t>
  </si>
  <si>
    <t>R18C41</t>
  </si>
  <si>
    <t>UW Rate</t>
  </si>
  <si>
    <t>UW_RT</t>
  </si>
  <si>
    <t>'Form 4662'!$AO$19</t>
  </si>
  <si>
    <t>R19C41</t>
  </si>
  <si>
    <t>UW_NCF</t>
  </si>
  <si>
    <t>'Form 4662'!$AI$31</t>
  </si>
  <si>
    <t>R31C35</t>
  </si>
  <si>
    <t>Co-Op Equiv. NCF</t>
  </si>
  <si>
    <t>COOP_NCF</t>
  </si>
  <si>
    <t>'Form 4662'!$AU$31</t>
  </si>
  <si>
    <t>R31C47</t>
  </si>
  <si>
    <t>Decimal Greater Than Or Equal To 0</t>
  </si>
  <si>
    <t>UW EGI</t>
  </si>
  <si>
    <t>UW_EGI</t>
  </si>
  <si>
    <t>'Form 4662'!$AI$30</t>
  </si>
  <si>
    <t>R30C35</t>
  </si>
  <si>
    <t>UW Total Operating Expense</t>
  </si>
  <si>
    <t>UW_TOE</t>
  </si>
  <si>
    <t>'Form 4662'!$AU$30</t>
  </si>
  <si>
    <t>R30C47</t>
  </si>
  <si>
    <t>UW Physical Occupancy</t>
  </si>
  <si>
    <t>UW_PHYS_OCC</t>
  </si>
  <si>
    <t>'Form 4662'!$AX$23</t>
  </si>
  <si>
    <t>R23C50</t>
  </si>
  <si>
    <t>0.0</t>
  </si>
  <si>
    <t>Decimal Between 0 And 100</t>
  </si>
  <si>
    <t>UW Economic Occupancy</t>
  </si>
  <si>
    <t>UW_ECON_OCC</t>
  </si>
  <si>
    <t>'Form 4662'!$AX$24</t>
  </si>
  <si>
    <t>R24C50</t>
  </si>
  <si>
    <t>Minimum UW DSCR Hurdle</t>
  </si>
  <si>
    <t>MIN_HRDL_DSCR</t>
  </si>
  <si>
    <t>'Form 4662'!$AO$33</t>
  </si>
  <si>
    <t>R33C41</t>
  </si>
  <si>
    <t>0.00</t>
  </si>
  <si>
    <t>Decimal Between 0 And 99.99</t>
  </si>
  <si>
    <t>ACTL_DSCR</t>
  </si>
  <si>
    <t>'Form 4662'!$AO$35</t>
  </si>
  <si>
    <t>R35C41</t>
  </si>
  <si>
    <t>Decimal Greater Than 0 And Less Than 100</t>
  </si>
  <si>
    <t>DSCR at Maximum Payment</t>
  </si>
  <si>
    <t>MAX_PMT_DSCR</t>
  </si>
  <si>
    <t>'Form 4662'!$AO$36</t>
  </si>
  <si>
    <t>R36C41</t>
  </si>
  <si>
    <t>UW DSCR per Guide Requirements</t>
  </si>
  <si>
    <t>UW_DSCR</t>
  </si>
  <si>
    <t>'Form 4662'!$AO$34</t>
  </si>
  <si>
    <t>R34C41</t>
  </si>
  <si>
    <t>Combined Actual DSCR (Including Mezzanine Financing)</t>
  </si>
  <si>
    <t>MEZZ_DSCR</t>
  </si>
  <si>
    <t>'Form 4662'!$AO$37</t>
  </si>
  <si>
    <t>R37C41</t>
  </si>
  <si>
    <t>UW Cap Rate</t>
  </si>
  <si>
    <t>UW_CAP_RT</t>
  </si>
  <si>
    <t>'Form 4662'!$AN$24</t>
  </si>
  <si>
    <t>R24C40</t>
  </si>
  <si>
    <t>UW Property Value</t>
  </si>
  <si>
    <t>UW_PROP_VAL</t>
  </si>
  <si>
    <t>'Form 4662'!$AL$26</t>
  </si>
  <si>
    <t>R26C38</t>
  </si>
  <si>
    <t>UW_LTV</t>
  </si>
  <si>
    <t>'Form 4662'!$AL$27</t>
  </si>
  <si>
    <t>R27C38</t>
  </si>
  <si>
    <t>Decimal Greater Than 0 And Less Than Or Equal To 100</t>
  </si>
  <si>
    <t>Affordable</t>
  </si>
  <si>
    <t>Units with Income or Rent Restrictions</t>
  </si>
  <si>
    <t>MAH_UNTS</t>
  </si>
  <si>
    <t>'Form 4662'!$X$34</t>
  </si>
  <si>
    <t>R34C24</t>
  </si>
  <si>
    <t>=IF(AND(MAH_UNDR_80="",MAH_UNDR_60="",MAH_UNDR_50=""),"",SUM(MAH_UNDR_80,MAH_UNDR_60,MAH_UNDR_50))</t>
  </si>
  <si>
    <t>Formula</t>
  </si>
  <si>
    <t>MAH_TYP</t>
  </si>
  <si>
    <t>'Form 4662'!$L$26</t>
  </si>
  <si>
    <t>R26C12</t>
  </si>
  <si>
    <t>LIHTC, Proj Based HAP (incl. Sec. 8), Both LIHTC &amp; Proj Based HAP, Other, Not MAH</t>
  </si>
  <si>
    <t>Other Affordable Housing Type</t>
  </si>
  <si>
    <t>OTR_MAH_TYP</t>
  </si>
  <si>
    <t>'Form 4662'!$J$27</t>
  </si>
  <si>
    <t>R27C10</t>
  </si>
  <si>
    <t>At or Below 80% AMI (Low to Moderate Inc - HAP/Sec. 8)</t>
  </si>
  <si>
    <t>MAH_UNDR_80</t>
  </si>
  <si>
    <t>'Form 4662'!$X$31</t>
  </si>
  <si>
    <t>R31C24</t>
  </si>
  <si>
    <t>At or Below 60% AMI:</t>
  </si>
  <si>
    <t>MAH_UNDR_60</t>
  </si>
  <si>
    <t>'Form 4662'!$X$32</t>
  </si>
  <si>
    <t>R32C24</t>
  </si>
  <si>
    <t>At or Below 50% AMI (Very Low Income - HAP/Sec. 8)</t>
  </si>
  <si>
    <t>MAH_UNDR_50</t>
  </si>
  <si>
    <t>'Form 4662'!$X$33</t>
  </si>
  <si>
    <t>R33C24</t>
  </si>
  <si>
    <t>Reserves</t>
  </si>
  <si>
    <t>Immediate Repair Total</t>
  </si>
  <si>
    <t>RPR_TOT</t>
  </si>
  <si>
    <t>'Form 4662'!$P$37</t>
  </si>
  <si>
    <t>R37C16</t>
  </si>
  <si>
    <t>SZ_ZN</t>
  </si>
  <si>
    <t>'Form 4662'!$K$21</t>
  </si>
  <si>
    <t>R21C11</t>
  </si>
  <si>
    <t>Terrorism Insurance Coverage?</t>
  </si>
  <si>
    <t>TRSM_INS</t>
  </si>
  <si>
    <t>'Form 4662'!$K$20</t>
  </si>
  <si>
    <t>R20C11</t>
  </si>
  <si>
    <t>TX_ESCRW</t>
  </si>
  <si>
    <t>'Form 4662'!$X$19</t>
  </si>
  <si>
    <t>R19C24</t>
  </si>
  <si>
    <t>INS_ESCRW</t>
  </si>
  <si>
    <t>'Form 4662'!$X$20</t>
  </si>
  <si>
    <t>R20C24</t>
  </si>
  <si>
    <t>OTR_ESCRW</t>
  </si>
  <si>
    <t>'Form 4662'!$X$21</t>
  </si>
  <si>
    <t>R21C24</t>
  </si>
  <si>
    <t>Comments</t>
  </si>
  <si>
    <t>Lender Comments</t>
  </si>
  <si>
    <t>LNDR_CMTS</t>
  </si>
  <si>
    <t>'Form 4662'!$C$41</t>
  </si>
  <si>
    <t>R41C3</t>
  </si>
  <si>
    <t>Signature</t>
  </si>
  <si>
    <t>Underwriter Signature</t>
  </si>
  <si>
    <t>UW_SIGN</t>
  </si>
  <si>
    <t>'Form 4662'!$C$47</t>
  </si>
  <si>
    <t>R47C3</t>
  </si>
  <si>
    <t>Underwriter Signature Date</t>
  </si>
  <si>
    <t>UW_SIGN_DT</t>
  </si>
  <si>
    <t>'Form 4662'!$S$47</t>
  </si>
  <si>
    <t>R47C19</t>
  </si>
  <si>
    <t>Date values.</t>
  </si>
  <si>
    <t>Date &lt;= Current Date</t>
  </si>
  <si>
    <t>Chief Underwriter Signature</t>
  </si>
  <si>
    <t>CUW_SIGN</t>
  </si>
  <si>
    <t>'Form 4662'!$AC$47</t>
  </si>
  <si>
    <t>R47C29</t>
  </si>
  <si>
    <t>Chief Underwriter Signature Date</t>
  </si>
  <si>
    <t>CUW_SIGN_DT</t>
  </si>
  <si>
    <t>'Form 4662'!$AS$47</t>
  </si>
  <si>
    <t>R47C45</t>
  </si>
  <si>
    <t>HAP Remaining Term (months):</t>
  </si>
  <si>
    <t>HAP_REM_TRM</t>
  </si>
  <si>
    <t>'Form 4662'!$K$28</t>
  </si>
  <si>
    <t>R28C11</t>
  </si>
  <si>
    <t>AGE_RESTR</t>
  </si>
  <si>
    <t>'Form 4662'!$K$19</t>
  </si>
  <si>
    <t>R19C11</t>
  </si>
  <si>
    <t>Mezzanine Combined LTV:</t>
  </si>
  <si>
    <t>UW_CLTV</t>
  </si>
  <si>
    <t>'Form 4662'!$AW$27</t>
  </si>
  <si>
    <t>R27C49</t>
  </si>
  <si>
    <t>Operating Statement (Fiscal Year):</t>
  </si>
  <si>
    <t>OP_STMT_FY</t>
  </si>
  <si>
    <t>'Form 4662'!$AN$23</t>
  </si>
  <si>
    <t>R23C40</t>
  </si>
  <si>
    <t>Whole Number Between Current Year - 1 And Current Year + 1</t>
  </si>
  <si>
    <t>High Seismic Risk?  (“Yes”, if 10% or greater probability of the Peak Ground Acceleration exceeding 0.15g)</t>
  </si>
  <si>
    <t>SZ_RSK</t>
  </si>
  <si>
    <t>'Form 4662'!$K$22</t>
  </si>
  <si>
    <t>R22C11</t>
  </si>
  <si>
    <t>UW Property Value as of Date</t>
  </si>
  <si>
    <t>UW_PROP_VAL_DT</t>
  </si>
  <si>
    <t>'Form 4662'!$AW$26</t>
  </si>
  <si>
    <t>R26C49</t>
  </si>
  <si>
    <t>Mezzanine Loan Acquisition UPB</t>
  </si>
  <si>
    <t>MEZZ_LN_ACQ_UPB</t>
  </si>
  <si>
    <t>'Form 4662'!$AM$10</t>
  </si>
  <si>
    <t>R10C39</t>
  </si>
  <si>
    <t>Mezzanine Monthly Payment</t>
  </si>
  <si>
    <t>MEZZ_LN_MO_PMT</t>
  </si>
  <si>
    <t>'Form 4662'!$AX$10</t>
  </si>
  <si>
    <t>R10C50</t>
  </si>
  <si>
    <t>Cap Cost Factor (If Applicable: Structured ARM's Only)</t>
  </si>
  <si>
    <t>CAP_COST_FCTR</t>
  </si>
  <si>
    <t>'Form 4662'!$AO$17</t>
  </si>
  <si>
    <t>R17C41</t>
  </si>
  <si>
    <t>Identifier</t>
  </si>
  <si>
    <t xml:space="preserve">Collateral Reference Number </t>
  </si>
  <si>
    <t>Property Financial Type</t>
  </si>
  <si>
    <t>Age Restricted (as defined in the Housing for Older Persons Act (HOPA))?</t>
  </si>
  <si>
    <t>Continuum of Care Residential Community Property?</t>
  </si>
  <si>
    <t>Total Number 
of Buildings</t>
  </si>
  <si>
    <t>Address 1</t>
  </si>
  <si>
    <t>Address 2</t>
  </si>
  <si>
    <t>Lot &amp; Block Description</t>
  </si>
  <si>
    <t>Postal
Code</t>
  </si>
  <si>
    <t>Management Company Name</t>
  </si>
  <si>
    <t>Phase Number</t>
  </si>
  <si>
    <t>Phase Completion Year</t>
  </si>
  <si>
    <t>Phase Construction Units</t>
  </si>
  <si>
    <t>Underwritten Property Value</t>
  </si>
  <si>
    <t>Underwritten Capitalization Rate</t>
  </si>
  <si>
    <t>Property Value as of Date</t>
  </si>
  <si>
    <t>Operating Statement Fiscal Year</t>
  </si>
  <si>
    <t>Gross Potential Rent</t>
  </si>
  <si>
    <t>Medicare/Medicaid</t>
  </si>
  <si>
    <t>Nursing/Medical Income</t>
  </si>
  <si>
    <t>Meals Income</t>
  </si>
  <si>
    <t>Second Resident Income</t>
  </si>
  <si>
    <t>Laundry/Vending Income</t>
  </si>
  <si>
    <t>Parking Income</t>
  </si>
  <si>
    <t>Other Income</t>
  </si>
  <si>
    <t>Underwritten NRI ($)</t>
  </si>
  <si>
    <t>Trailing Collections (T-1) ($)</t>
  </si>
  <si>
    <t>Trailing Collections (T-3) ($)</t>
  </si>
  <si>
    <t>Trailing Collections (T-6) ($)</t>
  </si>
  <si>
    <t>Trailing Collections (T-12) ($)</t>
  </si>
  <si>
    <t>Meals Expense</t>
  </si>
  <si>
    <t>Payroll/Benefits</t>
  </si>
  <si>
    <t>Room Expense - Housekeeping</t>
  </si>
  <si>
    <t>Cooperative Equivalent NCF ($)</t>
  </si>
  <si>
    <t>Initial Deposit to Capital Expenditures (Replacement Reserves) ($)</t>
  </si>
  <si>
    <t>Ongoing Deposit to Capital Expenditures (Replacement Reserves) Waived (?)</t>
  </si>
  <si>
    <t>Is there Post-Closing Required Repairs/Renovation/Rehabilitation (?)</t>
  </si>
  <si>
    <t>Post-Closing Total Required Repairs/Renovation/Rehabilitation Amount($)</t>
  </si>
  <si>
    <t>Amount Escrowed by Servicer for Post-Closing Total Required Repairs/Renovation/Rehabilitation Amount ($)</t>
  </si>
  <si>
    <t>Final Completion Due Date of Total Required Repairs/Renovation/Rehabilitation</t>
  </si>
  <si>
    <t>Taxes Currently Escrowed (?)</t>
  </si>
  <si>
    <t>Third Party Operating Leases?</t>
  </si>
  <si>
    <t>Lease Payment ($)</t>
  </si>
  <si>
    <t>Upfront Fee?</t>
  </si>
  <si>
    <t>Upfront Fee Amount ($)</t>
  </si>
  <si>
    <t>Upfront Fee Refundable?</t>
  </si>
  <si>
    <t>State License Required</t>
  </si>
  <si>
    <t>State License Expiration Date</t>
  </si>
  <si>
    <t>Most Recent License Survey Date</t>
  </si>
  <si>
    <t>Deficiencies on Most Recent Survey</t>
  </si>
  <si>
    <t>Deficiencies on Most Recent Survey Description</t>
  </si>
  <si>
    <t>Deficiencies Corrected</t>
  </si>
  <si>
    <t>Deficiencies Corrected Description</t>
  </si>
  <si>
    <t>Suspension Due to Deficiency</t>
  </si>
  <si>
    <t>Suspension Due to Deficiency Description</t>
  </si>
  <si>
    <t>Independent Living Senior Units</t>
  </si>
  <si>
    <t>Assisted Living Senior Units</t>
  </si>
  <si>
    <t>Skilled Nursing Senior Units</t>
  </si>
  <si>
    <t>Alzheimers Senior Units</t>
  </si>
  <si>
    <t>Non-Senior Units</t>
  </si>
  <si>
    <t>Other Senior Units</t>
  </si>
  <si>
    <t>Independent Living Senior Units Exceeding HUD Limit</t>
  </si>
  <si>
    <t>Assisted Living Senior Units Exceeding HUD Limit</t>
  </si>
  <si>
    <t>Alzheimers Senior Units Exceeding HUD Limit</t>
  </si>
  <si>
    <t>Other Senior Units Exceeding HUD Limit</t>
  </si>
  <si>
    <t>Land Ownership Rights</t>
  </si>
  <si>
    <t>MHC Quality Rating</t>
  </si>
  <si>
    <t>MHC Ownership Type</t>
  </si>
  <si>
    <t>Property Stabilization Level</t>
  </si>
  <si>
    <t>Units with Tenant Site Lease Protections (%)</t>
  </si>
  <si>
    <t>Property Operating At Stable Residential Physical Occupancy?</t>
  </si>
  <si>
    <t>Property Expected To Reach Stable Residential Physical Occupancy</t>
  </si>
  <si>
    <t>Underwritten Physical Occupancy</t>
  </si>
  <si>
    <t>Military-Related Physical Occupancy (%)</t>
  </si>
  <si>
    <t>Underwritten Economic Occupancy</t>
  </si>
  <si>
    <t>Occupancy as of Date</t>
  </si>
  <si>
    <t>Assessment Results</t>
  </si>
  <si>
    <t>Rentable Residential Area (sq ft)</t>
  </si>
  <si>
    <t>Rentable Commercial Area (sq ft)</t>
  </si>
  <si>
    <t>Gross Property Area (sq ft)</t>
  </si>
  <si>
    <t>Special Flood Hazard Area Indicator</t>
  </si>
  <si>
    <t>Special Flood Hazard Area Insurance Type</t>
  </si>
  <si>
    <t>Seismic Zone</t>
  </si>
  <si>
    <t>Terrorism Insurance Coverage</t>
  </si>
  <si>
    <t>Does Property Include Licensed Childcare?</t>
  </si>
  <si>
    <t>Green Building Certification Organization</t>
  </si>
  <si>
    <t>Green Building Certification</t>
  </si>
  <si>
    <t>Is Green Building Certification Final?</t>
  </si>
  <si>
    <t>Green Building Certification Version</t>
  </si>
  <si>
    <t>Green Building Certification Level</t>
  </si>
  <si>
    <t>Is this Property subject to a State or Local Government Affordable Housing Program?</t>
  </si>
  <si>
    <t>Is this a HUD 202 Property?</t>
  </si>
  <si>
    <t>Original Tax Credit ($)</t>
  </si>
  <si>
    <t>Remaining Credit Period for Tax Credits</t>
  </si>
  <si>
    <t>Units with Income or Rent Restrictions (%)</t>
  </si>
  <si>
    <t>120%-Percentage of Units Set Aside for Tenants with Household Income at or below 120%</t>
  </si>
  <si>
    <t xml:space="preserve">100%-Percentage of Units Set Aside for Tenants with Household Income at or below 100% </t>
  </si>
  <si>
    <t>80%-Percentage of Units Set Aside for Tenants with Household Income at or below 80%</t>
  </si>
  <si>
    <t>60%-Percentage of Units Set Aside for Tenants with Household Income at or below 60%</t>
  </si>
  <si>
    <t>50%-Percentage of Units Set Aside for Tenants with Household Income at or below 50%</t>
  </si>
  <si>
    <t>Tax Credit Percent</t>
  </si>
  <si>
    <t>Tax Exemption or Abatement</t>
  </si>
  <si>
    <t>Remaining Term Of Tax Exemption or Abatement</t>
  </si>
  <si>
    <t>Section 8 Occupancy</t>
  </si>
  <si>
    <t>HAP Remaining Term (months)</t>
  </si>
  <si>
    <t>Property Management Type</t>
  </si>
  <si>
    <t>Financial Statement Frequency</t>
  </si>
  <si>
    <t>Property Site Inspection Frequency</t>
  </si>
  <si>
    <t>Number of Years Property Has Been Operating at Stable Occupancy</t>
  </si>
  <si>
    <t>Percentage Of Units With 12-month Leases(%)</t>
  </si>
  <si>
    <t>Percentage Of Units With Parental Guarantees (%)</t>
  </si>
  <si>
    <t>Distance to Campus</t>
  </si>
  <si>
    <t>Number of Student Properties Owned by the Key Managing Principal</t>
  </si>
  <si>
    <t>Unit Floor Plans Specialized?</t>
  </si>
  <si>
    <t>Number of Full Time Students Enrolled at the Campus(es) Served By This Property</t>
  </si>
  <si>
    <t>Name of College or University</t>
  </si>
  <si>
    <t>Cooperative Management Type</t>
  </si>
  <si>
    <t>Limited Equity Cooperative?</t>
  </si>
  <si>
    <t>Cooperative Cash and Reserves ($)</t>
  </si>
  <si>
    <t>Cooperative Sold Shares (%)</t>
  </si>
  <si>
    <t>Cooperative Units Sold In Last 12 Months?</t>
  </si>
  <si>
    <t>Cooperative Average Unit Sales Price ($)</t>
  </si>
  <si>
    <t>Cooperative Audited Financial Statement?</t>
  </si>
  <si>
    <t>Cooperative Maintenance Fees in Arrears (%)</t>
  </si>
  <si>
    <t>Base</t>
  </si>
  <si>
    <t>1</t>
  </si>
  <si>
    <t>Quarterly</t>
  </si>
  <si>
    <t>Every Two Years</t>
  </si>
  <si>
    <t>Deal Participant Name</t>
  </si>
  <si>
    <t>Tax ID</t>
  </si>
  <si>
    <t>Counterparty Type</t>
  </si>
  <si>
    <t>Sponsor?</t>
  </si>
  <si>
    <t>Borrower?</t>
  </si>
  <si>
    <t>Principal?</t>
  </si>
  <si>
    <t>Forward?</t>
  </si>
  <si>
    <t>Single Asset Borrower</t>
  </si>
  <si>
    <t>Foreign Borrower</t>
  </si>
  <si>
    <t>Fannie Mae an 
Investor in Counterparty</t>
  </si>
  <si>
    <t>Borrower Recourse</t>
  </si>
  <si>
    <t>Postal Code</t>
  </si>
  <si>
    <t>Phone</t>
  </si>
  <si>
    <t>Fax</t>
  </si>
  <si>
    <t>E-mail</t>
  </si>
  <si>
    <t>Principal Recourse</t>
  </si>
  <si>
    <t>Partial Recourse (%)</t>
  </si>
  <si>
    <t>Cash Contributions ($)</t>
  </si>
  <si>
    <t>FICO Score</t>
  </si>
  <si>
    <t>Does Participant Occupy the Property?</t>
  </si>
  <si>
    <t>Is the Key Financial Principal a Publicly Rated Company?</t>
  </si>
  <si>
    <t>Long Term Public Debt Rating (S&amp;P Rating)</t>
  </si>
  <si>
    <t>Long Term Public Debt Rating (Moody's Rating)</t>
  </si>
  <si>
    <t>Long Term Public Debt Rating (Fitch Rating)</t>
  </si>
  <si>
    <t>Key Financial Principal Guaranty</t>
  </si>
  <si>
    <t>Duration of Key Financial Principal Guaranty</t>
  </si>
  <si>
    <t>Portfolio DSCR</t>
  </si>
  <si>
    <t>Tangible Net Worth Ratio</t>
  </si>
  <si>
    <t>Liquidity Ratio</t>
  </si>
  <si>
    <t>Years of Ownership or Management Experience With This Property Type</t>
  </si>
  <si>
    <t>Years of Management Experience in This Market</t>
  </si>
  <si>
    <t>{"data_quality": "OK", "data": [{"created_on": "09/15/2023, 13:37:47", "date": "09/15/2023", "fannie_1m_libor": "0.053133", "fannie_sofr": "0.053271", "fannie_1m_tsy": "0.053704", "fannie_3m_tsy": "0.054609", "fannie_6m_tsy": "0.055226", "fannie_1y_tsy": "0.054237", "fannie_2y_tsy": "0.050347", "fannie_3y_tsy": "0.047126", "fannie_4y_tsy": "0.045816", "fannie_5y_tsy": "0.044509", "fannie_7y_tsy": "0.044065", "fannie_10y_tsy": "0.043144", "fannie_30y_tsy": "0.043957", "fannie_5y_swap_spread": "-0.002181", "fannie_7y_swap_spread": "-0.003107", "fannie_10y_swap_spread": "-0.002966", "fannie_release_1": "09/13/2023 07:00 | MBA Mortgage Applications | --", "fannie_release_2": "09/13/2023 08:30 | CPI Ex Food and Energy YoY | 0.043", "fannie_release_3": "09/13/2023 08:30 | CPI Ex Food and Energy MoM | 0.002", "fannie_release_4": "09/13/2023 08:30 | CPI YoY | 0.036", "fannie_release_5": "09/13/2023 08:30 | CPI MoM | 0.006", "fannie_release_6": "09/13/2023 14:00 | Monthly Budget Statement | -$245.0b", "fannie_release_7": "09/14/2023 08:30 | PPI Ex Food and Energy MoM | 0.002", "fannie_release_8": "09/14/2023 08:30 | Continuing Claims | 1695k", "fannie_release_9": "09/14/2023 08:30 | PPI Final Demand YoY | 0.013", "fannie_release_10": "09/14/2023 08:30 | PPI Final Demand MoM | 0.004", "fannie_release_11": "09/14/2023 08:30 | Retail Sales Advance MoM | 0.001", "fannie_release_12": "09/14/2023 08:30 | Initial Jobless Claims | 225k", "fannie_release_13": "09/15/2023 08:30 | Import Price Index MoM | 0.003", "fannie_release_14": "09/15/2023 08:30 | Empire Manufacturing | -10", "fannie_release_15": "09/15/2023 09:15 | Industrial Production MoM | 0.001", "fannie_release_16": "09/15/2023 10:00 | U. of Mich. Sentiment | 69.1", "fannie_5yr_fixed_rate_investor_4_5yr_ym": "0.006900", "fannie_7yr_fixed_rate_investor_6_5yr_ym": "0.006900", "fannie_10yr_fixed_rate_investor_9_5yr_ym": "0.007300", "fannie_12yr_fixed_rate_investor_11_5yr_ym": "0.008700", "fannie_15yr_fixed_rate_investor_14_5yr_ym": "0.010500", "fannie_18yr_fixed_rate_investor_15yr_ym": "0.012100", "fannie_30yr_fixed_rate_investor_15yr_ym": "0.013000", "fannie_5yr_fixed_rate_investor_3yr_ym": "0.012900", "fannie_7yr_fixed_rate_investor_5yr_ym": "0.012900", "fannie_10yr_fixed_rate_investor_7yr_ym": "0.013300", "fannie_arm_7_6_floating_rate_investor": null, "fannie_10y_SARM_floating_rate_investor": "0.008000", "fannie_5y_fixed_rate_4_5yr_ym_gs": "0.019300", "fannie_7y_fixed_rate_6_5yr_ym_gs": "0.016600", "fannie_10y_fixed_rate_9_5yr_ym_gs": "0.015100", "fannie_12y_fixed_rate_11_5yr_ym_gs": "0.015100", "fannie_15y_fixed_rate_14_5yr_ym_gs": "0.015100", "fannie_18y_fixed_rate_15yr_ym_gs": "0.015100", "fannie_30y_fixed_rate_15yr_ym_gs": "0.015100", "fannie_5y_fixed_rate_3yr_ym_gs": "0.019600", "fannie_7y_fixed_rate_5yr_ym_gs": "0.016900", "fannie_10y_fixed_rate_7yr_ym_gs": "0.015300", "fannie_arm_7_6_floating_rate": null, "fannie_10y_SARM_floating_rate": "0.020000", "fannie_1yr_7_6_5_interest_only_cost": "0.007325", "fannie_2yr_7_6_5_interest_only_cost": "0.003449", "fannie_3yr_7_6_5_interest_only_cost": "0.000418", "fannie_5yr_7_6_5_interest_only_cost": "-0.003359", "fannie_full_term_IO_7_6_5_interset_only_cost": "-0.004090", "fannie_1yr_10_9_5_interest_only_cost": "0.009380", "fannie_2yr_10_9_5_interest_only_cost": "0.007074", "fannie_3yr_10_9_5_interest_only_cost": "0.005143", "fannie_5yr_10_9_5_interest_only_cost": "0.002258", "fannie_full_term_IO_10_9_5_interset_only_cost": "-0.000265", "fannie_1yr_12_11_5_interest_only_cost": "0.010640", "fannie_2yr_12_11_5_interest_only_cost": "0.009411", "fannie_3yr_12_11_5_interest_only_cost": "0.008375", "fannie_5yr_12_11_5_interest_only_cost": "0.006768", "fannie_full_term_IO_12_11_5_interset_only_cost": "0.004847", "fannie_1yr_15_14_5_interest_only_cost": "0.010751", "fannie_2yr_15_14_5_interest_only_cost": "0.009582", "fannie_3yr_15_14_5_interest_only_cost": "0.008586", "fannie_5yr_15_14_5_interest_only_cost": "0.006981", "fannie_full_term_IO_15_14_5_interset_only_cost": "0.004040", "fannie_extended_delivery_45days": "0.000100", "fannie_extended_delivery_60days": "0.000500", "fannie_extended_delivery_75days": "0.000700", "fannie_extended_delivery_90days": "0.001000", "fannie_extended_delivery_120days": "0.001400", "freddie_CME_7yr_6_75yr_net_spread": "0.019000", "freddie_CME_10yr_9_75yr_net_spread": "0.018500", "freddie_CME_12yr_11_75yr_net_spread": "0.019500", "freddie_CME_15yr_14_75yr_net_spread": null, "freddie_CME_7yr_6_75yr_servicing": "0.001000", "freddie_CME_10yr_9_75yr_servicing": "0.001000", "freddie_CME_12yr_11_75yr_servicing": "0.001000", "freddie_CME_15yr_14_75yr_servicing": null, "ginnie_mae_permanent_loan_post_gs": "0.061644", "ginnie_mae_construction_loan_post_gs": "0.065944", "fannie_1yr_5_4_5_interest_only_cost": "0.005936", "fannie_2yr_5_4_5_interest_only_cost": "0.001328", "fannie_3yr_5_4_5_interest_only_cost": "-0.001809", "fannie_5yr_5_4_5_interest_only_cost": "-0.003627", "fannie_full_term_IO_5_4_5_interset_only_cost": "-0.006800", "fannie_30y_swap_spread": "0.000000", "fannie_5y_large_tier3_fixed_rate_4_5yr_ym_gs": "0.013900", "fannie_7y_large_tier3_fixed_rate_6_5yr_ym_gs": "0.013500", "fannie_10y_large_tier3_fixed_rate_9_5yr_ym_gs": "0.013100", "fannie_12y_large_tier3_fixed_rate_11_5yr_ym_gs": "0.013100", "fannie_15y_large_tier3_fixed_rate_14_5yr_ym_gs": "0.013100", "fannie_18y_large_tier3_fixed_rate_15yr_ym_gs": "0.013100", "fannie_30y_large_tier3_fixed_rate_15yr_ym_gs": "0.013100", "fannie_5y_large_tier3_fixed_rate_3yr_ym_gs": "0.013900", "fannie_7y_large_tier3_fixed_rate_5yr_ym_gs": "0.013500", "fannie_10y_large_tier3_fixed_rate_7yr_ym_gs": "0.013100", "fannie_5y_large_tier4_fixed_rate_4_5yr_ym_gs": "0.011900", "fannie_7y_large_tier4_fixed_rate_6_5yr_ym_gs": "0.011500", "fannie_10y_large_tier4_fixed_rate_9_5yr_ym_gs": "0.011100", "fannie_12y_large_tier4_fixed_rate_11_5yr_ym_gs": "0.011100", "fannie_15y_large_tier4_fixed_rate_14_5yr_ym_gs": "0.011100", "fannie_18y_large_tier4_fixed_rate_15yr_ym_gs": "0.011100", "fannie_30y_large_tier4_fixed_rate_15yr_ym_gs": "0.011100", "fannie_5y_large_tier4_fixed_rate_3yr_ym_gs": "0.011900", "fannie_7y_large_tier4_fixed_rate_5yr_ym_gs": "0.011500", "fannie_10y_large_tier4_fixed_rate_7yr_ym_gs": "0.011100", "fannie_5y_small_tier2_fixed_rate_4_5yr_ym_gs": "0.023400", "fannie_7y_small_tier2_fixed_rate_6_5yr_ym_gs": "0.020700", "fannie_10y_small_tier2_fixed_rate_9_5yr_ym_gs": "0.019200", "fannie_12y_small_tier2_fixed_rate_11_5yr_ym_gs": "0.019200", "fannie_15y_small_tier2_fixed_rate_14_5yr_ym_gs": "0.019200", "fannie_18y_small_tier2_fixed_rate_15yr_ym_gs": "0.019200", "fannie_30y_small_tier2_fixed_rate_15yr_ym_gs": "0.019200", "fannie_5y_small_tier2_fixed_rate_3yr_ym_gs": "0.023400", "fannie_7y_small_tier2_fixed_rate_5yr_ym_gs": "0.020700", "fannie_10y_small_tier2_fixed_rate_7yr_ym_gs": "0.019200", "fannie_5y_small_tier3_fixed_rate_4_5yr_ym_gs": "0.018000", "fannie_7y_small_tier3_fixed_rate_6_5yr_ym_gs": "0.017600", "fannie_10y_small_tier3_fixed_rate_9_5yr_ym_gs": "0.017200", "fannie_12y_small_tier3_fixed_rate_11_5yr_ym_gs": "0.017200", "fannie_15y_small_tier3_fixed_rate_14_5yr_ym_gs": "0.017200", "fannie_18y_small_tier3_fixed_rate_15yr_ym_gs": "0.017200", "fannie_30y_small_tier3_fixed_rate_15yr_ym_gs": "0.017200", "fannie_5y_small_tier3_fixed_rate_3yr_ym_gs": "0.018000", "fannie_7y_small_tier3_fixed_rate_5yr_ym_gs": "0.017600", "fannie_10y_small_tier3_fixed_rate_7yr_ym_gs": "0.017200", "fannie_5y_small_tier4_fixed_rate_4_5yr_ym_gs": "0.016000", "fannie_7y_small_tier4_fixed_rate_6_5yr_ym_gs": "0.015600", "fannie_10y_small_tier4_fixed_rate_9_5yr_ym_gs": "0.015200", "fannie_12y_small_tier4_fixed_rate_11_5yr_ym_gs": "0.015200", "fannie_15y_small_tier4_fixed_rate_14_5yr_ym_gs": "0.015200", "fannie_18y_small_tier4_fixed_rate_15yr_ym_gs": "0.015200", "fannie_30y_small_tier4_fixed_rate_15yr_ym_gs": "0.015200", "fannie_5y_small_tier4_fixed_rate_3yr_ym_gs": "0.016000", "fannie_7y_small_tier4_fixed_rate_5yr_ym_gs": "0.015600", "fannie_10y_small_tier4_fixed_rate_7yr_ym_gs": "0.015200", "small_loan_spread_adder": "0.001000", "declining_prepayment_penalty_investor_spread_adder": "0.007000", "manf_housing_penalty_investor_spread_adder": "0.000300", "manf_housing_gs_tier2_adder": "0.005200", "manf_housing_gs_tier34_adder": "0.000000", "libor_1mo": "0.053133", "sofr_30d_Avg": "0.053271", "sofr_1mo_term": "0.053704", "TBill_1mo": "0.053704", "TBill_3mo": "0.054609", "TBill_6mo": "0.055226", "TBill_12mo": "0.054237", "UST_2yr": "0.050347", "UST_3yr": "0.047126", "UST_4yr": "0.045816", "UST_5yr": "0.044509", "UST_7yr": "0.044065", "UST_10yr": "0.043144", "UST_20yr": "0.045820", "UST_30yr": "0.043957"}]}</t>
  </si>
  <si>
    <t>DailyPricingTblDataIsStale</t>
  </si>
  <si>
    <t>DailyPricingUpdateTimestamp</t>
  </si>
  <si>
    <t>DailyPricingImportedData</t>
  </si>
  <si>
    <t>DailyPricingTbl</t>
  </si>
  <si>
    <t>date</t>
  </si>
  <si>
    <t>libor_1mo</t>
  </si>
  <si>
    <t>sofr_30d_Avg</t>
  </si>
  <si>
    <t>sofr_1mo_term</t>
  </si>
  <si>
    <t>fannie_sofr</t>
  </si>
  <si>
    <t>Tbill_1mo</t>
  </si>
  <si>
    <t>Tbill_3mo</t>
  </si>
  <si>
    <t>Tbill_6mo</t>
  </si>
  <si>
    <t>Tbill_12mo</t>
  </si>
  <si>
    <t>UST_2yr</t>
  </si>
  <si>
    <t>UST_3yr</t>
  </si>
  <si>
    <t>UST_4yr</t>
  </si>
  <si>
    <t>UST_5yr</t>
  </si>
  <si>
    <t>UST_7yr</t>
  </si>
  <si>
    <t>UST_10yr</t>
  </si>
  <si>
    <t>UST_20yr</t>
  </si>
  <si>
    <t>UST_30yr</t>
  </si>
  <si>
    <t>fannie_5yr_fixed_rate_investor_4_5yr_ym</t>
  </si>
  <si>
    <t>fannie_7yr_fixed_rate_investor_6_5yr_ym</t>
  </si>
  <si>
    <t>fannie_10yr_fixed_rate_investor_9_5yr_ym</t>
  </si>
  <si>
    <t>fannie_12yr_fixed_rate_investor_11_5yr_ym</t>
  </si>
  <si>
    <t>fannie_15yr_fixed_rate_investor_14_5yr_ym</t>
  </si>
  <si>
    <t>fannie_18yr_fixed_rate_investor_15yr_ym</t>
  </si>
  <si>
    <t>fannie_30yr_fixed_rate_investor_15yr_ym</t>
  </si>
  <si>
    <t>fannie_5yr_fixed_rate_investor_3yr_ym</t>
  </si>
  <si>
    <t>fannie_7yr_fixed_rate_investor_5yr_ym</t>
  </si>
  <si>
    <t>fannie_10yr_fixed_rate_investor_7yr_ym</t>
  </si>
  <si>
    <t>fannie_5y_small_tier2_fixed_rate_4_5yr_ym_gs</t>
  </si>
  <si>
    <t>fannie_7y_small_tier2_fixed_rate_6_5yr_ym_gs</t>
  </si>
  <si>
    <t>fannie_10y_small_tier2_fixed_rate_9_5yr_ym_gs</t>
  </si>
  <si>
    <t>fannie_12y_small_tier2_fixed_rate_11_5yr_ym_gs</t>
  </si>
  <si>
    <t>fannie_15y_small_tier2_fixed_rate_14_5yr_ym_gs</t>
  </si>
  <si>
    <t>fannie_18y_small_tier2_fixed_rate_15yr_ym_gs</t>
  </si>
  <si>
    <t>fannie_30y_small_tier2_fixed_rate_15yr_ym_gs</t>
  </si>
  <si>
    <t>fannie_5y_small_tier2_fixed_rate_3yr_ym_gs</t>
  </si>
  <si>
    <t>fannie_7y_small_tier2_fixed_rate_5yr_ym_gs</t>
  </si>
  <si>
    <t>fannie_10y_small_tier2_fixed_rate_7yr_ym_gs</t>
  </si>
  <si>
    <t>fannie_5y_small_tier3_fixed_rate_4_5yr_ym_gs</t>
  </si>
  <si>
    <t>fannie_7y_small_tier3_fixed_rate_6_5yr_ym_gs</t>
  </si>
  <si>
    <t>fannie_10y_small_tier3_fixed_rate_9_5yr_ym_gs</t>
  </si>
  <si>
    <t>fannie_12y_small_tier3_fixed_rate_11_5yr_ym_gs</t>
  </si>
  <si>
    <t>fannie_15y_small_tier3_fixed_rate_14_5yr_ym_gs</t>
  </si>
  <si>
    <t>fannie_18y_small_tier3_fixed_rate_15yr_ym_gs</t>
  </si>
  <si>
    <t>fannie_30y_small_tier3_fixed_rate_15yr_ym_gs</t>
  </si>
  <si>
    <t>fannie_5y_small_tier3_fixed_rate_3yr_ym_gs</t>
  </si>
  <si>
    <t>fannie_7y_small_tier3_fixed_rate_5yr_ym_gs</t>
  </si>
  <si>
    <t>fannie_10y_small_tier3_fixed_rate_7yr_ym_gs</t>
  </si>
  <si>
    <t>fannie_5y_small_tier4_fixed_rate_4_5yr_ym_gs</t>
  </si>
  <si>
    <t>fannie_7y_small_tier4_fixed_rate_6_5yr_ym_gs</t>
  </si>
  <si>
    <t>fannie_10y_small_tier4_fixed_rate_9_5yr_ym_gs</t>
  </si>
  <si>
    <t>fannie_12y_small_tier4_fixed_rate_11_5yr_ym_gs</t>
  </si>
  <si>
    <t>fannie_15y_small_tier4_fixed_rate_14_5yr_ym_gs</t>
  </si>
  <si>
    <t>fannie_18y_small_tier4_fixed_rate_15yr_ym_gs</t>
  </si>
  <si>
    <t>fannie_30y_small_tier4_fixed_rate_15yr_ym_gs</t>
  </si>
  <si>
    <t>fannie_5y_small_tier4_fixed_rate_3yr_ym_gs</t>
  </si>
  <si>
    <t>fannie_7y_small_tier4_fixed_rate_5yr_ym_gs</t>
  </si>
  <si>
    <t>fannie_10y_small_tier4_fixed_rate_7yr_ym_gs</t>
  </si>
  <si>
    <t>fannie_arm_7_6_floating_rate</t>
  </si>
  <si>
    <t>fannie_10y_SARM_floating_rate</t>
  </si>
  <si>
    <t>fannie_1yr_5_4_5_interest_only_cost</t>
  </si>
  <si>
    <t>fannie_2yr_5_4_5_interest_only_cost</t>
  </si>
  <si>
    <t>fannie_3yr_5_4_5_interest_only_cost</t>
  </si>
  <si>
    <t>fannie_5yr_5_4_5_interest_only_cost</t>
  </si>
  <si>
    <t>fannie_1yr_7_6_5_interest_only_cost</t>
  </si>
  <si>
    <t>fannie_2yr_7_6_5_interest_only_cost</t>
  </si>
  <si>
    <t>fannie_3yr_7_6_5_interest_only_cost</t>
  </si>
  <si>
    <t>fannie_5yr_7_6_5_interest_only_cost</t>
  </si>
  <si>
    <t>fannie_full_term_IO_7_6_5_interset_only_cost</t>
  </si>
  <si>
    <t>fannie_1yr_10_9_5_interest_only_cost</t>
  </si>
  <si>
    <t>fannie_2yr_10_9_5_interest_only_cost</t>
  </si>
  <si>
    <t>fannie_3yr_10_9_5_interest_only_cost</t>
  </si>
  <si>
    <t>fannie_5yr_10_9_5_interest_only_cost</t>
  </si>
  <si>
    <t>fannie_full_term_IO_10_9_5_interset_only_cost</t>
  </si>
  <si>
    <t>fannie_1yr_12_11_5_interest_only_cost</t>
  </si>
  <si>
    <t>fannie_2yr_12_11_5_interest_only_cost</t>
  </si>
  <si>
    <t>fannie_3yr_12_11_5_interest_only_cost</t>
  </si>
  <si>
    <t>fannie_5yr_12_11_5_interest_only_cost</t>
  </si>
  <si>
    <t>fannie_full_term_IO_12_11_5_interset_only_cost</t>
  </si>
  <si>
    <t>fannie_1yr_15_14_5_interest_only_cost</t>
  </si>
  <si>
    <t>fannie_2yr_15_14_5_interest_only_cost</t>
  </si>
  <si>
    <t>fannie_3yr_15_14_5_interest_only_cost</t>
  </si>
  <si>
    <t>fannie_5yr_15_14_5_interest_only_cost</t>
  </si>
  <si>
    <t>fannie_full_term_IO_15_14_5_interset_only_cost</t>
  </si>
  <si>
    <t>declining_prepayment_penalty_investor_spread_adder</t>
  </si>
  <si>
    <t>manf_housing_penalty_investor_spread_adder</t>
  </si>
  <si>
    <t>manf_housing_gs_tier2_adder</t>
  </si>
  <si>
    <t>manf_housing_gs_tier34_adder</t>
  </si>
  <si>
    <t>fannie_full_term_IO_5_4_5_interset_only_cost</t>
  </si>
  <si>
    <t>fannie_arm_7_6_floating_rate_investor</t>
  </si>
  <si>
    <t>fannie_10y_SARM_floating_rate_investor</t>
  </si>
  <si>
    <t>fannie_extended_delivery_45days</t>
  </si>
  <si>
    <t>fannie_extended_delivery_60days</t>
  </si>
  <si>
    <t>fannie_extended_delivery_75days</t>
  </si>
  <si>
    <t>fannie_extended_delivery_90days</t>
  </si>
  <si>
    <t>fannie_extended_delivery_120days</t>
  </si>
  <si>
    <t>freddie_CME_7yr_6_75yr_net_spread</t>
  </si>
  <si>
    <t>freddie_CME_10yr_9_75yr_net_spread</t>
  </si>
  <si>
    <t>freddie_CME_12yr_11_75yr_net_spread</t>
  </si>
  <si>
    <t>freddie_CME_15yr_14_75yr_net_spread</t>
  </si>
  <si>
    <t>freddie_CME_7yr_6_75yr_servicing</t>
  </si>
  <si>
    <t>freddie_CME_10yr_9_75yr_servicing</t>
  </si>
  <si>
    <t>freddie_CME_12yr_11_75yr_servicing</t>
  </si>
  <si>
    <t>freddie_CME_15yr_14_75yr_servicing</t>
  </si>
  <si>
    <t>ginnie_mae_permanent_loan_post_gs</t>
  </si>
  <si>
    <t>ginnie_mae_construction_loan_post_gs</t>
  </si>
  <si>
    <t>fannie_5y_swap_spread</t>
  </si>
  <si>
    <t>fannie_7y_swap_spread</t>
  </si>
  <si>
    <t>fannie_10y_swap_spread</t>
  </si>
  <si>
    <t>fannie_30y_swap_spread</t>
  </si>
  <si>
    <t>small_loan_spread_adder</t>
  </si>
  <si>
    <t>fannie large (above $6MM) Tier2</t>
  </si>
  <si>
    <t>fannie_5y_fixed_rate_4_5yr_ym_gs</t>
  </si>
  <si>
    <t>fannie_7y_fixed_rate_6_5yr_ym_gs</t>
  </si>
  <si>
    <t>fannie_10y_fixed_rate_9_5yr_ym_gs</t>
  </si>
  <si>
    <t>fannie_12y_fixed_rate_11_5yr_ym_gs</t>
  </si>
  <si>
    <t>fannie_15y_fixed_rate_14_5yr_ym_gs</t>
  </si>
  <si>
    <t>fannie_18y_fixed_rate_15yr_ym_gs</t>
  </si>
  <si>
    <t>fannie_30y_fixed_rate_15yr_ym_gs</t>
  </si>
  <si>
    <t>fannie_5y_fixed_rate_3yr_ym_gs</t>
  </si>
  <si>
    <t>fannie_7y_fixed_rate_5yr_ym_gs</t>
  </si>
  <si>
    <t>fannie_10y_fixed_rate_7yr_ym_gs</t>
  </si>
  <si>
    <t>fannie large (above $6MM) Tier3</t>
  </si>
  <si>
    <t>fannie_5y_large_tier3_fixed_rate_4_5yr_ym_gs</t>
  </si>
  <si>
    <t>fannie_7y_large_tier3_fixed_rate_6_5yr_ym_gs</t>
  </si>
  <si>
    <t>fannie_10y_large_tier3_fixed_rate_9_5yr_ym_gs</t>
  </si>
  <si>
    <t>fannie_12y_large_tier3_fixed_rate_11_5yr_ym_gs</t>
  </si>
  <si>
    <t>fannie_15y_large_tier3_fixed_rate_14_5yr_ym_gs</t>
  </si>
  <si>
    <t>fannie_18y_large_tier3_fixed_rate_15yr_ym_gs</t>
  </si>
  <si>
    <t>fannie_30y_large_tier3_fixed_rate_15yr_ym_gs</t>
  </si>
  <si>
    <t>fannie_5y_large_tier3_fixed_rate_3yr_ym_gs</t>
  </si>
  <si>
    <t>fannie_7y_large_tier3_fixed_rate_5yr_ym_gs</t>
  </si>
  <si>
    <t>fannie_10y_large_tier3_fixed_rate_7yr_ym_gs</t>
  </si>
  <si>
    <t>fannie large (above $6MM) Tier4</t>
  </si>
  <si>
    <t>fannie_5y_large_tier4_fixed_rate_4_5yr_ym_gs</t>
  </si>
  <si>
    <t>fannie_7y_large_tier4_fixed_rate_6_5yr_ym_gs</t>
  </si>
  <si>
    <t>fannie_10y_large_tier4_fixed_rate_9_5yr_ym_gs</t>
  </si>
  <si>
    <t>fannie_12y_large_tier4_fixed_rate_11_5yr_ym_gs</t>
  </si>
  <si>
    <t>fannie_15y_large_tier4_fixed_rate_14_5yr_ym_gs</t>
  </si>
  <si>
    <t>fannie_18y_large_tier4_fixed_rate_15yr_ym_gs</t>
  </si>
  <si>
    <t>fannie_30y_large_tier4_fixed_rate_15yr_ym_gs</t>
  </si>
  <si>
    <t>fannie_5y_large_tier4_fixed_rate_3yr_ym_gs</t>
  </si>
  <si>
    <t>fannie_7y_large_tier4_fixed_rate_5yr_ym_gs</t>
  </si>
  <si>
    <t>fannie_10y_large_tier4_fixed_rate_7yr_ym_gs</t>
  </si>
  <si>
    <t>BuildingTypes</t>
  </si>
  <si>
    <t>BorrowerLoanPurposes</t>
  </si>
  <si>
    <t>MAHTypes</t>
  </si>
  <si>
    <t>PropertyTypes</t>
  </si>
  <si>
    <t>StateCodes</t>
  </si>
  <si>
    <t>Tiers</t>
  </si>
  <si>
    <t>YesNo</t>
  </si>
  <si>
    <t>YesNoNA</t>
  </si>
  <si>
    <t>Sheets in Book</t>
  </si>
  <si>
    <t>WorksheetNames</t>
  </si>
  <si>
    <t>Sheets in List</t>
  </si>
  <si>
    <t>Proj Based HAP (incl. Sec. 8)</t>
  </si>
  <si>
    <t>Forward Conversion</t>
  </si>
  <si>
    <t>Both LIHTC &amp; Proj Based HAP</t>
  </si>
  <si>
    <t>Single Family Rental</t>
  </si>
  <si>
    <t>ARM to Fixed Conversion</t>
  </si>
  <si>
    <t>Rehabilitation</t>
  </si>
  <si>
    <t>Equity</t>
  </si>
  <si>
    <t>Sponsor Initiated Affordability</t>
  </si>
  <si>
    <t>Military</t>
  </si>
  <si>
    <t>Construction Take Out</t>
  </si>
  <si>
    <t>New Construction</t>
  </si>
  <si>
    <t>FL</t>
  </si>
  <si>
    <t>GA</t>
  </si>
  <si>
    <t>GU</t>
  </si>
  <si>
    <t>HI</t>
  </si>
  <si>
    <t>ID</t>
  </si>
  <si>
    <t>IL</t>
  </si>
  <si>
    <t>IN</t>
  </si>
  <si>
    <t>IA</t>
  </si>
  <si>
    <t>KS</t>
  </si>
  <si>
    <t>KY</t>
  </si>
  <si>
    <t>LA</t>
  </si>
  <si>
    <t>ME</t>
  </si>
  <si>
    <t>MD</t>
  </si>
  <si>
    <t>MA</t>
  </si>
  <si>
    <t>MI</t>
  </si>
  <si>
    <t>MN</t>
  </si>
  <si>
    <t>MS</t>
  </si>
  <si>
    <t>MO</t>
  </si>
  <si>
    <t>MT</t>
  </si>
  <si>
    <t>NV</t>
  </si>
  <si>
    <t>NH</t>
  </si>
  <si>
    <t>NJ</t>
  </si>
  <si>
    <t>NM</t>
  </si>
  <si>
    <t>NY</t>
  </si>
  <si>
    <t>NC</t>
  </si>
  <si>
    <t>ND</t>
  </si>
  <si>
    <t>OH</t>
  </si>
  <si>
    <t>OK</t>
  </si>
  <si>
    <t>OR</t>
  </si>
  <si>
    <t>PA</t>
  </si>
  <si>
    <t>PR</t>
  </si>
  <si>
    <t>RI</t>
  </si>
  <si>
    <t>SC</t>
  </si>
  <si>
    <t>SD</t>
  </si>
  <si>
    <t>TN</t>
  </si>
  <si>
    <t>TX</t>
  </si>
  <si>
    <t>UT</t>
  </si>
  <si>
    <t>VT</t>
  </si>
  <si>
    <t>VA</t>
  </si>
  <si>
    <t>VI</t>
  </si>
  <si>
    <t>WA</t>
  </si>
  <si>
    <t>WV</t>
  </si>
  <si>
    <t>WI</t>
  </si>
  <si>
    <t>WY</t>
  </si>
  <si>
    <t>Mapping_DataPageData</t>
  </si>
  <si>
    <t>Mapping_TradeSheetData</t>
  </si>
  <si>
    <t>Mapping_SBLQuotesDefaultValues</t>
  </si>
  <si>
    <t>Endpoint:</t>
  </si>
  <si>
    <t>/v3/deals/&lt;deal_id&gt;/data_page</t>
  </si>
  <si>
    <t>/TBD?</t>
  </si>
  <si>
    <t>Green cells are dynamic addresses</t>
  </si>
  <si>
    <t>'=RangeNameAddress(B5,TRUE)</t>
  </si>
  <si>
    <t>RangeName</t>
  </si>
  <si>
    <t>EnodoField</t>
  </si>
  <si>
    <t>Default/Reset to</t>
  </si>
  <si>
    <t>InService</t>
  </si>
  <si>
    <t>property</t>
  </si>
  <si>
    <t>Range</t>
  </si>
  <si>
    <t>Default Value</t>
  </si>
  <si>
    <t>ApplicationLoan</t>
  </si>
  <si>
    <t>loan.application_amount</t>
  </si>
  <si>
    <t>name</t>
  </si>
  <si>
    <t>string</t>
  </si>
  <si>
    <t>SBL_ZipCode</t>
  </si>
  <si>
    <t>Appraisal_Company</t>
  </si>
  <si>
    <t>valuation.firm</t>
  </si>
  <si>
    <t>address</t>
  </si>
  <si>
    <t>property_name</t>
  </si>
  <si>
    <t>Appraisal_Date</t>
  </si>
  <si>
    <t>valuation.date_of</t>
  </si>
  <si>
    <t>city</t>
  </si>
  <si>
    <t>SBL_EstCapRate</t>
  </si>
  <si>
    <t>valuation.cap_rate</t>
  </si>
  <si>
    <t>county</t>
  </si>
  <si>
    <t>SblQuotes_CityState</t>
  </si>
  <si>
    <t>Analyst_Name</t>
  </si>
  <si>
    <t>opportunity.OpportunityTeamMembers.Underwriting Analyst.1.User.Name</t>
  </si>
  <si>
    <t>state</t>
  </si>
  <si>
    <t>SBL_CensusTractNmbr</t>
  </si>
  <si>
    <t>opportunity.OpportunityTeamMembers.Producer Analyst.1.User.Name</t>
  </si>
  <si>
    <t>zipcode</t>
  </si>
  <si>
    <t>SBL_LatitudeLongitude</t>
  </si>
  <si>
    <t>&lt;clear&gt;</t>
  </si>
  <si>
    <t>DCU_Name</t>
  </si>
  <si>
    <t>opportunity.OpportunityTeamMembers.Deputy Chief Underwriter.1.User.Name</t>
  </si>
  <si>
    <t>loan_details</t>
  </si>
  <si>
    <t>number_units</t>
  </si>
  <si>
    <t>=RentRollTotalUnits</t>
  </si>
  <si>
    <t>Underwriter_Name</t>
  </si>
  <si>
    <t>opportunity.OpportunityTeamMembers.Underwriter.1.User.Name</t>
  </si>
  <si>
    <t>loan_amount</t>
  </si>
  <si>
    <t>decimal</t>
  </si>
  <si>
    <t>SBL_PropertyType</t>
  </si>
  <si>
    <t>Min_Tier</t>
  </si>
  <si>
    <t>opportunity.Loan_Tier__c</t>
  </si>
  <si>
    <t>=Requested_Tier</t>
  </si>
  <si>
    <t>max_approved_loan_amount</t>
  </si>
  <si>
    <t>SBL_YearBuilt</t>
  </si>
  <si>
    <t>Tier_Max_LTV</t>
  </si>
  <si>
    <t>loan.tier_ltv</t>
  </si>
  <si>
    <t>interest_rate_type</t>
  </si>
  <si>
    <t>Enum</t>
  </si>
  <si>
    <t>SBL_DatePriced</t>
  </si>
  <si>
    <t>GR_YieldMaintenance</t>
  </si>
  <si>
    <t>loan.yield_maintenance</t>
  </si>
  <si>
    <t>lien_position</t>
  </si>
  <si>
    <t>SblQuotes_County</t>
  </si>
  <si>
    <t>GR_InterestOnly</t>
  </si>
  <si>
    <t>opportunity.IO_mths__c</t>
  </si>
  <si>
    <t>loan_term_months</t>
  </si>
  <si>
    <t>integer</t>
  </si>
  <si>
    <t>Loan_Purpose</t>
  </si>
  <si>
    <t>deal.purpose</t>
  </si>
  <si>
    <t>prepayment_protection</t>
  </si>
  <si>
    <t>SblQuotes_WDMarketRating</t>
  </si>
  <si>
    <t>YM_Type</t>
  </si>
  <si>
    <t>loan.prepayment_type</t>
  </si>
  <si>
    <t>interest_only_period_months</t>
  </si>
  <si>
    <t>SblQuotes_PcntCollegeAndMilitary</t>
  </si>
  <si>
    <t>loan.rate_lock_type</t>
  </si>
  <si>
    <t>amortization_term_uw_months</t>
  </si>
  <si>
    <t>region</t>
  </si>
  <si>
    <t>SBL_DelegatedLevel</t>
  </si>
  <si>
    <t>opportunity.Delegated_Authority_Level__c</t>
  </si>
  <si>
    <t>amortization_term_actual</t>
  </si>
  <si>
    <t>either "Full IO: No Amort" or blank</t>
  </si>
  <si>
    <t>SblQuotes_FreddieMktTier</t>
  </si>
  <si>
    <t>Top</t>
  </si>
  <si>
    <t>Loan_Execution_Type</t>
  </si>
  <si>
    <t>opportunity.quote.Execution_Type__c</t>
  </si>
  <si>
    <t>interest_accrual</t>
  </si>
  <si>
    <t>$B$24</t>
  </si>
  <si>
    <t>Interest_Calc</t>
  </si>
  <si>
    <t>opportunity.quote.Interest_Calculation__c</t>
  </si>
  <si>
    <t>ust_floor_percentage</t>
  </si>
  <si>
    <t>$B$28</t>
  </si>
  <si>
    <t>Interest_Rate_Type</t>
  </si>
  <si>
    <t>opportunity.Rate_Type__c</t>
  </si>
  <si>
    <t>pricing_information</t>
  </si>
  <si>
    <t>$B$29</t>
  </si>
  <si>
    <t>computed.msa</t>
  </si>
  <si>
    <t>trade_price_expected</t>
  </si>
  <si>
    <t>$B$31</t>
  </si>
  <si>
    <t>City_DataPageTab</t>
  </si>
  <si>
    <t>deal.city</t>
  </si>
  <si>
    <t>minimum_fee_is_collected</t>
  </si>
  <si>
    <t>Yes/No/TBD</t>
  </si>
  <si>
    <t>SblQuotes_FannieMktTier</t>
  </si>
  <si>
    <t>Strong</t>
  </si>
  <si>
    <t>deal.deal_name</t>
  </si>
  <si>
    <t>max_note_rate_percentage</t>
  </si>
  <si>
    <t>$B$36</t>
  </si>
  <si>
    <t>State_DataPageTab</t>
  </si>
  <si>
    <t>deal.state</t>
  </si>
  <si>
    <t>property_information</t>
  </si>
  <si>
    <t>$B$37</t>
  </si>
  <si>
    <t>deal.street_address</t>
  </si>
  <si>
    <t>property_type</t>
  </si>
  <si>
    <t>$B$38</t>
  </si>
  <si>
    <t>deal.zip_code</t>
  </si>
  <si>
    <t>specialty_property_percentage</t>
  </si>
  <si>
    <t>could be text</t>
  </si>
  <si>
    <t>SBL_BuildingType</t>
  </si>
  <si>
    <t>building.building_type.1</t>
  </si>
  <si>
    <t>loan_purpose</t>
  </si>
  <si>
    <t>SBL_FreddieNOI</t>
  </si>
  <si>
    <t>='Freddie I&amp;E'!$AD$84</t>
  </si>
  <si>
    <t>NumOfBldg_DataPageTab</t>
  </si>
  <si>
    <t>building.buildings</t>
  </si>
  <si>
    <t>number_of_units</t>
  </si>
  <si>
    <t>SBL_FannieNOI</t>
  </si>
  <si>
    <t>=HOps_NetCashFlow</t>
  </si>
  <si>
    <t>GBA</t>
  </si>
  <si>
    <t>building.gross_area</t>
  </si>
  <si>
    <t>number_of_properties</t>
  </si>
  <si>
    <t>GR_Amort</t>
  </si>
  <si>
    <t>opportunity.Amortization_Term_mths__c</t>
  </si>
  <si>
    <t>physical_occupancy_percentage</t>
  </si>
  <si>
    <t>95.050%</t>
  </si>
  <si>
    <t>$B$50</t>
  </si>
  <si>
    <t>GR_Term</t>
  </si>
  <si>
    <t>opportunity.Loan_Term_mos__c</t>
  </si>
  <si>
    <t>year_built</t>
  </si>
  <si>
    <t>Loan_Program_Accepted</t>
  </si>
  <si>
    <t>Sq_Feet_Commercial</t>
  </si>
  <si>
    <t>building.total_commercial</t>
  </si>
  <si>
    <t>year_renovated</t>
  </si>
  <si>
    <t>Loan_Option_Accepted</t>
  </si>
  <si>
    <t>opportunity.Property_Associations__r.0.Year_Built__c</t>
  </si>
  <si>
    <t>cross_collateralization</t>
  </si>
  <si>
    <t>Yes/No</t>
  </si>
  <si>
    <t>$B$55</t>
  </si>
  <si>
    <t>building.year_built</t>
  </si>
  <si>
    <t>green_financing_type</t>
  </si>
  <si>
    <t>$B$56</t>
  </si>
  <si>
    <t>=IF(Loan_Program_Accepted="Proprietary Capital",12500,7500)</t>
  </si>
  <si>
    <t>opportunity.Property_Associations__r.0.Property__r.Year_Renovated__c</t>
  </si>
  <si>
    <t>green_building_certification</t>
  </si>
  <si>
    <t>ProducerName</t>
  </si>
  <si>
    <t>building.year_rehabbed</t>
  </si>
  <si>
    <t>age_restricted</t>
  </si>
  <si>
    <t>$B$64</t>
  </si>
  <si>
    <t>opportunity.Property_Associations__r.0.Property_Type__c</t>
  </si>
  <si>
    <t>affordable_housing_type</t>
  </si>
  <si>
    <t>$E$25:$P$25</t>
  </si>
  <si>
    <t>deal.property_type</t>
  </si>
  <si>
    <t>percentage_of_units_&lt;=_50%ami_restricted</t>
  </si>
  <si>
    <t>$E$26</t>
  </si>
  <si>
    <t>Management_Company</t>
  </si>
  <si>
    <t>opportunity.Opportunity_Roles__r.Sponsor Contact.1.Company_Name__r.Name</t>
  </si>
  <si>
    <t>percentage_of_units_&gt;50%_&lt;=60%ami_restricted</t>
  </si>
  <si>
    <t>$E$30:$P$30</t>
  </si>
  <si>
    <t>Sponsor_Name</t>
  </si>
  <si>
    <t>opportunity.Opportunity_Roles__r.Sponsor Contact.1.Contact_Name__r.Name</t>
  </si>
  <si>
    <t>percentage_of_units_&gt;60%_&lt;=80%ami_restricted</t>
  </si>
  <si>
    <t>$E$31</t>
  </si>
  <si>
    <t>LenderCommitments</t>
  </si>
  <si>
    <t>exposure.commitments</t>
  </si>
  <si>
    <t>percentage_of_units_&gt;80%_&lt;=100%ami_restricted</t>
  </si>
  <si>
    <t>$E$32</t>
  </si>
  <si>
    <t>=E33</t>
  </si>
  <si>
    <t>LenderOutstandingBalances</t>
  </si>
  <si>
    <t>exposure.lender_balance</t>
  </si>
  <si>
    <t>percentage_of_units_&gt;100%_&lt;=120%ami_restricted</t>
  </si>
  <si>
    <t>$E$35</t>
  </si>
  <si>
    <t>LenderExposure</t>
  </si>
  <si>
    <t>exposure.lender_exposure</t>
  </si>
  <si>
    <t>percentage_of_units_&gt;120%ami_restricted</t>
  </si>
  <si>
    <t>$E$38</t>
  </si>
  <si>
    <t>FannieMaeLargeLoanFee</t>
  </si>
  <si>
    <t>sources.Fannie_Mae_Large_Loan_Fee.modifier</t>
  </si>
  <si>
    <t>percentage_of_units_&lt;=_50%ami_affordability_estimator</t>
  </si>
  <si>
    <t>$E$43</t>
  </si>
  <si>
    <t>=E44</t>
  </si>
  <si>
    <t>FannieMaeFees</t>
  </si>
  <si>
    <t>sources.Minimum_FNM_Origination_Fee.modifier</t>
  </si>
  <si>
    <t>percentage_of_units_&gt;50%_&lt;=60%ami_affordability_estimator</t>
  </si>
  <si>
    <t>$E$46</t>
  </si>
  <si>
    <t>RehabilitationEscrow</t>
  </si>
  <si>
    <t>sources.Repair_Escrow_(Immediate_Repairs).amount</t>
  </si>
  <si>
    <t>percentage_of_units_&gt;60%_&lt;=80%ami_affordability_estimator</t>
  </si>
  <si>
    <t>$E$47</t>
  </si>
  <si>
    <t>AMI_UnitCount_120</t>
  </si>
  <si>
    <t>qualifying_units.unit_counts.120%</t>
  </si>
  <si>
    <t>percentage_of_units_&gt;80%_&lt;=100%ami_affordability_estimator</t>
  </si>
  <si>
    <t>$E$66:$P$66</t>
  </si>
  <si>
    <t>AMI_UnitCount_100</t>
  </si>
  <si>
    <t>qualifying_units.unit_counts.100%</t>
  </si>
  <si>
    <t>percentage_of_units_&gt;100%_&lt;=120%ami_affordability_estimator</t>
  </si>
  <si>
    <t>$E$102:$P$102</t>
  </si>
  <si>
    <t>AMI_UnitCount_80</t>
  </si>
  <si>
    <t>qualifying_units.unit_counts.80%</t>
  </si>
  <si>
    <t>percentage_of_units_&gt;120%ami_affordability_estimator</t>
  </si>
  <si>
    <t>100.000%</t>
  </si>
  <si>
    <t>$F$26</t>
  </si>
  <si>
    <t>AMI_UnitCount_60</t>
  </si>
  <si>
    <t>qualifying_units.unit_counts.60%</t>
  </si>
  <si>
    <t>settlement_and_trade_data</t>
  </si>
  <si>
    <t>$F$31</t>
  </si>
  <si>
    <t>AMI_UnitCount_50</t>
  </si>
  <si>
    <t>qualifying_units.unit_counts.50%</t>
  </si>
  <si>
    <t>closing_date</t>
  </si>
  <si>
    <t>yyyy-mm-dd</t>
  </si>
  <si>
    <t>$F$32</t>
  </si>
  <si>
    <t>=F33</t>
  </si>
  <si>
    <t>AMI_UnitCount_40</t>
  </si>
  <si>
    <t>qualifying_units.unit_counts.40%</t>
  </si>
  <si>
    <t>settlement_date</t>
  </si>
  <si>
    <t>$F$35</t>
  </si>
  <si>
    <t>AMI_CalcsIncludeUtilities</t>
  </si>
  <si>
    <t>qualifying_units.utilities_included</t>
  </si>
  <si>
    <t>&lt;blank&gt;</t>
  </si>
  <si>
    <t>rate_lock_type</t>
  </si>
  <si>
    <t>$F$38</t>
  </si>
  <si>
    <t>AMI_CostBurden</t>
  </si>
  <si>
    <t>qualifying_units.cost_burden</t>
  </si>
  <si>
    <t>delivery_tolerance_up_percentage</t>
  </si>
  <si>
    <t>$F$43</t>
  </si>
  <si>
    <t>=F44</t>
  </si>
  <si>
    <t>AMI_IsRural</t>
  </si>
  <si>
    <t>qualifying_units.is_rural</t>
  </si>
  <si>
    <t>delivery_tolerance_down_percentage</t>
  </si>
  <si>
    <t>$F$46</t>
  </si>
  <si>
    <t>AMI_HighNeedsRural_Marker</t>
  </si>
  <si>
    <t>qualifying_units.high_needs_rural</t>
  </si>
  <si>
    <t>product_type</t>
  </si>
  <si>
    <t>$F$47</t>
  </si>
  <si>
    <t>AMI_MissionDriven_UnitCount_PerFannie</t>
  </si>
  <si>
    <t>qualifying_units.unit_counts.fannie_mission_driven</t>
  </si>
  <si>
    <t>number_of_loans</t>
  </si>
  <si>
    <t>$G$26</t>
  </si>
  <si>
    <t>AMI_MissionDriven_UnitCount_PerFreddie</t>
  </si>
  <si>
    <t>qualifying_units.unit_counts.freddie_mission_driven</t>
  </si>
  <si>
    <t>percentage_of_initial_pool_balance</t>
  </si>
  <si>
    <t>$G$31</t>
  </si>
  <si>
    <t>AMI_MissionDriven_Discount_Afford40</t>
  </si>
  <si>
    <t>qualifying_units.unit_counts.mission_booleans.affordability_discount_40</t>
  </si>
  <si>
    <t>eligible_for_re-securitization</t>
  </si>
  <si>
    <t>$G$32</t>
  </si>
  <si>
    <t>=G33</t>
  </si>
  <si>
    <t>AMI_MissionDriven_Discount_Afford80</t>
  </si>
  <si>
    <t>qualifying_units.unit_counts.mission_booleans.affordability_discount_80</t>
  </si>
  <si>
    <t>good_faith_deposit_amount</t>
  </si>
  <si>
    <t>$G$35</t>
  </si>
  <si>
    <t>AMI_MissionDriven_Discount_Addnl60</t>
  </si>
  <si>
    <t>qualifying_units.unit_counts.mission_booleans.additional_discount_60</t>
  </si>
  <si>
    <t>good_faith_deposit_percentage</t>
  </si>
  <si>
    <t>2.000%</t>
  </si>
  <si>
    <t>$G$38</t>
  </si>
  <si>
    <t>AMI_MissionDriven_Discount_Addnl80</t>
  </si>
  <si>
    <t>qualifying_units.unit_counts.mission_booleans.additional_discount_80</t>
  </si>
  <si>
    <t>good_faith_deposit_isreceived</t>
  </si>
  <si>
    <t>Received/Not Received</t>
  </si>
  <si>
    <t>$G$43</t>
  </si>
  <si>
    <t>=G44</t>
  </si>
  <si>
    <t>settlement_and_trade_data2</t>
  </si>
  <si>
    <t>$G$46</t>
  </si>
  <si>
    <t>tier</t>
  </si>
  <si>
    <t>$G$47</t>
  </si>
  <si>
    <t>tier_dropping</t>
  </si>
  <si>
    <t>$R$25:$Y$25</t>
  </si>
  <si>
    <t>guaranty_fee_percentage</t>
  </si>
  <si>
    <t>$R$26</t>
  </si>
  <si>
    <t>servicing_fee_percentage</t>
  </si>
  <si>
    <t>$R$30:$Y$30</t>
  </si>
  <si>
    <t>total_g&amp;s_percentage</t>
  </si>
  <si>
    <t>$R$31</t>
  </si>
  <si>
    <t>uw_ncf</t>
  </si>
  <si>
    <t>$R$32</t>
  </si>
  <si>
    <t>minimum_uw_ncf_dscr</t>
  </si>
  <si>
    <t>$R$38</t>
  </si>
  <si>
    <t>est_uw_ncf_dscr_amort</t>
  </si>
  <si>
    <t>$R$39</t>
  </si>
  <si>
    <t>est_uw_ncf_dscr_io</t>
  </si>
  <si>
    <t>variant</t>
  </si>
  <si>
    <t>numeric, can be N/A</t>
  </si>
  <si>
    <t>$R$43</t>
  </si>
  <si>
    <t>=R44</t>
  </si>
  <si>
    <t>uw_property_value</t>
  </si>
  <si>
    <t>$R$46</t>
  </si>
  <si>
    <t>ownership_type</t>
  </si>
  <si>
    <t>$R$47</t>
  </si>
  <si>
    <t>maximum_ltv</t>
  </si>
  <si>
    <t>$R$65:$Y$65</t>
  </si>
  <si>
    <t>estimated_ltv</t>
  </si>
  <si>
    <t>$R$66:$Y$66</t>
  </si>
  <si>
    <t>pre-existing_additional_debt_bal</t>
  </si>
  <si>
    <t>$R$102:$Y$102</t>
  </si>
  <si>
    <t>additional_debt_rate_percentage</t>
  </si>
  <si>
    <t>$S$26</t>
  </si>
  <si>
    <t>additional_debt_maturity_year</t>
  </si>
  <si>
    <t>$S$31</t>
  </si>
  <si>
    <t>existing_credit_facility_assets</t>
  </si>
  <si>
    <t>$S$32</t>
  </si>
  <si>
    <t>existing_credit_facility_upb</t>
  </si>
  <si>
    <t>$S$38</t>
  </si>
  <si>
    <t>arm_related</t>
  </si>
  <si>
    <t>$S$39</t>
  </si>
  <si>
    <t>arm_product</t>
  </si>
  <si>
    <t>Enum or N/A</t>
  </si>
  <si>
    <t>$S$43</t>
  </si>
  <si>
    <t>=S44</t>
  </si>
  <si>
    <t>convertible</t>
  </si>
  <si>
    <t>$S$46</t>
  </si>
  <si>
    <t>lockout_term_months</t>
  </si>
  <si>
    <t>can be N/A</t>
  </si>
  <si>
    <t>$S$47</t>
  </si>
  <si>
    <t>standard_lookback_days</t>
  </si>
  <si>
    <t>$T$26</t>
  </si>
  <si>
    <t>rate_reset_frequency_months</t>
  </si>
  <si>
    <t>$T$31</t>
  </si>
  <si>
    <t>lifetime_pass_thru_cap_percentage</t>
  </si>
  <si>
    <t>$T$32</t>
  </si>
  <si>
    <t>est_uw_ncr_dscr_at_cap</t>
  </si>
  <si>
    <t>$T$38</t>
  </si>
  <si>
    <t>per_rate_change_cap_percentage</t>
  </si>
  <si>
    <t>$T$39</t>
  </si>
  <si>
    <t>fixed_principal_payment_sarm</t>
  </si>
  <si>
    <t>$T$43</t>
  </si>
  <si>
    <t>=T44</t>
  </si>
  <si>
    <t>estimated_mbs_margin_bps_percentage</t>
  </si>
  <si>
    <t>$T$46</t>
  </si>
  <si>
    <t>mbs_security_disclosures</t>
  </si>
  <si>
    <t>$T$47</t>
  </si>
  <si>
    <t>notes</t>
  </si>
  <si>
    <t>$AA$25:$AH$25</t>
  </si>
  <si>
    <t>other_notes</t>
  </si>
  <si>
    <t>$AA$66:$AH$66</t>
  </si>
  <si>
    <t>$AA$102:$AH$102</t>
  </si>
  <si>
    <t>signatures</t>
  </si>
  <si>
    <t>$AK$11</t>
  </si>
  <si>
    <t>underwriter</t>
  </si>
  <si>
    <t>$AK$14</t>
  </si>
  <si>
    <t>applicant_check</t>
  </si>
  <si>
    <t>$AK$16</t>
  </si>
  <si>
    <t>reviewed_commitment</t>
  </si>
  <si>
    <t>$AK$17</t>
  </si>
  <si>
    <t>producer</t>
  </si>
  <si>
    <t>$AK$20</t>
  </si>
  <si>
    <t>dcu</t>
  </si>
  <si>
    <t>$AK$21</t>
  </si>
  <si>
    <t>=TODAY()</t>
  </si>
  <si>
    <t>closer</t>
  </si>
  <si>
    <t>$AK$23</t>
  </si>
  <si>
    <t>completed_by_trading</t>
  </si>
  <si>
    <t>$AK$24</t>
  </si>
  <si>
    <t>treasury_rate</t>
  </si>
  <si>
    <t>$AK$41</t>
  </si>
  <si>
    <t>investor</t>
  </si>
  <si>
    <t>$AK$42</t>
  </si>
  <si>
    <t>investor_spread</t>
  </si>
  <si>
    <t>$AK$43</t>
  </si>
  <si>
    <t>investor_contact</t>
  </si>
  <si>
    <t>$AK$44</t>
  </si>
  <si>
    <t>pass_thru/coupon</t>
  </si>
  <si>
    <t>$AK$45</t>
  </si>
  <si>
    <t>swap_spread</t>
  </si>
  <si>
    <t>$AK$46</t>
  </si>
  <si>
    <t>gross_rate</t>
  </si>
  <si>
    <t>$AK$47</t>
  </si>
  <si>
    <t>trade_price</t>
  </si>
  <si>
    <t>$AK$48</t>
  </si>
  <si>
    <t>contract_taken_by_tradername</t>
  </si>
  <si>
    <t>$AK$49</t>
  </si>
  <si>
    <t>contract_taken_by_date</t>
  </si>
  <si>
    <t>$AK$50</t>
  </si>
  <si>
    <t>contract_taken_by_time</t>
  </si>
  <si>
    <t>$AK$51</t>
  </si>
  <si>
    <t>special_disclosure_additional_debt</t>
  </si>
  <si>
    <t>$AJ$55:$AN$56</t>
  </si>
  <si>
    <t>bifurcated</t>
  </si>
  <si>
    <t>$AJ$58:$AN$59</t>
  </si>
  <si>
    <t>split</t>
  </si>
  <si>
    <t>$AJ$62:$AN$63</t>
  </si>
  <si>
    <t>cross_defaulted_cross_collateralized</t>
  </si>
  <si>
    <t>$AJ$66:$AN$67</t>
  </si>
  <si>
    <t>mhc_or_borrower_owned_manf_homes</t>
  </si>
  <si>
    <t>$AK$70</t>
  </si>
  <si>
    <t>mezzanine_financing_or_preferred_equity</t>
  </si>
  <si>
    <t>$AK$71</t>
  </si>
  <si>
    <t>senior_third_party_debt</t>
  </si>
  <si>
    <t>$AK$72</t>
  </si>
  <si>
    <t>special_disclosure_prepayments</t>
  </si>
  <si>
    <t>$AK$73</t>
  </si>
  <si>
    <t>additional_non-real_estate_collateral</t>
  </si>
  <si>
    <t>$AK$74</t>
  </si>
  <si>
    <t>partial_prepayment</t>
  </si>
  <si>
    <t>$AK$75</t>
  </si>
  <si>
    <t>special_disclosure_property_related_issues</t>
  </si>
  <si>
    <t>$AK$76</t>
  </si>
  <si>
    <t>commercial_condominium_project</t>
  </si>
  <si>
    <t>$AK$78</t>
  </si>
  <si>
    <t>=IF(AK77="No","No","Select")</t>
  </si>
  <si>
    <t>delaware_statutory_trust</t>
  </si>
  <si>
    <t>$AK$79</t>
  </si>
  <si>
    <t>due-on-sale_and_related_property_transfer_restrictions</t>
  </si>
  <si>
    <t>$AK$80</t>
  </si>
  <si>
    <t>future_release_condemnation_or_unavailable_portion_of_property</t>
  </si>
  <si>
    <t>$AK$81</t>
  </si>
  <si>
    <t>healthy_housing_rewards</t>
  </si>
  <si>
    <t>$AK$82</t>
  </si>
  <si>
    <t>impairment_on_use</t>
  </si>
  <si>
    <t>$AK$83</t>
  </si>
  <si>
    <t>insurance_related_partial_prepayment</t>
  </si>
  <si>
    <t>$AK$84</t>
  </si>
  <si>
    <t>master_operating_lease</t>
  </si>
  <si>
    <t>$AN$3</t>
  </si>
  <si>
    <t>='Data Page'!$K$31</t>
  </si>
  <si>
    <t>seniors_housing_master_operating_lease</t>
  </si>
  <si>
    <t>$AN$10</t>
  </si>
  <si>
    <t>participation_interests</t>
  </si>
  <si>
    <t>$AN$13</t>
  </si>
  <si>
    <t>pending_litigation</t>
  </si>
  <si>
    <t>$AN$16</t>
  </si>
  <si>
    <t>property_valuation</t>
  </si>
  <si>
    <t>$AN$17</t>
  </si>
  <si>
    <t>right_to_purchase</t>
  </si>
  <si>
    <t>$AN$20</t>
  </si>
  <si>
    <t>special_public_purpose</t>
  </si>
  <si>
    <t>$AN$22</t>
  </si>
  <si>
    <t>sdw_with_cost_and_very_cost_burdened</t>
  </si>
  <si>
    <t>$AN$41</t>
  </si>
  <si>
    <t>special_disclosure_other</t>
  </si>
  <si>
    <t>$AN$42</t>
  </si>
  <si>
    <t>mbs_pool_without_remic_tax_election</t>
  </si>
  <si>
    <t>$AN$43</t>
  </si>
  <si>
    <t>conflict_mortgage_loans</t>
  </si>
  <si>
    <t>$AN$44</t>
  </si>
  <si>
    <t>expanded_housing_choice_vouchers</t>
  </si>
  <si>
    <t>$AN$45</t>
  </si>
  <si>
    <t>full_recourse</t>
  </si>
  <si>
    <t>$AN$46</t>
  </si>
  <si>
    <t>lihtc_investment</t>
  </si>
  <si>
    <t>$AN$47</t>
  </si>
  <si>
    <t>mbs_as_bond_collateral</t>
  </si>
  <si>
    <t>$AN$48</t>
  </si>
  <si>
    <t>multiple_series_llc</t>
  </si>
  <si>
    <t>$AN$49</t>
  </si>
  <si>
    <t>near_stabilized_property</t>
  </si>
  <si>
    <t>$AN$50</t>
  </si>
  <si>
    <t>non_std_events_of_default</t>
  </si>
  <si>
    <t>$AN$70</t>
  </si>
  <si>
    <t>operating_deficit_guaranty</t>
  </si>
  <si>
    <t>$AN$71</t>
  </si>
  <si>
    <t>revenue_or_expense_changes</t>
  </si>
  <si>
    <t>$AN$72</t>
  </si>
  <si>
    <t>transfer_assumption_with economic_test</t>
  </si>
  <si>
    <t>$AN$73</t>
  </si>
  <si>
    <t>systems_additional</t>
  </si>
  <si>
    <t>$AN$74</t>
  </si>
  <si>
    <t>declining_and_other_prepayment_premium</t>
  </si>
  <si>
    <t>$AN$75</t>
  </si>
  <si>
    <t>$AN$76</t>
  </si>
  <si>
    <t>$AN$78</t>
  </si>
  <si>
    <t>$AN$79</t>
  </si>
  <si>
    <t>$AN$80</t>
  </si>
  <si>
    <t>$AN$81</t>
  </si>
  <si>
    <t>$AN$82</t>
  </si>
  <si>
    <t>$AN$83</t>
  </si>
  <si>
    <t>$AJ$88:$AN$89</t>
  </si>
  <si>
    <t>$AJ$93:$AN$95</t>
  </si>
  <si>
    <t>$AJ$97:$AN$99</t>
  </si>
  <si>
    <t>$AJ$101:$AN$103</t>
  </si>
  <si>
    <t>$AJ$105:$AN$107</t>
  </si>
  <si>
    <t>$AJ$112:$AN$113</t>
  </si>
  <si>
    <t>$AJ$116:$AN$117</t>
  </si>
  <si>
    <t>$AJ$119:$AN$120</t>
  </si>
  <si>
    <t>$AJ$125:$AN$126</t>
  </si>
  <si>
    <t>$AK$128</t>
  </si>
  <si>
    <t>$AK$129</t>
  </si>
  <si>
    <t>$AK$130</t>
  </si>
  <si>
    <t>$AK$131</t>
  </si>
  <si>
    <t>$AK$132</t>
  </si>
  <si>
    <t>$AK$133</t>
  </si>
  <si>
    <t>$AK$134</t>
  </si>
  <si>
    <t>$AK$135</t>
  </si>
  <si>
    <t>$AK$136</t>
  </si>
  <si>
    <t>$AK$137</t>
  </si>
  <si>
    <t>$AN$128</t>
  </si>
  <si>
    <t>$AN$129</t>
  </si>
  <si>
    <t>$AN$130</t>
  </si>
  <si>
    <t>$AN$131</t>
  </si>
  <si>
    <t>$AN$132</t>
  </si>
  <si>
    <t>$AN$133</t>
  </si>
  <si>
    <t>$AN$134</t>
  </si>
  <si>
    <t>$AN$135</t>
  </si>
  <si>
    <t>$AN$136</t>
  </si>
  <si>
    <t>$AJ$142:$AN$143</t>
  </si>
  <si>
    <t>$AJ$148:$AN$149</t>
  </si>
  <si>
    <t>$AJ$151:$AN$152</t>
  </si>
  <si>
    <t>$AJ$154:$AN$155</t>
  </si>
  <si>
    <t>$AJ$157:$AN$158</t>
  </si>
  <si>
    <t>$AJ$160:$AN$161</t>
  </si>
  <si>
    <t>Applies To:</t>
  </si>
  <si>
    <t>Periodic Adjustment of Interest Rate (FRE_APP!C35)</t>
  </si>
  <si>
    <t>Once floating, the interest rate is adjusted every 6 months and amortization is recalculated. The interest rate adjustment will initially be based on a compounded average of SOFR over a rolling 30-calendar day period, to be transitioned to a forward-looking term rate with a tenor of approximately one calendar month based on SOFR (or such updated index as provided in the Note) plus a margin of 3.25%; subject to the limitation that the adjusted rate may not be an increase or decrease of more than 1% of the applicable interest rate immediately prior thereto.</t>
  </si>
  <si>
    <t>Prepayment Schedule (FRE_APP!C37)</t>
  </si>
  <si>
    <t>5 YEAR HYBRID (YM)</t>
  </si>
  <si>
    <t>5 YEAR FIXED (YM)</t>
  </si>
  <si>
    <t>5 YEAR FIXED (54321)</t>
  </si>
  <si>
    <t>5 YEAR HYBRID (54321)</t>
  </si>
  <si>
    <t>5 YEAR FIXED (32111)</t>
  </si>
  <si>
    <t>5 YEAR HYBRID (32111)</t>
  </si>
  <si>
    <t>5 YEAR FIXED (31000)</t>
  </si>
  <si>
    <t>5 YEAR HYBRID (31000)</t>
  </si>
  <si>
    <t>7 YEAR HYBRID (YM)</t>
  </si>
  <si>
    <t>7 YEAR FIXED (YM)</t>
  </si>
  <si>
    <t>7 YEAR FIXED (5544321)</t>
  </si>
  <si>
    <t>7 YEAR HYBRID (5544321)</t>
  </si>
  <si>
    <t>7 YEAR FIXED (3322111)</t>
  </si>
  <si>
    <t>7 YEAR HYBRID (3322111)</t>
  </si>
  <si>
    <t>10 YEAR HYBRID (YM)</t>
  </si>
  <si>
    <t>10 YEAR FIXED (YM)</t>
  </si>
  <si>
    <t>10 YEAR FIXED (5544332211)</t>
  </si>
  <si>
    <t>10 YEAR HYBRID (5544332211)</t>
  </si>
  <si>
    <t>10 YEAR FIXED (3332221111)</t>
  </si>
  <si>
    <t>10 YEAR HYBRID (3332221111)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</si>
  <si>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(a) If prepayment occurs during the first 5 years of the Loan
Term ("Yield Maintenance Period"), the prepayment premium is the greater of the amount of Freddie Mac's standard yield maintenance calculation or 1% of the unpaid principal balance.
(b) If prepayment is made after the yield maintenance period and
before the last ninety (90) days of the Loan Term, the prepayment  charge will be 1.0% of the unpaid principal balance.
(c) If prepayment occurs during the last ninety (90) days of the
Loan Term, no prepayment premium is required. 
During the Floating Rate period the coupon is based on a 30-day average SOFR + 325 margin. Every six months, the floating rate may: 
(i) Increase or decrease by 1.0%, 
(ii) Never be less than a floor of the initial fixed interest rate,
(iii) Never be greater than a maximum lifetime cap of the initial fixed interest rate +5%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</si>
  <si>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(a) If prepayment occurs during the first 4.75 years of the Loan
Term ("Yield Maintenance Period"), the prepayment premium is the greater of the amount of Freddie Mac's standard yield maintenance calculation or 1% of the unpaid principal balance.
(b) If prepayment is made after the yield maintenance period and
before the last ninety (90) days of the Loan Term, the prepayment  charge will be 1.0% of the unpaid principal balance.
(c) If prepayment occurs during the last ninety (90) days of the
Loan Term, no prepayment premium is required.</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</si>
  <si>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60 Month Fixed Rate Period Step-Down Prepayment:
5%, 4%, 3%, 2%, 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</si>
  <si>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60 Month Fixed Rate Period Step-Down Prepayment:
5%, 4%, 3%, 2%, 1%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</si>
  <si>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60 Month Fixed Rate Period Step-Down Prepayment:
3%, 2%, 1%, 1%, 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</si>
  <si>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60 Month Fixed Rate Period Step-Down Prepayment:
3%, 2%, 1%, 1%, 1%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</si>
  <si>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60 Month Fixed Rate Period Step-Down Prepayment:
3%, 1%, 0%, 0%, 0%</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</si>
  <si>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60 Month Fixed Rate Period Step-Down Prepayment:
3%, 1%, 0%, 0%, 0%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</si>
  <si>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(a) If prepayment occurs during the first 7 years of the Loan
Term ("Yield Maintenance Period"), the prepayment premium is the greater of the amount of Freddie Mac's standard yield maintenance calculation or 1% of the unpaid principal balance.
(b) If prepayment is made after the yield maintenance period and
before the last ninety (90) days of the Loan Term, the prepayment  charge will be 1.0% of the unpaid principal balance.
(c) If prepayment occurs during the last ninety (90) days of the
Loan Term, no prepayment premium is required. 
During the Floating Rate period the coupon is based on a 30-day average SOFR + 325 margin. Every six months, the floating rate may: 
(i) Increase or decrease by 1.0%, 
(ii) Never be less than a floor of the initial fixed interest rate,
(iii) Never be greater than a maximum lifetime cap of the initial fixed interest rate +5%
During the Floating Rate Period, the prepayment penalty is waived (1%) if the Property is sold to a third party or refinanced with Freddie Mac.</t>
  </si>
  <si>
    <t xml:space="preserve">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(a) If prepayment occurs during the first 6.75 years of the Loan
Term ("Yield Maintenance Period"), the prepayment premium is the greater of the amount of Freddie Mac's standard yield maintenance calculation or 1% of the unpaid principal balance.
(b) If prepayment is made after the yield maintenance period and
before the last ninety (90) days of the Loan Term, the prepayment  charge will be 1.0% of the unpaid principal balance.
(c) If prepayment occurs during the last ninety (90) days of the
Loan Term, no prepayment premium is required. </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</si>
  <si>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84 Month Fixed Rate Period Step-Down Prepayment:
5%, 5%, 4%, 4%, 3%, 2%, 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</si>
  <si>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84 Month Fixed Rate Period Step-Down Prepayment:
5%, 5%, 4%, 4%, 3%, 2%, 1%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</si>
  <si>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84 Month Fixed Rate Period Step-Down Prepayment:
3%, 3%, 2%, 2%, 1%, 1%, 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</si>
  <si>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84 Month Fixed Rate Period Step-Down Prepayment:
3%, 3%, 2%, 2%, 1%, 1%, 1%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</si>
  <si>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(a) If prepayment occurs during the first 10 years of the Loan
Term ("Yield Maintenance Period"), the prepayment premium is the greater of the amount of Freddie Mac's standard yield maintenance calculation or 1% of the unpaid principal balance.
(b) If prepayment is made after the yield maintenance period and
before the last ninety (90) days of the Loan Term, the prepayment  charge will be 1.0% of the unpaid principal balance.
(c) If prepayment occurs during the last ninety (90) days of the
Loan Term, no prepayment premium is required. 
During the Floating Rate period the coupon is based on a 30-day average SOFR + 325 margin. Every six months, the floating rate may:
(i) Increase or decrease by 1.0%, 
(ii) Never be less than a floor of the initial fixed interest rate,
(iii) Never be greater than a maximum lifetime cap of the initial fixed interest rate +5%
During the Floating Rate Period, the prepayment penalty is waived (1%) if the Property is sold to a third party or refinanced with Freddie Mac.</t>
  </si>
  <si>
    <t xml:space="preserve">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(a) If prepayment occurs during the first 9.75 years of the Loan
Term ("Yield Maintenance Period"), the prepayment premium is the greater of the amount of Freddie Mac's standard yield maintenance calculation or 1% of the unpaid principal balance.
(b) If prepayment is made after the yield maintenance period and
before the last ninety (90) days of the Loan Term, the prepayment  charge will be 1.0% of the unpaid principal balance.
(c) If prepayment occurs during the last ninety (90) days of the
Loan Term, no prepayment premium is required. </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</si>
  <si>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120 Month Fixed Rate Period Step-Down Prepayment:
5%, 5%, 4%, 4%, 3%, 3%, 2%, 2%, 1%, 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</si>
  <si>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120 Month Fixed Rate Period Step-Down Prepayment:
5%, 5%, 4%, 4%, 3%, 3%, 2%, 2%, 1%, 1%
During the Floating Rate Period, the prepayment penalty is waived (1%) if the Property is sold to a third party or refinanced with Freddie Mac.</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</si>
  <si>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120 Month Fixed Rate Period Step-Down Prepayment:
3%, 3%, 3%, 2%, 2%, 2%, 1%, 1%, 1%, 1%</t>
  </si>
  <si>
    <t>The Loan may be prepaid, in whole but not in part, provided that (i) prepayment is made on a scheduled monthly payment date, (ii) Borrower gives written notice of intent to prepay at least thirty (30) days prior to the intended prepayment date, (iii) Borrower pays all amounts then due and outstanding, and (iv) Borrower pays a prepayment premium in full with such prepayment, calculated as follows:  
120 Month Fixed Rate Period Step-Down Prepayment:
3%, 3%, 3%, 2%, 2%, 2%, 1%, 1%, 1%, 1%
During the Floating Rate Period, the prepayment penalty is waived (1%) if the Property is sold to a third party or refinanced with Freddie Mac.</t>
  </si>
  <si>
    <t>Maximum LTV (FRE_APP!C39)</t>
  </si>
  <si>
    <t xml:space="preserve"> of the lesser of a Lender approved third party appraisal and the Lender’s underwriting value as determined by Lender in accordance with the Freddie Mac Multifamily Seller/Servicer Guide. For all acquisition financing and properties recently acquired, as specified by Freddie Mac -the Mortgage Loan will be constrained by the lower of built-up purchase price or appraised value. </t>
  </si>
  <si>
    <t xml:space="preserve"> of the lesser of a Lender approved third party appraisal and the Lender’s underwriting value as determined by Lender in accordance with the Fannie Mae Multifamily Selling and Servicing Guide. For all acquisition financing and properties recently acquired, as specified by Fannie Mae -the Mortgage Loan will be constrained by the lower of built-up purchase price or appraised value. </t>
  </si>
  <si>
    <t>Freddie Mac Application Fee (FRE_APP!C92)</t>
  </si>
  <si>
    <t>) is due at the time the application is executed the from Borrower and is non-refundable if the loan has been submitted to Freddie Mac for full underwriting review.  In the event the Mortgage Loan does not close, the Application Deposit will be used to pay Lender’s actual costs.</t>
  </si>
  <si>
    <t>BORROWER'S OPERATING PLAN: Will the existing management team remain and what changes can we expect under new ownership and/or management? What is the Borrower's operating plan for the Subject and how will NRI and NCF benefit? - i.e. operate as is, increase rents, begin or resume a cap ex plan, implement new income producing / cost saving measures, etc. (Please provide estimates as appropriate.)</t>
  </si>
  <si>
    <t>Financing within 1 year of acquisition</t>
  </si>
  <si>
    <t>BORROWER'S OPERATING PLAN: What is the Borrower's operating plan for the Subject and how will NRI and NCF benefit? - i.e. operate as is, increase rents, begin or resume a cap ex plan, implement new income producing / cost saving measures, etc. (Please provide estimates as appropriate.)</t>
  </si>
  <si>
    <t>Refinance within 3 years of acquisition</t>
  </si>
  <si>
    <t>Refinance of a long-term hold</t>
  </si>
  <si>
    <t>No Direct Value Add / Market forces only w/ Stable T-24 Occ.</t>
  </si>
  <si>
    <t>NRI/NCF HISTORICAL CONTEXT: Describe occupancy and rent growth at the Subject over the last 3 years.  Are rents and occupancy at market levels?  Are future market projections for rent growth and occupancy at the Subject favorable?</t>
  </si>
  <si>
    <t>Value Add w/ Stable T12 Occ.</t>
  </si>
  <si>
    <t>NRI/NCF HISTORICAL CONTEXT: Describe occupancy and rent growth at the Subject over the last 3 years.  What has been done to drive NRI and/or occupancy at the Subject? (i.e. describe broad rent increases to market levels, other income program implementations, unit renovations / premiums, cost reductions, etc.). Over what time period did these improvements take place? Are the improvements ongoing / what work remains? If cap ex was performed, what was the scope and how much was spent per unit?   Are rents and occupancy currently at market levels?</t>
  </si>
  <si>
    <t>Value Add w/ Lease-up or Retenanting over T12</t>
  </si>
  <si>
    <t>NRI/NCF HISTORICAL CONTEXT: Describe occupancy and rent growth at the Subject prior to the value add.  What has been done to drive NRI and/or occupancy at the Subject? (i.e. describe broad rent increases to market levels, other income program implementations, unit renovations / premiums, cost reductions, etc.). Over what time period did these improvements take place?  If cap ex was performed, what was the scope and how much was spent per unit?  Describe the retenanting / lease up process and provide a T12 physical occupancy report.  Do any improvements remain? Are rents and occupancy now at market levels?</t>
  </si>
  <si>
    <t>New Construction w/ Lease Up over T12</t>
  </si>
  <si>
    <t>NRI/NCF HISTORICAL CONTEXT: Provide a quick explanation of the development including cost/unit, timeframe, and competition. (Additional cost and asset details will be collected below).  Describe the retenanting / lease up process and provide a T12 physical occupancy report.  Do any improvements remain? Are rents and occupancy now at market levels?</t>
  </si>
  <si>
    <r>
      <t xml:space="preserve">Unstable Physical Occupancy over </t>
    </r>
    <r>
      <rPr>
        <b/>
        <color theme="1"/>
        <family val="2"/>
        <rFont val="Calibri"/>
        <scheme val="minor"/>
        <sz val="8"/>
      </rPr>
      <t>T-24</t>
    </r>
    <r>
      <rPr>
        <color theme="1"/>
        <family val="2"/>
        <rFont val="Calibri"/>
        <scheme val="minor"/>
        <sz val="8"/>
      </rPr>
      <t xml:space="preserve"> (other)</t>
    </r>
  </si>
  <si>
    <t>NRI/NCF HISTORICAL CONTEXT: Please explain the nature of any unstable occupancy or collections within the last 24 months.  What occurred and what was done about it?  Why are we confident that poor performance will not repeat?</t>
  </si>
  <si>
    <t>Please detail any violent or drug related incidents at the Subject in the last 5 years.  Please state the nature of the incident.  Was anyone hurt or killed? Did it involve tenants or guests of tenants at the Subject?  Did the Subject suffer reputational or operational damage as a result of the incident? What was management's immediate reation? What has management done since the incident to prevent future incidents? What are the Subject's crime mitigating features (fencing, gated parking, security doors, overhead lighting, security patrols, cameras, etc.)?</t>
  </si>
  <si>
    <t>Application fee post-text</t>
  </si>
  <si>
    <t xml:space="preserve"> as a refundable Application Deposit, which will reimburse Lender for the cost of certain analysis and third party reports including, but not limited to, the Appraisal Report, Property Condition Report, Environmental Database Report (Phase I/II, if applicable), Zoning Report, Operations and Maintenance Programs, Credit Reports, Background Searches, Insurance Review, and Site Inspection Fees. Total Lender diligence costs have an estimated range of $15,000 to $17,500. Any due diligence costs incurred for the transaction above and beyond the initial application deposit will be paid by the borrower at closing. Conversely, should total due diligence costs come in lower than the Application deposit, the remainder shall be refundable to the Borrower.</t>
  </si>
  <si>
    <t>Yes/No boxes</t>
  </si>
  <si>
    <t>Fixed/Variable boxes</t>
  </si>
  <si>
    <t>MAH Type</t>
  </si>
  <si>
    <t>Env Survey</t>
  </si>
  <si>
    <t>Data Page</t>
  </si>
  <si>
    <t>Disclosure Page</t>
  </si>
  <si>
    <t>Historical Ops Page</t>
  </si>
  <si>
    <t>Engineering Schedule</t>
  </si>
  <si>
    <t>Historical Ops</t>
  </si>
  <si>
    <t>Schedules of REO</t>
  </si>
  <si>
    <t>OpSt Dump</t>
  </si>
  <si>
    <t>Trade Sheet</t>
  </si>
  <si>
    <t>Rent Roll</t>
  </si>
  <si>
    <t>Supplemental Page</t>
  </si>
  <si>
    <t>Dropdowns_ListOfStates</t>
  </si>
  <si>
    <t>Data Page 
(FNM Quote Sheet)</t>
  </si>
  <si>
    <t xml:space="preserve">Data Page </t>
  </si>
  <si>
    <t>Data Page: Dropdowns_BorrowerPriority</t>
  </si>
  <si>
    <t>Sales Comps</t>
  </si>
  <si>
    <t>Sponsor Page</t>
  </si>
  <si>
    <t>MAH?</t>
  </si>
  <si>
    <t>SBLQuotes &amp; Data Page</t>
  </si>
  <si>
    <t>Op St Dump</t>
  </si>
  <si>
    <t>Gateway TAB</t>
  </si>
  <si>
    <t>MHC Rating Tab</t>
  </si>
  <si>
    <t>Borr-KP-Prin Tab</t>
  </si>
  <si>
    <t>Dropdowns_ILPSizerLenderList</t>
  </si>
  <si>
    <t>Dropdowns_DeputyChiefUnderwriters</t>
  </si>
  <si>
    <t>NonGSELoanEmailList</t>
  </si>
  <si>
    <t>BusinessPlanList</t>
  </si>
  <si>
    <t>Enodo Chart Of Accounts Options - add any changes here to the Enumerations module</t>
  </si>
  <si>
    <t>Dropdowns_AMI_SelectorList</t>
  </si>
  <si>
    <t>Enodo Sizer Type</t>
  </si>
  <si>
    <t>ProducerNames and ProducerContactInfo</t>
  </si>
  <si>
    <t>DropDowns_FNM_LoanOptions</t>
  </si>
  <si>
    <t>DropDowns_PC_LoanOptions</t>
  </si>
  <si>
    <t>DropDowns_FRE_LoanOptions</t>
  </si>
  <si>
    <t>Dropdowns_LineItemList</t>
  </si>
  <si>
    <t>Dropdowns_FNM_TermOptions</t>
  </si>
  <si>
    <t>B2B Data Validation Pulldown Lists</t>
  </si>
  <si>
    <t>Phase I Acceptable (or ASTM 1527/1528)</t>
  </si>
  <si>
    <t xml:space="preserve">Refinance </t>
  </si>
  <si>
    <t>YTD</t>
  </si>
  <si>
    <t>Stabilized</t>
  </si>
  <si>
    <t>1st</t>
  </si>
  <si>
    <t>1st lvl Delegated</t>
  </si>
  <si>
    <t>Model</t>
  </si>
  <si>
    <t>TD</t>
  </si>
  <si>
    <t>Full DUS</t>
  </si>
  <si>
    <t>Angelica Dichoco</t>
  </si>
  <si>
    <t>Yield Maintenance (years)</t>
  </si>
  <si>
    <t>Lockout 1%</t>
  </si>
  <si>
    <t>Priority Borrower</t>
  </si>
  <si>
    <t>Superior</t>
  </si>
  <si>
    <t>MSA (Strong Market)</t>
  </si>
  <si>
    <t>1- Month Treasure Bill</t>
  </si>
  <si>
    <t>1-Month Treasury Bill</t>
  </si>
  <si>
    <t>11 FHLB COFI (1 Month)</t>
  </si>
  <si>
    <t xml:space="preserve"> 5-4-3-2-1-1-1-1-1-1</t>
  </si>
  <si>
    <t>Individual</t>
  </si>
  <si>
    <t>Managing KP</t>
  </si>
  <si>
    <t>Resident-owned</t>
  </si>
  <si>
    <t>Nearly Stabilized</t>
  </si>
  <si>
    <t>Build It Green</t>
  </si>
  <si>
    <t>Certified</t>
  </si>
  <si>
    <t>BX JV (BOA)</t>
  </si>
  <si>
    <t>ILPQuotes@walkerdunlop.com</t>
  </si>
  <si>
    <t>Fannie</t>
  </si>
  <si>
    <t>Jared Sobel</t>
  </si>
  <si>
    <t>Jared Sobel
Managing Director | Real Estate Finance 
Walker &amp; Dunlop
M: 845-659-2175
JSobel@walkerdunlop.com</t>
  </si>
  <si>
    <t>jsobel@walkerdunlop.com</t>
  </si>
  <si>
    <t>M: 845-659-2175</t>
  </si>
  <si>
    <t>5 YR Variable</t>
  </si>
  <si>
    <t>DMBS</t>
  </si>
  <si>
    <t>Phase I Acceptable w/ O&amp;M (or ASTM 1527/1528)</t>
  </si>
  <si>
    <t>If Acquisition (within 1 year)</t>
  </si>
  <si>
    <t>Multifamily Preservation Plus</t>
  </si>
  <si>
    <t>Leadership in Energy and Environmental Design (LEED), US Green Building Council</t>
  </si>
  <si>
    <t>Correspondent Fee</t>
  </si>
  <si>
    <t>Lease-Up</t>
  </si>
  <si>
    <t>Student</t>
  </si>
  <si>
    <t>Fannie Mae</t>
  </si>
  <si>
    <t>Partial Interest Only</t>
  </si>
  <si>
    <t>2nd</t>
  </si>
  <si>
    <t>2nd lvl Delegated</t>
  </si>
  <si>
    <t>Office</t>
  </si>
  <si>
    <t>Non-Standard</t>
  </si>
  <si>
    <t>Modified DUS</t>
  </si>
  <si>
    <t>Archna Gupta</t>
  </si>
  <si>
    <t>Small (Guide,  Part III,  Chapter 9)</t>
  </si>
  <si>
    <t>Choice Refinance</t>
  </si>
  <si>
    <t>1-No substantial concerns observed</t>
  </si>
  <si>
    <t>Non-Coterminous</t>
  </si>
  <si>
    <t>Streamlined</t>
  </si>
  <si>
    <t>Lockout Declining</t>
  </si>
  <si>
    <t>Full Term Hedge</t>
  </si>
  <si>
    <t>Full Recourse</t>
  </si>
  <si>
    <t>All other Borrowers</t>
  </si>
  <si>
    <t>Slightly Superior</t>
  </si>
  <si>
    <t>MAH</t>
  </si>
  <si>
    <t>MSA (Standard Market)</t>
  </si>
  <si>
    <t>Performance Differentiation</t>
  </si>
  <si>
    <t>Treasury 3 yr</t>
  </si>
  <si>
    <t>3-Month Treasury Bill</t>
  </si>
  <si>
    <t>11 FHLB COFI (6 Month)</t>
  </si>
  <si>
    <t>Prepayment Lockout</t>
  </si>
  <si>
    <t>5-1-1-1-1-1-1-1-1-1</t>
  </si>
  <si>
    <t>LLC</t>
  </si>
  <si>
    <t>Financial KP</t>
  </si>
  <si>
    <t>Alzheimer/Memory Care</t>
  </si>
  <si>
    <t>Government-owned</t>
  </si>
  <si>
    <t>Enterprise Green Community Partners</t>
  </si>
  <si>
    <t>Silver</t>
  </si>
  <si>
    <t>BX JV (Goldman)</t>
  </si>
  <si>
    <t>WDIP_Debt@walkerdunlop.com</t>
  </si>
  <si>
    <t>Freddie</t>
  </si>
  <si>
    <t xml:space="preserve">Enodo Analysis - Utilities Included </t>
  </si>
  <si>
    <t>Allison Herrera</t>
  </si>
  <si>
    <t>Allison Herrera
Senior Director
Walker &amp; Dunlop
P: 380-212-6406 M: 614-306-4389
AHerrera@walkerdunlop.com</t>
  </si>
  <si>
    <t>aherrera@walkerdunlop.com</t>
  </si>
  <si>
    <t>P: 380-212-6406 M: 614-306-4389</t>
  </si>
  <si>
    <t>Hard Cash Equity</t>
  </si>
  <si>
    <t>7 YR Variable</t>
  </si>
  <si>
    <t>B2B_DeliveryType_List</t>
  </si>
  <si>
    <t>B2B_BuyUpPercentages_List</t>
  </si>
  <si>
    <t>Other, See Below</t>
  </si>
  <si>
    <t>CASH</t>
  </si>
  <si>
    <t>Proj Based HAP/Section 8</t>
  </si>
  <si>
    <t>Phase II Acceptable</t>
  </si>
  <si>
    <t>If Acquisition (beyond 1 year)</t>
  </si>
  <si>
    <t>(Fixed +1) DUS MBS</t>
  </si>
  <si>
    <t>Fixed + 1</t>
  </si>
  <si>
    <t>Variable: Standard</t>
  </si>
  <si>
    <t>Other Green Financing</t>
  </si>
  <si>
    <t>Green Communities, Enterprise Community Partners</t>
  </si>
  <si>
    <t>Under Construction</t>
  </si>
  <si>
    <t>Freddie Mac</t>
  </si>
  <si>
    <t>Full Interest Only</t>
  </si>
  <si>
    <t>3rd</t>
  </si>
  <si>
    <t>Fannie Mae Approved</t>
  </si>
  <si>
    <t>+</t>
  </si>
  <si>
    <t>Pari Passu</t>
  </si>
  <si>
    <t>Breck Nolley</t>
  </si>
  <si>
    <t>Green</t>
  </si>
  <si>
    <t>Supplemental Financing</t>
  </si>
  <si>
    <t>Defensive Refinance</t>
  </si>
  <si>
    <t>2-Minor Issues, limited follow-up</t>
  </si>
  <si>
    <t>DUS Split 2nd</t>
  </si>
  <si>
    <t>Early</t>
  </si>
  <si>
    <t>Less than Full Term</t>
  </si>
  <si>
    <t>Partial Recourse</t>
  </si>
  <si>
    <t>Similar</t>
  </si>
  <si>
    <t>MSA (Pre-Review Market)</t>
  </si>
  <si>
    <t>Pre-Review</t>
  </si>
  <si>
    <t>Treasury 5 yr</t>
  </si>
  <si>
    <t>6-Month Treasury Bill</t>
  </si>
  <si>
    <t>1 Year CMT Weekly Average Treasury</t>
  </si>
  <si>
    <t>Declining Premium</t>
  </si>
  <si>
    <t>5-4-3-2-1-1-1</t>
  </si>
  <si>
    <t>Limited Partnership</t>
  </si>
  <si>
    <t>Managing &amp; Financial KP</t>
  </si>
  <si>
    <t>Assisted Living</t>
  </si>
  <si>
    <t>Nonprofit-owned</t>
  </si>
  <si>
    <t>Green Building Initiative</t>
  </si>
  <si>
    <t>Gold</t>
  </si>
  <si>
    <t>BX JV (USBank)</t>
  </si>
  <si>
    <t>Blair Priest</t>
  </si>
  <si>
    <t>gsmith@walkerdunlop.com</t>
  </si>
  <si>
    <t>Value-Add</t>
  </si>
  <si>
    <t>Fannie_Affordability</t>
  </si>
  <si>
    <t xml:space="preserve">Enodo Analysis - Utilities Excluded </t>
  </si>
  <si>
    <t>HUD</t>
  </si>
  <si>
    <t>Matt Baldwin</t>
  </si>
  <si>
    <t>Matt Baldwin
Senior Director
Walker &amp; Dunlop
P: 813-793-6681 M: 312-614-9152
mbaldwin@walkerdunlop.com</t>
  </si>
  <si>
    <t>mbaldwin@walkerdunlop.com</t>
  </si>
  <si>
    <t>P: 813-793-6681 M: 312-614-9152</t>
  </si>
  <si>
    <t>Strong Property Performance</t>
  </si>
  <si>
    <t>ERL Delivery</t>
  </si>
  <si>
    <t>0.125%</t>
  </si>
  <si>
    <t>BCE</t>
  </si>
  <si>
    <t>Both LIHTC &amp; Project Based HAP/Sec. 8</t>
  </si>
  <si>
    <t>Phase II Acceptable w/ O&amp;M</t>
  </si>
  <si>
    <t>If Construction</t>
  </si>
  <si>
    <t>(Standard) DUS Cash</t>
  </si>
  <si>
    <t>Variable: SARM</t>
  </si>
  <si>
    <t>Forward Conver.</t>
  </si>
  <si>
    <t>ARM 7-6</t>
  </si>
  <si>
    <t>GreenPoint, Build It Green</t>
  </si>
  <si>
    <t>Students</t>
  </si>
  <si>
    <t>++</t>
  </si>
  <si>
    <t>Tier Plus/Plus</t>
  </si>
  <si>
    <t>Modified Pari Passu</t>
  </si>
  <si>
    <t>Assumption with Supplemental</t>
  </si>
  <si>
    <t>Military Concentration</t>
  </si>
  <si>
    <t>3-Substantial/Critical issues, documented follow-up</t>
  </si>
  <si>
    <t>New Loan Test</t>
  </si>
  <si>
    <t>CE Bond</t>
  </si>
  <si>
    <t>No Hedge</t>
  </si>
  <si>
    <t>Non-recourse with carve outs</t>
  </si>
  <si>
    <t>Slightly Inferior</t>
  </si>
  <si>
    <t>Treasury 10 yr</t>
  </si>
  <si>
    <t>1-Year Treasury Note</t>
  </si>
  <si>
    <t>3 Year CMT Weekly Average Treasury</t>
  </si>
  <si>
    <t>5-1-1-1-1-1-1</t>
  </si>
  <si>
    <t>Less than 3 (Pre-Review)</t>
  </si>
  <si>
    <t>General Partnership</t>
  </si>
  <si>
    <t>Independent Living</t>
  </si>
  <si>
    <t>Privately-owned</t>
  </si>
  <si>
    <t>Home Innovation Research Labs</t>
  </si>
  <si>
    <t>Platinum</t>
  </si>
  <si>
    <t>Legacy (BOA)</t>
  </si>
  <si>
    <t>Pref Equity</t>
  </si>
  <si>
    <t>WDIP_Equity@walkerdunlop.com</t>
  </si>
  <si>
    <t>Asset_Overview</t>
  </si>
  <si>
    <t>WDIS</t>
  </si>
  <si>
    <t>Luke Erlandson</t>
  </si>
  <si>
    <t>Luke Erlandson
Senior Director
Walker &amp; Dunlop
P: 312-428-2532 M: 651-307-9799
LErlandson@walkerdunlop.com</t>
  </si>
  <si>
    <t>lerlandson@walkerdunlop.com</t>
  </si>
  <si>
    <t>P: 312-428-2532 M: 651-307-9799</t>
  </si>
  <si>
    <t>Conservative Loan Economics</t>
  </si>
  <si>
    <t>High Bad Debt / Collection Loss</t>
  </si>
  <si>
    <t>0.25%</t>
  </si>
  <si>
    <t>(Fixed +1) DUS Cash</t>
  </si>
  <si>
    <t>Variable: ARM 7-6</t>
  </si>
  <si>
    <t>ARM to Fixed</t>
  </si>
  <si>
    <t>EarthCraft, Greater Atlanta Home Builders Association &amp; South Face</t>
  </si>
  <si>
    <t>MHC/MHP</t>
  </si>
  <si>
    <t>First Level Lender Delegated</t>
  </si>
  <si>
    <t>No Recourse</t>
  </si>
  <si>
    <t>Joe Tarantino</t>
  </si>
  <si>
    <t>Forward</t>
  </si>
  <si>
    <t>4-Overall deterioration, action plan required</t>
  </si>
  <si>
    <t>Non-recourse without carve outs</t>
  </si>
  <si>
    <t>Inferior</t>
  </si>
  <si>
    <t>Treasury 56 months</t>
  </si>
  <si>
    <t>2-Year Treasury Note</t>
  </si>
  <si>
    <t>5 Year CMT Weekly Average Treasury</t>
  </si>
  <si>
    <t>Defeasance Lockout</t>
  </si>
  <si>
    <t>5-4-3-2-1</t>
  </si>
  <si>
    <t>Corporation (Not Cooperative)</t>
  </si>
  <si>
    <t>International Living Future Institute</t>
  </si>
  <si>
    <t>1 Globe</t>
  </si>
  <si>
    <t>Legacy (TD Bank)</t>
  </si>
  <si>
    <t>Denise Oluwo</t>
  </si>
  <si>
    <t>tedwards@walkerdunlop.com</t>
  </si>
  <si>
    <t>OSAR</t>
  </si>
  <si>
    <t>Apprise</t>
  </si>
  <si>
    <t>Ana Ramos</t>
  </si>
  <si>
    <t>Ana Ramos
Managing Director
Walker &amp; Dunlop
P: 424-281-1517 M: 310-308-9373
ARamos@walkerdunlop.com</t>
  </si>
  <si>
    <t>aramos@walkerdunlop.com</t>
  </si>
  <si>
    <t>P: 424-281-1517 M: 310-308-9373</t>
  </si>
  <si>
    <t>Strong Market Fundamentals</t>
  </si>
  <si>
    <t>Weak Occupancy</t>
  </si>
  <si>
    <t>0.375%</t>
  </si>
  <si>
    <t>Variable: ILP</t>
  </si>
  <si>
    <t>Home Energy Rating System, Residential Energy Services  Network (RESNET)</t>
  </si>
  <si>
    <t>Retail</t>
  </si>
  <si>
    <t>Second Level Lender Delegated</t>
  </si>
  <si>
    <t>Judson Birdsong</t>
  </si>
  <si>
    <t>5-Severe maintenance issues, action plan required, TBD</t>
  </si>
  <si>
    <t>LIBOR 1 month</t>
  </si>
  <si>
    <t>3-Year Treasury Note</t>
  </si>
  <si>
    <t>Wall Street Journal Prime Rate</t>
  </si>
  <si>
    <t>Fee Maintenance</t>
  </si>
  <si>
    <t>5-5-4-4-3-3-2-2-1-1</t>
  </si>
  <si>
    <t>Skilled Nursing</t>
  </si>
  <si>
    <t>Passive House Institute US (PHIUS)</t>
  </si>
  <si>
    <t>2 Globes</t>
  </si>
  <si>
    <t>Legacy (Wells)</t>
  </si>
  <si>
    <t>Hud</t>
  </si>
  <si>
    <t>John Hinder</t>
  </si>
  <si>
    <t>John Hinder
Senior Director
Walker &amp; Dunlop
P: 301-215-5516 M: 202-815-5055
jhinder@walkerdunlop.com</t>
  </si>
  <si>
    <t>jhinder@walkerdunlop.com</t>
  </si>
  <si>
    <t>P: 301-215-5516 M: 202-815-5055</t>
  </si>
  <si>
    <t>Excellent Location</t>
  </si>
  <si>
    <t>Lack of Stabilized Operating History</t>
  </si>
  <si>
    <t>Less Concessions (expense line item)</t>
  </si>
  <si>
    <t>B2B_InterestCalc_List</t>
  </si>
  <si>
    <t>0.5%</t>
  </si>
  <si>
    <t>National Green Building Program, National Association of Home Builders (NAHB)</t>
  </si>
  <si>
    <t>Fannie Mae Waiver</t>
  </si>
  <si>
    <t>Wayne Elibero</t>
  </si>
  <si>
    <t>LIBOR 3 months</t>
  </si>
  <si>
    <t>5-Year Treasury Note</t>
  </si>
  <si>
    <t>1 Month LIBOR</t>
  </si>
  <si>
    <t>Other Prepayment Premium</t>
  </si>
  <si>
    <t>10-10-5-4-3-2-1</t>
  </si>
  <si>
    <t>Trust</t>
  </si>
  <si>
    <t>Passive House Institute (PHI)</t>
  </si>
  <si>
    <t>3 Globes</t>
  </si>
  <si>
    <t>Fannie_Senior</t>
  </si>
  <si>
    <t>Natalie Dumont</t>
  </si>
  <si>
    <t>Natalie Dumont
Director | Agency Production
Walker &amp; Dunlop
M: 617-678-5636
ndumont@walkerdunlop.com</t>
  </si>
  <si>
    <t>ndumont@walkerdunlop.com</t>
  </si>
  <si>
    <t>M: 617-678-5636</t>
  </si>
  <si>
    <t>Financially Strong Sponsorship</t>
  </si>
  <si>
    <t>Limited Historical Data</t>
  </si>
  <si>
    <t>0.625%</t>
  </si>
  <si>
    <t xml:space="preserve">Green Globes, Green Building Initiative </t>
  </si>
  <si>
    <t>William Carroll</t>
  </si>
  <si>
    <t>LIBOR 6 months</t>
  </si>
  <si>
    <t>7-Year Treasury Note</t>
  </si>
  <si>
    <t>3 Month LIBOR</t>
  </si>
  <si>
    <t>1% Fixed Prepayment</t>
  </si>
  <si>
    <t>5-1-1-1-1</t>
  </si>
  <si>
    <t>REIT</t>
  </si>
  <si>
    <t>Southface</t>
  </si>
  <si>
    <t>4 Globes</t>
  </si>
  <si>
    <t>Katie Gilrain</t>
  </si>
  <si>
    <t>Morgan Dowdy</t>
  </si>
  <si>
    <t>Morgan Dowdy
mdowdy@walkerdunlop.com
804-280-6672</t>
  </si>
  <si>
    <t>mdowdy@walkerdunlop.com</t>
  </si>
  <si>
    <t>804-280-6672</t>
  </si>
  <si>
    <t>Experienced Sponsorship</t>
  </si>
  <si>
    <t>Limited Sponsor NW or Liquidity</t>
  </si>
  <si>
    <t>Other Green Building Certification</t>
  </si>
  <si>
    <t>Guarantor #1</t>
  </si>
  <si>
    <t>LIBOR 1 year</t>
  </si>
  <si>
    <t>10-Year Treasury Note</t>
  </si>
  <si>
    <t>6 Month LIBOR</t>
  </si>
  <si>
    <t>5-5-5-5-4-4-3-3-2-2-1-1</t>
  </si>
  <si>
    <t>Non-Profit Corporation</t>
  </si>
  <si>
    <t>US Department of Energy</t>
  </si>
  <si>
    <t>Bronze</t>
  </si>
  <si>
    <t>Paul Lewicki</t>
  </si>
  <si>
    <t>Logan Zotovich</t>
  </si>
  <si>
    <t>Logan Zotovich
lzotovich@walkerdunlop.com
949-271-8548</t>
  </si>
  <si>
    <t>lzotovich@walkerdunlop.com</t>
  </si>
  <si>
    <t>949-271-8548</t>
  </si>
  <si>
    <t>Local Ownership</t>
  </si>
  <si>
    <t>Age of Property</t>
  </si>
  <si>
    <t>30 YR Fixed</t>
  </si>
  <si>
    <t>0.875%</t>
  </si>
  <si>
    <t>Guarantor #2</t>
  </si>
  <si>
    <t>LIBOR 10 years</t>
  </si>
  <si>
    <t>30-Year Treasury Note</t>
  </si>
  <si>
    <t>5-5-5-5-5-5-5-4-4-3-3-2-2-1-1</t>
  </si>
  <si>
    <t>US Environmental Protection Agency</t>
  </si>
  <si>
    <t>Emerald</t>
  </si>
  <si>
    <t>HUD_Lean</t>
  </si>
  <si>
    <t>Mackenzie Kerin</t>
  </si>
  <si>
    <t>Mackenzie Kerin
mkerin@walkerdunlop.com
424-220-8455</t>
  </si>
  <si>
    <t>mkerin@walkerdunlop.com</t>
  </si>
  <si>
    <t>424-220-8455</t>
  </si>
  <si>
    <t>Strong Management</t>
  </si>
  <si>
    <t>Syndicated Ownership Structure</t>
  </si>
  <si>
    <t>B2B_PrepayType_List</t>
  </si>
  <si>
    <t>1.0%</t>
  </si>
  <si>
    <t>Guarantor #3</t>
  </si>
  <si>
    <t>11th District Cost of Funds Index</t>
  </si>
  <si>
    <t>5-5-5-5-5-5-5-4-4-3-3-2-2-1-1-1-1-1</t>
  </si>
  <si>
    <t>USGBC</t>
  </si>
  <si>
    <t>Certified Zero Carbon</t>
  </si>
  <si>
    <t>Freddie_Senior</t>
  </si>
  <si>
    <t>TJ Spaeth</t>
  </si>
  <si>
    <t>TJ Spaeth
tjspaeth@walkerdunlop.com,
949-271-8500</t>
  </si>
  <si>
    <t>tjspaeth@walkerdunlop.com,</t>
  </si>
  <si>
    <t>949-271-8500</t>
  </si>
  <si>
    <t>Excellent Property Condition</t>
  </si>
  <si>
    <t>Out of State Ownership</t>
  </si>
  <si>
    <t>20 YR Fixed</t>
  </si>
  <si>
    <t>31000</t>
  </si>
  <si>
    <t>1.125%</t>
  </si>
  <si>
    <t>Guarantor #4</t>
  </si>
  <si>
    <t>12-Month Treasury Average</t>
  </si>
  <si>
    <t>5-5-5-5-5-5-5-4-4-3-3-2-2-1-1-1-1-1-1-1-1-1-1-1-1-1-1-1-1-1</t>
  </si>
  <si>
    <t>Viridiant</t>
  </si>
  <si>
    <t>Certified Net Zero</t>
  </si>
  <si>
    <t>Capital_Markets</t>
  </si>
  <si>
    <t>George Melby</t>
  </si>
  <si>
    <t>George Melby
gmelby@walkerdunlop.com
301-202-3240</t>
  </si>
  <si>
    <t>gmelby@walkerdunlop.com</t>
  </si>
  <si>
    <t>301-202-3240</t>
  </si>
  <si>
    <t>Recent Renovation</t>
  </si>
  <si>
    <t>Limited Multifamily Ownership Experience</t>
  </si>
  <si>
    <t>25 YR Fixed</t>
  </si>
  <si>
    <t>32111</t>
  </si>
  <si>
    <t>1.25%</t>
  </si>
  <si>
    <t>Guarantor #5</t>
  </si>
  <si>
    <t>Bank Prime Loan</t>
  </si>
  <si>
    <t>Certified Zero Energy</t>
  </si>
  <si>
    <t>OTHER (Explain)</t>
  </si>
  <si>
    <t>3322111</t>
  </si>
  <si>
    <t>1.375%</t>
  </si>
  <si>
    <t>Guarantor #6</t>
  </si>
  <si>
    <t>PHIUS+ Source Zero</t>
  </si>
  <si>
    <t>Weak SREO Performance</t>
  </si>
  <si>
    <t>6 YR Fixed</t>
  </si>
  <si>
    <t>3332221111</t>
  </si>
  <si>
    <t>1.5%</t>
  </si>
  <si>
    <t>Guarantor #7</t>
  </si>
  <si>
    <t>PHIUS+ 2015</t>
  </si>
  <si>
    <t>New Supply</t>
  </si>
  <si>
    <t>8 YR Fixed</t>
  </si>
  <si>
    <t>5-4-3-2-1, then 1%</t>
  </si>
  <si>
    <t>1.625%</t>
  </si>
  <si>
    <t>Guarantor #8</t>
  </si>
  <si>
    <t>PHIUS+ Core</t>
  </si>
  <si>
    <t>Loan to Cost &gt; 90% within 3 years of ownership</t>
  </si>
  <si>
    <t>9 YR Fixed</t>
  </si>
  <si>
    <t>1.75%</t>
  </si>
  <si>
    <t>PHIUS+ 2018</t>
  </si>
  <si>
    <t>1.875%</t>
  </si>
  <si>
    <t>Classic</t>
  </si>
  <si>
    <t>11 YR Fixed</t>
  </si>
  <si>
    <t>2.0%</t>
  </si>
  <si>
    <t>LEED 2008</t>
  </si>
  <si>
    <t>Plus</t>
  </si>
  <si>
    <t>13 YR Fixed</t>
  </si>
  <si>
    <t>2.0625%</t>
  </si>
  <si>
    <t>LEED 2009</t>
  </si>
  <si>
    <t>Premium</t>
  </si>
  <si>
    <t>14 YR Fixed</t>
  </si>
  <si>
    <t>B2B_HedgeProtection_List</t>
  </si>
  <si>
    <t>2.125%</t>
  </si>
  <si>
    <t>LEED v4</t>
  </si>
  <si>
    <t>Zero Carbon</t>
  </si>
  <si>
    <t>2.1875%</t>
  </si>
  <si>
    <t>LEED 4.1</t>
  </si>
  <si>
    <t>Zero Energy</t>
  </si>
  <si>
    <t>16 YR Fixed</t>
  </si>
  <si>
    <t>3rd Party Rate Cap</t>
  </si>
  <si>
    <t>2.25%</t>
  </si>
  <si>
    <t>LEED Zero Carbon</t>
  </si>
  <si>
    <t>17 YR Fixed</t>
  </si>
  <si>
    <t>Freddie Mac Cap</t>
  </si>
  <si>
    <t>2.3125%</t>
  </si>
  <si>
    <t>LEED Zero Resources</t>
  </si>
  <si>
    <t>18 YR Fixed</t>
  </si>
  <si>
    <t>Freddie Mac Rate Cap</t>
  </si>
  <si>
    <t>2.375%</t>
  </si>
  <si>
    <t>Rev. 07</t>
  </si>
  <si>
    <t>19 YR Fixed</t>
  </si>
  <si>
    <t>Life-time Third Party Cap</t>
  </si>
  <si>
    <t>2.4375%</t>
  </si>
  <si>
    <t>Renewable 3rd Party Cap</t>
  </si>
  <si>
    <t>2.5%</t>
  </si>
  <si>
    <t>21 YR Fixed</t>
  </si>
  <si>
    <t>Renewable Third Party Cap - Annual Review</t>
  </si>
  <si>
    <t>2.5625%</t>
  </si>
  <si>
    <t>22 YR Fixed</t>
  </si>
  <si>
    <t>Renewable Third Party Cap - Semi-Annual Review</t>
  </si>
  <si>
    <t>2.625%</t>
  </si>
  <si>
    <t>23 YR Fixed</t>
  </si>
  <si>
    <t>Swap Agmnt w/ FM Guaranty</t>
  </si>
  <si>
    <t>2.6875%</t>
  </si>
  <si>
    <t>24 YR Fixed</t>
  </si>
  <si>
    <t>Swap Agmnt w/o FM Guaranty</t>
  </si>
  <si>
    <t>2.75%</t>
  </si>
  <si>
    <t>2.8125%</t>
  </si>
  <si>
    <t>26 YR Fixed</t>
  </si>
  <si>
    <t>2.875%</t>
  </si>
  <si>
    <t>27 YR Fixed</t>
  </si>
  <si>
    <t>B2B_ERL_FundingTiming_List</t>
  </si>
  <si>
    <t>2.9375%</t>
  </si>
  <si>
    <t>28 YR Fixed</t>
  </si>
  <si>
    <t>3.0%</t>
  </si>
  <si>
    <t>29 YR Fixed</t>
  </si>
  <si>
    <t>45-Day</t>
  </si>
  <si>
    <t>3.125%</t>
  </si>
  <si>
    <t>60-Day</t>
  </si>
  <si>
    <t>3.25%</t>
  </si>
  <si>
    <t>75-Day</t>
  </si>
  <si>
    <t>3.375%</t>
  </si>
  <si>
    <t>90-Day</t>
  </si>
  <si>
    <t>3.5%</t>
  </si>
  <si>
    <t>120-Day</t>
  </si>
  <si>
    <t>3.625%</t>
  </si>
  <si>
    <t>ERL+1</t>
  </si>
  <si>
    <t>3.75%</t>
  </si>
  <si>
    <t>ERL+2</t>
  </si>
  <si>
    <t>3.875%</t>
  </si>
  <si>
    <t>ERL+3</t>
  </si>
  <si>
    <t>4.0%</t>
  </si>
  <si>
    <t>Apartment Allowances (income line item)</t>
  </si>
  <si>
    <t>ERL+4</t>
  </si>
  <si>
    <t>4.125%</t>
  </si>
  <si>
    <t>Apartment Allowances (expense line item)</t>
  </si>
  <si>
    <t>ERL+5</t>
  </si>
  <si>
    <t>4.25%</t>
  </si>
  <si>
    <t>ERL+6</t>
  </si>
  <si>
    <t>4.375%</t>
  </si>
  <si>
    <t>ERL+7</t>
  </si>
  <si>
    <t>4.5%</t>
  </si>
  <si>
    <t>ERL+8</t>
  </si>
  <si>
    <t>4.625%</t>
  </si>
  <si>
    <t>4.75%</t>
  </si>
  <si>
    <t>ERL Standard Delivery</t>
  </si>
  <si>
    <t>4.875%</t>
  </si>
  <si>
    <t>Office / Model Apts. (income line item)</t>
  </si>
  <si>
    <t>5.0%</t>
  </si>
  <si>
    <t>Office / Model Apts. (expense line item)</t>
  </si>
  <si>
    <t>5.125%</t>
  </si>
  <si>
    <t>B2B_InterestType_List</t>
  </si>
  <si>
    <t>5.25%</t>
  </si>
  <si>
    <t>5.375%</t>
  </si>
  <si>
    <t>5.5%</t>
  </si>
  <si>
    <t>5.625%</t>
  </si>
  <si>
    <t>B2B_PropertyType_List</t>
  </si>
  <si>
    <t>5.75%</t>
  </si>
  <si>
    <t>5.875%</t>
  </si>
  <si>
    <t>Multifamily Senior Housing</t>
  </si>
  <si>
    <t>6.0%</t>
  </si>
  <si>
    <t>BL-Other 1</t>
  </si>
  <si>
    <t>BL-Other 2</t>
  </si>
  <si>
    <t>Multifamily w/Commercial</t>
  </si>
  <si>
    <t>B2B_YieldMaintenanceTreasuriesPlus_List</t>
  </si>
  <si>
    <t>BL-Other 3</t>
  </si>
  <si>
    <t>BL-Other 4</t>
  </si>
  <si>
    <t>Operating Statement NOI</t>
  </si>
  <si>
    <t>B2B_ApplicableIndexType_List</t>
  </si>
  <si>
    <t>Treasuries +25bps</t>
  </si>
  <si>
    <t>Employee Units (as negative)</t>
  </si>
  <si>
    <t>30-day FHLMC Ref Bill</t>
  </si>
  <si>
    <t>Treasuries +50bps</t>
  </si>
  <si>
    <t>Office / Model Apts. (as negative)</t>
  </si>
  <si>
    <t>Partnership Expenses (Below the Line):</t>
  </si>
  <si>
    <t>30-day LIBOR</t>
  </si>
  <si>
    <t>Treasuries +75bps</t>
  </si>
  <si>
    <t>90-day FHLMC Ref Bill</t>
  </si>
  <si>
    <t>Treasuries +100bps</t>
  </si>
  <si>
    <t>90-day LIBOR</t>
  </si>
  <si>
    <t>Treasuries +Net Spread</t>
  </si>
  <si>
    <t>180-day LIBOR</t>
  </si>
  <si>
    <t>Treasuries +Other</t>
  </si>
  <si>
    <t>BL-Other 1</t>
  </si>
  <si>
    <t>Treasuries +RNY</t>
  </si>
  <si>
    <t>BL-Other 2</t>
  </si>
  <si>
    <t>2-yr UST</t>
  </si>
  <si>
    <t>BL-Other 3</t>
  </si>
  <si>
    <t>3-yr UST</t>
  </si>
  <si>
    <t>BL-Other 4</t>
  </si>
  <si>
    <t>4 Week BMA</t>
  </si>
  <si>
    <t>4-yr Interp. UST</t>
  </si>
  <si>
    <t>52 Week BMA</t>
  </si>
  <si>
    <t>Senior Housing Income Line Items:</t>
  </si>
  <si>
    <t>52 week SIFMA</t>
  </si>
  <si>
    <t>5-yr UST</t>
  </si>
  <si>
    <t>6-yr Interp. UST</t>
  </si>
  <si>
    <t>7-yr Interp. UST</t>
  </si>
  <si>
    <t>8-yr Interp. UST</t>
  </si>
  <si>
    <t>9-yr Interp. UST</t>
  </si>
  <si>
    <t>Senior Housing Expense Line Items:</t>
  </si>
  <si>
    <t>10-yr UST</t>
  </si>
  <si>
    <t>FreddieMac Reference Bills-1Mo</t>
  </si>
  <si>
    <t>2 month Freddie Mac Reference</t>
  </si>
  <si>
    <t>FreddieMac Reference Bills-3Mo</t>
  </si>
  <si>
    <t>LIBOR 1 Week</t>
  </si>
  <si>
    <t>LIBOR 1 Month</t>
  </si>
  <si>
    <t>LIBOR 3 Month</t>
  </si>
  <si>
    <t>Spot BMA</t>
  </si>
  <si>
    <t>SWAP</t>
  </si>
  <si>
    <t>UST</t>
  </si>
  <si>
    <t>Prop Name</t>
  </si>
  <si>
    <t>Month, Year</t>
  </si>
  <si>
    <t>Property Name Header</t>
  </si>
  <si>
    <t>City, State Header</t>
  </si>
  <si>
    <t>No. of Units 2</t>
  </si>
  <si>
    <t>Locations: (MSA)</t>
  </si>
  <si>
    <t>Loan Amount / Unit</t>
  </si>
  <si>
    <t>Transaction Purpose</t>
  </si>
  <si>
    <t>Cash (In, Nuetral, Out)?</t>
  </si>
  <si>
    <t>Cash (In, Nuetral, Out) $</t>
  </si>
  <si>
    <t>Tax Escrow Waived?</t>
  </si>
  <si>
    <t>Insurance Escrow Waived?</t>
  </si>
  <si>
    <t>Sponsor Rating</t>
  </si>
  <si>
    <t>Sponsor Rating 2</t>
  </si>
  <si>
    <t>Prepayment Period</t>
  </si>
  <si>
    <t>Interest Only Term</t>
  </si>
  <si>
    <t>Non-Recourse Carveouts?</t>
  </si>
  <si>
    <t>Reserves Escrow Waived?</t>
  </si>
  <si>
    <t>Repair Escrow Waived?</t>
  </si>
  <si>
    <t>Loan To Cost:</t>
  </si>
  <si>
    <t>Performance Differentiation?</t>
  </si>
  <si>
    <t>Min UW DSCR at Floor</t>
  </si>
  <si>
    <t>Min UW DSCR at Actual</t>
  </si>
  <si>
    <t>Actual UW DSCR at Floor</t>
  </si>
  <si>
    <t>Actual UW DSCR at Actual</t>
  </si>
  <si>
    <t>IO DSCR at Floor</t>
  </si>
  <si>
    <t>IO DSCR at Actual</t>
  </si>
  <si>
    <t>Min ARM UW DSCR at Stress Rate</t>
  </si>
  <si>
    <t>Error</t>
  </si>
  <si>
    <t>Min ARM UW DSCR at Pay Rate</t>
  </si>
  <si>
    <t>Actual ARM UW DSCR at Stress Rate</t>
  </si>
  <si>
    <t>Actual ARM UW DSCR at Pay Rate</t>
  </si>
  <si>
    <t>ARM IO DSCR at Stress Rate</t>
  </si>
  <si>
    <t>ARM IO DSCR at Pay Rate</t>
  </si>
  <si>
    <t>DUS Loan</t>
  </si>
  <si>
    <t>Existing Financing or Mezz</t>
  </si>
  <si>
    <t>Subtotal Sources</t>
  </si>
  <si>
    <t>Refi or Acquisition</t>
  </si>
  <si>
    <t>UPB or Purchase Price</t>
  </si>
  <si>
    <t>Prepayment Penalty</t>
  </si>
  <si>
    <t>Fannie Mae Large Loan Fee:</t>
  </si>
  <si>
    <t>Origination Fees:</t>
  </si>
  <si>
    <t>Origination %:</t>
  </si>
  <si>
    <t>Origination % 2:</t>
  </si>
  <si>
    <t>Gfee</t>
  </si>
  <si>
    <t>Sfee</t>
  </si>
  <si>
    <t>Closing Costs:</t>
  </si>
  <si>
    <t>Initial Deposit into Reserve Escrow:</t>
  </si>
  <si>
    <t>Rehabilitation Escrow:</t>
  </si>
  <si>
    <t>Subtotal Uses</t>
  </si>
  <si>
    <t>Cash to Borrower:</t>
  </si>
  <si>
    <t>Property Type 2</t>
  </si>
  <si>
    <t>Year Built/Rehabbed</t>
  </si>
  <si>
    <t>1-Month SOFR</t>
  </si>
  <si>
    <t>Cushion</t>
  </si>
  <si>
    <t>Pay Rate</t>
  </si>
  <si>
    <t>Strike Rate (Amort)</t>
  </si>
  <si>
    <t>Strike Rate (IO)</t>
  </si>
  <si>
    <t>Max Rate Required</t>
  </si>
  <si>
    <t>Fixed Principal Payment</t>
  </si>
  <si>
    <t>Unit Breakdown</t>
  </si>
  <si>
    <t>Average Square Footage</t>
  </si>
  <si>
    <t>Composition</t>
  </si>
  <si>
    <t>2 BR / 1 BA</t>
  </si>
  <si>
    <t>2 BR / 2 BA</t>
  </si>
  <si>
    <t>3 BR</t>
  </si>
  <si>
    <t>4 BR</t>
  </si>
  <si>
    <t>Total Number of Units</t>
  </si>
  <si>
    <t>Total Residential Square Footage</t>
  </si>
  <si>
    <t>Avg. Sq Ft.</t>
  </si>
  <si>
    <t>Total Commercial Square Footage</t>
  </si>
  <si>
    <t>Commercial Percentage of GBA</t>
  </si>
  <si>
    <t>PCA</t>
  </si>
  <si>
    <t>Company</t>
  </si>
  <si>
    <t>Replacement Reserve</t>
  </si>
  <si>
    <t>Repair Escrow</t>
  </si>
  <si>
    <t>Repair Escrow Description</t>
  </si>
  <si>
    <t>(at 0%)</t>
  </si>
  <si>
    <t>Environmental Company</t>
  </si>
  <si>
    <t>Environmental Company2</t>
  </si>
  <si>
    <t>Environmental Company3</t>
  </si>
  <si>
    <t>Environmental Company4</t>
  </si>
  <si>
    <t>Date Of PCA Report</t>
  </si>
  <si>
    <t>Date of Env Report</t>
  </si>
  <si>
    <t>Micro-Market Analysis Chart</t>
  </si>
  <si>
    <t>Rent Comps</t>
  </si>
  <si>
    <t>Subject Actual</t>
  </si>
  <si>
    <t>Appraisal Proforma</t>
  </si>
  <si>
    <t>Average Occupancy</t>
  </si>
  <si>
    <t>Broken Cell Equation from Fannie version 1</t>
  </si>
  <si>
    <t>Broken Cell Equation from Fannie version 1 ($/SF)</t>
  </si>
  <si>
    <t>Broken Cell Equation from Fannie version 2</t>
  </si>
  <si>
    <t>Broken Cell Equation from Fannie version 2 ($/SF)</t>
  </si>
  <si>
    <t>Broken Cell Equation from Fannie version 3</t>
  </si>
  <si>
    <t>Broken Cell Equation from Fannie version 3 ($/SF)</t>
  </si>
  <si>
    <t>Broken Cell Equation from Fannie version 4</t>
  </si>
  <si>
    <t>Broken Cell Equation from Fannie version 4 ($/SF)</t>
  </si>
  <si>
    <t>Broken Cell Equation from Fannie version 5</t>
  </si>
  <si>
    <t>Broken Cell Equation from Fannie version 5 ($/SF)</t>
  </si>
  <si>
    <t>Broken Cell Equation from Fannie version 6</t>
  </si>
  <si>
    <t>Broken Cell Equation from Fannie version 6 ($/SF)</t>
  </si>
  <si>
    <t>Broken Cell Equation from Fannie version 7</t>
  </si>
  <si>
    <t>Broken Cell Equation from Fannie version 7 ($/SF)</t>
  </si>
  <si>
    <t>Overall Average Rent</t>
  </si>
  <si>
    <t>Overall Average Rent ($/SF)</t>
  </si>
  <si>
    <t>Borrower Single Asset Entity?</t>
  </si>
  <si>
    <t>Borrower Credit Checks Acceptable</t>
  </si>
  <si>
    <t>Lender Outstanding Balances</t>
  </si>
  <si>
    <t>Loender Commitments</t>
  </si>
  <si>
    <t>Total Lender Exposure</t>
  </si>
  <si>
    <t>Sponsor Chart</t>
  </si>
  <si>
    <t>Yrs Multifamily Exp</t>
  </si>
  <si>
    <t>Guarantor?</t>
  </si>
  <si>
    <t>NW</t>
  </si>
  <si>
    <t>Liquidity</t>
  </si>
  <si>
    <t>Credit Checks Acceptable?</t>
  </si>
  <si>
    <t>REO Overall LTV</t>
  </si>
  <si>
    <t>REO Overall DSCR</t>
  </si>
  <si>
    <t>REO Multifamily LTV</t>
  </si>
  <si>
    <t>REO Multifamily DSCR</t>
  </si>
  <si>
    <t>Estimated Cash Flow</t>
  </si>
  <si>
    <t>Combined NW</t>
  </si>
  <si>
    <t>Combined NW as % of Loan</t>
  </si>
  <si>
    <t>Combined Liquidity</t>
  </si>
  <si>
    <t>Combined Liquidity as % of Loan</t>
  </si>
  <si>
    <t>Name of Principal(s):</t>
  </si>
  <si>
    <t>Appraisal Firm</t>
  </si>
  <si>
    <t>Date of Valuation:</t>
  </si>
  <si>
    <t>Cap Rate</t>
  </si>
  <si>
    <t>Appraised Value Per Unit</t>
  </si>
  <si>
    <t>UW Value Conclusion</t>
  </si>
  <si>
    <t>UW Rent Roll Date:</t>
  </si>
  <si>
    <t>Trailing Period Description</t>
  </si>
  <si>
    <t>Trailing Period Description2</t>
  </si>
  <si>
    <t>Trailing Period Description3</t>
  </si>
  <si>
    <t>Trailing Period Description4</t>
  </si>
  <si>
    <t>T12 Operating Statement Period</t>
  </si>
  <si>
    <t>Historical Performance Chart</t>
  </si>
  <si>
    <t>TR-12 Statement (9/2022), 2022</t>
  </si>
  <si>
    <t>Borrower Proforma</t>
  </si>
  <si>
    <t>Appraiser</t>
  </si>
  <si>
    <t>W&amp;D Comps avg</t>
  </si>
  <si>
    <t>W&amp;D UW</t>
  </si>
  <si>
    <t>% change from T12</t>
  </si>
  <si>
    <t>GPR/Unit</t>
  </si>
  <si>
    <t>EGI/Unit</t>
  </si>
  <si>
    <t>RET/Unit</t>
  </si>
  <si>
    <t>Insurance/Unit</t>
  </si>
  <si>
    <t>Utilities/Unit</t>
  </si>
  <si>
    <t>W&amp;S/Unit</t>
  </si>
  <si>
    <t>R&amp;M/Unit</t>
  </si>
  <si>
    <t>MGMT%</t>
  </si>
  <si>
    <t>Payroll/Unit</t>
  </si>
  <si>
    <t>Admin/Unit</t>
  </si>
  <si>
    <t>Seniors Expenses</t>
  </si>
  <si>
    <t>Other Expenses and Ground Rent</t>
  </si>
  <si>
    <t>Reserves/Unit/Annum</t>
  </si>
  <si>
    <t>Expenses/Unit (exclude taxes and reserves)</t>
  </si>
  <si>
    <t>NRI Analysis</t>
  </si>
  <si>
    <t>T3 NRI/Unit</t>
  </si>
  <si>
    <t>T3 NRI/Unit vs T6 NRI/Unit</t>
  </si>
  <si>
    <t>T3 NRI/Unit vs T12 NRI/Unit</t>
  </si>
  <si>
    <t>T3 NRI/Unit vs UW NRI/Unit</t>
  </si>
  <si>
    <t>UW NRI 2</t>
  </si>
  <si>
    <t>Base Exit Analysis</t>
  </si>
  <si>
    <t>base_rent_growth_rate_yr2</t>
  </si>
  <si>
    <t>base_rent_growth_rate_yr3</t>
  </si>
  <si>
    <t>base_rent_growth_rate_yr4</t>
  </si>
  <si>
    <t>base_rent_growth_rate_yr5</t>
  </si>
  <si>
    <t>base_rent_growth_rate_yr6+</t>
  </si>
  <si>
    <t>Capitalization Rate @ Refinance</t>
  </si>
  <si>
    <t>LTV @ Refinance</t>
  </si>
  <si>
    <t>Interest Rate @ Refinance</t>
  </si>
  <si>
    <t>Resulting DSCR at Refinance</t>
  </si>
  <si>
    <t>Stressed Interest Rate for DSCR</t>
  </si>
  <si>
    <t>Alternative Exit Analysis</t>
  </si>
  <si>
    <t>Qualifying Units &lt;= 120% AMI</t>
  </si>
  <si>
    <t>Qualifying Units &lt;= 100% AMI</t>
  </si>
  <si>
    <t>Qualifying Units &lt;= 80% AMI</t>
  </si>
  <si>
    <t>Qualifying Units &lt;= 60% AMI</t>
  </si>
  <si>
    <t>Qualifying Units &lt;= 50% AMI</t>
  </si>
  <si>
    <t>Estimated % Exclusion from CAP</t>
  </si>
  <si>
    <t>Performance Differentation Info</t>
  </si>
  <si>
    <t>Loan Size</t>
  </si>
  <si>
    <t>Exclusions?</t>
  </si>
  <si>
    <t>Exclusions: MAH, Seniors, Structured, Small Loans</t>
  </si>
  <si>
    <t>0% meets PD requirements</t>
  </si>
  <si>
    <t>Min Debt Yield</t>
  </si>
  <si>
    <t>0% does not meet PD requirements</t>
  </si>
  <si>
    <t>Min Exit</t>
  </si>
  <si>
    <t>Lender Delegation</t>
  </si>
  <si>
    <t>Large Loans, DSC, IO, LTC, SARM's (SARM's delegated to Priority Borrowers with specified interest rate cap terms for volume above $10M)</t>
  </si>
  <si>
    <t>WD Comps Occupancy</t>
  </si>
  <si>
    <t>Appraisal Occupancy</t>
  </si>
  <si>
    <t>Subject Occupancy</t>
  </si>
  <si>
    <t>This worksheet is used to test model logic, with tests to identify regression bugs and other model failures.</t>
  </si>
  <si>
    <t>RegressTesting_TestSets</t>
  </si>
  <si>
    <t>Data Set Name</t>
  </si>
  <si>
    <t>IVY PARK</t>
  </si>
  <si>
    <t>HUNTER CHASE</t>
  </si>
  <si>
    <t>serverUrl</t>
  </si>
  <si>
    <t>https://api.enodoinc.com</t>
  </si>
  <si>
    <t>token</t>
  </si>
  <si>
    <t>4Mdljmx08WxUqw</t>
  </si>
  <si>
    <t>nay5pxEW6ss1hg</t>
  </si>
  <si>
    <t>rr_id</t>
  </si>
  <si>
    <t>5d3f89b0-9e3a-4048-8027-76e7bab40b1b</t>
  </si>
  <si>
    <t>e8ca7afe-0144-423c-a933-1f228970015a</t>
  </si>
  <si>
    <t>t12_1</t>
  </si>
  <si>
    <t>4046ce03-8c52-4a44-b2f0-b983daeee4ff</t>
  </si>
  <si>
    <t>4bb5db17-fce9-4af2-8841-49b739d382d1</t>
  </si>
  <si>
    <t>t12_2</t>
  </si>
  <si>
    <t>8826beb9-b094-4fd6-8d38-1ed58f15f6a6</t>
  </si>
  <si>
    <t>fc65f186-d9bd-448b-95c5-df97e2e56712</t>
  </si>
  <si>
    <t>t12_3</t>
  </si>
  <si>
    <t>9773e5a9-7248-4cfe-a81a-8248541a33f6</t>
  </si>
  <si>
    <t>8a041a11-380c-47fe-bdff-ab70294e4fab</t>
  </si>
  <si>
    <t>t12_4</t>
  </si>
  <si>
    <t>budget</t>
  </si>
  <si>
    <t>5a29ac2d-ec0c-42b2-abe9-5627b4e2e2c0</t>
  </si>
  <si>
    <t>51c9f216-cbdc-43c7-ba62-4d6929930ac0</t>
  </si>
  <si>
    <t>deal_id</t>
  </si>
  <si>
    <t>15484</t>
  </si>
  <si>
    <t>15316</t>
  </si>
  <si>
    <t>Error Counter</t>
  </si>
  <si>
    <t>Other data</t>
  </si>
  <si>
    <t>Term (Months)</t>
  </si>
  <si>
    <t>Interest Only (Yrs)</t>
  </si>
  <si>
    <t>RegressTesting_Tests</t>
  </si>
  <si>
    <t>(Worksheet)</t>
  </si>
  <si>
    <t>Test</t>
  </si>
  <si>
    <t>Expected</t>
  </si>
  <si>
    <t>Equal?</t>
  </si>
  <si>
    <t>Market Rent (total)</t>
  </si>
  <si>
    <t>UnitMix</t>
  </si>
  <si>
    <t>No of Units</t>
  </si>
  <si>
    <t>% Vacant</t>
  </si>
  <si>
    <t>NRA</t>
  </si>
  <si>
    <t>Sum of first (top) table Total Line</t>
  </si>
  <si>
    <t>Sum of 'DataPage Tbl' Total Line</t>
  </si>
  <si>
    <t>Sum of 'RentComps Tbl' Total Line</t>
  </si>
  <si>
    <t>HOps</t>
  </si>
  <si>
    <t>Sum of Net Cash Flow</t>
  </si>
  <si>
    <t>Sum of Property</t>
  </si>
  <si>
    <t>Exit Strategy</t>
  </si>
  <si>
    <t>Base NCF at Maturity +1 Yr</t>
  </si>
  <si>
    <t>Alt NCF at Maturity +1 Yr</t>
  </si>
  <si>
    <t>SBL Quotes</t>
  </si>
  <si>
    <t>Census Tract Number</t>
  </si>
  <si>
    <t>MSA (Fannie)</t>
  </si>
  <si>
    <t>Baton Rouge, LA</t>
  </si>
  <si>
    <t>Clarksville, TN-KY</t>
  </si>
  <si>
    <t>End of Test List</t>
  </si>
  <si>
    <t>Insert new tests above this line</t>
  </si>
  <si>
    <t>88f-f2vNZac8bg</t>
  </si>
  <si>
    <t>02f77506-7855-4b81-a0bd-4684d864ecbe</t>
  </si>
  <si>
    <t>Enodo it!</t>
  </si>
  <si>
    <t>https://beta.enodoinc.com/rent_roll/02f77506-7855-4b81-a0bd-4684d864ecbe/analysis</t>
  </si>
  <si>
    <t>d729b2ab-6c65-48b6-8c8f-f855531bd453</t>
  </si>
  <si>
    <t>https://beta.enodoinc.com/operating_statement/d729b2ab-6c65-48b6-8c8f-f855531bd453/analysis</t>
  </si>
  <si>
    <t>https://beta.enodoinc.com/operating_statement//analysis</t>
  </si>
  <si>
    <t>deal_name</t>
  </si>
  <si>
    <t>count_files</t>
  </si>
  <si>
    <t>enodoUrl</t>
  </si>
  <si>
    <t>https://beta.enodoinc.com</t>
  </si>
  <si>
    <t>salesforce_opportunity_nmbr</t>
  </si>
  <si>
    <t>initialLoadCompleted</t>
  </si>
  <si>
    <t>freddieMac_loan_id</t>
  </si>
  <si>
    <t>addin_function</t>
  </si>
  <si>
    <t>addin_functionParameter1</t>
  </si>
  <si>
    <t>unique_id</t>
  </si>
  <si>
    <t>version</t>
  </si>
  <si>
    <t>release_date</t>
  </si>
  <si>
    <t>sizer_type</t>
  </si>
  <si>
    <t>applicable_COAs</t>
  </si>
  <si>
    <t>deal_identifier (for Mixpanel)</t>
  </si>
  <si>
    <t>88f-f2vNZac8bg20230920.15</t>
  </si>
  <si>
    <t>property_id_string</t>
  </si>
  <si>
    <t>Endpoints</t>
  </si>
  <si>
    <t>apiendpoints</t>
  </si>
  <si>
    <t>&lt;future&gt;</t>
  </si>
  <si>
    <t>apiendpoints_pricing_treasury_rates</t>
  </si>
  <si>
    <t>/me/sizer/treasury_rates</t>
  </si>
  <si>
    <t>apiendpoints_pricing_treasury_rates_dates</t>
  </si>
  <si>
    <t>/me/sizer/treasury_rates/dates</t>
  </si>
  <si>
    <t>apiendpoints_pricing_freddie_sbl_rates</t>
  </si>
  <si>
    <t>/me/sizer/freddie_sbl_rates</t>
  </si>
  <si>
    <t>apiendpoints_pricing_freddie_sbl_rates_dates</t>
  </si>
  <si>
    <t>/me/sizer/freddie_sbl_rates/dates</t>
  </si>
  <si>
    <t>apiendpoints_pricing_daily_rates</t>
  </si>
  <si>
    <t>/me/sizer/daily_pricing</t>
  </si>
  <si>
    <t>apiendpoints_pricing_daily_rates_dates</t>
  </si>
  <si>
    <t>/me/sizer/daily_pricing/dates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</si>
</sst>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24">
    <numFmt numFmtId="170" formatCode="&quot;$&quot;#,##0\ ;[Red]\(&quot;$&quot;#,##0\)"/>
    <numFmt numFmtId="171" formatCode="&quot;$&quot;#,##0.00\ ;[Red]\(&quot;$&quot;#,##0.00\)"/>
    <numFmt numFmtId="172" formatCode="#,##0.0"/>
    <numFmt numFmtId="173" formatCode="_(* #,##0.00_);_(* \(#,##0.00\);_(* &quot;-&quot;??_);_(@_)"/>
    <numFmt numFmtId="174" formatCode="0.000_)"/>
    <numFmt numFmtId="243" formatCode="_(&quot;$&quot;* #,##0.00_);_(&quot;$&quot;* \(#,##0.00\);_(&quot;$&quot;* &quot;-&quot;??_);_(@_)"/>
    <numFmt numFmtId="307" formatCode="&quot;$&quot;#,##0\ ;\(&quot;$&quot;#,##0\)"/>
    <numFmt numFmtId="308" formatCode="&quot;$&quot;#,##0"/>
    <numFmt numFmtId="309" formatCode="_(&quot;$&quot;* #,##0_);_(&quot;$&quot;* \(#,##0\);_(&quot;$&quot;* &quot;-&quot;_);_(@_)"/>
    <numFmt numFmtId="324" formatCode="&quot;$&quot;#,##0_);[Red]\(&quot;$&quot;#,##0\)"/>
    <numFmt numFmtId="1163" formatCode="&quot;$&quot;#,##0.00"/>
    <numFmt numFmtId="58" formatCode="m/d/yyyy"/>
    <numFmt numFmtId="1993" formatCode="m/d/yy;@"/>
    <numFmt numFmtId="1998" formatCode="mmm"/>
    <numFmt numFmtId="2003" formatCode="[$-409]mmm\-yy;@"/>
    <numFmt numFmtId="4004" formatCode="[$-409]h:mm\ AM/PM;@"/>
    <numFmt numFmtId="4005" formatCode="#,##0;[Red]#,##0"/>
    <numFmt numFmtId="4006" formatCode="&quot;IR£&quot;#,##0;\-&quot;IR£&quot;#,##0"/>
    <numFmt numFmtId="4007" formatCode="mmmm\ d\,\ yyyy"/>
    <numFmt numFmtId="4008" formatCode="#,##0.000;[Red]\-#,##0.000"/>
    <numFmt numFmtId="4009" formatCode="#,##0.0%;\(#,##0.0%\)"/>
    <numFmt numFmtId="4010" formatCode="0.00_)"/>
    <numFmt numFmtId="4011" formatCode="#\ &quot;Years&quot;\ "/>
    <numFmt numFmtId="4014" formatCode="#.0\ &quot;Years&quot;\ "/>
    <numFmt numFmtId="4020" formatCode="#,##0.000"/>
    <numFmt numFmtId="4029" formatCode="#,##0.00000"/>
    <numFmt numFmtId="4030" formatCode="00000"/>
    <numFmt numFmtId="4031" formatCode="0.0%"/>
    <numFmt numFmtId="4041" formatCode="0.000%"/>
    <numFmt numFmtId="4051" formatCode="0.0000%"/>
    <numFmt numFmtId="4053" formatCode="0.00000%"/>
    <numFmt numFmtId="4057" formatCode="[&lt;=9999999]###\-####;\(###\)\ ###\-####"/>
    <numFmt numFmtId="4063" formatCode="&quot;$&quot;#,##0_);\(&quot;$&quot;#,##0\)"/>
    <numFmt numFmtId="4075" formatCode="0.00_);\(0.00\)"/>
    <numFmt numFmtId="4090" formatCode="&quot;$&quot;#,##0.00_);\(&quot;$&quot;#,##0.00\)"/>
    <numFmt numFmtId="4091" formatCode="0_);\(0\)"/>
    <numFmt numFmtId="4116" formatCode="_(&quot;$&quot;* #,##0_);_(&quot;$&quot;* \(#,##0\);_(&quot;$&quot;* &quot;-&quot;??_);_(@_)"/>
    <numFmt numFmtId="4140" formatCode="0.000000"/>
    <numFmt numFmtId="4159" formatCode="0.000_);\(0.000\)"/>
    <numFmt numFmtId="4188" formatCode="0\ &quot;Units&quot;"/>
    <numFmt numFmtId="4255" formatCode="_(* #,##0_);_(* \(#,##0\);_(* &quot;-&quot;_);_(@_)"/>
    <numFmt numFmtId="4259" formatCode="&quot;$&quot;#,##0.00000_);\(&quot;$&quot;#,##0.00000\)"/>
    <numFmt numFmtId="4269" formatCode="[$-F800]dddd\,\ mmmm\ dd\,\ yyyy"/>
    <numFmt numFmtId="4270" formatCode="&quot;$&quot;#,##0.000_);\(&quot;$&quot;#,##0.000\)"/>
    <numFmt numFmtId="4273" formatCode="0.00\x"/>
    <numFmt numFmtId="4367" formatCode="####\ &quot;Construction&quot;"/>
    <numFmt numFmtId="4389" formatCode="####\ &quot;Units&quot;"/>
    <numFmt numFmtId="4447" formatCode="0.0000"/>
    <numFmt numFmtId="4463" formatCode="&quot;$&quot;#,##0;[Red]&quot;$&quot;#,##0"/>
    <numFmt numFmtId="4470" formatCode="mm/yy"/>
    <numFmt numFmtId="4471" formatCode="0.000"/>
    <numFmt numFmtId="4473" formatCode="0.0"/>
    <numFmt numFmtId="4474" formatCode="m/yy;@"/>
    <numFmt numFmtId="4551" formatCode="m/d/yyyy;@"/>
    <numFmt numFmtId="4566" formatCode="yyyy\-mm\-dd\ hh:mm:ss"/>
    <numFmt numFmtId="4571" formatCode="&quot;$&quot;#,##0.0,,&quot;M&quot;"/>
    <numFmt numFmtId="4575" formatCode="yyyy\-mm\-dd"/>
    <numFmt numFmtId="4605" formatCode="[$-409]mmmm\ d\,\ yyyy;@"/>
    <numFmt numFmtId="4607" formatCode="#,##0.000000"/>
    <numFmt numFmtId="4630" formatCode="#&quot; yr | 4.5 yrs YM&quot;"/>
    <numFmt numFmtId="4631" formatCode="#&quot; yr | 6.5 yrs YM&quot;"/>
    <numFmt numFmtId="4632" formatCode="#&quot; yr | 9.5 yrs YM&quot;"/>
    <numFmt numFmtId="4633" formatCode="#&quot; yr | 11.5 yrs YM&quot;"/>
    <numFmt numFmtId="4634" formatCode="#&quot; yr | 14.5 yrs YM&quot;"/>
    <numFmt numFmtId="4635" formatCode="#&quot; yr | 15 yrs YM&quot;"/>
    <numFmt numFmtId="4637" formatCode="#&quot; yr | 3 yrs YM&quot;"/>
    <numFmt numFmtId="4638" formatCode="#&quot; yr | 5 yrs YM&quot;"/>
    <numFmt numFmtId="4719" formatCode="mm/dd/yy;@"/>
    <numFmt numFmtId="4876" formatCode="###0;###0"/>
    <numFmt numFmtId="4889" formatCode="General\ &quot;YR&quot;"/>
    <numFmt numFmtId="4890" formatCode="General\ &quot;Years&quot;"/>
    <numFmt numFmtId="4908" formatCode="General\ &quot;Yrs.&quot;"/>
    <numFmt numFmtId="4913" formatCode="0.00&quot;x&quot;"/>
    <numFmt numFmtId="4937" formatCode="_(* #,##0.000_);_(* \(#,##0.000\);_(* &quot;-&quot;??_);_(@_)"/>
    <numFmt numFmtId="4939" formatCode="0\ &quot; mo&quot;"/>
    <numFmt numFmtId="4948" formatCode="m/d/yy\ \ \ h:mm:ss\ AM/PM"/>
    <numFmt numFmtId="4955" formatCode="&quot;OPTION &quot;0"/>
    <numFmt numFmtId="4957" formatCode="0&quot; yrs.&quot;"/>
    <numFmt numFmtId="4961" formatCode="0.0%&quot; Max&quot;"/>
    <numFmt numFmtId="4989" formatCode="#\ &quot;Year Fixed&quot;"/>
    <numFmt numFmtId="5001" formatCode="#&quot; yr | 7 yrs YM&quot;"/>
    <numFmt numFmtId="5003" formatCode="mm/dd/yy\ \ hh:mm:ss"/>
    <numFmt numFmtId="5004" formatCode="mm/dd/yyyy;@"/>
    <numFmt numFmtId="5005" formatCode="ddd\,\ m/d/yy\ h:mm\ AM/PM;@"/>
    <numFmt numFmtId="5019" formatCode="&quot;Show&quot;\ 0\ &quot;Option(s)&quot;"/>
    <numFmt numFmtId="5075" formatCode="&quot;Tier&quot;\ 0"/>
    <numFmt numFmtId="5097" formatCode="General&quot; years&quot;"/>
    <numFmt numFmtId="5141" formatCode="&quot;$&quot;#,##0.00_);[Red]\(&quot;$&quot;#,##0.00\)"/>
    <numFmt numFmtId="5151" formatCode="0\ &quot; Units&quot;"/>
    <numFmt numFmtId="5155" formatCode="mm/dd/yyyy"/>
    <numFmt numFmtId="5156" formatCode="yyyy\-mm\-dd;@"/>
    <numFmt numFmtId="5158" formatCode="0\ &quot;mos&quot;"/>
    <numFmt numFmtId="5159" formatCode="0\ &quot;yrs&quot;"/>
    <numFmt numFmtId="5165" formatCode="mm/yyyy"/>
    <numFmt numFmtId="5183" formatCode="00000000000"/>
    <numFmt numFmtId="5214" formatCode="&quot;Value @&quot;\ 0.00%"/>
    <numFmt numFmtId="5219" formatCode="#\ &quot;Year SARM&quot;"/>
    <numFmt numFmtId="5245" formatCode="#,##0.0000_);\(#,##0.0000\)"/>
    <numFmt numFmtId="5275" formatCode="#,##0.000_);\(#,##0.000\)"/>
    <numFmt numFmtId="5279" formatCode="&quot;min of &quot;0.00\ &quot;Act Amort DSCR&quot;"/>
    <numFmt numFmtId="5280" formatCode="&quot;max of &quot;0%&quot; LTV&quot;"/>
    <numFmt numFmtId="5281" formatCode="0\ &quot;years&quot;"/>
    <numFmt numFmtId="5283" formatCode="&quot;not above &quot;\ 0%"/>
    <numFmt numFmtId="5294" formatCode="0&quot; yrs&quot;"/>
    <numFmt numFmtId="5295" formatCode="&quot;at least &quot;0%"/>
    <numFmt numFmtId="5308" formatCode="&quot;$&quot;#,##0\ &quot;min&quot;"/>
    <numFmt numFmtId="5313" formatCode="&quot;Option &quot;#"/>
    <numFmt numFmtId="5343" formatCode="&quot;Exp. Growth: &quot;0.00"/>
    <numFmt numFmtId="5344" formatCode="&quot;Growth: &quot;0.00"/>
    <numFmt numFmtId="5347" formatCode="\$#,##0;\(\$#,##0\);\$#,##0"/>
    <numFmt numFmtId="5350" formatCode="&quot;$&quot;#,##0\ &quot;max&quot;"/>
    <numFmt numFmtId="5356" formatCode="0&quot; BR&quot;"/>
    <numFmt numFmtId="5358" formatCode="0&quot;+BR&quot;"/>
    <numFmt numFmtId="5376" formatCode="\$#,##0"/>
    <numFmt numFmtId="5387" formatCode="mmmm\,\ yyyy"/>
    <numFmt numFmtId="5412" formatCode="[$-409]d\-mmm\-yy;@"/>
    <numFmt numFmtId="5415" formatCode="0\ &quot;months&quot;"/>
    <numFmt numFmtId="5454" formatCode="&quot;exceeds &quot;#%"/>
    <numFmt numFmtId="5455" formatCode="&quot;at least &quot;0&quot; yrs&quot;"/>
    <numFmt numFmtId="5456" formatCode="#%&quot; or less&quot;"/>
    <numFmt numFmtId="5458" formatCode="&quot;$&quot;#,###&quot; or less&quot;"/>
    <numFmt numFmtId="5530" formatCode="#.00\x"/>
    <numFmt numFmtId="5608" formatCode="&quot;/ &quot;&quot;$&quot;#,##0"/>
    <numFmt numFmtId="5670" formatCode="M/d/yyyy"/>
  </numFmts>
  <fonts count="358">
    <font>
      <sz val="11"/>
      <color theme="1"/>
      <name val="Calibri"/>
      <scheme val="minor"/>
    </font>
    <font>
      <sz val="12"/>
      <color auto="1"/>
      <name val="Arial MT"/>
    </font>
    <font>
      <sz val="11"/>
      <color rgb="FF000000"/>
      <name val="Calibri"/>
    </font>
    <font>
      <sz val="11"/>
      <color theme="0"/>
      <name val="Calibri"/>
      <scheme val="minor"/>
    </font>
    <font>
      <sz val="11"/>
      <color rgb="FFFFFFFF"/>
      <name val="Calibri"/>
    </font>
    <font>
      <sz val="8"/>
      <color auto="1"/>
      <name val="Arial"/>
    </font>
    <font>
      <sz val="8"/>
      <color auto="1"/>
      <name val="Tahoma"/>
    </font>
    <font>
      <sz val="11"/>
      <color rgb="FF9C0006"/>
      <name val="Calibri"/>
      <scheme val="minor"/>
    </font>
    <font>
      <sz val="11"/>
      <color rgb="FF800080"/>
      <name val="Calibri"/>
    </font>
    <font>
      <sz val="12"/>
      <color auto="1"/>
      <name val="Tms Rmn"/>
    </font>
    <font>
      <b/>
      <sz val="12"/>
      <color auto="1"/>
      <name val="Times New Roman"/>
    </font>
    <font>
      <sz val="7"/>
      <color auto="1"/>
      <name val="Arial"/>
    </font>
    <font>
      <b/>
      <sz val="11"/>
      <color rgb="FFFA7D00"/>
      <name val="Calibri"/>
      <scheme val="minor"/>
    </font>
    <font>
      <b/>
      <sz val="11"/>
      <color rgb="FFFF9900"/>
      <name val="Calibri"/>
    </font>
    <font>
      <b/>
      <sz val="11"/>
      <color theme="0"/>
      <name val="Calibri"/>
      <scheme val="minor"/>
    </font>
    <font>
      <b/>
      <sz val="11"/>
      <color rgb="FFFFFFFF"/>
      <name val="Calibri"/>
    </font>
    <font>
      <b/>
      <sz val="10"/>
      <color auto="1"/>
      <name val="Georgia"/>
    </font>
    <font>
      <sz val="8"/>
      <color auto="1"/>
      <name val="Verdana"/>
    </font>
    <font>
      <sz val="11"/>
      <color auto="1"/>
      <name val="Tms Rmn"/>
    </font>
    <font>
      <sz val="10"/>
      <color auto="1"/>
      <name val="Arial"/>
    </font>
    <font>
      <sz val="12"/>
      <color auto="1"/>
      <name val="Times New Roman"/>
    </font>
    <font>
      <b/>
      <sz val="10"/>
      <color auto="1"/>
      <name val="Arial"/>
    </font>
    <font>
      <sz val="12"/>
      <color rgb="FF000000"/>
      <name val="Times New Roman"/>
    </font>
    <font>
      <sz val="10"/>
      <color rgb="FF000000"/>
      <name val="Times New Roman"/>
    </font>
    <font>
      <sz val="11"/>
      <color theme="1"/>
      <name val="Times New Roman"/>
    </font>
    <font>
      <sz val="10"/>
      <color auto="1"/>
      <name val="Verdana"/>
    </font>
    <font>
      <b/>
      <sz val="10"/>
      <color rgb="FFFF0000"/>
      <name val="Verdana"/>
    </font>
    <font>
      <b/>
      <sz val="9"/>
      <color rgb="FFFF0000"/>
      <name val="Verdana"/>
    </font>
    <font>
      <b/>
      <sz val="10"/>
      <color auto="1"/>
      <name val="Verdana"/>
    </font>
    <font>
      <b/>
      <sz val="8"/>
      <color auto="1"/>
      <name val="Verdana"/>
    </font>
    <font>
      <b/>
      <sz val="9"/>
      <color auto="1"/>
      <name val="Verdana"/>
    </font>
    <font>
      <sz val="9"/>
      <color auto="1"/>
      <name val="Tahoma"/>
    </font>
    <font>
      <sz val="10"/>
      <color rgb="FF000000"/>
      <name val="Arial"/>
    </font>
    <font>
      <sz val="10"/>
      <color auto="1"/>
      <name val="Georgia"/>
    </font>
    <font>
      <sz val="10"/>
      <color rgb="FF008080"/>
      <name val="Verdana"/>
    </font>
    <font>
      <i/>
      <sz val="11"/>
      <color rgb="FF7F7F7F"/>
      <name val="Calibri"/>
      <scheme val="minor"/>
    </font>
    <font>
      <i/>
      <sz val="11"/>
      <color rgb="FF808080"/>
      <name val="Calibri"/>
    </font>
    <font>
      <sz val="11"/>
      <color auto="1"/>
      <name val="Arial"/>
    </font>
    <font>
      <sz val="11"/>
      <color rgb="FF006100"/>
      <name val="Calibri"/>
      <scheme val="minor"/>
    </font>
    <font>
      <sz val="11"/>
      <color rgb="FF008000"/>
      <name val="Calibri"/>
    </font>
    <font>
      <b/>
      <sz val="12"/>
      <color rgb="FF808000"/>
      <name val="Georgia"/>
    </font>
    <font>
      <i/>
      <u/>
      <sz val="11"/>
      <color auto="1"/>
      <name val="Tahoma"/>
    </font>
    <font>
      <b/>
      <sz val="12"/>
      <color auto="1"/>
      <name val="Arial"/>
    </font>
    <font>
      <b/>
      <sz val="12"/>
      <color auto="1"/>
      <name val="Georgia"/>
    </font>
    <font>
      <b/>
      <sz val="14"/>
      <color rgb="FFFF6600"/>
      <name val="Georgia"/>
    </font>
    <font>
      <b/>
      <sz val="11"/>
      <color rgb="FFFF6600"/>
      <name val="Georgia"/>
    </font>
    <font>
      <b/>
      <sz val="15"/>
      <color theme="3"/>
      <name val="Calibri"/>
      <scheme val="minor"/>
    </font>
    <font>
      <sz val="18"/>
      <color rgb="FF9999FF"/>
      <name val="Times New Roman"/>
    </font>
    <font>
      <b/>
      <sz val="13"/>
      <color theme="3"/>
      <name val="Calibri"/>
      <scheme val="minor"/>
    </font>
    <font>
      <sz val="8"/>
      <color rgb="FF9999FF"/>
      <name val="Times New Roman"/>
    </font>
    <font>
      <b/>
      <sz val="11"/>
      <color theme="3"/>
      <name val="Calibri"/>
      <scheme val="minor"/>
    </font>
    <font>
      <b/>
      <sz val="11"/>
      <color rgb="FF003366"/>
      <name val="Calibri"/>
    </font>
    <font>
      <u/>
      <sz val="7.5"/>
      <color rgb="FF0000FF"/>
      <name val="Arial"/>
    </font>
    <font>
      <u/>
      <sz val="10"/>
      <color rgb="FF0000FF"/>
      <name val="Arial"/>
    </font>
    <font>
      <u/>
      <sz val="10"/>
      <color rgb="FF0000FF"/>
      <name val="Verdana"/>
    </font>
    <font>
      <u/>
      <sz val="12"/>
      <color theme="10"/>
      <name val="Calibri"/>
      <scheme val="minor"/>
    </font>
    <font>
      <u/>
      <sz val="10"/>
      <color theme="10"/>
      <name val="Arial"/>
    </font>
    <font>
      <i/>
      <sz val="11"/>
      <color auto="1"/>
      <name val="Arial"/>
    </font>
    <font>
      <b/>
      <sz val="10"/>
      <color auto="1"/>
      <name val="Times New Roman"/>
    </font>
    <font>
      <sz val="11"/>
      <color rgb="FF3F3F76"/>
      <name val="Calibri"/>
      <scheme val="minor"/>
    </font>
    <font>
      <sz val="11"/>
      <color rgb="FF333399"/>
      <name val="Calibri"/>
    </font>
    <font>
      <sz val="10"/>
      <color auto="1"/>
      <name val="Times New Roman"/>
    </font>
    <font>
      <sz val="11"/>
      <color rgb="FFFA7D00"/>
      <name val="Calibri"/>
      <scheme val="minor"/>
    </font>
    <font>
      <sz val="11"/>
      <color rgb="FFFF9900"/>
      <name val="Calibri"/>
    </font>
    <font>
      <sz val="10"/>
      <color auto="1"/>
      <name val="MS Sans Serif"/>
    </font>
    <font>
      <sz val="11"/>
      <color rgb="FF9C6500"/>
      <name val="Calibri"/>
      <scheme val="minor"/>
    </font>
    <font>
      <sz val="11"/>
      <color rgb="FF993300"/>
      <name val="Calibri"/>
    </font>
    <font>
      <sz val="7"/>
      <color auto="1"/>
      <name val="Small Fonts"/>
    </font>
    <font>
      <b/>
      <i/>
      <sz val="16"/>
      <color auto="1"/>
      <name val="Helv"/>
    </font>
    <font>
      <sz val="10"/>
      <color auto="1"/>
      <name val="Courier"/>
    </font>
    <font>
      <sz val="11"/>
      <color auto="1"/>
      <name val="Cambria"/>
    </font>
    <font>
      <sz val="12"/>
      <color theme="1"/>
      <name val="Calibri"/>
      <scheme val="minor"/>
    </font>
    <font>
      <sz val="8"/>
      <color auto="1"/>
      <name val="Times New Roman"/>
    </font>
    <font>
      <b/>
      <sz val="11"/>
      <color rgb="FF3F3F3F"/>
      <name val="Calibri"/>
      <scheme val="minor"/>
    </font>
    <font>
      <b/>
      <sz val="11"/>
      <color rgb="FF333333"/>
      <name val="Calibri"/>
    </font>
    <font>
      <sz val="10"/>
      <color rgb="FFFF0000"/>
      <name val="Verdana"/>
    </font>
    <font>
      <b/>
      <sz val="10"/>
      <color auto="1"/>
      <name val="MS Sans Serif"/>
    </font>
    <font>
      <b/>
      <sz val="10"/>
      <color auto="1"/>
      <name val="Helvetica"/>
    </font>
    <font>
      <b/>
      <sz val="10"/>
      <color rgb="FFFF00FF"/>
      <name val="Times New Roman"/>
    </font>
    <font>
      <sz val="10"/>
      <color rgb="FFFF0000"/>
      <name val="Georgia"/>
    </font>
    <font>
      <b/>
      <sz val="10"/>
      <color rgb="FFFF0000"/>
      <name val="Georgia"/>
    </font>
    <font>
      <b/>
      <sz val="10"/>
      <color rgb="FF808000"/>
      <name val="Georgia"/>
    </font>
    <font>
      <b/>
      <u/>
      <sz val="8"/>
      <color auto="1"/>
      <name val="Verdana"/>
    </font>
    <font>
      <b/>
      <sz val="10"/>
      <color rgb="FFFFFFCC"/>
      <name val="Tahoma"/>
    </font>
    <font>
      <sz val="10"/>
      <color auto="1"/>
      <name val="Geneva"/>
    </font>
    <font>
      <b/>
      <sz val="11"/>
      <color auto="1"/>
      <name val="Arial"/>
    </font>
    <font>
      <b/>
      <sz val="11"/>
      <color auto="1"/>
      <name val="Times New Roman"/>
    </font>
    <font>
      <b/>
      <sz val="18"/>
      <color theme="3"/>
      <name val="Cambria"/>
      <scheme val="major"/>
    </font>
    <font>
      <b/>
      <sz val="18"/>
      <color rgb="FF003366"/>
      <name val="Cambria"/>
    </font>
    <font>
      <b/>
      <sz val="11"/>
      <color theme="1"/>
      <name val="Calibri"/>
      <scheme val="minor"/>
    </font>
    <font>
      <sz val="11"/>
      <color rgb="FFFF0000"/>
      <name val="Calibri"/>
      <scheme val="minor"/>
    </font>
    <font>
      <sz val="11"/>
      <color rgb="FFFF0000"/>
      <name val="Calibri"/>
    </font>
    <font>
      <b/>
      <sz val="8"/>
      <color auto="1"/>
      <name val="Arial"/>
    </font>
    <font>
      <sz val="11"/>
      <color theme="1"/>
      <name val="Arial"/>
    </font>
    <font>
      <b/>
      <sz val="10"/>
      <color theme="1"/>
      <name val="Arial"/>
    </font>
    <font>
      <b/>
      <sz val="10"/>
      <color rgb="FFFF0000"/>
      <name val="Arial"/>
    </font>
    <font>
      <b/>
      <sz val="11"/>
      <color theme="1"/>
      <name val="Arial"/>
    </font>
    <font>
      <sz val="10"/>
      <color theme="1"/>
      <name val="Arial"/>
    </font>
    <font>
      <b/>
      <sz val="10"/>
      <color rgb="FF0000FF"/>
      <name val="Arial"/>
    </font>
    <font>
      <sz val="10"/>
      <color rgb="FF0000FF"/>
      <name val="Arial"/>
    </font>
    <font>
      <b/>
      <u/>
      <sz val="10"/>
      <color theme="1"/>
      <name val="Arial"/>
    </font>
    <font>
      <sz val="11"/>
      <color auto="1"/>
      <name val="Calibri"/>
      <scheme val="minor"/>
    </font>
    <font>
      <b/>
      <sz val="11"/>
      <color rgb="FF0000FF"/>
      <name val="Arial"/>
    </font>
    <font>
      <b/>
      <sz val="12"/>
      <color rgb="FFFF0000"/>
      <name val="Arial"/>
    </font>
    <font>
      <b/>
      <sz val="10"/>
      <color rgb="FF008000"/>
      <name val="Arial"/>
    </font>
    <font>
      <sz val="11"/>
      <color rgb="FF0000FF"/>
      <name val="Arial"/>
    </font>
    <font>
      <sz val="8"/>
      <color theme="1"/>
      <name val="Arial"/>
    </font>
    <font>
      <b/>
      <u/>
      <sz val="14"/>
      <color auto="1"/>
      <name val="Arial"/>
    </font>
    <font>
      <b/>
      <sz val="8"/>
      <color rgb="FF0000FF"/>
      <name val="Arial"/>
    </font>
    <font>
      <b/>
      <sz val="8"/>
      <color theme="1"/>
      <name val="Arial"/>
    </font>
    <font>
      <b/>
      <sz val="10"/>
      <color theme="0"/>
      <name val="Arial"/>
    </font>
    <font>
      <b/>
      <sz val="8"/>
      <color rgb="FFFF0000"/>
      <name val="Arial"/>
    </font>
    <font>
      <b/>
      <sz val="8"/>
      <color rgb="FF000000"/>
      <name val="Arial"/>
    </font>
    <font>
      <b/>
      <sz val="9"/>
      <color rgb="FF0000FF"/>
      <name val="Arial"/>
    </font>
    <font>
      <b/>
      <sz val="8"/>
      <color rgb="FFD9D9D9"/>
      <name val="Arial"/>
    </font>
    <font>
      <sz val="10"/>
      <color theme="0"/>
      <name val="Arial"/>
    </font>
    <font>
      <b/>
      <sz val="9"/>
      <color rgb="FFFF0000"/>
      <name val="Calibri"/>
      <scheme val="minor"/>
    </font>
    <font>
      <sz val="9"/>
      <color auto="1"/>
      <name val="Calibri"/>
      <scheme val="minor"/>
    </font>
    <font>
      <b/>
      <sz val="9"/>
      <color auto="1"/>
      <name val="Calibri"/>
      <scheme val="minor"/>
    </font>
    <font>
      <i/>
      <sz val="9"/>
      <color auto="1"/>
      <name val="Calibri"/>
      <scheme val="minor"/>
    </font>
    <font>
      <sz val="10"/>
      <color auto="1"/>
      <name val="Calibri"/>
    </font>
    <font>
      <b/>
      <sz val="20"/>
      <color theme="1"/>
      <name val="Calibri"/>
      <scheme val="minor"/>
    </font>
    <font>
      <b/>
      <sz val="14"/>
      <color auto="1"/>
      <name val="Calibri"/>
      <scheme val="minor"/>
    </font>
    <font>
      <b/>
      <sz val="12"/>
      <color theme="1"/>
      <name val="Calibri"/>
      <scheme val="minor"/>
    </font>
    <font>
      <b/>
      <i/>
      <u/>
      <sz val="13"/>
      <color theme="1"/>
      <name val="Calibri"/>
      <scheme val="minor"/>
    </font>
    <font>
      <b/>
      <i/>
      <u/>
      <sz val="13"/>
      <color auto="1"/>
      <name val="Calibri"/>
      <scheme val="minor"/>
    </font>
    <font>
      <b/>
      <sz val="12"/>
      <color auto="1"/>
      <name val="Calibri"/>
      <scheme val="minor"/>
    </font>
    <font>
      <b/>
      <sz val="12"/>
      <color rgb="FF0000FF"/>
      <name val="Calibri"/>
      <scheme val="minor"/>
    </font>
    <font>
      <sz val="12"/>
      <color auto="1"/>
      <name val="Calibri"/>
      <scheme val="minor"/>
    </font>
    <font>
      <sz val="12"/>
      <color rgb="FF0000FF"/>
      <name val="Calibri"/>
      <scheme val="minor"/>
    </font>
    <font>
      <sz val="12"/>
      <color rgb="FF0000CC"/>
      <name val="Calibri"/>
      <scheme val="minor"/>
    </font>
    <font>
      <sz val="11"/>
      <color rgb="FF0000FF"/>
      <name val="Calibri"/>
      <scheme val="minor"/>
    </font>
    <font>
      <u/>
      <sz val="12"/>
      <color theme="1"/>
      <name val="Calibri"/>
      <scheme val="minor"/>
    </font>
    <font>
      <sz val="12"/>
      <color theme="2" tint="-0.9"/>
      <name val="Calibri"/>
      <scheme val="minor"/>
    </font>
    <font>
      <b/>
      <i/>
      <sz val="11"/>
      <color rgb="FFC00000"/>
      <name val="Calibri"/>
      <scheme val="minor"/>
    </font>
    <font>
      <sz val="12"/>
      <color rgb="FFC00000"/>
      <name val="Calibri"/>
      <scheme val="minor"/>
    </font>
    <font>
      <i/>
      <sz val="9"/>
      <color rgb="FF0000FF"/>
      <name val="Calibri"/>
      <scheme val="minor"/>
    </font>
    <font>
      <i/>
      <sz val="12"/>
      <color theme="1"/>
      <name val="Calibri"/>
      <scheme val="minor"/>
    </font>
    <font>
      <i/>
      <u/>
      <sz val="13"/>
      <color theme="1"/>
      <name val="Calibri"/>
      <scheme val="minor"/>
    </font>
    <font>
      <b/>
      <u/>
      <sz val="11"/>
      <color theme="1"/>
      <name val="Calibri"/>
      <scheme val="minor"/>
    </font>
    <font>
      <sz val="10"/>
      <color theme="1"/>
      <name val="Calibri"/>
      <scheme val="minor"/>
    </font>
    <font>
      <sz val="10"/>
      <color rgb="FF0000FF"/>
      <name val="Calibri"/>
      <scheme val="minor"/>
    </font>
    <font>
      <b/>
      <sz val="11"/>
      <color theme="4"/>
      <name val="Calibri"/>
      <scheme val="minor"/>
    </font>
    <font>
      <b/>
      <sz val="11"/>
      <color rgb="FF000000"/>
      <name val="Calibri"/>
      <scheme val="minor"/>
    </font>
    <font>
      <b/>
      <u/>
      <sz val="14"/>
      <color rgb="FFC00000"/>
      <name val="Calibri"/>
      <scheme val="minor"/>
    </font>
    <font>
      <sz val="16"/>
      <color theme="1"/>
      <name val="Arial"/>
    </font>
    <font>
      <b/>
      <sz val="14"/>
      <color theme="1"/>
      <name val="Arial"/>
    </font>
    <font>
      <b/>
      <i/>
      <sz val="14"/>
      <color theme="1"/>
      <name val="Arial"/>
    </font>
    <font>
      <sz val="8"/>
      <color theme="1"/>
      <name val="Calibri"/>
      <scheme val="minor"/>
    </font>
    <font>
      <b/>
      <sz val="11"/>
      <color auto="1"/>
      <name val="Calibri"/>
      <scheme val="minor"/>
    </font>
    <font>
      <sz val="9"/>
      <color theme="1"/>
      <name val="Calibri"/>
      <scheme val="minor"/>
    </font>
    <font>
      <b/>
      <u/>
      <sz val="8"/>
      <color theme="1"/>
      <name val="Arial"/>
    </font>
    <font>
      <sz val="8"/>
      <color rgb="FF0000FF"/>
      <name val="Arial"/>
    </font>
    <font>
      <u/>
      <sz val="8"/>
      <color theme="1"/>
      <name val="Arial"/>
    </font>
    <font>
      <b/>
      <sz val="11"/>
      <color rgb="FF0000FF"/>
      <name val="Calibri"/>
      <scheme val="minor"/>
    </font>
    <font>
      <sz val="11"/>
      <color rgb="FF000000"/>
      <name val="Calibri"/>
      <scheme val="minor"/>
    </font>
    <font>
      <i/>
      <sz val="11"/>
      <color theme="1"/>
      <name val="Calibri"/>
      <scheme val="minor"/>
    </font>
    <font>
      <i/>
      <sz val="8"/>
      <color rgb="FF1D1C1D"/>
      <name val="Arial"/>
    </font>
    <font>
      <sz val="16"/>
      <color rgb="FF0000FF"/>
      <name val="Calibri"/>
      <scheme val="minor"/>
    </font>
    <font>
      <sz val="16"/>
      <color theme="1"/>
      <name val="Calibri"/>
      <scheme val="minor"/>
    </font>
    <font>
      <b/>
      <sz val="8"/>
      <color rgb="FF000080"/>
      <name val="Verdana"/>
    </font>
    <font>
      <b/>
      <sz val="8"/>
      <color rgb="FF000000"/>
      <name val="Verdana"/>
    </font>
    <font>
      <b/>
      <sz val="8"/>
      <color theme="1"/>
      <name val="Verdana"/>
    </font>
    <font>
      <sz val="11"/>
      <color rgb="FFC00000"/>
      <name val="Calibri"/>
      <scheme val="minor"/>
    </font>
    <font>
      <sz val="12"/>
      <color rgb="FF000000"/>
      <name val="Calibri"/>
    </font>
    <font>
      <sz val="10"/>
      <color auto="1"/>
      <name val="Source Sans Pro"/>
    </font>
    <font>
      <i/>
      <sz val="9"/>
      <color auto="1"/>
      <name val="Source Sans Pro"/>
    </font>
    <font>
      <b/>
      <sz val="10"/>
      <color auto="1"/>
      <name val="Source Sans Pro"/>
    </font>
    <font>
      <strike/>
      <sz val="10"/>
      <color rgb="FFFF0000"/>
      <name val="Source Sans Pro"/>
    </font>
    <font>
      <sz val="9"/>
      <color auto="1"/>
      <name val="Source Sans Pro"/>
    </font>
    <font>
      <i/>
      <sz val="10"/>
      <color auto="1"/>
      <name val="Source Sans Pro"/>
    </font>
    <font>
      <b/>
      <i/>
      <sz val="10"/>
      <color auto="1"/>
      <name val="Source Sans Pro"/>
    </font>
    <font>
      <b/>
      <sz val="12"/>
      <color rgb="FFFF0000"/>
      <name val="Source Sans Pro"/>
    </font>
    <font>
      <sz val="8"/>
      <color auto="1"/>
      <name val="Calibri"/>
      <scheme val="minor"/>
    </font>
    <font>
      <b/>
      <sz val="9"/>
      <color theme="1"/>
      <name val="Calibri"/>
      <scheme val="minor"/>
    </font>
    <font>
      <sz val="9"/>
      <color rgb="FF0000FF"/>
      <name val="Calibri"/>
      <scheme val="minor"/>
    </font>
    <font>
      <b/>
      <sz val="9"/>
      <color theme="0"/>
      <name val="Calibri"/>
      <scheme val="minor"/>
    </font>
    <font>
      <sz val="9"/>
      <color theme="0"/>
      <name val="Calibri"/>
      <scheme val="minor"/>
    </font>
    <font>
      <u/>
      <sz val="9"/>
      <color rgb="FF0000FF"/>
      <name val="Calibri"/>
      <scheme val="minor"/>
    </font>
    <font>
      <b/>
      <sz val="9"/>
      <color rgb="FF0000FF"/>
      <name val="Calibri"/>
      <scheme val="minor"/>
    </font>
    <font>
      <b/>
      <sz val="9"/>
      <color auto="1"/>
      <name val="Source Sans Pro"/>
    </font>
    <font>
      <b/>
      <sz val="10"/>
      <color auto="1"/>
      <name val="Calibri"/>
      <scheme val="minor"/>
    </font>
    <font>
      <b/>
      <sz val="10"/>
      <color theme="1"/>
      <name val="Calibri"/>
      <scheme val="minor"/>
    </font>
    <font>
      <sz val="10"/>
      <color auto="1"/>
      <name val="Calibri"/>
      <scheme val="minor"/>
    </font>
    <font>
      <b/>
      <sz val="8"/>
      <color theme="1"/>
      <name val="Calibri"/>
      <scheme val="minor"/>
    </font>
    <font>
      <sz val="11"/>
      <color rgb="FFD1D2D3"/>
      <name val="Arial"/>
    </font>
    <font>
      <sz val="8"/>
      <color theme="0"/>
      <name val="Calibri"/>
      <scheme val="minor"/>
    </font>
    <font>
      <b/>
      <i/>
      <sz val="9"/>
      <color auto="1"/>
      <name val="Calibri"/>
      <scheme val="minor"/>
    </font>
    <font>
      <sz val="8"/>
      <color theme="0" tint="-0.35"/>
      <name val="Calibri"/>
      <scheme val="minor"/>
    </font>
    <font>
      <sz val="9"/>
      <color theme="5" tint="-0.25"/>
      <name val="Calibri"/>
      <scheme val="minor"/>
    </font>
    <font>
      <sz val="11"/>
      <color theme="5"/>
      <name val="Calibri"/>
      <scheme val="minor"/>
    </font>
    <font>
      <b/>
      <sz val="12"/>
      <color theme="0"/>
      <name val="Calibri"/>
      <scheme val="minor"/>
    </font>
    <font>
      <b/>
      <sz val="12"/>
      <color theme="0"/>
      <name val="Arial"/>
    </font>
    <font>
      <b/>
      <sz val="14"/>
      <color theme="0"/>
      <name val="Arial"/>
    </font>
    <font>
      <sz val="16"/>
      <color theme="0"/>
      <name val="Arial"/>
    </font>
    <font>
      <b/>
      <u/>
      <sz val="22"/>
      <color theme="1"/>
      <name val="Calibri"/>
      <scheme val="minor"/>
    </font>
    <font>
      <sz val="11"/>
      <color rgb="FFFFFFFF"/>
      <name val="Calibri"/>
      <scheme val="minor"/>
    </font>
    <font>
      <sz val="11"/>
      <color theme="2" tint="-0.75"/>
      <name val="Calibri"/>
      <scheme val="minor"/>
    </font>
    <font>
      <b/>
      <sz val="12"/>
      <color rgb="FF41B6E6"/>
      <name val="Calibri"/>
      <scheme val="minor"/>
    </font>
    <font>
      <b/>
      <sz val="12"/>
      <color rgb="FF002A4E"/>
      <name val="Calibri"/>
      <scheme val="minor"/>
    </font>
    <font>
      <b/>
      <sz val="11"/>
      <color rgb="FF636462"/>
      <name val="Calibri"/>
      <scheme val="minor"/>
    </font>
    <font>
      <sz val="11"/>
      <color auto="1"/>
      <name val="Times New Roman"/>
    </font>
    <font>
      <b/>
      <sz val="11"/>
      <color theme="1"/>
      <name val="Times New Roman"/>
    </font>
    <font>
      <sz val="11"/>
      <color rgb="FF0000FF"/>
      <name val="Times New Roman"/>
    </font>
    <font>
      <b/>
      <sz val="12"/>
      <color theme="1"/>
      <name val="Times New Roman"/>
    </font>
    <font>
      <i/>
      <sz val="11"/>
      <color theme="1"/>
      <name val="Times New Roman"/>
    </font>
    <font>
      <b/>
      <u/>
      <sz val="11"/>
      <color theme="1"/>
      <name val="Times New Roman"/>
    </font>
    <font>
      <u/>
      <sz val="11"/>
      <color theme="1"/>
      <name val="Times New Roman"/>
    </font>
    <font>
      <b/>
      <sz val="8"/>
      <color rgb="FF0000FF"/>
      <name val="Calibri"/>
      <scheme val="minor"/>
    </font>
    <font>
      <b/>
      <sz val="10"/>
      <color rgb="FF000000"/>
      <name val="Arial"/>
    </font>
    <font>
      <sz val="10"/>
      <color theme="0"/>
      <name val="Calibri"/>
      <scheme val="minor"/>
    </font>
    <font>
      <b/>
      <sz val="10"/>
      <color theme="0"/>
      <name val="Calibri"/>
      <scheme val="minor"/>
    </font>
    <font>
      <u/>
      <sz val="8"/>
      <color theme="1"/>
      <name val="Calibri"/>
      <scheme val="minor"/>
    </font>
    <font>
      <b/>
      <u/>
      <sz val="10"/>
      <color theme="1"/>
      <name val="Calibri"/>
      <scheme val="minor"/>
    </font>
    <font>
      <b/>
      <sz val="10"/>
      <color rgb="FF008000"/>
      <name val="Calibri"/>
      <scheme val="minor"/>
    </font>
    <font>
      <b/>
      <sz val="10"/>
      <color rgb="FFFF0000"/>
      <name val="Calibri"/>
      <scheme val="minor"/>
    </font>
    <font>
      <b/>
      <sz val="10"/>
      <color rgb="FF0000FF"/>
      <name val="Calibri"/>
      <scheme val="minor"/>
    </font>
    <font>
      <i/>
      <sz val="10"/>
      <color theme="1"/>
      <name val="Calibri"/>
      <scheme val="minor"/>
    </font>
    <font>
      <b/>
      <i/>
      <sz val="10"/>
      <color auto="1"/>
      <name val="Calibri"/>
      <scheme val="minor"/>
    </font>
    <font>
      <b/>
      <i/>
      <sz val="10"/>
      <color theme="1"/>
      <name val="Calibri"/>
      <scheme val="minor"/>
    </font>
    <font>
      <b/>
      <i/>
      <sz val="10"/>
      <color theme="0"/>
      <name val="Calibri"/>
      <scheme val="minor"/>
    </font>
    <font>
      <i/>
      <sz val="11"/>
      <color auto="1"/>
      <name val="Calibri"/>
      <scheme val="minor"/>
    </font>
    <font>
      <b/>
      <i/>
      <sz val="11"/>
      <color auto="1"/>
      <name val="Calibri"/>
      <scheme val="minor"/>
    </font>
    <font>
      <sz val="10"/>
      <color rgb="FF000000"/>
      <name val="Calibri"/>
      <scheme val="minor"/>
    </font>
    <font>
      <b/>
      <sz val="8"/>
      <color theme="0"/>
      <name val="Calibri"/>
      <scheme val="minor"/>
    </font>
    <font>
      <b/>
      <sz val="10"/>
      <color rgb="FF000000"/>
      <name val="Calibri"/>
      <scheme val="minor"/>
    </font>
    <font>
      <b/>
      <sz val="16"/>
      <color auto="1"/>
      <name val="Calibri"/>
      <scheme val="minor"/>
    </font>
    <font>
      <b/>
      <sz val="16"/>
      <color auto="1"/>
      <name val="Arial"/>
    </font>
    <font>
      <sz val="28"/>
      <color theme="1"/>
      <name val="Brush Script Std"/>
    </font>
    <font>
      <u/>
      <sz val="11"/>
      <color rgb="FF0000FF"/>
      <name val="Calibri"/>
      <scheme val="minor"/>
    </font>
    <font>
      <sz val="9"/>
      <color auto="1"/>
      <name val="Arial"/>
    </font>
    <font>
      <b/>
      <sz val="9"/>
      <color auto="1"/>
      <name val="Arial"/>
    </font>
    <font>
      <sz val="12"/>
      <color auto="1"/>
      <name val="Arial"/>
    </font>
    <font>
      <sz val="11"/>
      <color theme="1"/>
      <name val="Calibri"/>
    </font>
    <font>
      <sz val="10"/>
      <color rgb="FF000000"/>
      <name val="Calibri"/>
    </font>
    <font>
      <sz val="9"/>
      <color rgb="FF000000"/>
      <name val="Calibri"/>
    </font>
    <font>
      <sz val="18"/>
      <color rgb="FFFFFFFF"/>
      <name val="Calibri"/>
    </font>
    <font>
      <b/>
      <sz val="8"/>
      <color theme="0" tint="-0.25"/>
      <name val="Arial"/>
    </font>
    <font>
      <sz val="11"/>
      <color theme="9" tint="-0.25"/>
      <name val="Calibri"/>
      <scheme val="minor"/>
    </font>
    <font>
      <sz val="8"/>
      <color rgb="FF0000FF"/>
      <name val="Calibri"/>
      <scheme val="minor"/>
    </font>
    <font>
      <sz val="11"/>
      <color theme="9" tint="0.4"/>
      <name val="Calibri"/>
      <scheme val="minor"/>
    </font>
    <font>
      <sz val="12"/>
      <color rgb="FF000000"/>
      <name val="Calibri"/>
      <scheme val="minor"/>
    </font>
    <font>
      <sz val="8"/>
      <color theme="0" tint="-0.25"/>
      <name val="Calibri"/>
      <scheme val="minor"/>
    </font>
    <font>
      <sz val="11"/>
      <color theme="0" tint="-0.25"/>
      <name val="Calibri"/>
      <scheme val="minor"/>
    </font>
    <font>
      <sz val="9"/>
      <color theme="0" tint="-0.15"/>
      <name val="Calibri"/>
      <scheme val="minor"/>
    </font>
    <font>
      <b/>
      <sz val="13"/>
      <color rgb="FFFFFFFF"/>
      <name val="Calibri"/>
      <scheme val="minor"/>
    </font>
    <font>
      <b/>
      <sz val="10"/>
      <color rgb="FFFFFFFF"/>
      <name val="Calibri"/>
      <scheme val="minor"/>
    </font>
    <font>
      <b/>
      <sz val="9"/>
      <color rgb="FFFFFFFF"/>
      <name val="Calibri"/>
      <scheme val="minor"/>
    </font>
    <font>
      <b/>
      <sz val="8"/>
      <color theme="0" tint="-0.35"/>
      <name val="Arial"/>
    </font>
    <font>
      <u/>
      <sz val="11"/>
      <color auto="1"/>
      <name val="Calibri"/>
      <scheme val="minor"/>
    </font>
    <font>
      <u/>
      <sz val="9"/>
      <color auto="1"/>
      <name val="Calibri"/>
      <scheme val="minor"/>
    </font>
    <font>
      <b/>
      <sz val="16"/>
      <color theme="1"/>
      <name val="Calibri"/>
      <scheme val="minor"/>
    </font>
    <font>
      <b/>
      <sz val="11"/>
      <color theme="0" tint="-0.15"/>
      <name val="Calibri"/>
      <scheme val="minor"/>
    </font>
    <font>
      <sz val="11"/>
      <color theme="0" tint="-0.15"/>
      <name val="Calibri"/>
      <scheme val="minor"/>
    </font>
    <font>
      <sz val="11"/>
      <color theme="0" tint="-0.35"/>
      <name val="Calibri"/>
      <scheme val="minor"/>
    </font>
    <font>
      <b/>
      <sz val="11"/>
      <color theme="0" tint="-0.35"/>
      <name val="Calibri"/>
      <scheme val="minor"/>
    </font>
    <font>
      <sz val="8"/>
      <color auto="1"/>
      <name val="Consolas"/>
    </font>
    <font>
      <u/>
      <sz val="11"/>
      <color theme="1"/>
      <name val="Calibri"/>
      <scheme val="minor"/>
    </font>
    <font>
      <sz val="10"/>
      <color theme="1"/>
      <name val="Consolas"/>
    </font>
    <font>
      <sz val="8"/>
      <color theme="1"/>
      <name val="Consolas"/>
    </font>
    <font>
      <sz val="11"/>
      <color theme="1"/>
      <name val="Consolas"/>
    </font>
    <font>
      <b/>
      <sz val="11"/>
      <color rgb="FF0099CC"/>
      <name val="Calibri"/>
      <scheme val="minor"/>
    </font>
    <font>
      <sz val="8"/>
      <color rgb="FF0099CC"/>
      <name val="Calibri"/>
      <scheme val="minor"/>
    </font>
    <font>
      <sz val="11"/>
      <color rgb="FF444444"/>
      <name val="Roboto"/>
    </font>
    <font>
      <b/>
      <sz val="24"/>
      <color rgb="FF002A4E"/>
      <name val="Times New Roman"/>
    </font>
    <font>
      <b/>
      <sz val="11"/>
      <color theme="4" tint="-0.5"/>
      <name val="Calibri"/>
      <scheme val="minor"/>
    </font>
    <font>
      <b/>
      <sz val="11"/>
      <color rgb="FF002A4E"/>
      <name val="Calibri"/>
      <scheme val="minor"/>
    </font>
    <font>
      <sz val="11"/>
      <color rgb="FF000000"/>
      <name val="Arial"/>
    </font>
    <font>
      <sz val="8"/>
      <color rgb="FFFFFFFF"/>
      <name val="Calibri"/>
      <scheme val="minor"/>
    </font>
    <font>
      <sz val="10"/>
      <color rgb="FFFFFFFF"/>
      <name val="Calibri"/>
      <scheme val="minor"/>
    </font>
    <font>
      <sz val="10"/>
      <color theme="0" tint="-0.5"/>
      <name val="Arial"/>
    </font>
    <font>
      <sz val="9"/>
      <color theme="0" tint="-0.15"/>
      <name val="Arial"/>
    </font>
    <font>
      <sz val="11"/>
      <color theme="0" tint="-0.5"/>
      <name val="Calibri"/>
      <scheme val="minor"/>
    </font>
    <font>
      <sz val="10"/>
      <color theme="5" tint="-0.25"/>
      <name val="Calibri"/>
      <scheme val="minor"/>
    </font>
    <font>
      <sz val="10"/>
      <color theme="3" tint="-0.25"/>
      <name val="Calibri"/>
      <scheme val="minor"/>
    </font>
    <font>
      <b/>
      <u/>
      <sz val="14"/>
      <color rgb="FF689F38"/>
      <name val="Arial"/>
    </font>
    <font>
      <sz val="16"/>
      <color auto="1"/>
      <name val="Calibri"/>
      <scheme val="minor"/>
    </font>
    <font>
      <b/>
      <u/>
      <sz val="16"/>
      <color theme="0"/>
      <name val="Calibri"/>
      <scheme val="minor"/>
    </font>
    <font>
      <b/>
      <sz val="11"/>
      <color rgb="FFFF0000"/>
      <name val="Calibri"/>
      <scheme val="minor"/>
    </font>
    <font>
      <sz val="11"/>
      <color theme="3" tint="-0.25"/>
      <name val="Calibri"/>
      <scheme val="minor"/>
    </font>
    <font>
      <sz val="16"/>
      <color theme="0"/>
      <name val="Calibri"/>
      <scheme val="minor"/>
    </font>
    <font>
      <b/>
      <i/>
      <sz val="11"/>
      <color rgb="FF0000FF"/>
      <name val="Calibri"/>
      <scheme val="minor"/>
    </font>
    <font>
      <sz val="11"/>
      <color theme="0"/>
      <name val="Calibri"/>
    </font>
    <font>
      <i/>
      <sz val="11"/>
      <color theme="1"/>
      <name val="Calibri"/>
    </font>
    <font>
      <sz val="10"/>
      <color rgb="FF0099CC"/>
      <name val="Calibri"/>
      <scheme val="minor"/>
    </font>
    <font>
      <b/>
      <sz val="8"/>
      <color rgb="FF0099CC"/>
      <name val="Arial"/>
    </font>
    <font>
      <sz val="7.5"/>
      <color theme="1"/>
      <name val="Calibri"/>
      <scheme val="minor"/>
    </font>
    <font>
      <sz val="9"/>
      <color theme="0" tint="-0.25"/>
      <name val="Calibri"/>
      <scheme val="minor"/>
    </font>
    <font>
      <b/>
      <sz val="18"/>
      <color theme="1"/>
      <name val="Calibri"/>
      <scheme val="minor"/>
    </font>
    <font>
      <strike/>
      <sz val="11"/>
      <color theme="1"/>
      <name val="Calibri"/>
      <scheme val="minor"/>
    </font>
    <font>
      <strike/>
      <sz val="11"/>
      <color auto="1"/>
      <name val="Calibri"/>
      <scheme val="minor"/>
    </font>
    <font>
      <b/>
      <sz val="16"/>
      <color theme="1"/>
      <name val="Arial"/>
    </font>
    <font>
      <u/>
      <sz val="22"/>
      <color rgb="FF0000FF"/>
      <name val="Arial"/>
    </font>
    <font>
      <sz val="10"/>
      <color theme="0" tint="-0.35"/>
      <name val="Arial"/>
    </font>
    <font>
      <b/>
      <sz val="9"/>
      <color theme="1"/>
      <name val="Arial"/>
    </font>
    <font>
      <b/>
      <sz val="9"/>
      <color theme="1"/>
      <name val="Calibri"/>
    </font>
    <font>
      <b/>
      <sz val="12"/>
      <color theme="1"/>
      <name val="Arial"/>
    </font>
    <font>
      <sz val="24"/>
      <color rgb="FFFF0000"/>
      <name val="Arial"/>
    </font>
    <font>
      <sz val="10"/>
      <color rgb="FFFF0000"/>
      <name val="Arial"/>
    </font>
    <font>
      <sz val="11"/>
      <color theme="0"/>
      <name val="Arial"/>
    </font>
    <font>
      <b/>
      <sz val="10"/>
      <color theme="3" tint="-0.25"/>
      <name val="Arial"/>
    </font>
    <font>
      <sz val="10"/>
      <color theme="3" tint="-0.25"/>
      <name val="Arial"/>
    </font>
    <font>
      <i/>
      <sz val="11"/>
      <color rgb="FFFFFFFF"/>
      <name val="Calibri"/>
    </font>
    <font>
      <b/>
      <sz val="10"/>
      <color rgb="FFFFFF00"/>
      <name val="Calibri"/>
      <scheme val="minor"/>
    </font>
    <font>
      <b/>
      <sz val="14"/>
      <color theme="1"/>
      <name val="Calibri"/>
      <scheme val="minor"/>
    </font>
    <font>
      <b/>
      <sz val="10"/>
      <color theme="0" tint="-0.35"/>
      <name val="Calibri"/>
      <scheme val="minor"/>
    </font>
    <font>
      <sz val="8"/>
      <color rgb="FF000000"/>
      <name val="Calibri"/>
      <scheme val="minor"/>
    </font>
    <font>
      <b/>
      <sz val="5.5"/>
      <color rgb="FF000000"/>
      <name val="Calibri"/>
    </font>
    <font>
      <sz val="5.5"/>
      <color auto="1"/>
      <name val="Calibri"/>
    </font>
    <font>
      <sz val="5.5"/>
      <color rgb="FF000000"/>
      <name val="Calibri"/>
    </font>
    <font>
      <b/>
      <sz val="5.5"/>
      <color auto="1"/>
      <name val="Calibri"/>
    </font>
    <font>
      <sz val="10"/>
      <color theme="0" tint="-0.35"/>
      <name val="Calibri"/>
      <scheme val="minor"/>
    </font>
    <font>
      <sz val="10"/>
      <color theme="0"/>
      <name val="Times New Roman"/>
    </font>
    <font>
      <b/>
      <sz val="5.5"/>
      <color rgb="FFFFFFFF"/>
      <name val="Calibri"/>
    </font>
    <font>
      <b/>
      <sz val="5.5"/>
      <color theme="0"/>
      <name val="Calibri"/>
    </font>
    <font>
      <sz val="9"/>
      <color rgb="FF000000"/>
      <name val="Times New Roman"/>
    </font>
    <font>
      <b/>
      <sz val="8"/>
      <color rgb="FFFFFFFF"/>
      <name val="Calibri"/>
    </font>
    <font>
      <b/>
      <sz val="8"/>
      <color auto="1"/>
      <name val="Calibri"/>
    </font>
    <font>
      <sz val="10"/>
      <color rgb="FFFF0000"/>
      <name val="Calibri"/>
      <scheme val="minor"/>
    </font>
    <font>
      <b/>
      <u/>
      <sz val="14"/>
      <color rgb="FF0000FF"/>
      <name val="Calibri"/>
      <scheme val="minor"/>
    </font>
    <font>
      <u/>
      <sz val="14"/>
      <color rgb="FF0000FF"/>
      <name val="Arial"/>
    </font>
    <font>
      <b/>
      <i/>
      <sz val="13"/>
      <color theme="1"/>
      <name val="Calibri"/>
      <scheme val="minor"/>
    </font>
    <font>
      <sz val="11.5"/>
      <color rgb="FF0000FF"/>
      <name val="Calibri"/>
      <scheme val="minor"/>
    </font>
    <font>
      <sz val="9"/>
      <color theme="2" tint="-0.5"/>
      <name val="Calibri"/>
      <scheme val="minor"/>
    </font>
    <font>
      <b/>
      <sz val="12"/>
      <color theme="3" tint="-0.25"/>
      <name val="Arial"/>
    </font>
    <font>
      <b/>
      <sz val="11"/>
      <color rgb="FFC00000"/>
      <name val="Arial"/>
    </font>
    <font>
      <sz val="9"/>
      <color theme="0" tint="-0.35"/>
      <name val="Calibri"/>
      <scheme val="minor"/>
    </font>
    <font>
      <sz val="11"/>
      <color theme="0" tint="-0.05"/>
      <name val="Calibri"/>
      <scheme val="minor"/>
    </font>
    <font>
      <sz val="9"/>
      <color theme="0" tint="-0.05"/>
      <name val="Calibri"/>
      <scheme val="minor"/>
    </font>
    <font>
      <sz val="9"/>
      <color theme="0"/>
      <name val="Calibri"/>
    </font>
    <font>
      <sz val="18"/>
      <color theme="0"/>
      <name val="Arial"/>
    </font>
    <font>
      <b/>
      <sz val="18"/>
      <color theme="0"/>
      <name val="Calibri"/>
      <scheme val="minor"/>
    </font>
    <font>
      <b/>
      <sz val="10"/>
      <color theme="1" tint="0.35"/>
      <name val="Calibri"/>
      <scheme val="minor"/>
    </font>
    <font>
      <b/>
      <sz val="18"/>
      <color rgb="FFFFFFFF"/>
      <name val="Calibri"/>
    </font>
    <font>
      <b/>
      <sz val="12"/>
      <color rgb="FF000000"/>
      <name val="Calibri"/>
    </font>
    <font>
      <b/>
      <sz val="7.5"/>
      <color rgb="FF0070C0"/>
      <name val="Calibri"/>
    </font>
    <font>
      <b/>
      <sz val="7.5"/>
      <color auto="1"/>
      <name val="Calibri"/>
    </font>
    <font>
      <sz val="6.5"/>
      <color auto="1"/>
      <name val="Calibri"/>
    </font>
    <font>
      <sz val="8"/>
      <color rgb="FF000000"/>
      <name val="Calibri"/>
    </font>
    <font>
      <i/>
      <sz val="9"/>
      <color theme="2" tint="-0.5"/>
      <name val="Calibri"/>
      <scheme val="minor"/>
    </font>
    <font>
      <b/>
      <sz val="18"/>
      <color rgb="FF41B6E6"/>
      <name val="Calibri"/>
      <scheme val="minor"/>
    </font>
    <font>
      <b/>
      <i/>
      <u/>
      <sz val="11"/>
      <color theme="1"/>
      <name val="Times New Roman"/>
    </font>
    <font>
      <sz val="10"/>
      <color theme="1"/>
      <name val="Times New Roman"/>
    </font>
    <font>
      <i/>
      <sz val="12"/>
      <color theme="1"/>
      <name val="Times New Roman"/>
    </font>
    <font>
      <b/>
      <u/>
      <sz val="14"/>
      <color theme="1"/>
      <name val="Times New Roman"/>
    </font>
    <font>
      <b/>
      <u/>
      <sz val="11"/>
      <color auto="1"/>
      <name val="Times New Roman"/>
    </font>
    <font>
      <b/>
      <sz val="11"/>
      <color theme="0"/>
      <name val="Arial"/>
    </font>
    <font>
      <i/>
      <u/>
      <sz val="9"/>
      <color theme="10"/>
      <name val="Source Sans Pro"/>
    </font>
    <font>
      <sz val="8"/>
      <color auto="1"/>
      <name val="Source Sans Pro"/>
    </font>
    <font>
      <sz val="10"/>
      <color rgb="FF0000FF"/>
      <name val="Source Sans Pro"/>
    </font>
    <font>
      <i/>
      <sz val="11"/>
      <color rgb="FF0000FF"/>
      <name val="Calibri"/>
      <scheme val="minor"/>
    </font>
    <font>
      <b/>
      <sz val="11"/>
      <color rgb="FF000000"/>
      <name val="Calibri"/>
    </font>
    <font>
      <sz val="10"/>
      <color auto="1"/>
      <name val="Calibri"/>
      <scheme val="minor"/>
    </font>
    <font>
      <sz val="10"/>
      <color auto="1"/>
      <name val="Calibri"/>
      <scheme val="minor"/>
    </font>
    <font>
      <b/>
      <sz val="10"/>
      <color auto="1"/>
      <name val="Arial"/>
    </font>
    <font>
      <sz val="10"/>
      <color auto="1"/>
      <name val="Arial"/>
    </font>
    <font>
      <b/>
      <sz val="8"/>
      <color auto="1"/>
      <name val="Arial"/>
    </font>
    <font>
      <sz val="10"/>
      <color auto="1"/>
      <name val="Arial"/>
    </font>
  </fonts>
  <fills count="111">
    <fill>
      <patternFill patternType="none"/>
    </fill>
    <fill>
      <patternFill patternType="gray125"/>
    </fill>
    <fill>
      <patternFill patternType="solid">
        <fgColor theme="4" tint="0.8"/>
      </patternFill>
    </fill>
    <fill>
      <patternFill patternType="solid">
        <fgColor rgb="FFCCCCFF"/>
      </patternFill>
    </fill>
    <fill>
      <patternFill patternType="solid">
        <fgColor theme="5" tint="0.8"/>
      </patternFill>
    </fill>
    <fill>
      <patternFill patternType="solid">
        <fgColor rgb="FFFF99CC"/>
      </patternFill>
    </fill>
    <fill>
      <patternFill patternType="solid">
        <fgColor theme="6" tint="0.8"/>
      </patternFill>
    </fill>
    <fill>
      <patternFill patternType="solid">
        <fgColor rgb="FFCCFFCC"/>
      </patternFill>
    </fill>
    <fill>
      <patternFill patternType="solid">
        <fgColor theme="7" tint="0.8"/>
      </patternFill>
    </fill>
    <fill>
      <patternFill patternType="solid">
        <fgColor rgb="FFCC99FF"/>
      </patternFill>
    </fill>
    <fill>
      <patternFill patternType="solid">
        <fgColor theme="8" tint="0.8"/>
      </patternFill>
    </fill>
    <fill>
      <patternFill patternType="solid">
        <fgColor rgb="FFCCFFFF"/>
      </patternFill>
    </fill>
    <fill>
      <patternFill patternType="solid">
        <fgColor theme="9" tint="0.8"/>
      </patternFill>
    </fill>
    <fill>
      <patternFill patternType="solid">
        <fgColor rgb="FFFFCC99"/>
      </patternFill>
    </fill>
    <fill>
      <patternFill patternType="solid">
        <fgColor theme="4" tint="0.6"/>
      </patternFill>
    </fill>
    <fill>
      <patternFill patternType="solid">
        <fgColor rgb="FF99CCFF"/>
      </patternFill>
    </fill>
    <fill>
      <patternFill patternType="solid">
        <fgColor theme="5" tint="0.6"/>
      </patternFill>
    </fill>
    <fill>
      <patternFill patternType="solid">
        <fgColor rgb="FFFF8080"/>
      </patternFill>
    </fill>
    <fill>
      <patternFill patternType="solid">
        <fgColor theme="6" tint="0.6"/>
      </patternFill>
    </fill>
    <fill>
      <patternFill patternType="solid">
        <fgColor rgb="FF00FF00"/>
      </patternFill>
    </fill>
    <fill>
      <patternFill patternType="solid">
        <fgColor theme="7" tint="0.6"/>
      </patternFill>
    </fill>
    <fill>
      <patternFill patternType="solid">
        <fgColor theme="8" tint="0.6"/>
      </patternFill>
    </fill>
    <fill>
      <patternFill patternType="solid">
        <fgColor theme="9" tint="0.6"/>
      </patternFill>
    </fill>
    <fill>
      <patternFill patternType="solid">
        <fgColor rgb="FFFFCC00"/>
      </patternFill>
    </fill>
    <fill>
      <patternFill patternType="solid">
        <fgColor theme="4" tint="0.4"/>
      </patternFill>
    </fill>
    <fill>
      <patternFill patternType="solid">
        <fgColor rgb="FF0066CC"/>
      </patternFill>
    </fill>
    <fill>
      <patternFill patternType="solid">
        <fgColor theme="5" tint="0.4"/>
      </patternFill>
    </fill>
    <fill>
      <patternFill patternType="solid">
        <fgColor theme="6" tint="0.4"/>
      </patternFill>
    </fill>
    <fill>
      <patternFill patternType="solid">
        <fgColor theme="7" tint="0.4"/>
      </patternFill>
    </fill>
    <fill>
      <patternFill patternType="solid">
        <fgColor rgb="FF800080"/>
      </patternFill>
    </fill>
    <fill>
      <patternFill patternType="solid">
        <fgColor theme="8" tint="0.4"/>
      </patternFill>
    </fill>
    <fill>
      <patternFill patternType="solid">
        <fgColor rgb="FF33CCCC"/>
      </patternFill>
    </fill>
    <fill>
      <patternFill patternType="solid">
        <fgColor theme="9" tint="0.4"/>
      </patternFill>
    </fill>
    <fill>
      <patternFill patternType="solid">
        <fgColor rgb="FFFF9900"/>
      </patternFill>
    </fill>
    <fill>
      <patternFill patternType="solid">
        <fgColor theme="4"/>
      </patternFill>
    </fill>
    <fill>
      <patternFill patternType="solid">
        <fgColor rgb="FF333399"/>
      </patternFill>
    </fill>
    <fill>
      <patternFill patternType="solid">
        <fgColor theme="5"/>
      </patternFill>
    </fill>
    <fill>
      <patternFill patternType="solid">
        <fgColor rgb="FFFF0000"/>
      </patternFill>
    </fill>
    <fill>
      <patternFill patternType="solid">
        <fgColor theme="6"/>
      </patternFill>
    </fill>
    <fill>
      <patternFill patternType="solid">
        <fgColor rgb="FF339966"/>
      </patternFill>
    </fill>
    <fill>
      <patternFill patternType="solid">
        <fgColor theme="7"/>
      </patternFill>
    </fill>
    <fill>
      <patternFill patternType="solid">
        <fgColor theme="8"/>
      </patternFill>
    </fill>
    <fill>
      <patternFill patternType="solid">
        <fgColor theme="9"/>
      </patternFill>
    </fill>
    <fill>
      <patternFill patternType="solid">
        <fgColor rgb="FFFF6600"/>
      </patternFill>
    </fill>
    <fill>
      <patternFill patternType="solid">
        <fgColor rgb="FFFFC7CE"/>
      </patternFill>
    </fill>
    <fill>
      <patternFill patternType="solid">
        <fgColor rgb="FFF2F2F2"/>
      </patternFill>
    </fill>
    <fill>
      <patternFill patternType="solid">
        <fgColor rgb="FFC0C0C0"/>
      </patternFill>
    </fill>
    <fill>
      <patternFill patternType="solid">
        <fgColor rgb="FFA5A5A5"/>
      </patternFill>
    </fill>
    <fill>
      <patternFill patternType="solid">
        <fgColor rgb="FF969696"/>
      </patternFill>
    </fill>
    <fill>
      <patternFill patternType="solid">
        <fgColor rgb="FFFFFFFF"/>
      </patternFill>
    </fill>
    <fill>
      <patternFill patternType="solid">
        <fgColor rgb="FF008080"/>
      </patternFill>
    </fill>
    <fill>
      <patternFill patternType="solid">
        <fgColor rgb="FFC6EFCE"/>
      </patternFill>
    </fill>
    <fill>
      <patternFill patternType="solid">
        <fgColor rgb="FFFFFFCC"/>
      </patternFill>
    </fill>
    <fill>
      <patternFill patternType="solid">
        <fgColor rgb="FFFFEB9C"/>
      </patternFill>
    </fill>
    <fill>
      <patternFill patternType="solid">
        <fgColor rgb="FFFFFF99"/>
      </patternFill>
    </fill>
    <fill>
      <patternFill patternType="mediumGray">
        <fgColor rgb="FFC0C0C0"/>
        <bgColor auto="1"/>
      </patternFill>
    </fill>
    <fill>
      <patternFill patternType="solid">
        <fgColor rgb="FF3366FF"/>
      </patternFill>
    </fill>
    <fill>
      <patternFill patternType="solid">
        <fgColor theme="0"/>
      </patternFill>
    </fill>
    <fill>
      <patternFill patternType="gray125">
        <fgColor auto="1"/>
        <bgColor theme="0"/>
      </patternFill>
    </fill>
    <fill>
      <patternFill patternType="solid">
        <fgColor theme="0" tint="-0.15"/>
      </patternFill>
    </fill>
    <fill>
      <patternFill patternType="solid">
        <fgColor theme="0" tint="-0.25"/>
      </patternFill>
    </fill>
    <fill>
      <patternFill patternType="solid">
        <fgColor theme="0" tint="-0.35"/>
      </patternFill>
    </fill>
    <fill>
      <patternFill patternType="solid">
        <fgColor rgb="FFFFFF00"/>
      </patternFill>
    </fill>
    <fill>
      <patternFill patternType="solid">
        <fgColor theme="1" tint="0.25"/>
      </patternFill>
    </fill>
    <fill>
      <patternFill patternType="solid">
        <fgColor rgb="FF00B050"/>
      </patternFill>
    </fill>
    <fill>
      <patternFill patternType="solid">
        <fgColor theme="9" tint="-0.25"/>
      </patternFill>
    </fill>
    <fill>
      <patternFill patternType="solid">
        <fgColor rgb="FF0070C0"/>
      </patternFill>
    </fill>
    <fill>
      <patternFill patternType="solid">
        <fgColor rgb="FFD9D9D9"/>
      </patternFill>
    </fill>
    <fill>
      <patternFill patternType="solid">
        <fgColor theme="0" tint="-0.05"/>
      </patternFill>
    </fill>
    <fill>
      <patternFill patternType="solid">
        <fgColor theme="1" tint="0.5"/>
      </patternFill>
    </fill>
    <fill>
      <patternFill patternType="solid">
        <fgColor theme="3" tint="-0.25"/>
      </patternFill>
    </fill>
    <fill>
      <patternFill patternType="solid">
        <fgColor theme="3" tint="0.8"/>
      </patternFill>
    </fill>
    <fill>
      <patternFill patternType="solid">
        <fgColor rgb="FFDDDDF0"/>
      </patternFill>
    </fill>
    <fill>
      <patternFill patternType="solid">
        <fgColor rgb="FFFDF4DC"/>
      </patternFill>
    </fill>
    <fill>
      <patternFill patternType="solid">
        <fgColor rgb="FF41B6E6"/>
      </patternFill>
    </fill>
    <fill>
      <patternFill patternType="solid">
        <fgColor rgb="FF002A4E"/>
      </patternFill>
    </fill>
    <fill>
      <patternFill patternType="solid">
        <fgColor theme="8" tint="-0.5"/>
      </patternFill>
    </fill>
    <fill>
      <patternFill patternType="solid">
        <fgColor theme="1" tint="0.05"/>
      </patternFill>
    </fill>
    <fill>
      <patternFill patternType="solid">
        <fgColor theme="1"/>
      </patternFill>
    </fill>
    <fill>
      <patternFill patternType="solid">
        <fgColor rgb="FF000000"/>
      </patternFill>
    </fill>
    <fill>
      <patternFill patternType="solid">
        <fgColor rgb="FFFFFFC5"/>
      </patternFill>
    </fill>
    <fill>
      <patternFill patternType="solid">
        <fgColor rgb="FF020C66"/>
      </patternFill>
    </fill>
    <fill>
      <patternFill patternType="solid">
        <fgColor theme="8" tint="-0.25"/>
      </patternFill>
    </fill>
    <fill>
      <patternFill patternType="solid">
        <fgColor rgb="FF92D050"/>
      </patternFill>
    </fill>
    <fill>
      <patternFill patternType="solid">
        <fgColor rgb="FFC00000"/>
      </patternFill>
    </fill>
    <fill>
      <patternFill patternType="solid">
        <fgColor rgb="FFFFC000"/>
      </patternFill>
    </fill>
    <fill>
      <patternFill patternType="solid">
        <fgColor rgb="FFFABF90"/>
      </patternFill>
    </fill>
    <fill>
      <patternFill patternType="solid">
        <fgColor rgb="FF92CDDC"/>
      </patternFill>
    </fill>
    <fill>
      <patternFill patternType="solid">
        <fgColor rgb="FFB2A1C7"/>
      </patternFill>
    </fill>
    <fill>
      <patternFill patternType="solid">
        <fgColor rgb="FF04B4F3"/>
      </patternFill>
    </fill>
    <fill>
      <patternFill patternType="solid">
        <fgColor rgb="FFE0E0E0"/>
      </patternFill>
    </fill>
    <fill>
      <patternFill patternType="lightUp">
        <fgColor auto="1"/>
        <bgColor auto="1"/>
      </patternFill>
    </fill>
    <fill>
      <patternFill patternType="solid">
        <fgColor theme="4" tint="-0.5"/>
      </patternFill>
    </fill>
    <fill>
      <patternFill patternType="solid">
        <fgColor theme="3" tint="0.6"/>
      </patternFill>
    </fill>
    <fill>
      <patternFill patternType="gray0625">
        <fgColor auto="1"/>
        <bgColor theme="0"/>
      </patternFill>
    </fill>
    <fill>
      <patternFill patternType="solid">
        <fgColor rgb="FFB7DEE8"/>
      </patternFill>
    </fill>
    <fill>
      <patternFill patternType="solid">
        <fgColor theme="4" tint="-0.25"/>
      </patternFill>
    </fill>
    <fill>
      <patternFill patternType="solid">
        <fgColor rgb="FF494529"/>
      </patternFill>
    </fill>
    <fill>
      <patternFill patternType="solid">
        <fgColor rgb="FFDDD9C4"/>
      </patternFill>
    </fill>
    <fill>
      <patternFill patternType="solid">
        <fgColor rgb="FF9C0006"/>
      </patternFill>
    </fill>
    <fill>
      <patternFill patternType="gray0625">
        <fgColor auto="1"/>
        <bgColor theme="0" tint="-0.05"/>
      </patternFill>
    </fill>
    <fill>
      <patternFill patternType="gray0625">
        <fgColor auto="1"/>
        <bgColor theme="8" tint="0.6"/>
      </patternFill>
    </fill>
    <fill>
      <patternFill patternType="solid">
        <fgColor rgb="FF020B65"/>
      </patternFill>
    </fill>
    <fill>
      <patternFill patternType="solid">
        <fgColor rgb="FF00543D"/>
      </patternFill>
    </fill>
    <fill>
      <patternFill patternType="solid">
        <fgColor theme="2" tint="-0.1"/>
      </patternFill>
    </fill>
    <fill>
      <patternFill patternType="solid">
        <fgColor theme="2" tint="-0.25"/>
      </patternFill>
    </fill>
    <fill>
      <patternFill patternType="solid">
        <fgColor theme="0" tint="-0.5"/>
      </patternFill>
    </fill>
    <fill>
      <patternFill patternType="solid">
        <fgColor rgb="FF00B0F0"/>
      </patternFill>
    </fill>
    <fill>
      <patternFill patternType="solid">
        <fgColor rgb="FF002060"/>
      </patternFill>
    </fill>
    <fill>
      <patternFill patternType="solid">
        <fgColor rgb="FF44546A"/>
      </patternFill>
    </fill>
    <fill>
      <patternFill patternType="solid">
        <fgColor rgb="FFD9E1F2"/>
      </patternFill>
    </fill>
  </fills>
  <borders count="215">
    <border>
      <left/>
      <right/>
      <top/>
      <bottom/>
    </border>
    <border>
      <bottom style="thin">
        <color rgb="FF000000"/>
      </bottom>
    </border>
    <border>
      <left style="thin">
        <color rgb="FF000000"/>
      </left>
      <right style="thin">
        <color rgb="FF000000"/>
      </right>
      <top style="thin">
        <color rgb="FF000000"/>
      </top>
      <bottom style="thin">
        <color rgb="FF000000"/>
      </bottom>
    </border>
    <border>
      <left style="thin">
        <color rgb="FF7F7F7F"/>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double">
        <color rgb="FF3F3F3F"/>
      </left>
      <right style="double">
        <color rgb="FF3F3F3F"/>
      </right>
      <top style="double">
        <color rgb="FF3F3F3F"/>
      </top>
      <bottom style="double">
        <color rgb="FF3F3F3F"/>
      </bottom>
    </border>
    <border>
      <left style="double">
        <color rgb="FF333333"/>
      </left>
      <right style="double">
        <color rgb="FF333333"/>
      </right>
      <top style="double">
        <color rgb="FF333333"/>
      </top>
      <bottom style="double">
        <color rgb="FF333333"/>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rder>
    <border>
      <left style="medium">
        <color rgb="FFFF0000"/>
      </left>
      <right style="medium">
        <color rgb="FFFF0000"/>
      </right>
      <top style="medium">
        <color rgb="FFFF0000"/>
      </top>
      <bottom style="medium">
        <color rgb="FFFF0000"/>
      </bottom>
    </border>
    <border>
      <bottom style="hair">
        <color rgb="FFC0C0C0"/>
      </bottom>
    </border>
    <border>
      <top style="medium">
        <color rgb="FF000000"/>
      </top>
      <bottom style="medium">
        <color rgb="FF000000"/>
      </bottom>
    </border>
    <border>
      <left style="medium">
        <color rgb="FFFF6600"/>
      </left>
      <right style="medium">
        <color rgb="FFFF6600"/>
      </right>
      <top style="medium">
        <color rgb="FFFF6600"/>
      </top>
      <bottom style="medium">
        <color rgb="FFFF6600"/>
      </bottom>
    </border>
    <border>
      <top style="thin">
        <color rgb="FF000000"/>
      </top>
      <bottom style="thin">
        <color rgb="FF000000"/>
      </bottom>
    </border>
    <border>
      <left style="thin">
        <color rgb="FFFF6600"/>
      </left>
      <right style="thin">
        <color rgb="FFFF6600"/>
      </right>
      <top style="thin">
        <color rgb="FFFF6600"/>
      </top>
      <bottom style="thin">
        <color rgb="FFFF6600"/>
      </bottom>
    </border>
    <border>
      <left style="medium">
        <color rgb="FFFF6600"/>
      </left>
      <top style="medium">
        <color rgb="FFFF6600"/>
      </top>
    </border>
    <border>
      <bottom style="thick">
        <color theme="4"/>
      </bottom>
    </border>
    <border>
      <bottom style="thick">
        <color theme="4" tint="0.5"/>
      </bottom>
    </border>
    <border>
      <bottom style="medium">
        <color theme="4" tint="0.4"/>
      </bottom>
    </border>
    <border>
      <bottom style="medium">
        <color rgb="FF0066CC"/>
      </bottom>
    </border>
    <border>
      <bottom style="double">
        <color rgb="FFFF8001"/>
      </bottom>
    </border>
    <border>
      <bottom style="double">
        <color rgb="FFFF9900"/>
      </bottom>
    </border>
    <border>
      <left style="thin">
        <color rgb="FFB2B2B2"/>
      </left>
      <right style="thin">
        <color rgb="FFB2B2B2"/>
      </right>
      <top style="thin">
        <color rgb="FFB2B2B2"/>
      </top>
      <bottom style="thin">
        <color rgb="FFB2B2B2"/>
      </bottom>
    </border>
    <border>
      <left style="thin">
        <color rgb="FFC0C0C0"/>
      </left>
      <right style="thin">
        <color rgb="FFC0C0C0"/>
      </right>
      <top style="thin">
        <color rgb="FFC0C0C0"/>
      </top>
      <bottom style="thin">
        <color rgb="FFC0C0C0"/>
      </bottom>
    </border>
    <border>
      <left style="thin">
        <color rgb="FF3F3F3F"/>
      </left>
      <right style="thin">
        <color rgb="FF3F3F3F"/>
      </right>
      <top style="thin">
        <color rgb="FF3F3F3F"/>
      </top>
      <bottom style="thin">
        <color rgb="FF3F3F3F"/>
      </bottom>
    </border>
    <border>
      <left style="thin">
        <color rgb="FF333333"/>
      </left>
      <right style="thin">
        <color rgb="FF333333"/>
      </right>
      <top style="thin">
        <color rgb="FF333333"/>
      </top>
      <bottom style="thin">
        <color rgb="FF333333"/>
      </bottom>
    </border>
    <border>
      <top style="thin">
        <color rgb="FF000000"/>
      </top>
      <bottom style="hair">
        <color rgb="FFC0C0C0"/>
      </bottom>
    </border>
    <border>
      <bottom style="medium">
        <color rgb="FF000000"/>
      </bottom>
    </border>
    <border>
      <top style="thin">
        <color rgb="FF000000"/>
      </top>
      <bottom style="thick">
        <color rgb="FF000000"/>
      </bottom>
    </border>
    <border>
      <top style="thick">
        <color rgb="FF000000"/>
      </top>
      <bottom style="medium">
        <color rgb="FF000000"/>
      </bottom>
    </border>
    <border>
      <top style="thin">
        <color theme="4"/>
      </top>
      <bottom style="double">
        <color theme="4"/>
      </bottom>
    </border>
    <border>
      <top style="double">
        <color rgb="FF000000"/>
      </top>
    </border>
    <border>
      <left style="medium">
        <color rgb="FF000000"/>
      </left>
      <right style="medium">
        <color rgb="FF000000"/>
      </right>
    </border>
    <border>
      <left style="medium">
        <color rgb="FF000000"/>
      </left>
      <top style="medium">
        <color rgb="FF000000"/>
      </top>
    </border>
    <border>
      <left style="medium">
        <color rgb="FF000000"/>
      </left>
    </border>
    <border>
      <right style="medium">
        <color rgb="FF000000"/>
      </right>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top style="medium">
        <color rgb="FF000000"/>
      </top>
    </border>
    <border>
      <left style="medium">
        <color rgb="FF000000"/>
      </left>
      <top style="medium">
        <color rgb="FF000000"/>
      </top>
      <bottom style="medium">
        <color rgb="FF000000"/>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double">
        <color rgb="FF000000"/>
      </bottom>
    </border>
    <border>
      <right style="medium">
        <color rgb="FF000000"/>
      </right>
      <bottom style="medium">
        <color rgb="FF000000"/>
      </bottom>
    </border>
    <border>
      <left style="thin">
        <color rgb="FF000000"/>
      </left>
      <right style="thin">
        <color rgb="FF000000"/>
      </right>
      <top style="medium">
        <color rgb="FF000000"/>
      </top>
      <bottom style="medium">
        <color rgb="FF000000"/>
      </bottom>
    </border>
    <border>
      <top style="thin">
        <color rgb="FF000000"/>
      </top>
      <bottom style="double">
        <color rgb="FF000000"/>
      </bottom>
    </border>
    <border>
      <top style="thick">
        <color rgb="FF000000"/>
      </top>
    </border>
    <border>
      <left style="thin">
        <color rgb="FF000000"/>
      </left>
      <right style="thin">
        <color rgb="FF000000"/>
      </right>
      <top style="double">
        <color rgb="FF000000"/>
      </top>
      <bottom style="thin">
        <color rgb="FF000000"/>
      </bottom>
    </border>
    <border>
      <left style="thin">
        <color rgb="FF000000"/>
      </left>
      <top style="double">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bottom style="double">
        <color rgb="FF000000"/>
      </bottom>
    </border>
    <border>
      <bottom style="dotted">
        <color rgb="FF000000"/>
      </bottom>
    </border>
    <border>
      <left style="hair">
        <color rgb="FF000000"/>
      </left>
      <right style="hair">
        <color rgb="FF000000"/>
      </right>
      <top style="hair">
        <color rgb="FF000000"/>
      </top>
      <bottom style="hair">
        <color rgb="FF000000"/>
      </bottom>
    </border>
    <border>
      <right style="thin">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rder>
    <border>
      <right style="medium">
        <color rgb="FF000000"/>
      </right>
      <top style="thin">
        <color rgb="FF000000"/>
      </top>
    </border>
    <border>
      <top style="thin">
        <color rgb="FF000000"/>
      </top>
      <bottom style="medium">
        <color rgb="FF000000"/>
      </bottom>
    </border>
    <border>
      <right style="medium">
        <color rgb="FF000000"/>
      </right>
      <top style="thin">
        <color rgb="FF000000"/>
      </top>
      <bottom style="medium">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top style="medium">
        <color rgb="FF000000"/>
      </top>
      <bottom style="medium">
        <color rgb="FF000000"/>
      </bottom>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000000"/>
      </left>
      <bottom style="dotted">
        <color rgb="FF000000"/>
      </bottom>
    </border>
    <border>
      <right style="thick">
        <color rgb="FF000000"/>
      </right>
      <top style="thick">
        <color rgb="FF000000"/>
      </top>
    </border>
    <border>
      <right style="thick">
        <color rgb="FF000000"/>
      </right>
    </border>
    <border>
      <top style="medium">
        <color rgb="FF000000"/>
      </top>
      <bottom style="thick">
        <color rgb="FF000000"/>
      </bottom>
    </border>
    <border>
      <right style="thick">
        <color rgb="FF000000"/>
      </right>
      <top style="medium">
        <color rgb="FF000000"/>
      </top>
      <bottom style="thick">
        <color rgb="FF000000"/>
      </bottom>
    </border>
    <border>
      <left style="medium">
        <color rgb="FF000000"/>
      </left>
      <bottom style="thin">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hair">
        <color rgb="FF000000"/>
      </left>
      <right style="medium">
        <color rgb="FF000000"/>
      </right>
      <top style="medium">
        <color rgb="FF000000"/>
      </top>
    </border>
    <border>
      <left style="hair">
        <color rgb="FF000000"/>
      </left>
      <right style="thin">
        <color rgb="FF000000"/>
      </right>
      <top style="medium">
        <color rgb="FF000000"/>
      </top>
    </border>
    <border>
      <left style="hair">
        <color rgb="FF000000"/>
      </left>
      <right style="medium">
        <color rgb="FF000000"/>
      </right>
    </border>
    <border>
      <left style="hair">
        <color rgb="FF000000"/>
      </left>
      <right style="thin">
        <color rgb="FF000000"/>
      </right>
    </border>
    <border>
      <left style="medium">
        <color rgb="FF000000"/>
      </left>
      <right style="hair">
        <color rgb="FF000000"/>
      </right>
      <bottom style="hair">
        <color rgb="FF000000"/>
      </bottom>
    </border>
    <border>
      <left style="hair">
        <color rgb="FF000000"/>
      </left>
      <right style="thin">
        <color rgb="FF000000"/>
      </right>
      <top style="hair">
        <color rgb="FF000000"/>
      </top>
      <bottom style="hair">
        <color rgb="FF000000"/>
      </bottom>
    </border>
    <border>
      <left style="hair">
        <color rgb="FF000000"/>
      </left>
      <right style="thin">
        <color rgb="FF000000"/>
      </right>
      <bottom style="hair">
        <color rgb="FF000000"/>
      </bottom>
    </border>
    <border>
      <bottom style="hair">
        <color rgb="FF000000"/>
      </bottom>
    </border>
    <border>
      <right style="medium">
        <color rgb="FF000000"/>
      </right>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border>
    <border>
      <left style="medium">
        <color rgb="FF000000"/>
      </left>
      <right style="hair">
        <color rgb="FF000000"/>
      </right>
      <top style="thin">
        <color rgb="FF000000"/>
      </top>
      <bottom style="thin">
        <color rgb="FF000000"/>
      </bottom>
    </border>
    <border>
      <left style="hair">
        <color rgb="FF000000"/>
      </left>
      <right style="thin">
        <color rgb="FF000000"/>
      </right>
      <top style="thin">
        <color rgb="FF000000"/>
      </top>
      <bottom style="thin">
        <color rgb="FF000000"/>
      </bottom>
    </border>
    <border>
      <left style="thin">
        <color rgb="FF000000"/>
      </left>
      <right style="medium">
        <color rgb="FF000000"/>
      </right>
      <bottom style="hair">
        <color rgb="FF000000"/>
      </bottom>
    </border>
    <border>
      <left style="medium">
        <color rgb="FF000000"/>
      </left>
      <right style="hair">
        <color rgb="FF000000"/>
      </right>
      <top style="hair">
        <color rgb="FF000000"/>
      </top>
    </border>
    <border>
      <left style="hair">
        <color rgb="FF000000"/>
      </left>
      <right style="thin">
        <color rgb="FF000000"/>
      </right>
      <top style="hair">
        <color rgb="FF000000"/>
      </top>
    </border>
    <border>
      <left style="hair">
        <color rgb="FF000000"/>
      </left>
      <right style="medium">
        <color rgb="FF000000"/>
      </right>
      <top style="thin">
        <color rgb="FF000000"/>
      </top>
      <bottom style="thin">
        <color rgb="FF000000"/>
      </bottom>
    </border>
    <border>
      <left style="hair">
        <color rgb="FF000000"/>
      </left>
      <right style="medium">
        <color rgb="FF000000"/>
      </right>
      <bottom style="hair">
        <color rgb="FF000000"/>
      </bottom>
    </border>
    <border>
      <left style="hair">
        <color rgb="FF000000"/>
      </left>
      <right style="medium">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medium">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
      <left style="hair">
        <color rgb="FF000000"/>
      </left>
      <right style="thin">
        <color rgb="FF000000"/>
      </right>
      <top style="medium">
        <color rgb="FF000000"/>
      </top>
      <bottom style="medium">
        <color rgb="FF000000"/>
      </bottom>
    </border>
    <border>
      <left style="thin">
        <color rgb="FF000000"/>
      </left>
      <right style="medium">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thin">
        <color rgb="FF000000"/>
      </right>
      <top style="hair">
        <color rgb="FF000000"/>
      </top>
      <bottom style="medium">
        <color rgb="FF000000"/>
      </bottom>
    </border>
    <border>
      <left style="medium">
        <color rgb="FF000000"/>
      </left>
      <bottom style="hair">
        <color rgb="FF000000"/>
      </bottom>
    </border>
    <border>
      <left style="hair">
        <color rgb="FF000000"/>
      </left>
      <bottom style="hair">
        <color rgb="FF000000"/>
      </bottom>
    </border>
    <border>
      <left style="thin">
        <color rgb="FF000000"/>
      </left>
      <right style="medium">
        <color rgb="FF000000"/>
      </right>
    </border>
    <border>
      <top style="hair">
        <color rgb="FF000000"/>
      </top>
      <bottom style="hair">
        <color rgb="FF000000"/>
      </bottom>
    </border>
    <border>
      <left style="hair">
        <color rgb="FF000000"/>
      </left>
      <top style="medium">
        <color rgb="FF000000"/>
      </top>
      <bottom style="medium">
        <color rgb="FF000000"/>
      </bottom>
    </border>
    <border>
      <left style="hair">
        <color rgb="FF000000"/>
      </left>
      <right style="medium">
        <color rgb="FF000000"/>
      </right>
      <top style="hair">
        <color rgb="FF000000"/>
      </top>
    </border>
    <border>
      <left style="hair">
        <color rgb="FF000000"/>
      </left>
      <top style="hair">
        <color rgb="FF000000"/>
      </top>
    </border>
    <border>
      <left style="thin">
        <color rgb="FF000000"/>
      </left>
      <right style="medium">
        <color rgb="FF000000"/>
      </right>
      <top style="hair">
        <color rgb="FF000000"/>
      </top>
    </border>
    <border>
      <left style="hair">
        <color rgb="FF000000"/>
      </left>
      <top style="hair">
        <color rgb="FF000000"/>
      </top>
      <bottom style="hair">
        <color rgb="FF000000"/>
      </bottom>
    </border>
    <border>
      <left style="hair">
        <color rgb="FF000000"/>
      </left>
    </border>
    <border>
      <left style="hair">
        <color rgb="FF000000"/>
      </left>
      <top style="thin">
        <color rgb="FF000000"/>
      </top>
      <bottom style="thin">
        <color rgb="FF000000"/>
      </bottom>
    </border>
    <border>
      <left style="hair">
        <color rgb="FF000000"/>
      </left>
      <top style="hair">
        <color rgb="FF000000"/>
      </top>
      <bottom style="medium">
        <color rgb="FF000000"/>
      </bottom>
    </border>
    <border>
      <left style="medium">
        <color rgb="FF000000"/>
      </left>
      <right style="medium">
        <color rgb="FF000000"/>
      </right>
      <top style="hair">
        <color rgb="FF000000"/>
      </top>
      <bottom style="hair">
        <color rgb="FF000000"/>
      </bottom>
    </border>
    <border>
      <left style="medium">
        <color rgb="FF000000"/>
      </left>
      <right style="medium">
        <color rgb="FF000000"/>
      </right>
      <bottom style="hair">
        <color rgb="FF000000"/>
      </bottom>
    </border>
    <border>
      <left style="thin">
        <color rgb="FF000000"/>
      </left>
      <top style="hair">
        <color rgb="FF000000"/>
      </top>
    </border>
    <border>
      <left style="medium">
        <color rgb="FF000000"/>
      </left>
      <right style="medium">
        <color rgb="FF000000"/>
      </right>
      <top style="hair">
        <color rgb="FF000000"/>
      </top>
    </border>
    <border>
      <left style="hair">
        <color rgb="FF000000"/>
      </left>
      <top style="medium">
        <color rgb="FF000000"/>
      </top>
    </border>
    <border>
      <left style="hair">
        <color rgb="FF000000"/>
      </left>
      <right style="thin">
        <color rgb="FF000000"/>
      </right>
      <bottom style="medium">
        <color rgb="FF000000"/>
      </bottom>
    </border>
    <border>
      <left style="hair">
        <color rgb="FF000000"/>
      </left>
      <right style="medium">
        <color rgb="FF000000"/>
      </right>
      <bottom style="medium">
        <color rgb="FF000000"/>
      </bottom>
    </border>
    <border>
      <left style="hair">
        <color rgb="FF000000"/>
      </left>
      <bottom style="medium">
        <color rgb="FF000000"/>
      </bottom>
    </border>
    <border>
      <left style="thin">
        <color rgb="FF000000"/>
      </left>
      <right style="thin">
        <color rgb="FF000000"/>
      </right>
      <bottom style="dotted">
        <color rgb="FF000000"/>
      </bottom>
    </border>
    <border>
      <left style="thin">
        <color rgb="FF000000"/>
      </left>
      <right style="thin">
        <color rgb="FF000000"/>
      </right>
      <bottom style="thick">
        <color rgb="FF000000"/>
      </bottom>
    </border>
    <border>
      <right style="hair">
        <color rgb="FF000000"/>
      </right>
    </border>
    <border>
      <left style="dotted">
        <color rgb="FF000000"/>
      </left>
      <right style="thin">
        <color rgb="FF000000"/>
      </right>
      <top style="thin">
        <color rgb="FF000000"/>
      </top>
      <bottom style="thin">
        <color rgb="FF000000"/>
      </bottom>
    </border>
    <border>
      <left style="thin">
        <color rgb="FF000000"/>
      </left>
      <right style="thin">
        <color rgb="FF000000"/>
      </right>
      <top style="dotted">
        <color rgb="FF000000"/>
      </top>
      <bottom style="dotted">
        <color rgb="FF000000"/>
      </bottom>
    </border>
    <border>
      <right style="thin">
        <color rgb="FF000000"/>
      </right>
      <top style="thin">
        <color rgb="FF000000"/>
      </top>
      <bottom style="thick">
        <color rgb="FF000000"/>
      </bottom>
    </border>
    <border>
      <left style="thin">
        <color rgb="FF000000"/>
      </left>
      <right style="thin">
        <color rgb="FFFFFFFF"/>
      </right>
      <bottom style="thin">
        <color rgb="FFFFFFFF"/>
      </bottom>
    </border>
    <border>
      <left style="thin">
        <color rgb="FFFFFFFF"/>
      </left>
      <right style="thin">
        <color rgb="FF000000"/>
      </right>
      <bottom style="thin">
        <color rgb="FFFFFFFF"/>
      </bottom>
    </border>
    <border>
      <left style="thin">
        <color rgb="FF000000"/>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000000"/>
      </right>
      <top style="thin">
        <color rgb="FF000000"/>
      </top>
      <bottom style="dotted">
        <color rgb="FF000000"/>
      </bottom>
    </border>
    <border>
      <left style="thin">
        <color rgb="FF000000"/>
      </left>
      <top style="thin">
        <color rgb="FF000000"/>
      </top>
      <bottom style="thick">
        <color rgb="FF000000"/>
      </bottom>
    </border>
    <border>
      <left style="medium">
        <color rgb="FF000000"/>
      </left>
      <top style="hair">
        <color rgb="FF000000"/>
      </top>
      <bottom style="hair">
        <color rgb="FF000000"/>
      </bottom>
    </border>
    <border>
      <left style="thin">
        <color theme="3" tint="-0.5"/>
      </left>
      <top style="thin">
        <color theme="3" tint="-0.5"/>
      </top>
      <bottom style="thin">
        <color theme="3" tint="-0.5"/>
      </bottom>
    </border>
    <border>
      <top style="thin">
        <color theme="3" tint="-0.5"/>
      </top>
      <bottom style="thin">
        <color theme="3" tint="-0.5"/>
      </bottom>
    </border>
    <border>
      <right style="thin">
        <color theme="3" tint="-0.5"/>
      </right>
      <top style="thin">
        <color theme="3" tint="-0.5"/>
      </top>
      <bottom style="thin">
        <color theme="3" tint="-0.5"/>
      </bottom>
    </border>
    <border>
      <left style="medium">
        <color theme="4" tint="-0.5"/>
      </left>
      <top style="medium">
        <color theme="4" tint="-0.5"/>
      </top>
    </border>
    <border>
      <top style="medium">
        <color theme="4" tint="-0.5"/>
      </top>
    </border>
    <border>
      <right style="medium">
        <color theme="4" tint="-0.5"/>
      </right>
      <top style="medium">
        <color theme="4" tint="-0.5"/>
      </top>
    </border>
    <border>
      <left style="medium">
        <color theme="4" tint="-0.5"/>
      </left>
    </border>
    <border>
      <right style="medium">
        <color theme="4" tint="-0.5"/>
      </right>
    </border>
    <border>
      <left style="medium">
        <color theme="4" tint="-0.5"/>
      </left>
      <bottom style="medium">
        <color theme="4" tint="-0.5"/>
      </bottom>
    </border>
    <border>
      <left style="thin">
        <color rgb="FF000000"/>
      </left>
      <top style="thin">
        <color rgb="FF000000"/>
      </top>
      <bottom style="medium">
        <color theme="4" tint="-0.5"/>
      </bottom>
    </border>
    <border>
      <top style="thin">
        <color rgb="FF000000"/>
      </top>
      <bottom style="medium">
        <color theme="4" tint="-0.5"/>
      </bottom>
    </border>
    <border>
      <bottom style="medium">
        <color theme="4" tint="-0.5"/>
      </bottom>
    </border>
    <border>
      <right style="medium">
        <color theme="4" tint="-0.5"/>
      </right>
      <bottom style="medium">
        <color theme="4" tint="-0.5"/>
      </bottom>
    </border>
    <border>
      <right style="thin">
        <color rgb="FF000000"/>
      </right>
      <top style="thin">
        <color rgb="FF000000"/>
      </top>
      <bottom style="medium">
        <color theme="4" tint="-0.5"/>
      </bottom>
    </border>
    <border>
      <left style="thin">
        <color rgb="FF000000"/>
      </left>
      <top style="medium">
        <color theme="4" tint="-0.5"/>
      </top>
    </border>
    <border>
      <right style="medium">
        <color theme="4" tint="-0.5"/>
      </right>
      <top style="thin">
        <color rgb="FF000000"/>
      </top>
      <bottom style="medium">
        <color theme="4" tint="-0.5"/>
      </bottom>
    </border>
    <border>
      <right style="thin">
        <color rgb="FF000000"/>
      </right>
      <bottom style="medium">
        <color rgb="FF000000"/>
      </bottom>
    </border>
    <border>
      <top style="thin">
        <color theme="3" tint="-0.5"/>
      </top>
    </border>
    <border>
      <bottom style="thin">
        <color theme="3" tint="-0.5"/>
      </bottom>
    </border>
    <border>
      <left style="thin">
        <color theme="3" tint="-0.5"/>
      </left>
      <right style="thin">
        <color theme="3" tint="-0.5"/>
      </right>
      <top style="thin">
        <color theme="3" tint="-0.5"/>
      </top>
      <bottom style="thin">
        <color rgb="FF000000"/>
      </bottom>
    </border>
    <border>
      <bottom style="thin">
        <color theme="4"/>
      </bottom>
    </border>
    <border>
      <left style="hair">
        <color rgb="FF000000"/>
      </left>
      <bottom style="thin">
        <color rgb="FF000000"/>
      </bottom>
    </border>
    <border>
      <right style="thin">
        <color rgb="FF000000"/>
      </right>
      <top style="medium">
        <color theme="4" tint="-0.5"/>
      </top>
    </border>
    <border>
      <right style="thin">
        <color rgb="FF000000"/>
      </right>
      <bottom style="medium">
        <color theme="4" tint="-0.5"/>
      </bottom>
    </border>
    <border>
      <left style="thin">
        <color rgb="FF000000"/>
      </left>
      <top style="thin">
        <color rgb="FFFFFFFF"/>
      </top>
    </border>
    <border>
      <top style="thin">
        <color rgb="FFFFFFFF"/>
      </top>
    </border>
    <border>
      <right style="thin">
        <color rgb="FF000000"/>
      </right>
      <top style="thin">
        <color rgb="FFFFFFFF"/>
      </top>
    </border>
    <border>
      <right style="medium">
        <color theme="4" tint="-0.5"/>
      </right>
      <bottom style="thin">
        <color rgb="FF000000"/>
      </bottom>
    </border>
    <border>
      <left style="thin">
        <color rgb="FF000000"/>
      </left>
      <right style="medium">
        <color theme="4" tint="-0.5"/>
      </right>
      <top style="thin">
        <color rgb="FF000000"/>
      </top>
    </border>
    <border>
      <left style="thin">
        <color rgb="FF000000"/>
      </left>
      <right style="medium">
        <color theme="4" tint="-0.5"/>
      </right>
    </border>
    <border>
      <left style="thin">
        <color rgb="FF000000"/>
      </left>
      <right style="medium">
        <color theme="4" tint="-0.5"/>
      </right>
      <bottom style="thin">
        <color rgb="FF000000"/>
      </bottom>
    </border>
    <border>
      <left style="thin">
        <color theme="0"/>
      </left>
      <top style="thin">
        <color theme="0"/>
      </top>
    </border>
    <border>
      <top style="thin">
        <color theme="0"/>
      </top>
    </border>
    <border>
      <left style="thin">
        <color theme="4"/>
      </left>
      <top style="thin">
        <color theme="4"/>
      </top>
      <bottom style="thin">
        <color theme="4"/>
      </bottom>
    </border>
    <border>
      <top style="thin">
        <color theme="4"/>
      </top>
      <bottom style="thin">
        <color theme="4"/>
      </bottom>
    </border>
    <border>
      <right style="thin">
        <color theme="4"/>
      </right>
      <top style="thin">
        <color theme="4"/>
      </top>
      <bottom style="thin">
        <color theme="4"/>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medium">
        <color rgb="FF000000"/>
      </top>
    </border>
    <border>
      <left style="thin">
        <color rgb="FF000000"/>
      </left>
      <right style="thin">
        <color rgb="FF000000"/>
      </right>
      <bottom style="medium">
        <color rgb="FF000000"/>
      </bottom>
    </border>
    <border>
      <left style="thin">
        <color rgb="FF000000"/>
      </left>
      <top style="medium">
        <color rgb="FF000000"/>
      </top>
    </border>
    <border>
      <right style="thin">
        <color rgb="FF000000"/>
      </right>
      <top style="medium">
        <color rgb="FF000000"/>
      </top>
    </border>
    <border>
      <left style="thin">
        <color rgb="FF000000"/>
      </left>
      <bottom style="medium">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top style="hair">
        <color rgb="FF000000"/>
      </top>
    </border>
    <border>
      <right style="hair">
        <color rgb="FF000000"/>
      </right>
      <top style="hair">
        <color rgb="FF000000"/>
      </top>
    </border>
    <border>
      <right style="hair">
        <color rgb="FF000000"/>
      </right>
      <bottom style="hair">
        <color rgb="FF000000"/>
      </bottom>
    </border>
    <border>
      <left style="medium">
        <color rgb="FF000000"/>
      </left>
      <top style="thin">
        <color rgb="FF000000"/>
      </top>
    </border>
    <border>
      <left style="medium">
        <color rgb="FF000000"/>
      </left>
      <right style="thin">
        <color rgb="FF000000"/>
      </right>
    </border>
  </borders>
  <cellStyleXfs count="384">
    <xf numFmtId="0" fontId="0" fillId="0" borderId="0"/>
    <xf numFmtId="170" fontId="1" fillId="0" borderId="0" applyFont="0" applyFill="0" applyBorder="0" applyAlignment="0" applyProtection="0"/>
    <xf numFmtId="171" fontId="1" fillId="0" borderId="0" applyFont="0" applyFill="0" applyBorder="0" applyAlignment="0" applyProtection="0"/>
    <xf numFmtId="0" fontId="0" fillId="2" borderId="0" applyBorder="0" applyNumberFormat="0" applyAlignment="0" applyProtection="0"/>
    <xf numFmtId="0" fontId="2" fillId="3" borderId="0" applyBorder="0" applyNumberFormat="0" applyAlignment="0" applyProtection="0"/>
    <xf numFmtId="0" fontId="0" fillId="4" borderId="0" applyBorder="0" applyNumberFormat="0" applyAlignment="0" applyProtection="0"/>
    <xf numFmtId="0" fontId="2" fillId="5" borderId="0" applyBorder="0" applyNumberFormat="0" applyAlignment="0" applyProtection="0"/>
    <xf numFmtId="0" fontId="0" fillId="6" borderId="0" applyBorder="0" applyNumberFormat="0" applyAlignment="0" applyProtection="0"/>
    <xf numFmtId="0" fontId="2" fillId="7" borderId="0" applyBorder="0" applyNumberFormat="0" applyAlignment="0" applyProtection="0"/>
    <xf numFmtId="0" fontId="0" fillId="8" borderId="0" applyBorder="0" applyNumberFormat="0" applyAlignment="0" applyProtection="0"/>
    <xf numFmtId="0" fontId="2" fillId="9" borderId="0" applyBorder="0" applyNumberFormat="0" applyAlignment="0" applyProtection="0"/>
    <xf numFmtId="0" fontId="0" fillId="10" borderId="0" applyBorder="0" applyNumberFormat="0" applyAlignment="0" applyProtection="0"/>
    <xf numFmtId="0" fontId="2" fillId="11" borderId="0" applyBorder="0" applyNumberFormat="0" applyAlignment="0" applyProtection="0"/>
    <xf numFmtId="0" fontId="0" fillId="12" borderId="0" applyBorder="0" applyNumberFormat="0" applyAlignment="0" applyProtection="0"/>
    <xf numFmtId="0" fontId="2" fillId="13" borderId="0" applyBorder="0" applyNumberFormat="0" applyAlignment="0" applyProtection="0"/>
    <xf numFmtId="0" fontId="0" fillId="14" borderId="0" applyBorder="0" applyNumberFormat="0" applyAlignment="0" applyProtection="0"/>
    <xf numFmtId="0" fontId="2" fillId="15" borderId="0" applyBorder="0" applyNumberFormat="0" applyAlignment="0" applyProtection="0"/>
    <xf numFmtId="0" fontId="0" fillId="16" borderId="0" applyBorder="0" applyNumberFormat="0" applyAlignment="0" applyProtection="0"/>
    <xf numFmtId="0" fontId="2" fillId="17" borderId="0" applyBorder="0" applyNumberFormat="0" applyAlignment="0" applyProtection="0"/>
    <xf numFmtId="0" fontId="0" fillId="18" borderId="0" applyBorder="0" applyNumberFormat="0" applyAlignment="0" applyProtection="0"/>
    <xf numFmtId="0" fontId="2" fillId="19" borderId="0" applyBorder="0" applyNumberFormat="0" applyAlignment="0" applyProtection="0"/>
    <xf numFmtId="0" fontId="0" fillId="20" borderId="0" applyBorder="0" applyNumberFormat="0" applyAlignment="0" applyProtection="0"/>
    <xf numFmtId="0" fontId="0" fillId="21" borderId="0" applyBorder="0" applyNumberFormat="0" applyAlignment="0" applyProtection="0"/>
    <xf numFmtId="0" fontId="0" fillId="22" borderId="0" applyBorder="0" applyNumberFormat="0" applyAlignment="0" applyProtection="0"/>
    <xf numFmtId="0" fontId="2" fillId="23" borderId="0" applyBorder="0" applyNumberFormat="0" applyAlignment="0" applyProtection="0"/>
    <xf numFmtId="0" fontId="3" fillId="24" borderId="0" applyBorder="0" applyNumberFormat="0" applyAlignment="0" applyProtection="0"/>
    <xf numFmtId="0" fontId="4" fillId="25" borderId="0" applyBorder="0" applyNumberFormat="0" applyAlignment="0" applyProtection="0"/>
    <xf numFmtId="0" fontId="3" fillId="26" borderId="0" applyBorder="0" applyNumberFormat="0" applyAlignment="0" applyProtection="0"/>
    <xf numFmtId="0" fontId="4" fillId="17" borderId="0" applyBorder="0" applyNumberFormat="0" applyAlignment="0" applyProtection="0"/>
    <xf numFmtId="0" fontId="3" fillId="27" borderId="0" applyBorder="0" applyNumberFormat="0" applyAlignment="0" applyProtection="0"/>
    <xf numFmtId="0" fontId="4" fillId="19" borderId="0" applyBorder="0" applyNumberFormat="0" applyAlignment="0" applyProtection="0"/>
    <xf numFmtId="0" fontId="3" fillId="28" borderId="0" applyBorder="0" applyNumberFormat="0" applyAlignment="0" applyProtection="0"/>
    <xf numFmtId="0" fontId="4" fillId="29" borderId="0" applyBorder="0" applyNumberFormat="0" applyAlignment="0" applyProtection="0"/>
    <xf numFmtId="0" fontId="3" fillId="30" borderId="0" applyBorder="0" applyNumberFormat="0" applyAlignment="0" applyProtection="0"/>
    <xf numFmtId="0" fontId="4" fillId="31" borderId="0" applyBorder="0" applyNumberFormat="0" applyAlignment="0" applyProtection="0"/>
    <xf numFmtId="0" fontId="3" fillId="32" borderId="0" applyBorder="0" applyNumberFormat="0" applyAlignment="0" applyProtection="0"/>
    <xf numFmtId="0" fontId="4" fillId="33" borderId="0" applyBorder="0" applyNumberFormat="0" applyAlignment="0" applyProtection="0"/>
    <xf numFmtId="0" fontId="3" fillId="34" borderId="0" applyBorder="0" applyNumberFormat="0" applyAlignment="0" applyProtection="0"/>
    <xf numFmtId="0" fontId="4" fillId="35" borderId="0" applyBorder="0" applyNumberFormat="0" applyAlignment="0" applyProtection="0"/>
    <xf numFmtId="0" fontId="3" fillId="36" borderId="0" applyBorder="0" applyNumberFormat="0" applyAlignment="0" applyProtection="0"/>
    <xf numFmtId="0" fontId="4" fillId="37" borderId="0" applyBorder="0" applyNumberFormat="0" applyAlignment="0" applyProtection="0"/>
    <xf numFmtId="0" fontId="3" fillId="38" borderId="0" applyBorder="0" applyNumberFormat="0" applyAlignment="0" applyProtection="0"/>
    <xf numFmtId="0" fontId="4" fillId="39" borderId="0" applyBorder="0" applyNumberFormat="0" applyAlignment="0" applyProtection="0"/>
    <xf numFmtId="0" fontId="3" fillId="40" borderId="0" applyBorder="0" applyNumberFormat="0" applyAlignment="0" applyProtection="0"/>
    <xf numFmtId="0" fontId="3" fillId="41" borderId="0" applyBorder="0" applyNumberFormat="0" applyAlignment="0" applyProtection="0"/>
    <xf numFmtId="0" fontId="3" fillId="42" borderId="0" applyBorder="0" applyNumberFormat="0" applyAlignment="0" applyProtection="0"/>
    <xf numFmtId="0" fontId="4" fillId="43" borderId="0" applyBorder="0" applyNumberFormat="0" applyAlignment="0" applyProtection="0"/>
    <xf numFmtId="0" fontId="5" fillId="0" borderId="0" applyNumberFormat="0" applyAlignment="0"/>
    <xf numFmtId="0" fontId="6" fillId="11" borderId="0">
      <alignment horizontal="general" vertical="center"/>
    </xf>
    <xf numFmtId="0" fontId="7" fillId="44" borderId="0" applyBorder="0" applyNumberFormat="0" applyAlignment="0" applyProtection="0"/>
    <xf numFmtId="0" fontId="8" fillId="5" borderId="0" applyBorder="0" applyNumberFormat="0" applyAlignment="0" applyProtection="0"/>
    <xf numFmtId="0" fontId="9" fillId="0" borderId="0" applyFill="0" applyBorder="0" applyNumberFormat="0" applyAlignment="0" applyProtection="0"/>
    <xf numFmtId="0" fontId="10" fillId="0" borderId="1" applyFill="0" applyNumberFormat="0" applyAlignment="0" applyProtection="0"/>
    <xf numFmtId="0" fontId="11" fillId="0" borderId="2"/>
    <xf numFmtId="172" fontId="1" fillId="0" borderId="0" applyFont="0" applyFill="0" applyBorder="0" applyAlignment="0" applyProtection="0"/>
    <xf numFmtId="0" fontId="12" fillId="45" borderId="3" applyNumberFormat="0" applyAlignment="0" applyProtection="0"/>
    <xf numFmtId="0" fontId="13" fillId="46" borderId="4" applyNumberFormat="0" applyAlignment="0" applyProtection="0"/>
    <xf numFmtId="0" fontId="14" fillId="47" borderId="5" applyNumberFormat="0" applyAlignment="0" applyProtection="0"/>
    <xf numFmtId="0" fontId="15" fillId="48" borderId="6" applyNumberFormat="0" applyAlignment="0" applyProtection="0"/>
    <xf numFmtId="0" fontId="16" fillId="46" borderId="2">
      <alignment horizontal="center" vertical="center"/>
    </xf>
    <xf numFmtId="0" fontId="17" fillId="46" borderId="2">
      <alignment horizontal="center" vertical="bottom" wrapText="1"/>
    </xf>
    <xf numFmtId="0" fontId="16" fillId="46" borderId="2" applyFont="0" applyFill="0">
      <alignment horizontal="center" vertical="top"/>
    </xf>
    <xf numFmtId="173" fontId="0" fillId="0" borderId="0" applyFont="0" applyFill="0" applyBorder="0" applyAlignment="0" applyProtection="0"/>
    <xf numFmtId="174" fontId="18" fillId="0" borderId="0"/>
    <xf numFmtId="173" fontId="19" fillId="0" borderId="0" applyFont="0" applyFill="0" applyBorder="0" applyAlignment="0" applyProtection="0"/>
    <xf numFmtId="173" fontId="20" fillId="0" borderId="0" applyFont="0" applyFill="0" applyBorder="0" applyAlignment="0" applyProtection="0"/>
    <xf numFmtId="173" fontId="21" fillId="0" borderId="0" applyFont="0" applyFill="0" applyBorder="0" applyAlignment="0" applyProtection="0"/>
    <xf numFmtId="3" fontId="22" fillId="0" borderId="0" applyFont="0" applyFill="0" applyBorder="0" applyAlignment="0" applyProtection="0"/>
    <xf numFmtId="243" fontId="0" fillId="0" borderId="0" applyFont="0" applyFill="0" applyBorder="0" applyAlignment="0" applyProtection="0"/>
    <xf numFmtId="243" fontId="19" fillId="0" borderId="0" applyFont="0" applyFill="0" applyBorder="0" applyAlignment="0" applyProtection="0"/>
    <xf numFmtId="243" fontId="21" fillId="0" borderId="0" applyFont="0" applyFill="0" applyBorder="0" applyAlignment="0" applyProtection="0"/>
    <xf numFmtId="243" fontId="23" fillId="0" borderId="0" applyFont="0" applyFill="0" applyBorder="0" applyAlignment="0" applyProtection="0"/>
    <xf numFmtId="243" fontId="2" fillId="0" borderId="0" applyFont="0" applyFill="0" applyBorder="0" applyAlignment="0" applyProtection="0"/>
    <xf numFmtId="243" fontId="24" fillId="0" borderId="0" applyFont="0" applyFill="0" applyBorder="0" applyAlignment="0" applyProtection="0"/>
    <xf numFmtId="307" fontId="22" fillId="0" borderId="0" applyFont="0" applyFill="0" applyBorder="0" applyAlignment="0" applyProtection="0"/>
    <xf numFmtId="308" fontId="25" fillId="15" borderId="2">
      <protection locked="0"/>
    </xf>
    <xf numFmtId="309" fontId="25" fillId="49" borderId="2">
      <protection locked="0"/>
    </xf>
    <xf numFmtId="308" fontId="25" fillId="15" borderId="7">
      <protection locked="0"/>
    </xf>
    <xf numFmtId="308" fontId="25" fillId="15" borderId="2">
      <alignment horizontal="center" vertical="bottom"/>
      <protection locked="0"/>
    </xf>
    <xf numFmtId="308" fontId="25" fillId="15" borderId="7">
      <alignment horizontal="center" vertical="bottom"/>
      <protection locked="0"/>
    </xf>
    <xf numFmtId="308" fontId="26" fillId="15" borderId="2">
      <protection locked="0"/>
    </xf>
    <xf numFmtId="308" fontId="27" fillId="15" borderId="2">
      <protection locked="0"/>
    </xf>
    <xf numFmtId="308" fontId="25" fillId="7" borderId="2"/>
    <xf numFmtId="309" fontId="25" fillId="7" borderId="2"/>
    <xf numFmtId="308" fontId="28" fillId="7" borderId="2"/>
    <xf numFmtId="309" fontId="28" fillId="7" borderId="2"/>
    <xf numFmtId="308" fontId="26" fillId="7" borderId="2"/>
    <xf numFmtId="308" fontId="29" fillId="7" borderId="2"/>
    <xf numFmtId="308" fontId="25" fillId="7" borderId="2">
      <alignment horizontal="center" vertical="bottom"/>
    </xf>
    <xf numFmtId="308" fontId="28" fillId="7" borderId="2">
      <alignment horizontal="center" vertical="bottom"/>
    </xf>
    <xf numFmtId="324" fontId="28" fillId="7" borderId="2">
      <alignment horizontal="center" vertical="bottom"/>
    </xf>
    <xf numFmtId="324" fontId="28" fillId="7" borderId="8">
      <alignment horizontal="center" vertical="bottom"/>
    </xf>
    <xf numFmtId="324" fontId="30" fillId="7" borderId="8">
      <alignment horizontal="right" vertical="bottom"/>
    </xf>
    <xf numFmtId="324" fontId="25" fillId="7" borderId="2">
      <alignment horizontal="left" vertical="bottom"/>
    </xf>
    <xf numFmtId="324" fontId="28" fillId="7" borderId="2">
      <alignment horizontal="right" vertical="bottom"/>
    </xf>
    <xf numFmtId="308" fontId="17" fillId="7" borderId="2"/>
    <xf numFmtId="308" fontId="25" fillId="7" borderId="9" applyBorder="0">
      <alignment horizontal="left" vertical="bottom"/>
    </xf>
    <xf numFmtId="324" fontId="25" fillId="7" borderId="2"/>
    <xf numFmtId="308" fontId="25" fillId="7" borderId="2">
      <alignment horizontal="right" vertical="bottom"/>
    </xf>
    <xf numFmtId="308" fontId="25" fillId="7" borderId="10"/>
    <xf numFmtId="308" fontId="17" fillId="49" borderId="2">
      <protection locked="0"/>
    </xf>
    <xf numFmtId="309" fontId="28" fillId="49" borderId="2">
      <protection locked="0"/>
    </xf>
    <xf numFmtId="308" fontId="26" fillId="15" borderId="2">
      <alignment horizontal="right" vertical="bottom"/>
      <protection locked="0"/>
    </xf>
    <xf numFmtId="308" fontId="25" fillId="15" borderId="2">
      <alignment horizontal="right" vertical="bottom"/>
      <protection locked="0"/>
    </xf>
    <xf numFmtId="1163" fontId="25" fillId="15" borderId="2">
      <protection locked="0"/>
    </xf>
    <xf numFmtId="1163" fontId="25" fillId="7" borderId="2"/>
    <xf numFmtId="1163" fontId="17" fillId="7" borderId="2"/>
    <xf numFmtId="308" fontId="25" fillId="15" borderId="2">
      <alignment horizontal="left" vertical="bottom"/>
      <protection locked="0"/>
    </xf>
    <xf numFmtId="308" fontId="27" fillId="0" borderId="2"/>
    <xf numFmtId="308" fontId="25" fillId="15" borderId="10">
      <protection locked="0"/>
    </xf>
    <xf numFmtId="324" fontId="25" fillId="15" borderId="2">
      <protection locked="0"/>
    </xf>
    <xf numFmtId="39" fontId="31" fillId="0" borderId="0">
      <alignment horizontal="right" vertical="bottom"/>
    </xf>
    <xf numFmtId="0" fontId="22" fillId="0" borderId="0" applyFont="0" applyFill="0" applyBorder="0" applyAlignment="0" applyProtection="0"/>
    <xf numFmtId="58" fontId="32" fillId="0" borderId="0" applyFill="0" applyBorder="0" applyAlignment="0"/>
    <xf numFmtId="1993" fontId="25" fillId="49" borderId="2">
      <protection locked="0"/>
    </xf>
    <xf numFmtId="1993" fontId="26" fillId="15" borderId="2">
      <protection locked="0"/>
    </xf>
    <xf numFmtId="1993" fontId="25" fillId="49" borderId="2">
      <alignment horizontal="left" vertical="bottom"/>
      <protection locked="0"/>
    </xf>
    <xf numFmtId="1993" fontId="25" fillId="7" borderId="11" applyBorder="0">
      <alignment horizontal="center" vertical="center"/>
    </xf>
    <xf numFmtId="1993" fontId="25" fillId="49" borderId="2">
      <alignment horizontal="center" vertical="center"/>
      <protection locked="0"/>
    </xf>
    <xf numFmtId="58" fontId="25" fillId="49" borderId="9" applyBorder="0">
      <alignment horizontal="center" vertical="bottom"/>
      <protection locked="0"/>
    </xf>
    <xf numFmtId="58" fontId="25" fillId="49" borderId="9" applyBorder="0">
      <alignment horizontal="left" vertical="bottom"/>
      <protection locked="0"/>
    </xf>
    <xf numFmtId="58" fontId="25" fillId="49" borderId="9" applyBorder="0">
      <alignment horizontal="right" vertical="bottom"/>
      <protection locked="0"/>
    </xf>
    <xf numFmtId="1998" fontId="25" fillId="50" borderId="2">
      <alignment horizontal="center" vertical="bottom"/>
    </xf>
    <xf numFmtId="1993" fontId="25" fillId="7" borderId="2"/>
    <xf numFmtId="1993" fontId="26" fillId="49" borderId="2">
      <alignment horizontal="right" vertical="bottom"/>
      <protection locked="0"/>
    </xf>
    <xf numFmtId="1993" fontId="25" fillId="49" borderId="2">
      <alignment horizontal="right" vertical="bottom"/>
      <protection locked="0"/>
    </xf>
    <xf numFmtId="1993" fontId="25" fillId="7" borderId="2">
      <alignment horizontal="left" vertical="bottom"/>
    </xf>
    <xf numFmtId="2003" fontId="25" fillId="50" borderId="2">
      <alignment horizontal="center" vertical="center"/>
    </xf>
    <xf numFmtId="2003" fontId="25" fillId="49" borderId="2">
      <alignment horizontal="center" vertical="center"/>
      <protection locked="0"/>
    </xf>
    <xf numFmtId="0" fontId="6" fillId="7" borderId="2">
      <alignment horizontal="general" vertical="center"/>
    </xf>
    <xf numFmtId="0" fontId="25" fillId="49" borderId="2">
      <protection locked="0"/>
    </xf>
    <xf numFmtId="0" fontId="25" fillId="49" borderId="2">
      <alignment horizontal="center" vertical="center" wrapText="1"/>
      <protection locked="0"/>
    </xf>
    <xf numFmtId="0" fontId="25" fillId="49" borderId="7">
      <alignment horizontal="center" vertical="center" wrapText="1"/>
      <protection locked="0"/>
    </xf>
    <xf numFmtId="1" fontId="25" fillId="49" borderId="2">
      <alignment horizontal="center" vertical="center" wrapText="1"/>
      <protection locked="0"/>
    </xf>
    <xf numFmtId="0" fontId="33" fillId="49" borderId="0">
      <protection locked="0"/>
    </xf>
    <xf numFmtId="0" fontId="25" fillId="49" borderId="2">
      <alignment horizontal="right" vertical="bottom"/>
      <protection locked="0"/>
    </xf>
    <xf numFmtId="1" fontId="17" fillId="7" borderId="2">
      <alignment horizontal="right" vertical="center" shrinkToFit="1" indent="1"/>
      <protection locked="0"/>
    </xf>
    <xf numFmtId="0" fontId="34" fillId="50" borderId="2"/>
    <xf numFmtId="308" fontId="25" fillId="15" borderId="12">
      <alignment horizontal="center" vertical="bottom"/>
      <protection locked="0"/>
    </xf>
    <xf numFmtId="308" fontId="25" fillId="15" borderId="12">
      <alignment horizontal="right" vertical="bottom"/>
      <protection locked="0"/>
    </xf>
    <xf numFmtId="1993" fontId="25" fillId="49" borderId="12">
      <alignment horizontal="center" vertical="center"/>
      <protection locked="0"/>
    </xf>
    <xf numFmtId="0" fontId="25" fillId="49" borderId="12">
      <protection locked="0"/>
    </xf>
    <xf numFmtId="0" fontId="25" fillId="49" borderId="12">
      <alignment horizontal="right" vertical="bottom"/>
      <protection locked="0"/>
    </xf>
    <xf numFmtId="3" fontId="25" fillId="15" borderId="12">
      <alignment horizontal="center" vertical="bottom"/>
      <protection locked="0"/>
    </xf>
    <xf numFmtId="0" fontId="33" fillId="49" borderId="12">
      <alignment horizontal="center" vertical="center" wrapText="1"/>
      <protection locked="0"/>
    </xf>
    <xf numFmtId="0" fontId="19" fillId="0" borderId="13" applyFont="0" applyFill="0" applyNumberFormat="0" applyAlignment="0" applyProtection="0"/>
    <xf numFmtId="0" fontId="35" fillId="0" borderId="0" applyFill="0" applyBorder="0" applyNumberFormat="0" applyAlignment="0" applyProtection="0"/>
    <xf numFmtId="0" fontId="36" fillId="0" borderId="0" applyFill="0" applyBorder="0" applyNumberFormat="0" applyAlignment="0" applyProtection="0"/>
    <xf numFmtId="2" fontId="22" fillId="0" borderId="0" applyFont="0" applyFill="0" applyBorder="0" applyAlignment="0" applyProtection="0"/>
    <xf numFmtId="0" fontId="37" fillId="0" borderId="0"/>
    <xf numFmtId="0" fontId="38" fillId="51" borderId="0" applyBorder="0" applyNumberFormat="0" applyAlignment="0" applyProtection="0"/>
    <xf numFmtId="0" fontId="39" fillId="7" borderId="0" applyBorder="0" applyNumberFormat="0" applyAlignment="0" applyProtection="0"/>
    <xf numFmtId="38" fontId="5" fillId="46" borderId="0" applyBorder="0" applyNumberFormat="0" applyAlignment="0" applyProtection="0"/>
    <xf numFmtId="0" fontId="40" fillId="50" borderId="0">
      <alignment horizontal="center" vertical="bottom"/>
    </xf>
    <xf numFmtId="0" fontId="41" fillId="0" borderId="0" applyFill="0" applyBorder="0" applyNumberFormat="0" applyAlignment="0" applyProtection="0">
      <alignment horizontal="left" vertical="bottom"/>
    </xf>
    <xf numFmtId="0" fontId="21" fillId="15" borderId="9">
      <alignment horizontal="centerContinuous" vertical="center"/>
    </xf>
    <xf numFmtId="1993" fontId="25" fillId="50" borderId="0">
      <alignment horizontal="left" vertical="bottom"/>
    </xf>
    <xf numFmtId="4004" fontId="25" fillId="50" borderId="0">
      <alignment horizontal="left" vertical="bottom"/>
    </xf>
    <xf numFmtId="0" fontId="42" fillId="0" borderId="14" applyNumberFormat="0" applyAlignment="0" applyProtection="0">
      <alignment horizontal="left" vertical="center"/>
    </xf>
    <xf numFmtId="0" fontId="33" fillId="50" borderId="0">
      <alignment horizontal="right" vertical="bottom"/>
    </xf>
    <xf numFmtId="0" fontId="33" fillId="50" borderId="2">
      <alignment horizontal="center" vertical="center"/>
    </xf>
    <xf numFmtId="0" fontId="16" fillId="50" borderId="2" applyBorder="0">
      <alignment horizontal="center" vertical="center"/>
    </xf>
    <xf numFmtId="0" fontId="33" fillId="50" borderId="0">
      <alignment horizontal="left" vertical="bottom"/>
    </xf>
    <xf numFmtId="0" fontId="16" fillId="50" borderId="0">
      <alignment horizontal="left" vertical="bottom"/>
    </xf>
    <xf numFmtId="0" fontId="33" fillId="50" borderId="2">
      <alignment horizontal="left" vertical="bottom"/>
    </xf>
    <xf numFmtId="0" fontId="43" fillId="50" borderId="0">
      <alignment horizontal="center" vertical="center"/>
    </xf>
    <xf numFmtId="0" fontId="43" fillId="50" borderId="0">
      <alignment horizontal="left" vertical="bottom"/>
    </xf>
    <xf numFmtId="0" fontId="44" fillId="50" borderId="0">
      <alignment horizontal="center" vertical="center" wrapText="1"/>
    </xf>
    <xf numFmtId="0" fontId="44" fillId="50" borderId="15">
      <alignment horizontal="center" vertical="center" wrapText="1"/>
    </xf>
    <xf numFmtId="0" fontId="42" fillId="0" borderId="16">
      <alignment horizontal="left" vertical="center"/>
    </xf>
    <xf numFmtId="0" fontId="40" fillId="50" borderId="2">
      <alignment horizontal="center" vertical="bottom"/>
    </xf>
    <xf numFmtId="0" fontId="40" fillId="50" borderId="17">
      <alignment horizontal="left" vertical="bottom"/>
    </xf>
    <xf numFmtId="0" fontId="45" fillId="7" borderId="18" applyBorder="0">
      <alignment horizontal="left" vertical="bottom"/>
    </xf>
    <xf numFmtId="0" fontId="46" fillId="0" borderId="19" applyFill="0" applyNumberFormat="0" applyAlignment="0" applyProtection="0"/>
    <xf numFmtId="0" fontId="47" fillId="0" borderId="0" applyFill="0" applyBorder="0" applyNumberFormat="0" applyAlignment="0" applyProtection="0"/>
    <xf numFmtId="0" fontId="48" fillId="0" borderId="20" applyFill="0" applyNumberFormat="0" applyAlignment="0" applyProtection="0"/>
    <xf numFmtId="0" fontId="49" fillId="0" borderId="0" applyFill="0" applyBorder="0" applyNumberFormat="0" applyAlignment="0" applyProtection="0"/>
    <xf numFmtId="0" fontId="50" fillId="0" borderId="21" applyFill="0" applyNumberFormat="0" applyAlignment="0" applyProtection="0"/>
    <xf numFmtId="0" fontId="51" fillId="0" borderId="22" applyFill="0" applyNumberFormat="0" applyAlignment="0" applyProtection="0"/>
    <xf numFmtId="0" fontId="50" fillId="0" borderId="0" applyFill="0" applyBorder="0" applyNumberFormat="0" applyAlignment="0" applyProtection="0"/>
    <xf numFmtId="0" fontId="51" fillId="0" borderId="0" applyFill="0" applyBorder="0" applyNumberFormat="0" applyAlignment="0" applyProtection="0"/>
    <xf numFmtId="0" fontId="52" fillId="0" borderId="0" applyFill="0" applyBorder="0" applyNumberFormat="0" applyAlignment="0" applyProtection="0">
      <alignment horizontal="general" vertical="top"/>
      <protection locked="0"/>
    </xf>
    <xf numFmtId="0" fontId="53" fillId="0" borderId="0" applyFill="0" applyBorder="0" applyNumberFormat="0" applyAlignment="0" applyProtection="0">
      <alignment horizontal="general" vertical="top"/>
      <protection locked="0"/>
    </xf>
    <xf numFmtId="0" fontId="54" fillId="0" borderId="0" applyFill="0" applyBorder="0" applyNumberFormat="0" applyAlignment="0" applyProtection="0">
      <alignment horizontal="general" vertical="top"/>
      <protection locked="0"/>
    </xf>
    <xf numFmtId="0" fontId="55" fillId="0" borderId="0" applyFill="0" applyBorder="0" applyNumberFormat="0" applyAlignment="0" applyProtection="0"/>
    <xf numFmtId="0" fontId="56" fillId="0" borderId="0" applyFill="0" applyBorder="0" applyNumberFormat="0" applyAlignment="0" applyProtection="0">
      <alignment horizontal="general" vertical="top"/>
      <protection locked="0"/>
    </xf>
    <xf numFmtId="0" fontId="57" fillId="0" borderId="0" applyFill="0" applyBorder="0" applyNumberFormat="0" applyProtection="0">
      <alignment horizontal="left" vertical="top" wrapText="1" indent="1"/>
      <protection locked="0"/>
    </xf>
    <xf numFmtId="0" fontId="58" fillId="0" borderId="0" applyFont="0" applyBorder="0" applyNumberFormat="0" applyAlignment="0">
      <alignment horizontal="centerContinuous" vertical="bottom"/>
    </xf>
    <xf numFmtId="0" fontId="59" fillId="13" borderId="3" applyNumberFormat="0" applyAlignment="0" applyProtection="0"/>
    <xf numFmtId="10" fontId="5" fillId="52" borderId="2" applyBorder="0" applyNumberFormat="0" applyAlignment="0" applyProtection="0"/>
    <xf numFmtId="10" fontId="5" fillId="52" borderId="2"/>
    <xf numFmtId="0" fontId="60" fillId="13" borderId="4" applyNumberFormat="0" applyAlignment="0" applyProtection="0"/>
    <xf numFmtId="0" fontId="61" fillId="0" borderId="0" applyFont="0" applyFill="0" applyBorder="0" applyNumberFormat="0" applyProtection="0">
      <alignment horizontal="left" vertical="center"/>
    </xf>
    <xf numFmtId="0" fontId="62" fillId="0" borderId="23" applyFill="0" applyNumberFormat="0" applyAlignment="0" applyProtection="0"/>
    <xf numFmtId="0" fontId="63" fillId="0" borderId="24" applyFill="0" applyNumberFormat="0" applyAlignment="0" applyProtection="0"/>
    <xf numFmtId="0" fontId="21" fillId="0" borderId="2">
      <alignment horizontal="centerContinuous" vertical="bottom"/>
    </xf>
    <xf numFmtId="4005" fontId="64" fillId="0" borderId="0" applyFont="0" applyFill="0" applyBorder="0" applyAlignment="0" applyProtection="0"/>
    <xf numFmtId="4006" fontId="64" fillId="0" borderId="0" applyFont="0" applyFill="0" applyBorder="0" applyAlignment="0" applyProtection="0"/>
    <xf numFmtId="4007" fontId="64" fillId="0" borderId="0" applyFont="0" applyFill="0" applyBorder="0" applyAlignment="0" applyProtection="0"/>
    <xf numFmtId="4008" fontId="64" fillId="0" borderId="0" applyFont="0" applyFill="0" applyBorder="0" applyAlignment="0" applyProtection="0"/>
    <xf numFmtId="0" fontId="65" fillId="53" borderId="0" applyBorder="0" applyNumberFormat="0" applyAlignment="0" applyProtection="0"/>
    <xf numFmtId="0" fontId="66" fillId="54" borderId="0" applyBorder="0" applyNumberFormat="0" applyAlignment="0" applyProtection="0"/>
    <xf numFmtId="37" fontId="67" fillId="0" borderId="0"/>
    <xf numFmtId="4009" fontId="19" fillId="0" borderId="0"/>
    <xf numFmtId="4010" fontId="68" fillId="0" borderId="0"/>
    <xf numFmtId="0" fontId="25" fillId="0" borderId="0"/>
    <xf numFmtId="0" fontId="19" fillId="0" borderId="0"/>
    <xf numFmtId="0" fontId="25" fillId="50" borderId="0"/>
    <xf numFmtId="0" fontId="2" fillId="0" borderId="0"/>
    <xf numFmtId="0" fontId="69" fillId="0" borderId="0"/>
    <xf numFmtId="0" fontId="19" fillId="0" borderId="0">
      <alignment horizontal="left" vertical="bottom" wrapText="1"/>
    </xf>
    <xf numFmtId="0" fontId="19" fillId="0" borderId="0">
      <alignment horizontal="general" vertical="center"/>
    </xf>
    <xf numFmtId="0" fontId="20" fillId="0" borderId="0"/>
    <xf numFmtId="0" fontId="24" fillId="0" borderId="0"/>
    <xf numFmtId="0" fontId="70" fillId="0" borderId="2"/>
    <xf numFmtId="0" fontId="71" fillId="0" borderId="0"/>
    <xf numFmtId="0" fontId="23" fillId="0" borderId="0"/>
    <xf numFmtId="0" fontId="72" fillId="0" borderId="0"/>
    <xf numFmtId="0" fontId="1" fillId="0" borderId="0"/>
    <xf numFmtId="0" fontId="25" fillId="50" borderId="0">
      <protection locked="0"/>
    </xf>
    <xf numFmtId="0" fontId="0" fillId="52" borderId="25" applyFont="0" applyNumberFormat="0" applyAlignment="0" applyProtection="0"/>
    <xf numFmtId="0" fontId="19" fillId="52" borderId="26" applyFont="0" applyNumberFormat="0" applyAlignment="0" applyProtection="0"/>
    <xf numFmtId="3" fontId="25" fillId="15" borderId="2">
      <protection locked="0"/>
    </xf>
    <xf numFmtId="3" fontId="25" fillId="15" borderId="2">
      <alignment horizontal="center" vertical="bottom"/>
      <protection locked="0"/>
    </xf>
    <xf numFmtId="3" fontId="25" fillId="15" borderId="2">
      <alignment horizontal="center" vertical="center"/>
      <protection locked="0"/>
    </xf>
    <xf numFmtId="3" fontId="26" fillId="15" borderId="2">
      <protection locked="0"/>
    </xf>
    <xf numFmtId="3" fontId="27" fillId="15" borderId="2">
      <protection locked="0"/>
    </xf>
    <xf numFmtId="3" fontId="25" fillId="7" borderId="2"/>
    <xf numFmtId="3" fontId="28" fillId="7" borderId="2"/>
    <xf numFmtId="3" fontId="25" fillId="7" borderId="2">
      <alignment horizontal="center" vertical="bottom"/>
    </xf>
    <xf numFmtId="3" fontId="25" fillId="7" borderId="0">
      <alignment horizontal="center" vertical="bottom"/>
    </xf>
    <xf numFmtId="1" fontId="25" fillId="7" borderId="2">
      <alignment horizontal="center" vertical="bottom"/>
    </xf>
    <xf numFmtId="3" fontId="28" fillId="7" borderId="2">
      <alignment horizontal="center" vertical="bottom"/>
    </xf>
    <xf numFmtId="4011" fontId="25" fillId="7" borderId="2">
      <alignment horizontal="center" vertical="bottom"/>
    </xf>
    <xf numFmtId="1" fontId="25" fillId="7" borderId="2"/>
    <xf numFmtId="1" fontId="25" fillId="7" borderId="2">
      <alignment horizontal="general" vertical="center"/>
    </xf>
    <xf numFmtId="1" fontId="25" fillId="7" borderId="0">
      <alignment horizontal="right" vertical="bottom"/>
    </xf>
    <xf numFmtId="3" fontId="17" fillId="7" borderId="2"/>
    <xf numFmtId="3" fontId="26" fillId="15" borderId="2">
      <alignment horizontal="right" vertical="bottom"/>
      <protection locked="0"/>
    </xf>
    <xf numFmtId="3" fontId="25" fillId="7" borderId="2">
      <alignment horizontal="left" vertical="bottom"/>
    </xf>
    <xf numFmtId="3" fontId="26" fillId="7" borderId="2">
      <alignment horizontal="center" vertical="bottom"/>
    </xf>
    <xf numFmtId="3" fontId="17" fillId="0" borderId="2">
      <protection locked="0"/>
    </xf>
    <xf numFmtId="3" fontId="25" fillId="15" borderId="7">
      <alignment horizontal="center" vertical="bottom"/>
      <protection locked="0"/>
    </xf>
    <xf numFmtId="1" fontId="25" fillId="15" borderId="2">
      <alignment horizontal="left" vertical="bottom"/>
      <protection locked="0"/>
    </xf>
    <xf numFmtId="172" fontId="25" fillId="7" borderId="2">
      <alignment horizontal="right" vertical="bottom"/>
    </xf>
    <xf numFmtId="172" fontId="26" fillId="7" borderId="2">
      <alignment horizontal="right" vertical="bottom"/>
    </xf>
    <xf numFmtId="4014" fontId="25" fillId="7" borderId="2">
      <alignment horizontal="right" vertical="bottom"/>
    </xf>
    <xf numFmtId="172" fontId="25" fillId="15" borderId="2">
      <alignment horizontal="center" vertical="bottom"/>
      <protection locked="0"/>
    </xf>
    <xf numFmtId="4014" fontId="25" fillId="15" borderId="2">
      <alignment horizontal="center" vertical="bottom"/>
      <protection locked="0"/>
    </xf>
    <xf numFmtId="4014" fontId="25" fillId="15" borderId="7">
      <alignment horizontal="center" vertical="bottom"/>
      <protection locked="0"/>
    </xf>
    <xf numFmtId="172" fontId="25" fillId="15" borderId="2">
      <alignment horizontal="left" vertical="bottom"/>
      <protection locked="0"/>
    </xf>
    <xf numFmtId="172" fontId="25" fillId="15" borderId="2">
      <alignment horizontal="right" vertical="bottom"/>
      <protection locked="0"/>
    </xf>
    <xf numFmtId="4" fontId="25" fillId="15" borderId="2">
      <protection locked="0"/>
    </xf>
    <xf numFmtId="4" fontId="25" fillId="7" borderId="2">
      <alignment horizontal="center" vertical="bottom"/>
    </xf>
    <xf numFmtId="4" fontId="25" fillId="7" borderId="2"/>
    <xf numFmtId="4" fontId="25" fillId="7" borderId="2">
      <alignment horizontal="right" vertical="bottom"/>
    </xf>
    <xf numFmtId="4" fontId="25" fillId="15" borderId="2">
      <alignment horizontal="center" vertical="bottom"/>
      <protection locked="0"/>
    </xf>
    <xf numFmtId="4" fontId="25" fillId="15" borderId="2">
      <alignment horizontal="left" vertical="bottom"/>
      <protection locked="0"/>
    </xf>
    <xf numFmtId="4020" fontId="25" fillId="49" borderId="2">
      <protection locked="0"/>
    </xf>
    <xf numFmtId="4020" fontId="25" fillId="15" borderId="2">
      <protection locked="0"/>
    </xf>
    <xf numFmtId="4020" fontId="26" fillId="49" borderId="2">
      <protection locked="0"/>
    </xf>
    <xf numFmtId="4020" fontId="25" fillId="7" borderId="2"/>
    <xf numFmtId="4020" fontId="28" fillId="7" borderId="2"/>
    <xf numFmtId="4020" fontId="25" fillId="7" borderId="2">
      <alignment horizontal="center" vertical="bottom"/>
    </xf>
    <xf numFmtId="4020" fontId="26" fillId="7" borderId="2"/>
    <xf numFmtId="4020" fontId="25" fillId="49" borderId="2">
      <alignment horizontal="center" vertical="bottom"/>
      <protection locked="0"/>
    </xf>
    <xf numFmtId="4020" fontId="25" fillId="49" borderId="2">
      <alignment horizontal="right" vertical="bottom"/>
      <protection locked="0"/>
    </xf>
    <xf numFmtId="4029" fontId="25" fillId="7" borderId="2"/>
    <xf numFmtId="3" fontId="25" fillId="15" borderId="9" applyBorder="0">
      <alignment horizontal="center" vertical="bottom"/>
      <protection locked="0"/>
    </xf>
    <xf numFmtId="1" fontId="25" fillId="15" borderId="2">
      <alignment horizontal="center" vertical="bottom"/>
      <protection locked="0"/>
    </xf>
    <xf numFmtId="1" fontId="25" fillId="15" borderId="2">
      <alignment horizontal="right" vertical="bottom"/>
      <protection locked="0"/>
    </xf>
    <xf numFmtId="4030" fontId="25" fillId="15" borderId="2">
      <protection locked="0"/>
    </xf>
    <xf numFmtId="0" fontId="73" fillId="45" borderId="27" applyNumberFormat="0" applyAlignment="0" applyProtection="0"/>
    <xf numFmtId="0" fontId="74" fillId="46" borderId="28" applyNumberFormat="0" applyAlignment="0" applyProtection="0"/>
    <xf numFmtId="0" fontId="19" fillId="0" borderId="29" applyFont="0" applyFill="0" applyNumberFormat="0" applyAlignment="0" applyProtection="0"/>
    <xf numFmtId="0" fontId="44" fillId="50" borderId="0"/>
    <xf numFmtId="9" fontId="0" fillId="0" borderId="0" applyFont="0" applyFill="0" applyBorder="0" applyAlignment="0" applyProtection="0"/>
    <xf numFmtId="10" fontId="19" fillId="0" borderId="0" applyFont="0" applyFill="0" applyBorder="0" applyAlignment="0" applyProtection="0"/>
    <xf numFmtId="9" fontId="19" fillId="0" borderId="0" applyFont="0" applyFill="0" applyBorder="0" applyAlignment="0" applyProtection="0"/>
    <xf numFmtId="9" fontId="21" fillId="0" borderId="0" applyFont="0" applyFill="0" applyBorder="0" applyAlignment="0" applyProtection="0"/>
    <xf numFmtId="9" fontId="23" fillId="0" borderId="0" applyFont="0" applyFill="0" applyBorder="0" applyAlignment="0" applyProtection="0"/>
    <xf numFmtId="9" fontId="24" fillId="0" borderId="0" applyFont="0" applyFill="0" applyBorder="0" applyAlignment="0" applyProtection="0"/>
    <xf numFmtId="4031" fontId="25" fillId="49" borderId="2">
      <protection locked="0"/>
    </xf>
    <xf numFmtId="4031" fontId="25" fillId="49" borderId="2">
      <alignment horizontal="center" vertical="bottom"/>
      <protection locked="0"/>
    </xf>
    <xf numFmtId="4031" fontId="25" fillId="49" borderId="2">
      <alignment horizontal="right" vertical="bottom"/>
      <protection locked="0"/>
    </xf>
    <xf numFmtId="4031" fontId="25" fillId="7" borderId="2"/>
    <xf numFmtId="4031" fontId="25" fillId="7" borderId="2">
      <alignment horizontal="center" vertical="bottom"/>
    </xf>
    <xf numFmtId="4031" fontId="28" fillId="7" borderId="2">
      <alignment horizontal="center" vertical="bottom"/>
    </xf>
    <xf numFmtId="4031" fontId="75" fillId="7" borderId="2"/>
    <xf numFmtId="4031" fontId="17" fillId="7" borderId="2"/>
    <xf numFmtId="4031" fontId="17" fillId="15" borderId="2">
      <protection locked="0"/>
    </xf>
    <xf numFmtId="9" fontId="17" fillId="7" borderId="2"/>
    <xf numFmtId="9" fontId="17" fillId="15" borderId="2">
      <protection locked="0"/>
    </xf>
    <xf numFmtId="10" fontId="25" fillId="49" borderId="2">
      <protection locked="0"/>
    </xf>
    <xf numFmtId="10" fontId="25" fillId="15" borderId="2">
      <protection locked="0"/>
    </xf>
    <xf numFmtId="10" fontId="25" fillId="7" borderId="2"/>
    <xf numFmtId="10" fontId="25" fillId="7" borderId="2">
      <alignment horizontal="center" vertical="bottom"/>
    </xf>
    <xf numFmtId="10" fontId="17" fillId="7" borderId="2"/>
    <xf numFmtId="10" fontId="25" fillId="49" borderId="2">
      <alignment horizontal="center" vertical="bottom"/>
      <protection locked="0"/>
    </xf>
    <xf numFmtId="10" fontId="25" fillId="49" borderId="2">
      <alignment horizontal="center" vertical="center"/>
      <protection locked="0"/>
    </xf>
    <xf numFmtId="10" fontId="17" fillId="15" borderId="2">
      <protection locked="0"/>
    </xf>
    <xf numFmtId="10" fontId="25" fillId="49" borderId="2">
      <alignment horizontal="left" vertical="bottom"/>
      <protection locked="0"/>
    </xf>
    <xf numFmtId="10" fontId="25" fillId="49" borderId="2">
      <alignment horizontal="center" vertical="center"/>
    </xf>
    <xf numFmtId="10" fontId="25" fillId="49" borderId="2">
      <alignment horizontal="right" vertical="bottom"/>
      <protection locked="0"/>
    </xf>
    <xf numFmtId="4041" fontId="25" fillId="49" borderId="2">
      <protection locked="0"/>
    </xf>
    <xf numFmtId="4041" fontId="25" fillId="15" borderId="2">
      <protection locked="0"/>
    </xf>
    <xf numFmtId="4041" fontId="25" fillId="7" borderId="2"/>
    <xf numFmtId="4041" fontId="28" fillId="7" borderId="2"/>
    <xf numFmtId="4041" fontId="30" fillId="7" borderId="2"/>
    <xf numFmtId="4041" fontId="26" fillId="7" borderId="2"/>
    <xf numFmtId="4041" fontId="25" fillId="7" borderId="2">
      <alignment horizontal="center" vertical="bottom"/>
    </xf>
    <xf numFmtId="4041" fontId="25" fillId="49" borderId="2">
      <alignment horizontal="center" vertical="bottom"/>
      <protection locked="0"/>
    </xf>
    <xf numFmtId="4041" fontId="25" fillId="49" borderId="9" applyBorder="0">
      <alignment horizontal="left" vertical="bottom"/>
      <protection locked="0"/>
    </xf>
    <xf numFmtId="4041" fontId="25" fillId="49" borderId="2">
      <alignment horizontal="right" vertical="bottom"/>
      <protection locked="0"/>
    </xf>
    <xf numFmtId="4051" fontId="25" fillId="49" borderId="2">
      <alignment horizontal="center" vertical="bottom"/>
      <protection locked="0"/>
    </xf>
    <xf numFmtId="4051" fontId="25" fillId="49" borderId="2">
      <alignment horizontal="center" vertical="center"/>
    </xf>
    <xf numFmtId="4053" fontId="25" fillId="15" borderId="2">
      <alignment horizontal="center" vertical="bottom"/>
      <protection locked="0"/>
    </xf>
    <xf numFmtId="4053" fontId="25" fillId="15" borderId="2">
      <protection locked="0"/>
    </xf>
    <xf numFmtId="4053" fontId="25" fillId="7" borderId="2"/>
    <xf numFmtId="4053" fontId="25" fillId="7" borderId="2">
      <alignment horizontal="center" vertical="bottom"/>
    </xf>
    <xf numFmtId="9" fontId="25" fillId="49" borderId="2">
      <alignment horizontal="center" vertical="center"/>
      <protection locked="0"/>
    </xf>
    <xf numFmtId="0" fontId="6" fillId="48" borderId="0">
      <protection locked="0"/>
    </xf>
    <xf numFmtId="0" fontId="64" fillId="0" borderId="0" applyFont="0" applyFill="0" applyBorder="0" applyNumberFormat="0" applyAlignment="0" applyProtection="0">
      <alignment horizontal="left" vertical="bottom"/>
    </xf>
    <xf numFmtId="15" fontId="64" fillId="0" borderId="0" applyFont="0" applyFill="0" applyBorder="0" applyAlignment="0" applyProtection="0"/>
    <xf numFmtId="4" fontId="64" fillId="0" borderId="0" applyFont="0" applyFill="0" applyBorder="0" applyAlignment="0" applyProtection="0"/>
    <xf numFmtId="0" fontId="76" fillId="0" borderId="30">
      <alignment horizontal="center" vertical="bottom"/>
    </xf>
    <xf numFmtId="3" fontId="64" fillId="0" borderId="0" applyFont="0" applyFill="0" applyBorder="0" applyAlignment="0" applyProtection="0"/>
    <xf numFmtId="0" fontId="64" fillId="55" borderId="0" applyFont="0" applyBorder="0" applyNumberFormat="0" applyAlignment="0" applyProtection="0"/>
    <xf numFmtId="0" fontId="77" fillId="0" borderId="0"/>
    <xf numFmtId="0" fontId="78" fillId="0" borderId="0">
      <alignment horizontal="right" vertical="top"/>
    </xf>
    <xf numFmtId="0" fontId="31" fillId="0" borderId="0" applyFill="0" applyBorder="0" applyNumberFormat="0" applyAlignment="0" applyProtection="0"/>
    <xf numFmtId="0" fontId="79" fillId="50" borderId="0">
      <alignment horizontal="left" vertical="bottom"/>
    </xf>
    <xf numFmtId="0" fontId="80" fillId="50" borderId="0">
      <alignment horizontal="left" vertical="bottom"/>
    </xf>
    <xf numFmtId="0" fontId="16" fillId="50" borderId="2">
      <alignment horizontal="center" vertical="center" textRotation="90"/>
    </xf>
    <xf numFmtId="0" fontId="33" fillId="50" borderId="0">
      <alignment horizontal="center" vertical="center" textRotation="90"/>
    </xf>
    <xf numFmtId="0" fontId="33" fillId="50" borderId="2">
      <alignment horizontal="center" vertical="center" textRotation="90"/>
    </xf>
    <xf numFmtId="0" fontId="16" fillId="50" borderId="2">
      <alignment horizontal="center" vertical="bottom"/>
    </xf>
    <xf numFmtId="0" fontId="16" fillId="50" borderId="2">
      <alignment horizontal="left" vertical="bottom"/>
    </xf>
    <xf numFmtId="0" fontId="30" fillId="50" borderId="9" applyBorder="0">
      <alignment horizontal="right" vertical="bottom"/>
    </xf>
    <xf numFmtId="0" fontId="81" fillId="50" borderId="0"/>
    <xf numFmtId="0" fontId="40" fillId="50" borderId="0">
      <alignment horizontal="left" vertical="bottom"/>
    </xf>
    <xf numFmtId="0" fontId="82" fillId="15" borderId="0">
      <alignment horizontal="general" vertical="center"/>
    </xf>
    <xf numFmtId="0" fontId="83" fillId="56" borderId="2">
      <alignment horizontal="centerContinuous" vertical="center"/>
    </xf>
    <xf numFmtId="0" fontId="84" fillId="0" borderId="0"/>
    <xf numFmtId="0" fontId="61" fillId="0" borderId="0"/>
    <xf numFmtId="3" fontId="19" fillId="0" borderId="0" applyBorder="0" applyNumberFormat="0" applyProtection="0">
      <alignment horizontal="center" vertical="top" wrapText="1"/>
    </xf>
    <xf numFmtId="0" fontId="19" fillId="0" borderId="31" applyNumberFormat="0" applyProtection="0">
      <alignment horizontal="left" vertical="center"/>
    </xf>
    <xf numFmtId="0" fontId="19" fillId="0" borderId="0" applyFill="0" applyBorder="0" applyNumberFormat="0" applyProtection="0">
      <alignment horizontal="left" vertical="top" wrapText="1" indent="1"/>
    </xf>
    <xf numFmtId="0" fontId="19" fillId="0" borderId="0" applyNumberFormat="0" applyProtection="0">
      <alignment horizontal="general" vertical="top" wrapText="1"/>
    </xf>
    <xf numFmtId="0" fontId="85" fillId="0" borderId="32" applyNumberFormat="0" applyProtection="0">
      <alignment horizontal="centerContinuous" vertical="center"/>
    </xf>
    <xf numFmtId="4057" fontId="25" fillId="15" borderId="2">
      <alignment horizontal="left" vertical="bottom"/>
      <protection locked="0"/>
    </xf>
    <xf numFmtId="4057" fontId="25" fillId="7" borderId="2">
      <alignment horizontal="left" vertical="bottom"/>
    </xf>
    <xf numFmtId="0" fontId="25" fillId="49" borderId="2">
      <alignment horizontal="left" vertical="top" wrapText="1"/>
      <protection locked="0"/>
    </xf>
    <xf numFmtId="0" fontId="25" fillId="49" borderId="0">
      <alignment horizontal="left" vertical="top" wrapText="1"/>
      <protection locked="0"/>
    </xf>
    <xf numFmtId="0" fontId="33" fillId="15" borderId="2">
      <alignment horizontal="left" vertical="bottom"/>
      <protection locked="0"/>
    </xf>
    <xf numFmtId="0" fontId="25" fillId="49" borderId="2">
      <alignment horizontal="center" vertical="bottom"/>
      <protection locked="0"/>
    </xf>
    <xf numFmtId="0" fontId="25" fillId="7" borderId="2">
      <alignment horizontal="left" vertical="bottom"/>
    </xf>
    <xf numFmtId="0" fontId="25" fillId="7" borderId="2">
      <alignment horizontal="right" vertical="bottom"/>
    </xf>
    <xf numFmtId="0" fontId="33" fillId="7" borderId="2">
      <alignment horizontal="center" vertical="bottom"/>
    </xf>
    <xf numFmtId="0" fontId="25" fillId="49" borderId="0">
      <alignment horizontal="center" vertical="center"/>
      <protection locked="0"/>
    </xf>
    <xf numFmtId="0" fontId="25" fillId="49" borderId="2">
      <alignment horizontal="left" vertical="bottom"/>
      <protection locked="0"/>
    </xf>
    <xf numFmtId="0" fontId="25" fillId="49" borderId="2">
      <alignment horizontal="left" vertical="bottom" wrapText="1"/>
      <protection locked="0"/>
    </xf>
    <xf numFmtId="0" fontId="25" fillId="49" borderId="7">
      <alignment horizontal="center" vertical="bottom"/>
      <protection locked="0"/>
    </xf>
    <xf numFmtId="0" fontId="16" fillId="49" borderId="2">
      <alignment horizontal="center" vertical="center" wrapText="1"/>
      <protection locked="0"/>
    </xf>
    <xf numFmtId="0" fontId="33" fillId="49" borderId="2">
      <alignment horizontal="center" vertical="center" wrapText="1"/>
      <protection locked="0"/>
    </xf>
    <xf numFmtId="49" fontId="33" fillId="49" borderId="9">
      <alignment horizontal="center" vertical="center" wrapText="1"/>
      <protection locked="0"/>
    </xf>
    <xf numFmtId="0" fontId="33" fillId="49" borderId="2">
      <alignment horizontal="left" vertical="bottom"/>
      <protection locked="0"/>
    </xf>
    <xf numFmtId="0" fontId="33" fillId="49" borderId="0">
      <alignment horizontal="left" vertical="bottom"/>
      <protection locked="0"/>
    </xf>
    <xf numFmtId="0" fontId="25" fillId="49" borderId="2">
      <alignment horizontal="center" vertical="center"/>
      <protection locked="0"/>
    </xf>
    <xf numFmtId="0" fontId="25" fillId="49" borderId="2">
      <alignment horizontal="left" vertical="center" wrapText="1"/>
      <protection locked="0"/>
    </xf>
    <xf numFmtId="0" fontId="25" fillId="49" borderId="7">
      <alignment horizontal="left" vertical="center" wrapText="1"/>
      <protection locked="0"/>
    </xf>
    <xf numFmtId="0" fontId="25" fillId="49" borderId="2">
      <alignment horizontal="center" vertical="center"/>
    </xf>
    <xf numFmtId="0" fontId="25" fillId="50" borderId="2">
      <alignment horizontal="left" vertical="center" wrapText="1"/>
    </xf>
    <xf numFmtId="0" fontId="25" fillId="49" borderId="2">
      <alignment horizontal="left" vertical="top"/>
      <protection locked="0"/>
    </xf>
    <xf numFmtId="0" fontId="25" fillId="7" borderId="2">
      <alignment horizontal="center" vertical="center" wrapText="1"/>
    </xf>
    <xf numFmtId="0" fontId="16" fillId="7" borderId="0">
      <alignment horizontal="left" vertical="bottom"/>
    </xf>
    <xf numFmtId="40" fontId="86" fillId="0" borderId="0"/>
    <xf numFmtId="0" fontId="87" fillId="0" borderId="0" applyFill="0" applyBorder="0" applyNumberFormat="0" applyAlignment="0" applyProtection="0"/>
    <xf numFmtId="0" fontId="88" fillId="0" borderId="0" applyFill="0" applyBorder="0" applyNumberFormat="0" applyAlignment="0" applyProtection="0"/>
    <xf numFmtId="0" fontId="89" fillId="0" borderId="33" applyFill="0" applyNumberFormat="0" applyAlignment="0" applyProtection="0"/>
    <xf numFmtId="0" fontId="22" fillId="0" borderId="34" applyFont="0" applyFill="0" applyNumberFormat="0" applyAlignment="0" applyProtection="0"/>
    <xf numFmtId="0" fontId="90" fillId="0" borderId="0" applyFill="0" applyBorder="0" applyNumberFormat="0" applyAlignment="0" applyProtection="0"/>
    <xf numFmtId="0" fontId="91" fillId="0" borderId="0" applyFill="0" applyBorder="0" applyNumberFormat="0" applyAlignment="0" applyProtection="0"/>
    <xf numFmtId="0" fontId="84" fillId="0" borderId="0" applyFont="0" applyFill="0" applyBorder="0" applyNumberFormat="0" applyProtection="0">
      <alignment horizontal="center" vertical="center" wrapText="1"/>
    </xf>
  </cellStyleXfs>
  <cellXfs count="4">
    <xf numFmtId="0" fontId="0" fillId="0" borderId="0" xfId="0"/>
    <xf numFmtId="5670" fontId="0" fillId="0" borderId="0" xfId="0"/>
    <xf numFmtId="0" fontId="131" fillId="0" borderId="0" xfId="0"/>
    <xf numFmtId="33" fontId="0" fillId="0" borderId="0" xfId="0"/>
  </cellXfs>
  <cellStyles count="36078">
    <cellStyle name="Normal" xfId="0" builtinId="0"/>
    <cellStyle name="£ BP" xfId="1"/>
    <cellStyle name="¥ JY" xfId="2"/>
    <cellStyle name="20% - Accent1" xfId="3" builtinId="30"/>
    <cellStyle name="20% - Accent1 2" xfId="4"/>
    <cellStyle name="20% - Accent2" xfId="5" builtinId="34"/>
    <cellStyle name="20% - Accent2 2" xfId="6"/>
    <cellStyle name="20% - Accent3" xfId="7" builtinId="38"/>
    <cellStyle name="20% - Accent3 2" xfId="8"/>
    <cellStyle name="20% - Accent4" xfId="9" builtinId="42"/>
    <cellStyle name="20% - Accent4 2" xfId="10"/>
    <cellStyle name="20% - Accent5" xfId="11" builtinId="46"/>
    <cellStyle name="20% - Accent5 2" xfId="12"/>
    <cellStyle name="20% - Accent6" xfId="13" builtinId="50"/>
    <cellStyle name="20% - Accent6 2" xfId="14"/>
    <cellStyle name="40% - Accent1" xfId="15" builtinId="31"/>
    <cellStyle name="40% - Accent1 2" xfId="16"/>
    <cellStyle name="40% - Accent2" xfId="17" builtinId="35"/>
    <cellStyle name="40% - Accent2 2" xfId="18"/>
    <cellStyle name="40% - Accent3" xfId="19" builtinId="39"/>
    <cellStyle name="40% - Accent3 2" xfId="20"/>
    <cellStyle name="40% - Accent4" xfId="21" builtinId="43"/>
    <cellStyle name="40% - Accent4 2" xfId="10"/>
    <cellStyle name="40% - Accent5" xfId="22" builtinId="47"/>
    <cellStyle name="40% - Accent5 2" xfId="16"/>
    <cellStyle name="40% - Accent6" xfId="23" builtinId="51"/>
    <cellStyle name="40% - Accent6 2" xfId="24"/>
    <cellStyle name="60% - Accent1" xfId="25" builtinId="32"/>
    <cellStyle name="60% - Accent1 2" xfId="26"/>
    <cellStyle name="60% - Accent2" xfId="27" builtinId="36"/>
    <cellStyle name="60% - Accent2 2" xfId="28"/>
    <cellStyle name="60% - Accent3" xfId="29" builtinId="40"/>
    <cellStyle name="60% - Accent3 2" xfId="30"/>
    <cellStyle name="60% - Accent4" xfId="31" builtinId="44"/>
    <cellStyle name="60% - Accent4 2" xfId="32"/>
    <cellStyle name="60% - Accent5" xfId="33" builtinId="48"/>
    <cellStyle name="60% - Accent5 2" xfId="34"/>
    <cellStyle name="60% - Accent6" xfId="35" builtinId="52"/>
    <cellStyle name="60% - Accent6 2" xfId="36"/>
    <cellStyle name="Accent1" xfId="37" builtinId="29"/>
    <cellStyle name="Accent1 2" xfId="38"/>
    <cellStyle name="Accent2" xfId="39" builtinId="33"/>
    <cellStyle name="Accent2 2" xfId="40"/>
    <cellStyle name="Accent3" xfId="41" builtinId="37"/>
    <cellStyle name="Accent3 2" xfId="42"/>
    <cellStyle name="Accent4" xfId="43" builtinId="41"/>
    <cellStyle name="Accent4 2" xfId="32"/>
    <cellStyle name="Accent5" xfId="44" builtinId="45"/>
    <cellStyle name="Accent5 2" xfId="34"/>
    <cellStyle name="Accent6" xfId="45" builtinId="49"/>
    <cellStyle name="Accent6 2" xfId="46"/>
    <cellStyle name="active" xfId="47"/>
    <cellStyle name="Background" xfId="48"/>
    <cellStyle name="Bad" xfId="49" builtinId="27"/>
    <cellStyle name="Bad 2" xfId="50"/>
    <cellStyle name="Body" xfId="51"/>
    <cellStyle name="Bold/Border" xfId="52"/>
    <cellStyle name="Bold/Border 2" xfId="52"/>
    <cellStyle name="Bold/Border 3" xfId="52"/>
    <cellStyle name="Bold/Border 4" xfId="52"/>
    <cellStyle name="Bold/Border 5" xfId="52"/>
    <cellStyle name="Bold/Border 6" xfId="52"/>
    <cellStyle name="box" xfId="53"/>
    <cellStyle name="box 2" xfId="53"/>
    <cellStyle name="box 2 2" xfId="53"/>
    <cellStyle name="box 2 2 2" xfId="53"/>
    <cellStyle name="box 2 2 2 2" xfId="53"/>
    <cellStyle name="box 2 2 3" xfId="53"/>
    <cellStyle name="box 2 2 3 2" xfId="53"/>
    <cellStyle name="box 2 2 4" xfId="53"/>
    <cellStyle name="box 2 2 4 2" xfId="53"/>
    <cellStyle name="box 2 2 5" xfId="53"/>
    <cellStyle name="box 2 2 5 2" xfId="53"/>
    <cellStyle name="box 2 3" xfId="53"/>
    <cellStyle name="box 2 3 2" xfId="53"/>
    <cellStyle name="box 2 4" xfId="53"/>
    <cellStyle name="box 2 4 2" xfId="53"/>
    <cellStyle name="box 2 5" xfId="53"/>
    <cellStyle name="box 2 5 2" xfId="53"/>
    <cellStyle name="box 2 6" xfId="53"/>
    <cellStyle name="box 3" xfId="53"/>
    <cellStyle name="box 3 2" xfId="53"/>
    <cellStyle name="box 3 2 2" xfId="53"/>
    <cellStyle name="box 3 3" xfId="53"/>
    <cellStyle name="box 3 3 2" xfId="53"/>
    <cellStyle name="box 3 4" xfId="53"/>
    <cellStyle name="box 3 4 2" xfId="53"/>
    <cellStyle name="box 3 5" xfId="53"/>
    <cellStyle name="box 3 5 2" xfId="53"/>
    <cellStyle name="box 4" xfId="53"/>
    <cellStyle name="box 4 2" xfId="53"/>
    <cellStyle name="box 5" xfId="53"/>
    <cellStyle name="box 5 2" xfId="53"/>
    <cellStyle name="box 6" xfId="53"/>
    <cellStyle name="box 7" xfId="53"/>
    <cellStyle name="box 8" xfId="53"/>
    <cellStyle name="Bullet" xfId="54"/>
    <cellStyle name="Calculation" xfId="55" builtinId="22"/>
    <cellStyle name="Calculation 2" xfId="56"/>
    <cellStyle name="Calculation 2 2" xfId="56"/>
    <cellStyle name="Calculation 2 2 2" xfId="56"/>
    <cellStyle name="Calculation 2 3" xfId="56"/>
    <cellStyle name="Calculation 2 3 2" xfId="56"/>
    <cellStyle name="Calculation 2 4" xfId="56"/>
    <cellStyle name="Calculation 2 4 2" xfId="56"/>
    <cellStyle name="Calculation 2 5" xfId="56"/>
    <cellStyle name="Calculation 3" xfId="56"/>
    <cellStyle name="Calculation 4" xfId="56"/>
    <cellStyle name="Check Cell" xfId="57" builtinId="23"/>
    <cellStyle name="Check Cell 2" xfId="58"/>
    <cellStyle name="Check Cell 3" xfId="58"/>
    <cellStyle name="Column Header" xfId="59"/>
    <cellStyle name="Column Header-S" xfId="60"/>
    <cellStyle name="Column Header-TopAlign" xfId="61"/>
    <cellStyle name="Comma" xfId="62" builtinId="3"/>
    <cellStyle name="Comma  - Style1" xfId="63"/>
    <cellStyle name="Comma  - Style2" xfId="63"/>
    <cellStyle name="Comma  - Style3" xfId="63"/>
    <cellStyle name="Comma  - Style4" xfId="63"/>
    <cellStyle name="Comma  - Style5" xfId="63"/>
    <cellStyle name="Comma  - Style6" xfId="63"/>
    <cellStyle name="Comma  - Style7" xfId="63"/>
    <cellStyle name="Comma  - Style8" xfId="63"/>
    <cellStyle name="Comma 10" xfId="64"/>
    <cellStyle name="Comma 11" xfId="64"/>
    <cellStyle name="Comma 12" xfId="64"/>
    <cellStyle name="Comma 13" xfId="64"/>
    <cellStyle name="Comma 14" xfId="64"/>
    <cellStyle name="Comma 15" xfId="64"/>
    <cellStyle name="Comma 16" xfId="64"/>
    <cellStyle name="Comma 17" xfId="64"/>
    <cellStyle name="Comma 18" xfId="64"/>
    <cellStyle name="Comma 19" xfId="64"/>
    <cellStyle name="Comma 2" xfId="64"/>
    <cellStyle name="Comma 2 2" xfId="64"/>
    <cellStyle name="Comma 2 3" xfId="64"/>
    <cellStyle name="Comma 2 4" xfId="64"/>
    <cellStyle name="Comma 2 4 2" xfId="65"/>
    <cellStyle name="Comma 2 4 3" xfId="65"/>
    <cellStyle name="Comma 2 4 4" xfId="65"/>
    <cellStyle name="Comma 2 5" xfId="64"/>
    <cellStyle name="Comma 2 6" xfId="64"/>
    <cellStyle name="Comma 20" xfId="64"/>
    <cellStyle name="Comma 21" xfId="64"/>
    <cellStyle name="Comma 22" xfId="66"/>
    <cellStyle name="Comma 23" xfId="66"/>
    <cellStyle name="Comma 24" xfId="66"/>
    <cellStyle name="Comma 25" xfId="66"/>
    <cellStyle name="Comma 26" xfId="66"/>
    <cellStyle name="Comma 27" xfId="66"/>
    <cellStyle name="Comma 28" xfId="66"/>
    <cellStyle name="Comma 29" xfId="66"/>
    <cellStyle name="Comma 3" xfId="64"/>
    <cellStyle name="Comma 3 2" xfId="64"/>
    <cellStyle name="Comma 3 3" xfId="65"/>
    <cellStyle name="Comma 3 4" xfId="66"/>
    <cellStyle name="Comma 30" xfId="66"/>
    <cellStyle name="Comma 31" xfId="66"/>
    <cellStyle name="Comma 32" xfId="66"/>
    <cellStyle name="Comma 33" xfId="66"/>
    <cellStyle name="Comma 34" xfId="64"/>
    <cellStyle name="Comma 35" xfId="66"/>
    <cellStyle name="Comma 36" xfId="66"/>
    <cellStyle name="Comma 37" xfId="66"/>
    <cellStyle name="Comma 38" xfId="64"/>
    <cellStyle name="Comma 39" xfId="64"/>
    <cellStyle name="Comma 4" xfId="64"/>
    <cellStyle name="Comma 4 2" xfId="64"/>
    <cellStyle name="Comma 4 3" xfId="65"/>
    <cellStyle name="Comma 4 4" xfId="66"/>
    <cellStyle name="Comma 40" xfId="64"/>
    <cellStyle name="Comma 41" xfId="64"/>
    <cellStyle name="Comma 42" xfId="64"/>
    <cellStyle name="Comma 43" xfId="64"/>
    <cellStyle name="Comma 44" xfId="64"/>
    <cellStyle name="Comma 45" xfId="64"/>
    <cellStyle name="Comma 46" xfId="64"/>
    <cellStyle name="Comma 47" xfId="64"/>
    <cellStyle name="Comma 48" xfId="64"/>
    <cellStyle name="Comma 5" xfId="64"/>
    <cellStyle name="Comma 6" xfId="64"/>
    <cellStyle name="Comma 7" xfId="64"/>
    <cellStyle name="Comma 8" xfId="64"/>
    <cellStyle name="Comma 9" xfId="64"/>
    <cellStyle name="Comma0" xfId="67"/>
    <cellStyle name="Currency" xfId="68" builtinId="4"/>
    <cellStyle name="Currency 10" xfId="69"/>
    <cellStyle name="Currency 11" xfId="69"/>
    <cellStyle name="Currency 12" xfId="69"/>
    <cellStyle name="Currency 13" xfId="69"/>
    <cellStyle name="Currency 14" xfId="69"/>
    <cellStyle name="Currency 15" xfId="69"/>
    <cellStyle name="Currency 16" xfId="69"/>
    <cellStyle name="Currency 17" xfId="69"/>
    <cellStyle name="Currency 18" xfId="69"/>
    <cellStyle name="Currency 19" xfId="69"/>
    <cellStyle name="Currency 2" xfId="69"/>
    <cellStyle name="Currency 2 2" xfId="69"/>
    <cellStyle name="Currency 2 3" xfId="69"/>
    <cellStyle name="Currency 2 4" xfId="69"/>
    <cellStyle name="Currency 2 4 2" xfId="68"/>
    <cellStyle name="Currency 2 4 3" xfId="68"/>
    <cellStyle name="Currency 2 4 4" xfId="68"/>
    <cellStyle name="Currency 2 5" xfId="69"/>
    <cellStyle name="Currency 2 6" xfId="69"/>
    <cellStyle name="Currency 2 7" xfId="68"/>
    <cellStyle name="Currency 20" xfId="69"/>
    <cellStyle name="Currency 21" xfId="69"/>
    <cellStyle name="Currency 22" xfId="70"/>
    <cellStyle name="Currency 23" xfId="69"/>
    <cellStyle name="Currency 24" xfId="68"/>
    <cellStyle name="Currency 24 2" xfId="68"/>
    <cellStyle name="Currency 25" xfId="68"/>
    <cellStyle name="Currency 26" xfId="71"/>
    <cellStyle name="Currency 3" xfId="69"/>
    <cellStyle name="Currency 3 2" xfId="69"/>
    <cellStyle name="Currency 3 2 2" xfId="72"/>
    <cellStyle name="Currency 3 2 2 2" xfId="68"/>
    <cellStyle name="Currency 3 2 2 3" xfId="68"/>
    <cellStyle name="Currency 3 2 2 4" xfId="68"/>
    <cellStyle name="Currency 3 2 3" xfId="68"/>
    <cellStyle name="Currency 3 2 4" xfId="72"/>
    <cellStyle name="Currency 3 2 5" xfId="72"/>
    <cellStyle name="Currency 3 2 6" xfId="68"/>
    <cellStyle name="Currency 3 3" xfId="68"/>
    <cellStyle name="Currency 3 4" xfId="68"/>
    <cellStyle name="Currency 3 5" xfId="68"/>
    <cellStyle name="Currency 3 6" xfId="68"/>
    <cellStyle name="Currency 3 7" xfId="68"/>
    <cellStyle name="Currency 3 8" xfId="68"/>
    <cellStyle name="Currency 4" xfId="69"/>
    <cellStyle name="Currency 5" xfId="69"/>
    <cellStyle name="Currency 6" xfId="69"/>
    <cellStyle name="Currency 7" xfId="69"/>
    <cellStyle name="Currency 8" xfId="69"/>
    <cellStyle name="Currency 8 2" xfId="73"/>
    <cellStyle name="Currency 8 2 2" xfId="73"/>
    <cellStyle name="Currency 8 2 3" xfId="73"/>
    <cellStyle name="Currency 8 2 4" xfId="73"/>
    <cellStyle name="Currency 8 2 5" xfId="73"/>
    <cellStyle name="Currency 8 3" xfId="73"/>
    <cellStyle name="Currency 8 3 2" xfId="73"/>
    <cellStyle name="Currency 8 4" xfId="73"/>
    <cellStyle name="Currency 8 5" xfId="73"/>
    <cellStyle name="Currency 8 6" xfId="73"/>
    <cellStyle name="Currency 8 7" xfId="73"/>
    <cellStyle name="Currency 8 8" xfId="73"/>
    <cellStyle name="Currency 8 9" xfId="73"/>
    <cellStyle name="Currency 9" xfId="69"/>
    <cellStyle name="Currency0" xfId="74"/>
    <cellStyle name="CurrencyTB" xfId="75"/>
    <cellStyle name="CurrencyTB-Accounting" xfId="76"/>
    <cellStyle name="CurrencyTB-BB" xfId="77"/>
    <cellStyle name="CurrencyTB-C" xfId="78"/>
    <cellStyle name="CurrencyTB-CBB" xfId="79"/>
    <cellStyle name="CurrencyTB-DuelMode" xfId="75"/>
    <cellStyle name="CurrencyTB-H" xfId="80"/>
    <cellStyle name="CurrencyTB-HVerdana9" xfId="81"/>
    <cellStyle name="CurrencyTB-R" xfId="82"/>
    <cellStyle name="CurrencyTB-R,Accounting" xfId="83"/>
    <cellStyle name="CurrencyTB-R,B" xfId="84"/>
    <cellStyle name="CurrencyTB-R,B,Accounting" xfId="85"/>
    <cellStyle name="CurrencyTB-R,B,H" xfId="86"/>
    <cellStyle name="CurrencyTB-R,BS8" xfId="87"/>
    <cellStyle name="CurrencyTB-R,C" xfId="88"/>
    <cellStyle name="CurrencyTB-R,CB" xfId="89"/>
    <cellStyle name="CurrencyTB-R,CBRed" xfId="90"/>
    <cellStyle name="CurrencyTB-R,CBRedWB" xfId="91"/>
    <cellStyle name="CurrencyTB-R,CBRedWB9" xfId="92"/>
    <cellStyle name="CurrencyTB-R,LAlignRedWB" xfId="93"/>
    <cellStyle name="CurrencyTB-R,RARedWB" xfId="94"/>
    <cellStyle name="CurrencyTB-R,S" xfId="95"/>
    <cellStyle name="CurrencyTB-R,S,B" xfId="87"/>
    <cellStyle name="CurrencyTB-RLeftAlign" xfId="96"/>
    <cellStyle name="CurrencyTB-RRed" xfId="97"/>
    <cellStyle name="CurrencyTB-RRightAlign" xfId="98"/>
    <cellStyle name="CurrencyTB-RWB" xfId="99"/>
    <cellStyle name="CurrencyTB-RWB 2" xfId="99"/>
    <cellStyle name="CurrencyTB-RWB 2 10" xfId="99"/>
    <cellStyle name="CurrencyTB-RWB 2 11" xfId="99"/>
    <cellStyle name="CurrencyTB-RWB 2 12" xfId="99"/>
    <cellStyle name="CurrencyTB-RWB 2 13" xfId="99"/>
    <cellStyle name="CurrencyTB-RWB 2 2" xfId="99"/>
    <cellStyle name="CurrencyTB-RWB 2 2 10" xfId="99"/>
    <cellStyle name="CurrencyTB-RWB 2 2 11" xfId="99"/>
    <cellStyle name="CurrencyTB-RWB 2 2 12" xfId="99"/>
    <cellStyle name="CurrencyTB-RWB 2 2 13" xfId="99"/>
    <cellStyle name="CurrencyTB-RWB 2 2 2" xfId="99"/>
    <cellStyle name="CurrencyTB-RWB 2 2 2 10" xfId="99"/>
    <cellStyle name="CurrencyTB-RWB 2 2 2 2" xfId="99"/>
    <cellStyle name="CurrencyTB-RWB 2 2 2 2 2" xfId="99"/>
    <cellStyle name="CurrencyTB-RWB 2 2 2 2 2 2" xfId="99"/>
    <cellStyle name="CurrencyTB-RWB 2 2 2 2 2 3" xfId="99"/>
    <cellStyle name="CurrencyTB-RWB 2 2 2 2 2 4" xfId="99"/>
    <cellStyle name="CurrencyTB-RWB 2 2 2 2 2 5" xfId="99"/>
    <cellStyle name="CurrencyTB-RWB 2 2 2 2 3" xfId="99"/>
    <cellStyle name="CurrencyTB-RWB 2 2 2 2 3 2" xfId="99"/>
    <cellStyle name="CurrencyTB-RWB 2 2 2 2 3 3" xfId="99"/>
    <cellStyle name="CurrencyTB-RWB 2 2 2 2 3 4" xfId="99"/>
    <cellStyle name="CurrencyTB-RWB 2 2 2 2 4" xfId="99"/>
    <cellStyle name="CurrencyTB-RWB 2 2 2 2 5" xfId="99"/>
    <cellStyle name="CurrencyTB-RWB 2 2 2 2 6" xfId="99"/>
    <cellStyle name="CurrencyTB-RWB 2 2 2 2 7" xfId="99"/>
    <cellStyle name="CurrencyTB-RWB 2 2 2 2 8" xfId="99"/>
    <cellStyle name="CurrencyTB-RWB 2 2 2 3" xfId="99"/>
    <cellStyle name="CurrencyTB-RWB 2 2 2 3 2" xfId="99"/>
    <cellStyle name="CurrencyTB-RWB 2 2 2 3 2 2" xfId="99"/>
    <cellStyle name="CurrencyTB-RWB 2 2 2 3 2 3" xfId="99"/>
    <cellStyle name="CurrencyTB-RWB 2 2 2 3 2 4" xfId="99"/>
    <cellStyle name="CurrencyTB-RWB 2 2 2 3 2 5" xfId="99"/>
    <cellStyle name="CurrencyTB-RWB 2 2 2 3 3" xfId="99"/>
    <cellStyle name="CurrencyTB-RWB 2 2 2 3 3 2" xfId="99"/>
    <cellStyle name="CurrencyTB-RWB 2 2 2 3 3 3" xfId="99"/>
    <cellStyle name="CurrencyTB-RWB 2 2 2 3 3 4" xfId="99"/>
    <cellStyle name="CurrencyTB-RWB 2 2 2 3 4" xfId="99"/>
    <cellStyle name="CurrencyTB-RWB 2 2 2 3 5" xfId="99"/>
    <cellStyle name="CurrencyTB-RWB 2 2 2 3 6" xfId="99"/>
    <cellStyle name="CurrencyTB-RWB 2 2 2 3 7" xfId="99"/>
    <cellStyle name="CurrencyTB-RWB 2 2 2 3 8" xfId="99"/>
    <cellStyle name="CurrencyTB-RWB 2 2 2 4" xfId="99"/>
    <cellStyle name="CurrencyTB-RWB 2 2 2 4 2" xfId="99"/>
    <cellStyle name="CurrencyTB-RWB 2 2 2 4 2 2" xfId="99"/>
    <cellStyle name="CurrencyTB-RWB 2 2 2 4 2 3" xfId="99"/>
    <cellStyle name="CurrencyTB-RWB 2 2 2 4 2 4" xfId="99"/>
    <cellStyle name="CurrencyTB-RWB 2 2 2 4 2 5" xfId="99"/>
    <cellStyle name="CurrencyTB-RWB 2 2 2 4 3" xfId="99"/>
    <cellStyle name="CurrencyTB-RWB 2 2 2 4 3 2" xfId="99"/>
    <cellStyle name="CurrencyTB-RWB 2 2 2 4 3 3" xfId="99"/>
    <cellStyle name="CurrencyTB-RWB 2 2 2 4 3 4" xfId="99"/>
    <cellStyle name="CurrencyTB-RWB 2 2 2 4 4" xfId="99"/>
    <cellStyle name="CurrencyTB-RWB 2 2 2 4 5" xfId="99"/>
    <cellStyle name="CurrencyTB-RWB 2 2 2 4 6" xfId="99"/>
    <cellStyle name="CurrencyTB-RWB 2 2 2 4 7" xfId="99"/>
    <cellStyle name="CurrencyTB-RWB 2 2 2 5" xfId="99"/>
    <cellStyle name="CurrencyTB-RWB 2 2 2 5 2" xfId="99"/>
    <cellStyle name="CurrencyTB-RWB 2 2 2 5 2 2" xfId="99"/>
    <cellStyle name="CurrencyTB-RWB 2 2 2 5 2 3" xfId="99"/>
    <cellStyle name="CurrencyTB-RWB 2 2 2 5 2 4" xfId="99"/>
    <cellStyle name="CurrencyTB-RWB 2 2 2 5 2 5" xfId="99"/>
    <cellStyle name="CurrencyTB-RWB 2 2 2 5 3" xfId="99"/>
    <cellStyle name="CurrencyTB-RWB 2 2 2 5 3 2" xfId="99"/>
    <cellStyle name="CurrencyTB-RWB 2 2 2 5 3 3" xfId="99"/>
    <cellStyle name="CurrencyTB-RWB 2 2 2 5 3 4" xfId="99"/>
    <cellStyle name="CurrencyTB-RWB 2 2 2 5 4" xfId="99"/>
    <cellStyle name="CurrencyTB-RWB 2 2 2 5 5" xfId="99"/>
    <cellStyle name="CurrencyTB-RWB 2 2 2 5 6" xfId="99"/>
    <cellStyle name="CurrencyTB-RWB 2 2 2 5 7" xfId="99"/>
    <cellStyle name="CurrencyTB-RWB 2 2 2 5 8" xfId="99"/>
    <cellStyle name="CurrencyTB-RWB 2 2 2 6" xfId="99"/>
    <cellStyle name="CurrencyTB-RWB 2 2 2 6 2" xfId="99"/>
    <cellStyle name="CurrencyTB-RWB 2 2 2 6 3" xfId="99"/>
    <cellStyle name="CurrencyTB-RWB 2 2 2 6 4" xfId="99"/>
    <cellStyle name="CurrencyTB-RWB 2 2 2 6 5" xfId="99"/>
    <cellStyle name="CurrencyTB-RWB 2 2 2 7" xfId="99"/>
    <cellStyle name="CurrencyTB-RWB 2 2 2 8" xfId="99"/>
    <cellStyle name="CurrencyTB-RWB 2 2 2 9" xfId="99"/>
    <cellStyle name="CurrencyTB-RWB 2 2 3" xfId="99"/>
    <cellStyle name="CurrencyTB-RWB 2 2 3 10" xfId="99"/>
    <cellStyle name="CurrencyTB-RWB 2 2 3 2" xfId="99"/>
    <cellStyle name="CurrencyTB-RWB 2 2 3 2 2" xfId="99"/>
    <cellStyle name="CurrencyTB-RWB 2 2 3 2 2 2" xfId="99"/>
    <cellStyle name="CurrencyTB-RWB 2 2 3 2 2 3" xfId="99"/>
    <cellStyle name="CurrencyTB-RWB 2 2 3 2 2 4" xfId="99"/>
    <cellStyle name="CurrencyTB-RWB 2 2 3 2 2 5" xfId="99"/>
    <cellStyle name="CurrencyTB-RWB 2 2 3 2 3" xfId="99"/>
    <cellStyle name="CurrencyTB-RWB 2 2 3 2 3 2" xfId="99"/>
    <cellStyle name="CurrencyTB-RWB 2 2 3 2 3 3" xfId="99"/>
    <cellStyle name="CurrencyTB-RWB 2 2 3 2 3 4" xfId="99"/>
    <cellStyle name="CurrencyTB-RWB 2 2 3 2 4" xfId="99"/>
    <cellStyle name="CurrencyTB-RWB 2 2 3 2 5" xfId="99"/>
    <cellStyle name="CurrencyTB-RWB 2 2 3 2 6" xfId="99"/>
    <cellStyle name="CurrencyTB-RWB 2 2 3 2 7" xfId="99"/>
    <cellStyle name="CurrencyTB-RWB 2 2 3 2 8" xfId="99"/>
    <cellStyle name="CurrencyTB-RWB 2 2 3 3" xfId="99"/>
    <cellStyle name="CurrencyTB-RWB 2 2 3 3 2" xfId="99"/>
    <cellStyle name="CurrencyTB-RWB 2 2 3 3 2 2" xfId="99"/>
    <cellStyle name="CurrencyTB-RWB 2 2 3 3 2 3" xfId="99"/>
    <cellStyle name="CurrencyTB-RWB 2 2 3 3 2 4" xfId="99"/>
    <cellStyle name="CurrencyTB-RWB 2 2 3 3 2 5" xfId="99"/>
    <cellStyle name="CurrencyTB-RWB 2 2 3 3 3" xfId="99"/>
    <cellStyle name="CurrencyTB-RWB 2 2 3 3 3 2" xfId="99"/>
    <cellStyle name="CurrencyTB-RWB 2 2 3 3 3 3" xfId="99"/>
    <cellStyle name="CurrencyTB-RWB 2 2 3 3 3 4" xfId="99"/>
    <cellStyle name="CurrencyTB-RWB 2 2 3 3 4" xfId="99"/>
    <cellStyle name="CurrencyTB-RWB 2 2 3 3 5" xfId="99"/>
    <cellStyle name="CurrencyTB-RWB 2 2 3 3 6" xfId="99"/>
    <cellStyle name="CurrencyTB-RWB 2 2 3 3 7" xfId="99"/>
    <cellStyle name="CurrencyTB-RWB 2 2 3 3 8" xfId="99"/>
    <cellStyle name="CurrencyTB-RWB 2 2 3 4" xfId="99"/>
    <cellStyle name="CurrencyTB-RWB 2 2 3 4 2" xfId="99"/>
    <cellStyle name="CurrencyTB-RWB 2 2 3 4 2 2" xfId="99"/>
    <cellStyle name="CurrencyTB-RWB 2 2 3 4 2 3" xfId="99"/>
    <cellStyle name="CurrencyTB-RWB 2 2 3 4 2 4" xfId="99"/>
    <cellStyle name="CurrencyTB-RWB 2 2 3 4 2 5" xfId="99"/>
    <cellStyle name="CurrencyTB-RWB 2 2 3 4 3" xfId="99"/>
    <cellStyle name="CurrencyTB-RWB 2 2 3 4 3 2" xfId="99"/>
    <cellStyle name="CurrencyTB-RWB 2 2 3 4 3 3" xfId="99"/>
    <cellStyle name="CurrencyTB-RWB 2 2 3 4 3 4" xfId="99"/>
    <cellStyle name="CurrencyTB-RWB 2 2 3 4 4" xfId="99"/>
    <cellStyle name="CurrencyTB-RWB 2 2 3 4 5" xfId="99"/>
    <cellStyle name="CurrencyTB-RWB 2 2 3 4 6" xfId="99"/>
    <cellStyle name="CurrencyTB-RWB 2 2 3 4 7" xfId="99"/>
    <cellStyle name="CurrencyTB-RWB 2 2 3 5" xfId="99"/>
    <cellStyle name="CurrencyTB-RWB 2 2 3 5 2" xfId="99"/>
    <cellStyle name="CurrencyTB-RWB 2 2 3 5 2 2" xfId="99"/>
    <cellStyle name="CurrencyTB-RWB 2 2 3 5 2 3" xfId="99"/>
    <cellStyle name="CurrencyTB-RWB 2 2 3 5 2 4" xfId="99"/>
    <cellStyle name="CurrencyTB-RWB 2 2 3 5 2 5" xfId="99"/>
    <cellStyle name="CurrencyTB-RWB 2 2 3 5 3" xfId="99"/>
    <cellStyle name="CurrencyTB-RWB 2 2 3 5 3 2" xfId="99"/>
    <cellStyle name="CurrencyTB-RWB 2 2 3 5 3 3" xfId="99"/>
    <cellStyle name="CurrencyTB-RWB 2 2 3 5 3 4" xfId="99"/>
    <cellStyle name="CurrencyTB-RWB 2 2 3 5 4" xfId="99"/>
    <cellStyle name="CurrencyTB-RWB 2 2 3 5 5" xfId="99"/>
    <cellStyle name="CurrencyTB-RWB 2 2 3 5 6" xfId="99"/>
    <cellStyle name="CurrencyTB-RWB 2 2 3 5 7" xfId="99"/>
    <cellStyle name="CurrencyTB-RWB 2 2 3 5 8" xfId="99"/>
    <cellStyle name="CurrencyTB-RWB 2 2 3 6" xfId="99"/>
    <cellStyle name="CurrencyTB-RWB 2 2 3 6 2" xfId="99"/>
    <cellStyle name="CurrencyTB-RWB 2 2 3 6 3" xfId="99"/>
    <cellStyle name="CurrencyTB-RWB 2 2 3 6 4" xfId="99"/>
    <cellStyle name="CurrencyTB-RWB 2 2 3 6 5" xfId="99"/>
    <cellStyle name="CurrencyTB-RWB 2 2 3 7" xfId="99"/>
    <cellStyle name="CurrencyTB-RWB 2 2 3 8" xfId="99"/>
    <cellStyle name="CurrencyTB-RWB 2 2 3 9" xfId="99"/>
    <cellStyle name="CurrencyTB-RWB 2 2 4" xfId="99"/>
    <cellStyle name="CurrencyTB-RWB 2 2 4 10" xfId="99"/>
    <cellStyle name="CurrencyTB-RWB 2 2 4 2" xfId="99"/>
    <cellStyle name="CurrencyTB-RWB 2 2 4 2 2" xfId="99"/>
    <cellStyle name="CurrencyTB-RWB 2 2 4 2 2 2" xfId="99"/>
    <cellStyle name="CurrencyTB-RWB 2 2 4 2 2 3" xfId="99"/>
    <cellStyle name="CurrencyTB-RWB 2 2 4 2 2 4" xfId="99"/>
    <cellStyle name="CurrencyTB-RWB 2 2 4 2 2 5" xfId="99"/>
    <cellStyle name="CurrencyTB-RWB 2 2 4 2 3" xfId="99"/>
    <cellStyle name="CurrencyTB-RWB 2 2 4 2 3 2" xfId="99"/>
    <cellStyle name="CurrencyTB-RWB 2 2 4 2 3 3" xfId="99"/>
    <cellStyle name="CurrencyTB-RWB 2 2 4 2 3 4" xfId="99"/>
    <cellStyle name="CurrencyTB-RWB 2 2 4 2 4" xfId="99"/>
    <cellStyle name="CurrencyTB-RWB 2 2 4 2 5" xfId="99"/>
    <cellStyle name="CurrencyTB-RWB 2 2 4 2 6" xfId="99"/>
    <cellStyle name="CurrencyTB-RWB 2 2 4 2 7" xfId="99"/>
    <cellStyle name="CurrencyTB-RWB 2 2 4 2 8" xfId="99"/>
    <cellStyle name="CurrencyTB-RWB 2 2 4 3" xfId="99"/>
    <cellStyle name="CurrencyTB-RWB 2 2 4 3 2" xfId="99"/>
    <cellStyle name="CurrencyTB-RWB 2 2 4 3 2 2" xfId="99"/>
    <cellStyle name="CurrencyTB-RWB 2 2 4 3 2 3" xfId="99"/>
    <cellStyle name="CurrencyTB-RWB 2 2 4 3 2 4" xfId="99"/>
    <cellStyle name="CurrencyTB-RWB 2 2 4 3 2 5" xfId="99"/>
    <cellStyle name="CurrencyTB-RWB 2 2 4 3 3" xfId="99"/>
    <cellStyle name="CurrencyTB-RWB 2 2 4 3 3 2" xfId="99"/>
    <cellStyle name="CurrencyTB-RWB 2 2 4 3 3 3" xfId="99"/>
    <cellStyle name="CurrencyTB-RWB 2 2 4 3 3 4" xfId="99"/>
    <cellStyle name="CurrencyTB-RWB 2 2 4 3 4" xfId="99"/>
    <cellStyle name="CurrencyTB-RWB 2 2 4 3 5" xfId="99"/>
    <cellStyle name="CurrencyTB-RWB 2 2 4 3 6" xfId="99"/>
    <cellStyle name="CurrencyTB-RWB 2 2 4 3 7" xfId="99"/>
    <cellStyle name="CurrencyTB-RWB 2 2 4 3 8" xfId="99"/>
    <cellStyle name="CurrencyTB-RWB 2 2 4 4" xfId="99"/>
    <cellStyle name="CurrencyTB-RWB 2 2 4 4 2" xfId="99"/>
    <cellStyle name="CurrencyTB-RWB 2 2 4 4 2 2" xfId="99"/>
    <cellStyle name="CurrencyTB-RWB 2 2 4 4 2 3" xfId="99"/>
    <cellStyle name="CurrencyTB-RWB 2 2 4 4 2 4" xfId="99"/>
    <cellStyle name="CurrencyTB-RWB 2 2 4 4 2 5" xfId="99"/>
    <cellStyle name="CurrencyTB-RWB 2 2 4 4 3" xfId="99"/>
    <cellStyle name="CurrencyTB-RWB 2 2 4 4 3 2" xfId="99"/>
    <cellStyle name="CurrencyTB-RWB 2 2 4 4 3 3" xfId="99"/>
    <cellStyle name="CurrencyTB-RWB 2 2 4 4 3 4" xfId="99"/>
    <cellStyle name="CurrencyTB-RWB 2 2 4 4 4" xfId="99"/>
    <cellStyle name="CurrencyTB-RWB 2 2 4 4 5" xfId="99"/>
    <cellStyle name="CurrencyTB-RWB 2 2 4 4 6" xfId="99"/>
    <cellStyle name="CurrencyTB-RWB 2 2 4 4 7" xfId="99"/>
    <cellStyle name="CurrencyTB-RWB 2 2 4 5" xfId="99"/>
    <cellStyle name="CurrencyTB-RWB 2 2 4 5 2" xfId="99"/>
    <cellStyle name="CurrencyTB-RWB 2 2 4 5 2 2" xfId="99"/>
    <cellStyle name="CurrencyTB-RWB 2 2 4 5 2 3" xfId="99"/>
    <cellStyle name="CurrencyTB-RWB 2 2 4 5 2 4" xfId="99"/>
    <cellStyle name="CurrencyTB-RWB 2 2 4 5 2 5" xfId="99"/>
    <cellStyle name="CurrencyTB-RWB 2 2 4 5 3" xfId="99"/>
    <cellStyle name="CurrencyTB-RWB 2 2 4 5 3 2" xfId="99"/>
    <cellStyle name="CurrencyTB-RWB 2 2 4 5 3 3" xfId="99"/>
    <cellStyle name="CurrencyTB-RWB 2 2 4 5 3 4" xfId="99"/>
    <cellStyle name="CurrencyTB-RWB 2 2 4 5 4" xfId="99"/>
    <cellStyle name="CurrencyTB-RWB 2 2 4 5 5" xfId="99"/>
    <cellStyle name="CurrencyTB-RWB 2 2 4 5 6" xfId="99"/>
    <cellStyle name="CurrencyTB-RWB 2 2 4 5 7" xfId="99"/>
    <cellStyle name="CurrencyTB-RWB 2 2 4 5 8" xfId="99"/>
    <cellStyle name="CurrencyTB-RWB 2 2 4 6" xfId="99"/>
    <cellStyle name="CurrencyTB-RWB 2 2 4 6 2" xfId="99"/>
    <cellStyle name="CurrencyTB-RWB 2 2 4 6 3" xfId="99"/>
    <cellStyle name="CurrencyTB-RWB 2 2 4 6 4" xfId="99"/>
    <cellStyle name="CurrencyTB-RWB 2 2 4 6 5" xfId="99"/>
    <cellStyle name="CurrencyTB-RWB 2 2 4 7" xfId="99"/>
    <cellStyle name="CurrencyTB-RWB 2 2 4 8" xfId="99"/>
    <cellStyle name="CurrencyTB-RWB 2 2 4 9" xfId="99"/>
    <cellStyle name="CurrencyTB-RWB 2 2 5" xfId="99"/>
    <cellStyle name="CurrencyTB-RWB 2 2 5 2" xfId="99"/>
    <cellStyle name="CurrencyTB-RWB 2 2 5 2 2" xfId="99"/>
    <cellStyle name="CurrencyTB-RWB 2 2 5 2 3" xfId="99"/>
    <cellStyle name="CurrencyTB-RWB 2 2 5 2 4" xfId="99"/>
    <cellStyle name="CurrencyTB-RWB 2 2 5 2 5" xfId="99"/>
    <cellStyle name="CurrencyTB-RWB 2 2 5 3" xfId="99"/>
    <cellStyle name="CurrencyTB-RWB 2 2 5 3 2" xfId="99"/>
    <cellStyle name="CurrencyTB-RWB 2 2 5 3 3" xfId="99"/>
    <cellStyle name="CurrencyTB-RWB 2 2 5 3 4" xfId="99"/>
    <cellStyle name="CurrencyTB-RWB 2 2 5 4" xfId="99"/>
    <cellStyle name="CurrencyTB-RWB 2 2 5 5" xfId="99"/>
    <cellStyle name="CurrencyTB-RWB 2 2 5 6" xfId="99"/>
    <cellStyle name="CurrencyTB-RWB 2 2 5 7" xfId="99"/>
    <cellStyle name="CurrencyTB-RWB 2 2 5 8" xfId="99"/>
    <cellStyle name="CurrencyTB-RWB 2 2 6" xfId="99"/>
    <cellStyle name="CurrencyTB-RWB 2 2 6 2" xfId="99"/>
    <cellStyle name="CurrencyTB-RWB 2 2 6 2 2" xfId="99"/>
    <cellStyle name="CurrencyTB-RWB 2 2 6 2 3" xfId="99"/>
    <cellStyle name="CurrencyTB-RWB 2 2 6 2 4" xfId="99"/>
    <cellStyle name="CurrencyTB-RWB 2 2 6 2 5" xfId="99"/>
    <cellStyle name="CurrencyTB-RWB 2 2 6 3" xfId="99"/>
    <cellStyle name="CurrencyTB-RWB 2 2 6 3 2" xfId="99"/>
    <cellStyle name="CurrencyTB-RWB 2 2 6 3 3" xfId="99"/>
    <cellStyle name="CurrencyTB-RWB 2 2 6 3 4" xfId="99"/>
    <cellStyle name="CurrencyTB-RWB 2 2 6 4" xfId="99"/>
    <cellStyle name="CurrencyTB-RWB 2 2 6 5" xfId="99"/>
    <cellStyle name="CurrencyTB-RWB 2 2 6 6" xfId="99"/>
    <cellStyle name="CurrencyTB-RWB 2 2 6 7" xfId="99"/>
    <cellStyle name="CurrencyTB-RWB 2 2 6 8" xfId="99"/>
    <cellStyle name="CurrencyTB-RWB 2 2 7" xfId="99"/>
    <cellStyle name="CurrencyTB-RWB 2 2 7 2" xfId="99"/>
    <cellStyle name="CurrencyTB-RWB 2 2 7 2 2" xfId="99"/>
    <cellStyle name="CurrencyTB-RWB 2 2 7 2 3" xfId="99"/>
    <cellStyle name="CurrencyTB-RWB 2 2 7 2 4" xfId="99"/>
    <cellStyle name="CurrencyTB-RWB 2 2 7 2 5" xfId="99"/>
    <cellStyle name="CurrencyTB-RWB 2 2 7 3" xfId="99"/>
    <cellStyle name="CurrencyTB-RWB 2 2 7 3 2" xfId="99"/>
    <cellStyle name="CurrencyTB-RWB 2 2 7 3 3" xfId="99"/>
    <cellStyle name="CurrencyTB-RWB 2 2 7 3 4" xfId="99"/>
    <cellStyle name="CurrencyTB-RWB 2 2 7 4" xfId="99"/>
    <cellStyle name="CurrencyTB-RWB 2 2 7 5" xfId="99"/>
    <cellStyle name="CurrencyTB-RWB 2 2 7 6" xfId="99"/>
    <cellStyle name="CurrencyTB-RWB 2 2 7 7" xfId="99"/>
    <cellStyle name="CurrencyTB-RWB 2 2 8" xfId="99"/>
    <cellStyle name="CurrencyTB-RWB 2 2 8 2" xfId="99"/>
    <cellStyle name="CurrencyTB-RWB 2 2 8 2 2" xfId="99"/>
    <cellStyle name="CurrencyTB-RWB 2 2 8 2 3" xfId="99"/>
    <cellStyle name="CurrencyTB-RWB 2 2 8 2 4" xfId="99"/>
    <cellStyle name="CurrencyTB-RWB 2 2 8 2 5" xfId="99"/>
    <cellStyle name="CurrencyTB-RWB 2 2 8 3" xfId="99"/>
    <cellStyle name="CurrencyTB-RWB 2 2 8 3 2" xfId="99"/>
    <cellStyle name="CurrencyTB-RWB 2 2 8 3 3" xfId="99"/>
    <cellStyle name="CurrencyTB-RWB 2 2 8 3 4" xfId="99"/>
    <cellStyle name="CurrencyTB-RWB 2 2 8 4" xfId="99"/>
    <cellStyle name="CurrencyTB-RWB 2 2 8 5" xfId="99"/>
    <cellStyle name="CurrencyTB-RWB 2 2 8 6" xfId="99"/>
    <cellStyle name="CurrencyTB-RWB 2 2 8 7" xfId="99"/>
    <cellStyle name="CurrencyTB-RWB 2 2 8 8" xfId="99"/>
    <cellStyle name="CurrencyTB-RWB 2 2 9" xfId="99"/>
    <cellStyle name="CurrencyTB-RWB 2 2 9 2" xfId="99"/>
    <cellStyle name="CurrencyTB-RWB 2 2 9 3" xfId="99"/>
    <cellStyle name="CurrencyTB-RWB 2 2 9 4" xfId="99"/>
    <cellStyle name="CurrencyTB-RWB 2 2 9 5" xfId="99"/>
    <cellStyle name="CurrencyTB-RWB 2 3" xfId="99"/>
    <cellStyle name="CurrencyTB-RWB 2 3 10" xfId="99"/>
    <cellStyle name="CurrencyTB-RWB 2 3 2" xfId="99"/>
    <cellStyle name="CurrencyTB-RWB 2 3 2 2" xfId="99"/>
    <cellStyle name="CurrencyTB-RWB 2 3 2 2 2" xfId="99"/>
    <cellStyle name="CurrencyTB-RWB 2 3 2 2 3" xfId="99"/>
    <cellStyle name="CurrencyTB-RWB 2 3 2 2 4" xfId="99"/>
    <cellStyle name="CurrencyTB-RWB 2 3 2 2 5" xfId="99"/>
    <cellStyle name="CurrencyTB-RWB 2 3 2 3" xfId="99"/>
    <cellStyle name="CurrencyTB-RWB 2 3 2 3 2" xfId="99"/>
    <cellStyle name="CurrencyTB-RWB 2 3 2 3 3" xfId="99"/>
    <cellStyle name="CurrencyTB-RWB 2 3 2 3 4" xfId="99"/>
    <cellStyle name="CurrencyTB-RWB 2 3 2 4" xfId="99"/>
    <cellStyle name="CurrencyTB-RWB 2 3 2 5" xfId="99"/>
    <cellStyle name="CurrencyTB-RWB 2 3 2 6" xfId="99"/>
    <cellStyle name="CurrencyTB-RWB 2 3 2 7" xfId="99"/>
    <cellStyle name="CurrencyTB-RWB 2 3 2 8" xfId="99"/>
    <cellStyle name="CurrencyTB-RWB 2 3 3" xfId="99"/>
    <cellStyle name="CurrencyTB-RWB 2 3 3 2" xfId="99"/>
    <cellStyle name="CurrencyTB-RWB 2 3 3 2 2" xfId="99"/>
    <cellStyle name="CurrencyTB-RWB 2 3 3 2 3" xfId="99"/>
    <cellStyle name="CurrencyTB-RWB 2 3 3 2 4" xfId="99"/>
    <cellStyle name="CurrencyTB-RWB 2 3 3 2 5" xfId="99"/>
    <cellStyle name="CurrencyTB-RWB 2 3 3 3" xfId="99"/>
    <cellStyle name="CurrencyTB-RWB 2 3 3 3 2" xfId="99"/>
    <cellStyle name="CurrencyTB-RWB 2 3 3 3 3" xfId="99"/>
    <cellStyle name="CurrencyTB-RWB 2 3 3 3 4" xfId="99"/>
    <cellStyle name="CurrencyTB-RWB 2 3 3 4" xfId="99"/>
    <cellStyle name="CurrencyTB-RWB 2 3 3 5" xfId="99"/>
    <cellStyle name="CurrencyTB-RWB 2 3 3 6" xfId="99"/>
    <cellStyle name="CurrencyTB-RWB 2 3 3 7" xfId="99"/>
    <cellStyle name="CurrencyTB-RWB 2 3 3 8" xfId="99"/>
    <cellStyle name="CurrencyTB-RWB 2 3 4" xfId="99"/>
    <cellStyle name="CurrencyTB-RWB 2 3 4 2" xfId="99"/>
    <cellStyle name="CurrencyTB-RWB 2 3 4 2 2" xfId="99"/>
    <cellStyle name="CurrencyTB-RWB 2 3 4 2 3" xfId="99"/>
    <cellStyle name="CurrencyTB-RWB 2 3 4 2 4" xfId="99"/>
    <cellStyle name="CurrencyTB-RWB 2 3 4 2 5" xfId="99"/>
    <cellStyle name="CurrencyTB-RWB 2 3 4 3" xfId="99"/>
    <cellStyle name="CurrencyTB-RWB 2 3 4 3 2" xfId="99"/>
    <cellStyle name="CurrencyTB-RWB 2 3 4 3 3" xfId="99"/>
    <cellStyle name="CurrencyTB-RWB 2 3 4 3 4" xfId="99"/>
    <cellStyle name="CurrencyTB-RWB 2 3 4 4" xfId="99"/>
    <cellStyle name="CurrencyTB-RWB 2 3 4 5" xfId="99"/>
    <cellStyle name="CurrencyTB-RWB 2 3 4 6" xfId="99"/>
    <cellStyle name="CurrencyTB-RWB 2 3 4 7" xfId="99"/>
    <cellStyle name="CurrencyTB-RWB 2 3 5" xfId="99"/>
    <cellStyle name="CurrencyTB-RWB 2 3 5 2" xfId="99"/>
    <cellStyle name="CurrencyTB-RWB 2 3 5 2 2" xfId="99"/>
    <cellStyle name="CurrencyTB-RWB 2 3 5 2 3" xfId="99"/>
    <cellStyle name="CurrencyTB-RWB 2 3 5 2 4" xfId="99"/>
    <cellStyle name="CurrencyTB-RWB 2 3 5 2 5" xfId="99"/>
    <cellStyle name="CurrencyTB-RWB 2 3 5 3" xfId="99"/>
    <cellStyle name="CurrencyTB-RWB 2 3 5 3 2" xfId="99"/>
    <cellStyle name="CurrencyTB-RWB 2 3 5 3 3" xfId="99"/>
    <cellStyle name="CurrencyTB-RWB 2 3 5 3 4" xfId="99"/>
    <cellStyle name="CurrencyTB-RWB 2 3 5 4" xfId="99"/>
    <cellStyle name="CurrencyTB-RWB 2 3 5 5" xfId="99"/>
    <cellStyle name="CurrencyTB-RWB 2 3 5 6" xfId="99"/>
    <cellStyle name="CurrencyTB-RWB 2 3 5 7" xfId="99"/>
    <cellStyle name="CurrencyTB-RWB 2 3 5 8" xfId="99"/>
    <cellStyle name="CurrencyTB-RWB 2 3 6" xfId="99"/>
    <cellStyle name="CurrencyTB-RWB 2 3 6 2" xfId="99"/>
    <cellStyle name="CurrencyTB-RWB 2 3 6 3" xfId="99"/>
    <cellStyle name="CurrencyTB-RWB 2 3 6 4" xfId="99"/>
    <cellStyle name="CurrencyTB-RWB 2 3 6 5" xfId="99"/>
    <cellStyle name="CurrencyTB-RWB 2 3 7" xfId="99"/>
    <cellStyle name="CurrencyTB-RWB 2 3 8" xfId="99"/>
    <cellStyle name="CurrencyTB-RWB 2 3 9" xfId="99"/>
    <cellStyle name="CurrencyTB-RWB 2 4" xfId="99"/>
    <cellStyle name="CurrencyTB-RWB 2 4 10" xfId="99"/>
    <cellStyle name="CurrencyTB-RWB 2 4 2" xfId="99"/>
    <cellStyle name="CurrencyTB-RWB 2 4 2 2" xfId="99"/>
    <cellStyle name="CurrencyTB-RWB 2 4 2 2 2" xfId="99"/>
    <cellStyle name="CurrencyTB-RWB 2 4 2 2 3" xfId="99"/>
    <cellStyle name="CurrencyTB-RWB 2 4 2 2 4" xfId="99"/>
    <cellStyle name="CurrencyTB-RWB 2 4 2 2 5" xfId="99"/>
    <cellStyle name="CurrencyTB-RWB 2 4 2 3" xfId="99"/>
    <cellStyle name="CurrencyTB-RWB 2 4 2 3 2" xfId="99"/>
    <cellStyle name="CurrencyTB-RWB 2 4 2 3 3" xfId="99"/>
    <cellStyle name="CurrencyTB-RWB 2 4 2 3 4" xfId="99"/>
    <cellStyle name="CurrencyTB-RWB 2 4 2 4" xfId="99"/>
    <cellStyle name="CurrencyTB-RWB 2 4 2 5" xfId="99"/>
    <cellStyle name="CurrencyTB-RWB 2 4 2 6" xfId="99"/>
    <cellStyle name="CurrencyTB-RWB 2 4 2 7" xfId="99"/>
    <cellStyle name="CurrencyTB-RWB 2 4 2 8" xfId="99"/>
    <cellStyle name="CurrencyTB-RWB 2 4 3" xfId="99"/>
    <cellStyle name="CurrencyTB-RWB 2 4 3 2" xfId="99"/>
    <cellStyle name="CurrencyTB-RWB 2 4 3 2 2" xfId="99"/>
    <cellStyle name="CurrencyTB-RWB 2 4 3 2 3" xfId="99"/>
    <cellStyle name="CurrencyTB-RWB 2 4 3 2 4" xfId="99"/>
    <cellStyle name="CurrencyTB-RWB 2 4 3 2 5" xfId="99"/>
    <cellStyle name="CurrencyTB-RWB 2 4 3 3" xfId="99"/>
    <cellStyle name="CurrencyTB-RWB 2 4 3 3 2" xfId="99"/>
    <cellStyle name="CurrencyTB-RWB 2 4 3 3 3" xfId="99"/>
    <cellStyle name="CurrencyTB-RWB 2 4 3 3 4" xfId="99"/>
    <cellStyle name="CurrencyTB-RWB 2 4 3 4" xfId="99"/>
    <cellStyle name="CurrencyTB-RWB 2 4 3 5" xfId="99"/>
    <cellStyle name="CurrencyTB-RWB 2 4 3 6" xfId="99"/>
    <cellStyle name="CurrencyTB-RWB 2 4 3 7" xfId="99"/>
    <cellStyle name="CurrencyTB-RWB 2 4 3 8" xfId="99"/>
    <cellStyle name="CurrencyTB-RWB 2 4 4" xfId="99"/>
    <cellStyle name="CurrencyTB-RWB 2 4 4 2" xfId="99"/>
    <cellStyle name="CurrencyTB-RWB 2 4 4 2 2" xfId="99"/>
    <cellStyle name="CurrencyTB-RWB 2 4 4 2 3" xfId="99"/>
    <cellStyle name="CurrencyTB-RWB 2 4 4 2 4" xfId="99"/>
    <cellStyle name="CurrencyTB-RWB 2 4 4 2 5" xfId="99"/>
    <cellStyle name="CurrencyTB-RWB 2 4 4 3" xfId="99"/>
    <cellStyle name="CurrencyTB-RWB 2 4 4 3 2" xfId="99"/>
    <cellStyle name="CurrencyTB-RWB 2 4 4 3 3" xfId="99"/>
    <cellStyle name="CurrencyTB-RWB 2 4 4 3 4" xfId="99"/>
    <cellStyle name="CurrencyTB-RWB 2 4 4 4" xfId="99"/>
    <cellStyle name="CurrencyTB-RWB 2 4 4 5" xfId="99"/>
    <cellStyle name="CurrencyTB-RWB 2 4 4 6" xfId="99"/>
    <cellStyle name="CurrencyTB-RWB 2 4 4 7" xfId="99"/>
    <cellStyle name="CurrencyTB-RWB 2 4 5" xfId="99"/>
    <cellStyle name="CurrencyTB-RWB 2 4 5 2" xfId="99"/>
    <cellStyle name="CurrencyTB-RWB 2 4 5 2 2" xfId="99"/>
    <cellStyle name="CurrencyTB-RWB 2 4 5 2 3" xfId="99"/>
    <cellStyle name="CurrencyTB-RWB 2 4 5 2 4" xfId="99"/>
    <cellStyle name="CurrencyTB-RWB 2 4 5 2 5" xfId="99"/>
    <cellStyle name="CurrencyTB-RWB 2 4 5 3" xfId="99"/>
    <cellStyle name="CurrencyTB-RWB 2 4 5 3 2" xfId="99"/>
    <cellStyle name="CurrencyTB-RWB 2 4 5 3 3" xfId="99"/>
    <cellStyle name="CurrencyTB-RWB 2 4 5 3 4" xfId="99"/>
    <cellStyle name="CurrencyTB-RWB 2 4 5 4" xfId="99"/>
    <cellStyle name="CurrencyTB-RWB 2 4 5 5" xfId="99"/>
    <cellStyle name="CurrencyTB-RWB 2 4 5 6" xfId="99"/>
    <cellStyle name="CurrencyTB-RWB 2 4 5 7" xfId="99"/>
    <cellStyle name="CurrencyTB-RWB 2 4 5 8" xfId="99"/>
    <cellStyle name="CurrencyTB-RWB 2 4 6" xfId="99"/>
    <cellStyle name="CurrencyTB-RWB 2 4 6 2" xfId="99"/>
    <cellStyle name="CurrencyTB-RWB 2 4 6 3" xfId="99"/>
    <cellStyle name="CurrencyTB-RWB 2 4 6 4" xfId="99"/>
    <cellStyle name="CurrencyTB-RWB 2 4 6 5" xfId="99"/>
    <cellStyle name="CurrencyTB-RWB 2 4 7" xfId="99"/>
    <cellStyle name="CurrencyTB-RWB 2 4 8" xfId="99"/>
    <cellStyle name="CurrencyTB-RWB 2 4 9" xfId="99"/>
    <cellStyle name="CurrencyTB-RWB 2 5" xfId="99"/>
    <cellStyle name="CurrencyTB-RWB 2 5 2" xfId="99"/>
    <cellStyle name="CurrencyTB-RWB 2 5 2 2" xfId="99"/>
    <cellStyle name="CurrencyTB-RWB 2 5 2 3" xfId="99"/>
    <cellStyle name="CurrencyTB-RWB 2 5 2 4" xfId="99"/>
    <cellStyle name="CurrencyTB-RWB 2 5 2 5" xfId="99"/>
    <cellStyle name="CurrencyTB-RWB 2 5 3" xfId="99"/>
    <cellStyle name="CurrencyTB-RWB 2 5 3 2" xfId="99"/>
    <cellStyle name="CurrencyTB-RWB 2 5 3 3" xfId="99"/>
    <cellStyle name="CurrencyTB-RWB 2 5 3 4" xfId="99"/>
    <cellStyle name="CurrencyTB-RWB 2 5 4" xfId="99"/>
    <cellStyle name="CurrencyTB-RWB 2 5 5" xfId="99"/>
    <cellStyle name="CurrencyTB-RWB 2 5 6" xfId="99"/>
    <cellStyle name="CurrencyTB-RWB 2 5 7" xfId="99"/>
    <cellStyle name="CurrencyTB-RWB 2 5 8" xfId="99"/>
    <cellStyle name="CurrencyTB-RWB 2 6" xfId="99"/>
    <cellStyle name="CurrencyTB-RWB 2 6 2" xfId="99"/>
    <cellStyle name="CurrencyTB-RWB 2 6 2 2" xfId="99"/>
    <cellStyle name="CurrencyTB-RWB 2 6 2 3" xfId="99"/>
    <cellStyle name="CurrencyTB-RWB 2 6 2 4" xfId="99"/>
    <cellStyle name="CurrencyTB-RWB 2 6 2 5" xfId="99"/>
    <cellStyle name="CurrencyTB-RWB 2 6 3" xfId="99"/>
    <cellStyle name="CurrencyTB-RWB 2 6 3 2" xfId="99"/>
    <cellStyle name="CurrencyTB-RWB 2 6 3 3" xfId="99"/>
    <cellStyle name="CurrencyTB-RWB 2 6 3 4" xfId="99"/>
    <cellStyle name="CurrencyTB-RWB 2 6 4" xfId="99"/>
    <cellStyle name="CurrencyTB-RWB 2 6 5" xfId="99"/>
    <cellStyle name="CurrencyTB-RWB 2 6 6" xfId="99"/>
    <cellStyle name="CurrencyTB-RWB 2 6 7" xfId="99"/>
    <cellStyle name="CurrencyTB-RWB 2 6 8" xfId="99"/>
    <cellStyle name="CurrencyTB-RWB 2 7" xfId="99"/>
    <cellStyle name="CurrencyTB-RWB 2 7 2" xfId="99"/>
    <cellStyle name="CurrencyTB-RWB 2 7 2 2" xfId="99"/>
    <cellStyle name="CurrencyTB-RWB 2 7 2 3" xfId="99"/>
    <cellStyle name="CurrencyTB-RWB 2 7 2 4" xfId="99"/>
    <cellStyle name="CurrencyTB-RWB 2 7 2 5" xfId="99"/>
    <cellStyle name="CurrencyTB-RWB 2 7 3" xfId="99"/>
    <cellStyle name="CurrencyTB-RWB 2 7 3 2" xfId="99"/>
    <cellStyle name="CurrencyTB-RWB 2 7 3 3" xfId="99"/>
    <cellStyle name="CurrencyTB-RWB 2 7 3 4" xfId="99"/>
    <cellStyle name="CurrencyTB-RWB 2 7 4" xfId="99"/>
    <cellStyle name="CurrencyTB-RWB 2 7 5" xfId="99"/>
    <cellStyle name="CurrencyTB-RWB 2 7 6" xfId="99"/>
    <cellStyle name="CurrencyTB-RWB 2 7 7" xfId="99"/>
    <cellStyle name="CurrencyTB-RWB 2 8" xfId="99"/>
    <cellStyle name="CurrencyTB-RWB 2 8 2" xfId="99"/>
    <cellStyle name="CurrencyTB-RWB 2 8 2 2" xfId="99"/>
    <cellStyle name="CurrencyTB-RWB 2 8 2 3" xfId="99"/>
    <cellStyle name="CurrencyTB-RWB 2 8 2 4" xfId="99"/>
    <cellStyle name="CurrencyTB-RWB 2 8 2 5" xfId="99"/>
    <cellStyle name="CurrencyTB-RWB 2 8 3" xfId="99"/>
    <cellStyle name="CurrencyTB-RWB 2 8 3 2" xfId="99"/>
    <cellStyle name="CurrencyTB-RWB 2 8 3 3" xfId="99"/>
    <cellStyle name="CurrencyTB-RWB 2 8 3 4" xfId="99"/>
    <cellStyle name="CurrencyTB-RWB 2 8 4" xfId="99"/>
    <cellStyle name="CurrencyTB-RWB 2 8 5" xfId="99"/>
    <cellStyle name="CurrencyTB-RWB 2 8 6" xfId="99"/>
    <cellStyle name="CurrencyTB-RWB 2 8 7" xfId="99"/>
    <cellStyle name="CurrencyTB-RWB 2 8 8" xfId="99"/>
    <cellStyle name="CurrencyTB-RWB 2 9" xfId="99"/>
    <cellStyle name="CurrencyTB-RWB 2 9 2" xfId="99"/>
    <cellStyle name="CurrencyTB-RWB 2 9 3" xfId="99"/>
    <cellStyle name="CurrencyTB-RWB 2 9 4" xfId="99"/>
    <cellStyle name="CurrencyTB-RWB 2 9 5" xfId="99"/>
    <cellStyle name="CurrencyTB-RWB 3" xfId="99"/>
    <cellStyle name="CurrencyTB-RWB 3 10" xfId="99"/>
    <cellStyle name="CurrencyTB-RWB 3 11" xfId="99"/>
    <cellStyle name="CurrencyTB-RWB 3 12" xfId="99"/>
    <cellStyle name="CurrencyTB-RWB 3 2" xfId="99"/>
    <cellStyle name="CurrencyTB-RWB 3 2 10" xfId="99"/>
    <cellStyle name="CurrencyTB-RWB 3 2 2" xfId="99"/>
    <cellStyle name="CurrencyTB-RWB 3 2 2 2" xfId="99"/>
    <cellStyle name="CurrencyTB-RWB 3 2 2 2 2" xfId="99"/>
    <cellStyle name="CurrencyTB-RWB 3 2 2 2 3" xfId="99"/>
    <cellStyle name="CurrencyTB-RWB 3 2 2 2 4" xfId="99"/>
    <cellStyle name="CurrencyTB-RWB 3 2 2 2 5" xfId="99"/>
    <cellStyle name="CurrencyTB-RWB 3 2 2 3" xfId="99"/>
    <cellStyle name="CurrencyTB-RWB 3 2 2 3 2" xfId="99"/>
    <cellStyle name="CurrencyTB-RWB 3 2 2 3 3" xfId="99"/>
    <cellStyle name="CurrencyTB-RWB 3 2 2 3 4" xfId="99"/>
    <cellStyle name="CurrencyTB-RWB 3 2 2 4" xfId="99"/>
    <cellStyle name="CurrencyTB-RWB 3 2 2 5" xfId="99"/>
    <cellStyle name="CurrencyTB-RWB 3 2 2 6" xfId="99"/>
    <cellStyle name="CurrencyTB-RWB 3 2 2 7" xfId="99"/>
    <cellStyle name="CurrencyTB-RWB 3 2 2 8" xfId="99"/>
    <cellStyle name="CurrencyTB-RWB 3 2 3" xfId="99"/>
    <cellStyle name="CurrencyTB-RWB 3 2 3 2" xfId="99"/>
    <cellStyle name="CurrencyTB-RWB 3 2 3 2 2" xfId="99"/>
    <cellStyle name="CurrencyTB-RWB 3 2 3 2 3" xfId="99"/>
    <cellStyle name="CurrencyTB-RWB 3 2 3 2 4" xfId="99"/>
    <cellStyle name="CurrencyTB-RWB 3 2 3 2 5" xfId="99"/>
    <cellStyle name="CurrencyTB-RWB 3 2 3 3" xfId="99"/>
    <cellStyle name="CurrencyTB-RWB 3 2 3 3 2" xfId="99"/>
    <cellStyle name="CurrencyTB-RWB 3 2 3 3 3" xfId="99"/>
    <cellStyle name="CurrencyTB-RWB 3 2 3 3 4" xfId="99"/>
    <cellStyle name="CurrencyTB-RWB 3 2 3 4" xfId="99"/>
    <cellStyle name="CurrencyTB-RWB 3 2 3 5" xfId="99"/>
    <cellStyle name="CurrencyTB-RWB 3 2 3 6" xfId="99"/>
    <cellStyle name="CurrencyTB-RWB 3 2 3 7" xfId="99"/>
    <cellStyle name="CurrencyTB-RWB 3 2 3 8" xfId="99"/>
    <cellStyle name="CurrencyTB-RWB 3 2 4" xfId="99"/>
    <cellStyle name="CurrencyTB-RWB 3 2 4 2" xfId="99"/>
    <cellStyle name="CurrencyTB-RWB 3 2 4 2 2" xfId="99"/>
    <cellStyle name="CurrencyTB-RWB 3 2 4 2 3" xfId="99"/>
    <cellStyle name="CurrencyTB-RWB 3 2 4 2 4" xfId="99"/>
    <cellStyle name="CurrencyTB-RWB 3 2 4 2 5" xfId="99"/>
    <cellStyle name="CurrencyTB-RWB 3 2 4 3" xfId="99"/>
    <cellStyle name="CurrencyTB-RWB 3 2 4 3 2" xfId="99"/>
    <cellStyle name="CurrencyTB-RWB 3 2 4 3 3" xfId="99"/>
    <cellStyle name="CurrencyTB-RWB 3 2 4 3 4" xfId="99"/>
    <cellStyle name="CurrencyTB-RWB 3 2 4 4" xfId="99"/>
    <cellStyle name="CurrencyTB-RWB 3 2 4 5" xfId="99"/>
    <cellStyle name="CurrencyTB-RWB 3 2 4 6" xfId="99"/>
    <cellStyle name="CurrencyTB-RWB 3 2 4 7" xfId="99"/>
    <cellStyle name="CurrencyTB-RWB 3 2 5" xfId="99"/>
    <cellStyle name="CurrencyTB-RWB 3 2 5 2" xfId="99"/>
    <cellStyle name="CurrencyTB-RWB 3 2 5 2 2" xfId="99"/>
    <cellStyle name="CurrencyTB-RWB 3 2 5 2 3" xfId="99"/>
    <cellStyle name="CurrencyTB-RWB 3 2 5 2 4" xfId="99"/>
    <cellStyle name="CurrencyTB-RWB 3 2 5 2 5" xfId="99"/>
    <cellStyle name="CurrencyTB-RWB 3 2 5 3" xfId="99"/>
    <cellStyle name="CurrencyTB-RWB 3 2 5 3 2" xfId="99"/>
    <cellStyle name="CurrencyTB-RWB 3 2 5 3 3" xfId="99"/>
    <cellStyle name="CurrencyTB-RWB 3 2 5 3 4" xfId="99"/>
    <cellStyle name="CurrencyTB-RWB 3 2 5 4" xfId="99"/>
    <cellStyle name="CurrencyTB-RWB 3 2 5 5" xfId="99"/>
    <cellStyle name="CurrencyTB-RWB 3 2 5 6" xfId="99"/>
    <cellStyle name="CurrencyTB-RWB 3 2 5 7" xfId="99"/>
    <cellStyle name="CurrencyTB-RWB 3 2 5 8" xfId="99"/>
    <cellStyle name="CurrencyTB-RWB 3 2 6" xfId="99"/>
    <cellStyle name="CurrencyTB-RWB 3 2 6 2" xfId="99"/>
    <cellStyle name="CurrencyTB-RWB 3 2 6 3" xfId="99"/>
    <cellStyle name="CurrencyTB-RWB 3 2 6 4" xfId="99"/>
    <cellStyle name="CurrencyTB-RWB 3 2 6 5" xfId="99"/>
    <cellStyle name="CurrencyTB-RWB 3 2 7" xfId="99"/>
    <cellStyle name="CurrencyTB-RWB 3 2 8" xfId="99"/>
    <cellStyle name="CurrencyTB-RWB 3 2 9" xfId="99"/>
    <cellStyle name="CurrencyTB-RWB 3 3" xfId="99"/>
    <cellStyle name="CurrencyTB-RWB 3 3 10" xfId="99"/>
    <cellStyle name="CurrencyTB-RWB 3 3 2" xfId="99"/>
    <cellStyle name="CurrencyTB-RWB 3 3 2 2" xfId="99"/>
    <cellStyle name="CurrencyTB-RWB 3 3 2 2 2" xfId="99"/>
    <cellStyle name="CurrencyTB-RWB 3 3 2 2 3" xfId="99"/>
    <cellStyle name="CurrencyTB-RWB 3 3 2 2 4" xfId="99"/>
    <cellStyle name="CurrencyTB-RWB 3 3 2 2 5" xfId="99"/>
    <cellStyle name="CurrencyTB-RWB 3 3 2 3" xfId="99"/>
    <cellStyle name="CurrencyTB-RWB 3 3 2 3 2" xfId="99"/>
    <cellStyle name="CurrencyTB-RWB 3 3 2 3 3" xfId="99"/>
    <cellStyle name="CurrencyTB-RWB 3 3 2 3 4" xfId="99"/>
    <cellStyle name="CurrencyTB-RWB 3 3 2 4" xfId="99"/>
    <cellStyle name="CurrencyTB-RWB 3 3 2 5" xfId="99"/>
    <cellStyle name="CurrencyTB-RWB 3 3 2 6" xfId="99"/>
    <cellStyle name="CurrencyTB-RWB 3 3 2 7" xfId="99"/>
    <cellStyle name="CurrencyTB-RWB 3 3 2 8" xfId="99"/>
    <cellStyle name="CurrencyTB-RWB 3 3 3" xfId="99"/>
    <cellStyle name="CurrencyTB-RWB 3 3 3 2" xfId="99"/>
    <cellStyle name="CurrencyTB-RWB 3 3 3 2 2" xfId="99"/>
    <cellStyle name="CurrencyTB-RWB 3 3 3 2 3" xfId="99"/>
    <cellStyle name="CurrencyTB-RWB 3 3 3 2 4" xfId="99"/>
    <cellStyle name="CurrencyTB-RWB 3 3 3 2 5" xfId="99"/>
    <cellStyle name="CurrencyTB-RWB 3 3 3 3" xfId="99"/>
    <cellStyle name="CurrencyTB-RWB 3 3 3 3 2" xfId="99"/>
    <cellStyle name="CurrencyTB-RWB 3 3 3 3 3" xfId="99"/>
    <cellStyle name="CurrencyTB-RWB 3 3 3 3 4" xfId="99"/>
    <cellStyle name="CurrencyTB-RWB 3 3 3 4" xfId="99"/>
    <cellStyle name="CurrencyTB-RWB 3 3 3 5" xfId="99"/>
    <cellStyle name="CurrencyTB-RWB 3 3 3 6" xfId="99"/>
    <cellStyle name="CurrencyTB-RWB 3 3 3 7" xfId="99"/>
    <cellStyle name="CurrencyTB-RWB 3 3 3 8" xfId="99"/>
    <cellStyle name="CurrencyTB-RWB 3 3 4" xfId="99"/>
    <cellStyle name="CurrencyTB-RWB 3 3 4 2" xfId="99"/>
    <cellStyle name="CurrencyTB-RWB 3 3 4 2 2" xfId="99"/>
    <cellStyle name="CurrencyTB-RWB 3 3 4 2 3" xfId="99"/>
    <cellStyle name="CurrencyTB-RWB 3 3 4 2 4" xfId="99"/>
    <cellStyle name="CurrencyTB-RWB 3 3 4 2 5" xfId="99"/>
    <cellStyle name="CurrencyTB-RWB 3 3 4 3" xfId="99"/>
    <cellStyle name="CurrencyTB-RWB 3 3 4 3 2" xfId="99"/>
    <cellStyle name="CurrencyTB-RWB 3 3 4 3 3" xfId="99"/>
    <cellStyle name="CurrencyTB-RWB 3 3 4 3 4" xfId="99"/>
    <cellStyle name="CurrencyTB-RWB 3 3 4 4" xfId="99"/>
    <cellStyle name="CurrencyTB-RWB 3 3 4 5" xfId="99"/>
    <cellStyle name="CurrencyTB-RWB 3 3 4 6" xfId="99"/>
    <cellStyle name="CurrencyTB-RWB 3 3 4 7" xfId="99"/>
    <cellStyle name="CurrencyTB-RWB 3 3 5" xfId="99"/>
    <cellStyle name="CurrencyTB-RWB 3 3 5 2" xfId="99"/>
    <cellStyle name="CurrencyTB-RWB 3 3 5 2 2" xfId="99"/>
    <cellStyle name="CurrencyTB-RWB 3 3 5 2 3" xfId="99"/>
    <cellStyle name="CurrencyTB-RWB 3 3 5 2 4" xfId="99"/>
    <cellStyle name="CurrencyTB-RWB 3 3 5 2 5" xfId="99"/>
    <cellStyle name="CurrencyTB-RWB 3 3 5 3" xfId="99"/>
    <cellStyle name="CurrencyTB-RWB 3 3 5 3 2" xfId="99"/>
    <cellStyle name="CurrencyTB-RWB 3 3 5 3 3" xfId="99"/>
    <cellStyle name="CurrencyTB-RWB 3 3 5 3 4" xfId="99"/>
    <cellStyle name="CurrencyTB-RWB 3 3 5 4" xfId="99"/>
    <cellStyle name="CurrencyTB-RWB 3 3 5 5" xfId="99"/>
    <cellStyle name="CurrencyTB-RWB 3 3 5 6" xfId="99"/>
    <cellStyle name="CurrencyTB-RWB 3 3 5 7" xfId="99"/>
    <cellStyle name="CurrencyTB-RWB 3 3 5 8" xfId="99"/>
    <cellStyle name="CurrencyTB-RWB 3 3 6" xfId="99"/>
    <cellStyle name="CurrencyTB-RWB 3 3 6 2" xfId="99"/>
    <cellStyle name="CurrencyTB-RWB 3 3 6 3" xfId="99"/>
    <cellStyle name="CurrencyTB-RWB 3 3 6 4" xfId="99"/>
    <cellStyle name="CurrencyTB-RWB 3 3 6 5" xfId="99"/>
    <cellStyle name="CurrencyTB-RWB 3 3 7" xfId="99"/>
    <cellStyle name="CurrencyTB-RWB 3 3 8" xfId="99"/>
    <cellStyle name="CurrencyTB-RWB 3 3 9" xfId="99"/>
    <cellStyle name="CurrencyTB-RWB 3 4" xfId="99"/>
    <cellStyle name="CurrencyTB-RWB 3 4 2" xfId="99"/>
    <cellStyle name="CurrencyTB-RWB 3 4 2 2" xfId="99"/>
    <cellStyle name="CurrencyTB-RWB 3 4 2 3" xfId="99"/>
    <cellStyle name="CurrencyTB-RWB 3 4 2 4" xfId="99"/>
    <cellStyle name="CurrencyTB-RWB 3 4 2 5" xfId="99"/>
    <cellStyle name="CurrencyTB-RWB 3 4 3" xfId="99"/>
    <cellStyle name="CurrencyTB-RWB 3 4 3 2" xfId="99"/>
    <cellStyle name="CurrencyTB-RWB 3 4 3 3" xfId="99"/>
    <cellStyle name="CurrencyTB-RWB 3 4 3 4" xfId="99"/>
    <cellStyle name="CurrencyTB-RWB 3 4 4" xfId="99"/>
    <cellStyle name="CurrencyTB-RWB 3 4 5" xfId="99"/>
    <cellStyle name="CurrencyTB-RWB 3 4 6" xfId="99"/>
    <cellStyle name="CurrencyTB-RWB 3 4 7" xfId="99"/>
    <cellStyle name="CurrencyTB-RWB 3 4 8" xfId="99"/>
    <cellStyle name="CurrencyTB-RWB 3 5" xfId="99"/>
    <cellStyle name="CurrencyTB-RWB 3 5 2" xfId="99"/>
    <cellStyle name="CurrencyTB-RWB 3 5 2 2" xfId="99"/>
    <cellStyle name="CurrencyTB-RWB 3 5 2 3" xfId="99"/>
    <cellStyle name="CurrencyTB-RWB 3 5 2 4" xfId="99"/>
    <cellStyle name="CurrencyTB-RWB 3 5 2 5" xfId="99"/>
    <cellStyle name="CurrencyTB-RWB 3 5 3" xfId="99"/>
    <cellStyle name="CurrencyTB-RWB 3 5 3 2" xfId="99"/>
    <cellStyle name="CurrencyTB-RWB 3 5 3 3" xfId="99"/>
    <cellStyle name="CurrencyTB-RWB 3 5 3 4" xfId="99"/>
    <cellStyle name="CurrencyTB-RWB 3 5 4" xfId="99"/>
    <cellStyle name="CurrencyTB-RWB 3 5 5" xfId="99"/>
    <cellStyle name="CurrencyTB-RWB 3 5 6" xfId="99"/>
    <cellStyle name="CurrencyTB-RWB 3 5 7" xfId="99"/>
    <cellStyle name="CurrencyTB-RWB 3 5 8" xfId="99"/>
    <cellStyle name="CurrencyTB-RWB 3 6" xfId="99"/>
    <cellStyle name="CurrencyTB-RWB 3 6 2" xfId="99"/>
    <cellStyle name="CurrencyTB-RWB 3 6 2 2" xfId="99"/>
    <cellStyle name="CurrencyTB-RWB 3 6 2 3" xfId="99"/>
    <cellStyle name="CurrencyTB-RWB 3 6 2 4" xfId="99"/>
    <cellStyle name="CurrencyTB-RWB 3 6 2 5" xfId="99"/>
    <cellStyle name="CurrencyTB-RWB 3 6 3" xfId="99"/>
    <cellStyle name="CurrencyTB-RWB 3 6 3 2" xfId="99"/>
    <cellStyle name="CurrencyTB-RWB 3 6 3 3" xfId="99"/>
    <cellStyle name="CurrencyTB-RWB 3 6 3 4" xfId="99"/>
    <cellStyle name="CurrencyTB-RWB 3 6 4" xfId="99"/>
    <cellStyle name="CurrencyTB-RWB 3 6 5" xfId="99"/>
    <cellStyle name="CurrencyTB-RWB 3 6 6" xfId="99"/>
    <cellStyle name="CurrencyTB-RWB 3 6 7" xfId="99"/>
    <cellStyle name="CurrencyTB-RWB 3 7" xfId="99"/>
    <cellStyle name="CurrencyTB-RWB 3 7 2" xfId="99"/>
    <cellStyle name="CurrencyTB-RWB 3 7 2 2" xfId="99"/>
    <cellStyle name="CurrencyTB-RWB 3 7 2 3" xfId="99"/>
    <cellStyle name="CurrencyTB-RWB 3 7 2 4" xfId="99"/>
    <cellStyle name="CurrencyTB-RWB 3 7 2 5" xfId="99"/>
    <cellStyle name="CurrencyTB-RWB 3 7 3" xfId="99"/>
    <cellStyle name="CurrencyTB-RWB 3 7 3 2" xfId="99"/>
    <cellStyle name="CurrencyTB-RWB 3 7 3 3" xfId="99"/>
    <cellStyle name="CurrencyTB-RWB 3 7 3 4" xfId="99"/>
    <cellStyle name="CurrencyTB-RWB 3 7 4" xfId="99"/>
    <cellStyle name="CurrencyTB-RWB 3 7 5" xfId="99"/>
    <cellStyle name="CurrencyTB-RWB 3 7 6" xfId="99"/>
    <cellStyle name="CurrencyTB-RWB 3 7 7" xfId="99"/>
    <cellStyle name="CurrencyTB-RWB 3 7 8" xfId="99"/>
    <cellStyle name="CurrencyTB-RWB 3 8" xfId="99"/>
    <cellStyle name="CurrencyTB-RWB 3 8 2" xfId="99"/>
    <cellStyle name="CurrencyTB-RWB 3 8 3" xfId="99"/>
    <cellStyle name="CurrencyTB-RWB 3 8 4" xfId="99"/>
    <cellStyle name="CurrencyTB-RWB 3 8 5" xfId="99"/>
    <cellStyle name="CurrencyTB-RWB 3 9" xfId="99"/>
    <cellStyle name="CurrencyTB-RWB 4" xfId="99"/>
    <cellStyle name="CurrencyTB-RWB 4 10" xfId="99"/>
    <cellStyle name="CurrencyTB-RWB 4 2" xfId="99"/>
    <cellStyle name="CurrencyTB-RWB 4 2 2" xfId="99"/>
    <cellStyle name="CurrencyTB-RWB 4 2 2 2" xfId="99"/>
    <cellStyle name="CurrencyTB-RWB 4 2 2 3" xfId="99"/>
    <cellStyle name="CurrencyTB-RWB 4 2 2 4" xfId="99"/>
    <cellStyle name="CurrencyTB-RWB 4 2 2 5" xfId="99"/>
    <cellStyle name="CurrencyTB-RWB 4 2 3" xfId="99"/>
    <cellStyle name="CurrencyTB-RWB 4 2 3 2" xfId="99"/>
    <cellStyle name="CurrencyTB-RWB 4 2 3 3" xfId="99"/>
    <cellStyle name="CurrencyTB-RWB 4 2 3 4" xfId="99"/>
    <cellStyle name="CurrencyTB-RWB 4 2 4" xfId="99"/>
    <cellStyle name="CurrencyTB-RWB 4 2 5" xfId="99"/>
    <cellStyle name="CurrencyTB-RWB 4 2 6" xfId="99"/>
    <cellStyle name="CurrencyTB-RWB 4 2 7" xfId="99"/>
    <cellStyle name="CurrencyTB-RWB 4 2 8" xfId="99"/>
    <cellStyle name="CurrencyTB-RWB 4 3" xfId="99"/>
    <cellStyle name="CurrencyTB-RWB 4 3 2" xfId="99"/>
    <cellStyle name="CurrencyTB-RWB 4 3 2 2" xfId="99"/>
    <cellStyle name="CurrencyTB-RWB 4 3 2 3" xfId="99"/>
    <cellStyle name="CurrencyTB-RWB 4 3 2 4" xfId="99"/>
    <cellStyle name="CurrencyTB-RWB 4 3 2 5" xfId="99"/>
    <cellStyle name="CurrencyTB-RWB 4 3 3" xfId="99"/>
    <cellStyle name="CurrencyTB-RWB 4 3 3 2" xfId="99"/>
    <cellStyle name="CurrencyTB-RWB 4 3 3 3" xfId="99"/>
    <cellStyle name="CurrencyTB-RWB 4 3 3 4" xfId="99"/>
    <cellStyle name="CurrencyTB-RWB 4 3 4" xfId="99"/>
    <cellStyle name="CurrencyTB-RWB 4 3 5" xfId="99"/>
    <cellStyle name="CurrencyTB-RWB 4 3 6" xfId="99"/>
    <cellStyle name="CurrencyTB-RWB 4 3 7" xfId="99"/>
    <cellStyle name="CurrencyTB-RWB 4 3 8" xfId="99"/>
    <cellStyle name="CurrencyTB-RWB 4 4" xfId="99"/>
    <cellStyle name="CurrencyTB-RWB 4 4 2" xfId="99"/>
    <cellStyle name="CurrencyTB-RWB 4 4 2 2" xfId="99"/>
    <cellStyle name="CurrencyTB-RWB 4 4 2 3" xfId="99"/>
    <cellStyle name="CurrencyTB-RWB 4 4 2 4" xfId="99"/>
    <cellStyle name="CurrencyTB-RWB 4 4 2 5" xfId="99"/>
    <cellStyle name="CurrencyTB-RWB 4 4 3" xfId="99"/>
    <cellStyle name="CurrencyTB-RWB 4 4 3 2" xfId="99"/>
    <cellStyle name="CurrencyTB-RWB 4 4 3 3" xfId="99"/>
    <cellStyle name="CurrencyTB-RWB 4 4 3 4" xfId="99"/>
    <cellStyle name="CurrencyTB-RWB 4 4 4" xfId="99"/>
    <cellStyle name="CurrencyTB-RWB 4 4 5" xfId="99"/>
    <cellStyle name="CurrencyTB-RWB 4 4 6" xfId="99"/>
    <cellStyle name="CurrencyTB-RWB 4 4 7" xfId="99"/>
    <cellStyle name="CurrencyTB-RWB 4 5" xfId="99"/>
    <cellStyle name="CurrencyTB-RWB 4 5 2" xfId="99"/>
    <cellStyle name="CurrencyTB-RWB 4 5 2 2" xfId="99"/>
    <cellStyle name="CurrencyTB-RWB 4 5 2 3" xfId="99"/>
    <cellStyle name="CurrencyTB-RWB 4 5 2 4" xfId="99"/>
    <cellStyle name="CurrencyTB-RWB 4 5 2 5" xfId="99"/>
    <cellStyle name="CurrencyTB-RWB 4 5 3" xfId="99"/>
    <cellStyle name="CurrencyTB-RWB 4 5 3 2" xfId="99"/>
    <cellStyle name="CurrencyTB-RWB 4 5 3 3" xfId="99"/>
    <cellStyle name="CurrencyTB-RWB 4 5 3 4" xfId="99"/>
    <cellStyle name="CurrencyTB-RWB 4 5 4" xfId="99"/>
    <cellStyle name="CurrencyTB-RWB 4 5 5" xfId="99"/>
    <cellStyle name="CurrencyTB-RWB 4 5 6" xfId="99"/>
    <cellStyle name="CurrencyTB-RWB 4 5 7" xfId="99"/>
    <cellStyle name="CurrencyTB-RWB 4 5 8" xfId="99"/>
    <cellStyle name="CurrencyTB-RWB 4 6" xfId="99"/>
    <cellStyle name="CurrencyTB-RWB 4 6 2" xfId="99"/>
    <cellStyle name="CurrencyTB-RWB 4 6 3" xfId="99"/>
    <cellStyle name="CurrencyTB-RWB 4 6 4" xfId="99"/>
    <cellStyle name="CurrencyTB-RWB 4 6 5" xfId="99"/>
    <cellStyle name="CurrencyTB-RWB 4 7" xfId="99"/>
    <cellStyle name="CurrencyTB-RWB 4 8" xfId="99"/>
    <cellStyle name="CurrencyTB-RWB 4 9" xfId="99"/>
    <cellStyle name="CurrencyTB-RWB 5" xfId="99"/>
    <cellStyle name="CurrencyTB-RWB 5 2" xfId="99"/>
    <cellStyle name="CurrencyTB-RWB 5 2 2" xfId="99"/>
    <cellStyle name="CurrencyTB-RWB 5 2 2 2" xfId="99"/>
    <cellStyle name="CurrencyTB-RWB 5 2 2 3" xfId="99"/>
    <cellStyle name="CurrencyTB-RWB 5 2 2 4" xfId="99"/>
    <cellStyle name="CurrencyTB-RWB 5 2 2 5" xfId="99"/>
    <cellStyle name="CurrencyTB-RWB 5 2 3" xfId="99"/>
    <cellStyle name="CurrencyTB-RWB 5 2 3 2" xfId="99"/>
    <cellStyle name="CurrencyTB-RWB 5 2 3 3" xfId="99"/>
    <cellStyle name="CurrencyTB-RWB 5 2 3 4" xfId="99"/>
    <cellStyle name="CurrencyTB-RWB 5 2 4" xfId="99"/>
    <cellStyle name="CurrencyTB-RWB 5 2 5" xfId="99"/>
    <cellStyle name="CurrencyTB-RWB 5 2 6" xfId="99"/>
    <cellStyle name="CurrencyTB-RWB 5 2 7" xfId="99"/>
    <cellStyle name="CurrencyTB-RWB 5 2 8" xfId="99"/>
    <cellStyle name="CurrencyTB-RWB 5 3" xfId="99"/>
    <cellStyle name="CurrencyTB-RWB 5 3 2" xfId="99"/>
    <cellStyle name="CurrencyTB-RWB 5 3 2 2" xfId="99"/>
    <cellStyle name="CurrencyTB-RWB 5 3 2 3" xfId="99"/>
    <cellStyle name="CurrencyTB-RWB 5 3 2 4" xfId="99"/>
    <cellStyle name="CurrencyTB-RWB 5 3 2 5" xfId="99"/>
    <cellStyle name="CurrencyTB-RWB 5 3 3" xfId="99"/>
    <cellStyle name="CurrencyTB-RWB 5 3 3 2" xfId="99"/>
    <cellStyle name="CurrencyTB-RWB 5 3 3 3" xfId="99"/>
    <cellStyle name="CurrencyTB-RWB 5 3 3 4" xfId="99"/>
    <cellStyle name="CurrencyTB-RWB 5 3 4" xfId="99"/>
    <cellStyle name="CurrencyTB-RWB 5 3 5" xfId="99"/>
    <cellStyle name="CurrencyTB-RWB 5 3 6" xfId="99"/>
    <cellStyle name="CurrencyTB-RWB 5 3 7" xfId="99"/>
    <cellStyle name="CurrencyTB-RWB 5 4" xfId="99"/>
    <cellStyle name="CurrencyTB-RWB 5 4 2" xfId="99"/>
    <cellStyle name="CurrencyTB-RWB 5 4 3" xfId="99"/>
    <cellStyle name="CurrencyTB-RWB 5 4 4" xfId="99"/>
    <cellStyle name="CurrencyTB-RWB 5 4 5" xfId="99"/>
    <cellStyle name="CurrencyTB-RWB 5 5" xfId="99"/>
    <cellStyle name="CurrencyTB-RWB 5 5 2" xfId="99"/>
    <cellStyle name="CurrencyTB-RWB 5 5 3" xfId="99"/>
    <cellStyle name="CurrencyTB-RWB 5 5 4" xfId="99"/>
    <cellStyle name="CurrencyTB-RWB 5 6" xfId="99"/>
    <cellStyle name="CurrencyTB-RWB 5 7" xfId="99"/>
    <cellStyle name="CurrencyTB-RWB 5 8" xfId="99"/>
    <cellStyle name="CurrencyTB-RWB 5 9" xfId="99"/>
    <cellStyle name="CurrencyTB-RWB 6" xfId="99"/>
    <cellStyle name="CurrencyTB-RWB 6 2" xfId="99"/>
    <cellStyle name="CurrencyTB-RWB 6 2 2" xfId="99"/>
    <cellStyle name="CurrencyTB-RWB 6 2 3" xfId="99"/>
    <cellStyle name="CurrencyTB-RWB 6 2 4" xfId="99"/>
    <cellStyle name="CurrencyTB-RWB 6 2 5" xfId="99"/>
    <cellStyle name="CurrencyTB-RWB 6 3" xfId="99"/>
    <cellStyle name="CurrencyTB-RWB 6 3 2" xfId="99"/>
    <cellStyle name="CurrencyTB-RWB 6 3 3" xfId="99"/>
    <cellStyle name="CurrencyTB-RWB 6 3 4" xfId="99"/>
    <cellStyle name="CurrencyTB-RWB 6 4" xfId="99"/>
    <cellStyle name="CurrencyTB-RWB 6 5" xfId="99"/>
    <cellStyle name="CurrencyTB-RWB 6 6" xfId="99"/>
    <cellStyle name="CurrencyTB-RWB 6 7" xfId="99"/>
    <cellStyle name="CurrencyTB-RWB 6 8" xfId="99"/>
    <cellStyle name="CurrencyTB-RWB 7" xfId="99"/>
    <cellStyle name="CurrencyTB-RWB 7 2" xfId="99"/>
    <cellStyle name="CurrencyTB-RWB 7 3" xfId="99"/>
    <cellStyle name="CurrencyTB-RWB 7 4" xfId="99"/>
    <cellStyle name="CurrencyTB-RWB 7 5" xfId="99"/>
    <cellStyle name="CurrencyTB-RWB 8" xfId="99"/>
    <cellStyle name="CurrencyTB-RWNeg" xfId="97"/>
    <cellStyle name="CurrencyTB-S" xfId="100"/>
    <cellStyle name="CurrencyTB,B,Accounting" xfId="101"/>
    <cellStyle name="CurrencyTB,rghtBoldRed" xfId="102"/>
    <cellStyle name="CurrencyTB,rIGHT" xfId="103"/>
    <cellStyle name="CurrencyTB2d" xfId="104"/>
    <cellStyle name="CurrencyTB2d-R" xfId="105"/>
    <cellStyle name="CurrencyTB2d-R,S" xfId="106"/>
    <cellStyle name="CurrencyTBLeftAlign" xfId="107"/>
    <cellStyle name="CurrencyTBR-HVerdana9" xfId="108"/>
    <cellStyle name="CurrencyTBWB" xfId="109"/>
    <cellStyle name="CurrencyTBWB 2" xfId="109"/>
    <cellStyle name="CurrencyTBWB 2 10" xfId="109"/>
    <cellStyle name="CurrencyTBWB 2 11" xfId="109"/>
    <cellStyle name="CurrencyTBWB 2 12" xfId="109"/>
    <cellStyle name="CurrencyTBWB 2 13" xfId="109"/>
    <cellStyle name="CurrencyTBWB 2 2" xfId="109"/>
    <cellStyle name="CurrencyTBWB 2 2 10" xfId="109"/>
    <cellStyle name="CurrencyTBWB 2 2 11" xfId="109"/>
    <cellStyle name="CurrencyTBWB 2 2 12" xfId="109"/>
    <cellStyle name="CurrencyTBWB 2 2 13" xfId="109"/>
    <cellStyle name="CurrencyTBWB 2 2 2" xfId="109"/>
    <cellStyle name="CurrencyTBWB 2 2 2 10" xfId="109"/>
    <cellStyle name="CurrencyTBWB 2 2 2 2" xfId="109"/>
    <cellStyle name="CurrencyTBWB 2 2 2 2 2" xfId="109"/>
    <cellStyle name="CurrencyTBWB 2 2 2 2 2 2" xfId="109"/>
    <cellStyle name="CurrencyTBWB 2 2 2 2 2 3" xfId="109"/>
    <cellStyle name="CurrencyTBWB 2 2 2 2 2 4" xfId="109"/>
    <cellStyle name="CurrencyTBWB 2 2 2 2 2 5" xfId="109"/>
    <cellStyle name="CurrencyTBWB 2 2 2 2 3" xfId="109"/>
    <cellStyle name="CurrencyTBWB 2 2 2 2 3 2" xfId="109"/>
    <cellStyle name="CurrencyTBWB 2 2 2 2 3 3" xfId="109"/>
    <cellStyle name="CurrencyTBWB 2 2 2 2 3 4" xfId="109"/>
    <cellStyle name="CurrencyTBWB 2 2 2 2 4" xfId="109"/>
    <cellStyle name="CurrencyTBWB 2 2 2 2 5" xfId="109"/>
    <cellStyle name="CurrencyTBWB 2 2 2 2 6" xfId="109"/>
    <cellStyle name="CurrencyTBWB 2 2 2 2 7" xfId="109"/>
    <cellStyle name="CurrencyTBWB 2 2 2 2 8" xfId="109"/>
    <cellStyle name="CurrencyTBWB 2 2 2 3" xfId="109"/>
    <cellStyle name="CurrencyTBWB 2 2 2 3 2" xfId="109"/>
    <cellStyle name="CurrencyTBWB 2 2 2 3 2 2" xfId="109"/>
    <cellStyle name="CurrencyTBWB 2 2 2 3 2 3" xfId="109"/>
    <cellStyle name="CurrencyTBWB 2 2 2 3 2 4" xfId="109"/>
    <cellStyle name="CurrencyTBWB 2 2 2 3 2 5" xfId="109"/>
    <cellStyle name="CurrencyTBWB 2 2 2 3 3" xfId="109"/>
    <cellStyle name="CurrencyTBWB 2 2 2 3 3 2" xfId="109"/>
    <cellStyle name="CurrencyTBWB 2 2 2 3 3 3" xfId="109"/>
    <cellStyle name="CurrencyTBWB 2 2 2 3 3 4" xfId="109"/>
    <cellStyle name="CurrencyTBWB 2 2 2 3 4" xfId="109"/>
    <cellStyle name="CurrencyTBWB 2 2 2 3 5" xfId="109"/>
    <cellStyle name="CurrencyTBWB 2 2 2 3 6" xfId="109"/>
    <cellStyle name="CurrencyTBWB 2 2 2 3 7" xfId="109"/>
    <cellStyle name="CurrencyTBWB 2 2 2 3 8" xfId="109"/>
    <cellStyle name="CurrencyTBWB 2 2 2 4" xfId="109"/>
    <cellStyle name="CurrencyTBWB 2 2 2 4 2" xfId="109"/>
    <cellStyle name="CurrencyTBWB 2 2 2 4 2 2" xfId="109"/>
    <cellStyle name="CurrencyTBWB 2 2 2 4 2 3" xfId="109"/>
    <cellStyle name="CurrencyTBWB 2 2 2 4 2 4" xfId="109"/>
    <cellStyle name="CurrencyTBWB 2 2 2 4 2 5" xfId="109"/>
    <cellStyle name="CurrencyTBWB 2 2 2 4 3" xfId="109"/>
    <cellStyle name="CurrencyTBWB 2 2 2 4 3 2" xfId="109"/>
    <cellStyle name="CurrencyTBWB 2 2 2 4 3 3" xfId="109"/>
    <cellStyle name="CurrencyTBWB 2 2 2 4 3 4" xfId="109"/>
    <cellStyle name="CurrencyTBWB 2 2 2 4 4" xfId="109"/>
    <cellStyle name="CurrencyTBWB 2 2 2 4 5" xfId="109"/>
    <cellStyle name="CurrencyTBWB 2 2 2 4 6" xfId="109"/>
    <cellStyle name="CurrencyTBWB 2 2 2 4 7" xfId="109"/>
    <cellStyle name="CurrencyTBWB 2 2 2 5" xfId="109"/>
    <cellStyle name="CurrencyTBWB 2 2 2 5 2" xfId="109"/>
    <cellStyle name="CurrencyTBWB 2 2 2 5 2 2" xfId="109"/>
    <cellStyle name="CurrencyTBWB 2 2 2 5 2 3" xfId="109"/>
    <cellStyle name="CurrencyTBWB 2 2 2 5 2 4" xfId="109"/>
    <cellStyle name="CurrencyTBWB 2 2 2 5 2 5" xfId="109"/>
    <cellStyle name="CurrencyTBWB 2 2 2 5 3" xfId="109"/>
    <cellStyle name="CurrencyTBWB 2 2 2 5 3 2" xfId="109"/>
    <cellStyle name="CurrencyTBWB 2 2 2 5 3 3" xfId="109"/>
    <cellStyle name="CurrencyTBWB 2 2 2 5 3 4" xfId="109"/>
    <cellStyle name="CurrencyTBWB 2 2 2 5 4" xfId="109"/>
    <cellStyle name="CurrencyTBWB 2 2 2 5 5" xfId="109"/>
    <cellStyle name="CurrencyTBWB 2 2 2 5 6" xfId="109"/>
    <cellStyle name="CurrencyTBWB 2 2 2 5 7" xfId="109"/>
    <cellStyle name="CurrencyTBWB 2 2 2 5 8" xfId="109"/>
    <cellStyle name="CurrencyTBWB 2 2 2 6" xfId="109"/>
    <cellStyle name="CurrencyTBWB 2 2 2 6 2" xfId="109"/>
    <cellStyle name="CurrencyTBWB 2 2 2 6 3" xfId="109"/>
    <cellStyle name="CurrencyTBWB 2 2 2 6 4" xfId="109"/>
    <cellStyle name="CurrencyTBWB 2 2 2 6 5" xfId="109"/>
    <cellStyle name="CurrencyTBWB 2 2 2 7" xfId="109"/>
    <cellStyle name="CurrencyTBWB 2 2 2 8" xfId="109"/>
    <cellStyle name="CurrencyTBWB 2 2 2 9" xfId="109"/>
    <cellStyle name="CurrencyTBWB 2 2 3" xfId="109"/>
    <cellStyle name="CurrencyTBWB 2 2 3 10" xfId="109"/>
    <cellStyle name="CurrencyTBWB 2 2 3 2" xfId="109"/>
    <cellStyle name="CurrencyTBWB 2 2 3 2 2" xfId="109"/>
    <cellStyle name="CurrencyTBWB 2 2 3 2 2 2" xfId="109"/>
    <cellStyle name="CurrencyTBWB 2 2 3 2 2 3" xfId="109"/>
    <cellStyle name="CurrencyTBWB 2 2 3 2 2 4" xfId="109"/>
    <cellStyle name="CurrencyTBWB 2 2 3 2 2 5" xfId="109"/>
    <cellStyle name="CurrencyTBWB 2 2 3 2 3" xfId="109"/>
    <cellStyle name="CurrencyTBWB 2 2 3 2 3 2" xfId="109"/>
    <cellStyle name="CurrencyTBWB 2 2 3 2 3 3" xfId="109"/>
    <cellStyle name="CurrencyTBWB 2 2 3 2 3 4" xfId="109"/>
    <cellStyle name="CurrencyTBWB 2 2 3 2 4" xfId="109"/>
    <cellStyle name="CurrencyTBWB 2 2 3 2 5" xfId="109"/>
    <cellStyle name="CurrencyTBWB 2 2 3 2 6" xfId="109"/>
    <cellStyle name="CurrencyTBWB 2 2 3 2 7" xfId="109"/>
    <cellStyle name="CurrencyTBWB 2 2 3 2 8" xfId="109"/>
    <cellStyle name="CurrencyTBWB 2 2 3 3" xfId="109"/>
    <cellStyle name="CurrencyTBWB 2 2 3 3 2" xfId="109"/>
    <cellStyle name="CurrencyTBWB 2 2 3 3 2 2" xfId="109"/>
    <cellStyle name="CurrencyTBWB 2 2 3 3 2 3" xfId="109"/>
    <cellStyle name="CurrencyTBWB 2 2 3 3 2 4" xfId="109"/>
    <cellStyle name="CurrencyTBWB 2 2 3 3 2 5" xfId="109"/>
    <cellStyle name="CurrencyTBWB 2 2 3 3 3" xfId="109"/>
    <cellStyle name="CurrencyTBWB 2 2 3 3 3 2" xfId="109"/>
    <cellStyle name="CurrencyTBWB 2 2 3 3 3 3" xfId="109"/>
    <cellStyle name="CurrencyTBWB 2 2 3 3 3 4" xfId="109"/>
    <cellStyle name="CurrencyTBWB 2 2 3 3 4" xfId="109"/>
    <cellStyle name="CurrencyTBWB 2 2 3 3 5" xfId="109"/>
    <cellStyle name="CurrencyTBWB 2 2 3 3 6" xfId="109"/>
    <cellStyle name="CurrencyTBWB 2 2 3 3 7" xfId="109"/>
    <cellStyle name="CurrencyTBWB 2 2 3 3 8" xfId="109"/>
    <cellStyle name="CurrencyTBWB 2 2 3 4" xfId="109"/>
    <cellStyle name="CurrencyTBWB 2 2 3 4 2" xfId="109"/>
    <cellStyle name="CurrencyTBWB 2 2 3 4 2 2" xfId="109"/>
    <cellStyle name="CurrencyTBWB 2 2 3 4 2 3" xfId="109"/>
    <cellStyle name="CurrencyTBWB 2 2 3 4 2 4" xfId="109"/>
    <cellStyle name="CurrencyTBWB 2 2 3 4 2 5" xfId="109"/>
    <cellStyle name="CurrencyTBWB 2 2 3 4 3" xfId="109"/>
    <cellStyle name="CurrencyTBWB 2 2 3 4 3 2" xfId="109"/>
    <cellStyle name="CurrencyTBWB 2 2 3 4 3 3" xfId="109"/>
    <cellStyle name="CurrencyTBWB 2 2 3 4 3 4" xfId="109"/>
    <cellStyle name="CurrencyTBWB 2 2 3 4 4" xfId="109"/>
    <cellStyle name="CurrencyTBWB 2 2 3 4 5" xfId="109"/>
    <cellStyle name="CurrencyTBWB 2 2 3 4 6" xfId="109"/>
    <cellStyle name="CurrencyTBWB 2 2 3 4 7" xfId="109"/>
    <cellStyle name="CurrencyTBWB 2 2 3 5" xfId="109"/>
    <cellStyle name="CurrencyTBWB 2 2 3 5 2" xfId="109"/>
    <cellStyle name="CurrencyTBWB 2 2 3 5 2 2" xfId="109"/>
    <cellStyle name="CurrencyTBWB 2 2 3 5 2 3" xfId="109"/>
    <cellStyle name="CurrencyTBWB 2 2 3 5 2 4" xfId="109"/>
    <cellStyle name="CurrencyTBWB 2 2 3 5 2 5" xfId="109"/>
    <cellStyle name="CurrencyTBWB 2 2 3 5 3" xfId="109"/>
    <cellStyle name="CurrencyTBWB 2 2 3 5 3 2" xfId="109"/>
    <cellStyle name="CurrencyTBWB 2 2 3 5 3 3" xfId="109"/>
    <cellStyle name="CurrencyTBWB 2 2 3 5 3 4" xfId="109"/>
    <cellStyle name="CurrencyTBWB 2 2 3 5 4" xfId="109"/>
    <cellStyle name="CurrencyTBWB 2 2 3 5 5" xfId="109"/>
    <cellStyle name="CurrencyTBWB 2 2 3 5 6" xfId="109"/>
    <cellStyle name="CurrencyTBWB 2 2 3 5 7" xfId="109"/>
    <cellStyle name="CurrencyTBWB 2 2 3 5 8" xfId="109"/>
    <cellStyle name="CurrencyTBWB 2 2 3 6" xfId="109"/>
    <cellStyle name="CurrencyTBWB 2 2 3 6 2" xfId="109"/>
    <cellStyle name="CurrencyTBWB 2 2 3 6 3" xfId="109"/>
    <cellStyle name="CurrencyTBWB 2 2 3 6 4" xfId="109"/>
    <cellStyle name="CurrencyTBWB 2 2 3 6 5" xfId="109"/>
    <cellStyle name="CurrencyTBWB 2 2 3 7" xfId="109"/>
    <cellStyle name="CurrencyTBWB 2 2 3 8" xfId="109"/>
    <cellStyle name="CurrencyTBWB 2 2 3 9" xfId="109"/>
    <cellStyle name="CurrencyTBWB 2 2 4" xfId="109"/>
    <cellStyle name="CurrencyTBWB 2 2 4 10" xfId="109"/>
    <cellStyle name="CurrencyTBWB 2 2 4 2" xfId="109"/>
    <cellStyle name="CurrencyTBWB 2 2 4 2 2" xfId="109"/>
    <cellStyle name="CurrencyTBWB 2 2 4 2 2 2" xfId="109"/>
    <cellStyle name="CurrencyTBWB 2 2 4 2 2 3" xfId="109"/>
    <cellStyle name="CurrencyTBWB 2 2 4 2 2 4" xfId="109"/>
    <cellStyle name="CurrencyTBWB 2 2 4 2 2 5" xfId="109"/>
    <cellStyle name="CurrencyTBWB 2 2 4 2 3" xfId="109"/>
    <cellStyle name="CurrencyTBWB 2 2 4 2 3 2" xfId="109"/>
    <cellStyle name="CurrencyTBWB 2 2 4 2 3 3" xfId="109"/>
    <cellStyle name="CurrencyTBWB 2 2 4 2 3 4" xfId="109"/>
    <cellStyle name="CurrencyTBWB 2 2 4 2 4" xfId="109"/>
    <cellStyle name="CurrencyTBWB 2 2 4 2 5" xfId="109"/>
    <cellStyle name="CurrencyTBWB 2 2 4 2 6" xfId="109"/>
    <cellStyle name="CurrencyTBWB 2 2 4 2 7" xfId="109"/>
    <cellStyle name="CurrencyTBWB 2 2 4 2 8" xfId="109"/>
    <cellStyle name="CurrencyTBWB 2 2 4 3" xfId="109"/>
    <cellStyle name="CurrencyTBWB 2 2 4 3 2" xfId="109"/>
    <cellStyle name="CurrencyTBWB 2 2 4 3 2 2" xfId="109"/>
    <cellStyle name="CurrencyTBWB 2 2 4 3 2 3" xfId="109"/>
    <cellStyle name="CurrencyTBWB 2 2 4 3 2 4" xfId="109"/>
    <cellStyle name="CurrencyTBWB 2 2 4 3 2 5" xfId="109"/>
    <cellStyle name="CurrencyTBWB 2 2 4 3 3" xfId="109"/>
    <cellStyle name="CurrencyTBWB 2 2 4 3 3 2" xfId="109"/>
    <cellStyle name="CurrencyTBWB 2 2 4 3 3 3" xfId="109"/>
    <cellStyle name="CurrencyTBWB 2 2 4 3 3 4" xfId="109"/>
    <cellStyle name="CurrencyTBWB 2 2 4 3 4" xfId="109"/>
    <cellStyle name="CurrencyTBWB 2 2 4 3 5" xfId="109"/>
    <cellStyle name="CurrencyTBWB 2 2 4 3 6" xfId="109"/>
    <cellStyle name="CurrencyTBWB 2 2 4 3 7" xfId="109"/>
    <cellStyle name="CurrencyTBWB 2 2 4 3 8" xfId="109"/>
    <cellStyle name="CurrencyTBWB 2 2 4 4" xfId="109"/>
    <cellStyle name="CurrencyTBWB 2 2 4 4 2" xfId="109"/>
    <cellStyle name="CurrencyTBWB 2 2 4 4 2 2" xfId="109"/>
    <cellStyle name="CurrencyTBWB 2 2 4 4 2 3" xfId="109"/>
    <cellStyle name="CurrencyTBWB 2 2 4 4 2 4" xfId="109"/>
    <cellStyle name="CurrencyTBWB 2 2 4 4 2 5" xfId="109"/>
    <cellStyle name="CurrencyTBWB 2 2 4 4 3" xfId="109"/>
    <cellStyle name="CurrencyTBWB 2 2 4 4 3 2" xfId="109"/>
    <cellStyle name="CurrencyTBWB 2 2 4 4 3 3" xfId="109"/>
    <cellStyle name="CurrencyTBWB 2 2 4 4 3 4" xfId="109"/>
    <cellStyle name="CurrencyTBWB 2 2 4 4 4" xfId="109"/>
    <cellStyle name="CurrencyTBWB 2 2 4 4 5" xfId="109"/>
    <cellStyle name="CurrencyTBWB 2 2 4 4 6" xfId="109"/>
    <cellStyle name="CurrencyTBWB 2 2 4 4 7" xfId="109"/>
    <cellStyle name="CurrencyTBWB 2 2 4 5" xfId="109"/>
    <cellStyle name="CurrencyTBWB 2 2 4 5 2" xfId="109"/>
    <cellStyle name="CurrencyTBWB 2 2 4 5 2 2" xfId="109"/>
    <cellStyle name="CurrencyTBWB 2 2 4 5 2 3" xfId="109"/>
    <cellStyle name="CurrencyTBWB 2 2 4 5 2 4" xfId="109"/>
    <cellStyle name="CurrencyTBWB 2 2 4 5 2 5" xfId="109"/>
    <cellStyle name="CurrencyTBWB 2 2 4 5 3" xfId="109"/>
    <cellStyle name="CurrencyTBWB 2 2 4 5 3 2" xfId="109"/>
    <cellStyle name="CurrencyTBWB 2 2 4 5 3 3" xfId="109"/>
    <cellStyle name="CurrencyTBWB 2 2 4 5 3 4" xfId="109"/>
    <cellStyle name="CurrencyTBWB 2 2 4 5 4" xfId="109"/>
    <cellStyle name="CurrencyTBWB 2 2 4 5 5" xfId="109"/>
    <cellStyle name="CurrencyTBWB 2 2 4 5 6" xfId="109"/>
    <cellStyle name="CurrencyTBWB 2 2 4 5 7" xfId="109"/>
    <cellStyle name="CurrencyTBWB 2 2 4 5 8" xfId="109"/>
    <cellStyle name="CurrencyTBWB 2 2 4 6" xfId="109"/>
    <cellStyle name="CurrencyTBWB 2 2 4 6 2" xfId="109"/>
    <cellStyle name="CurrencyTBWB 2 2 4 6 3" xfId="109"/>
    <cellStyle name="CurrencyTBWB 2 2 4 6 4" xfId="109"/>
    <cellStyle name="CurrencyTBWB 2 2 4 6 5" xfId="109"/>
    <cellStyle name="CurrencyTBWB 2 2 4 7" xfId="109"/>
    <cellStyle name="CurrencyTBWB 2 2 4 8" xfId="109"/>
    <cellStyle name="CurrencyTBWB 2 2 4 9" xfId="109"/>
    <cellStyle name="CurrencyTBWB 2 2 5" xfId="109"/>
    <cellStyle name="CurrencyTBWB 2 2 5 2" xfId="109"/>
    <cellStyle name="CurrencyTBWB 2 2 5 2 2" xfId="109"/>
    <cellStyle name="CurrencyTBWB 2 2 5 2 3" xfId="109"/>
    <cellStyle name="CurrencyTBWB 2 2 5 2 4" xfId="109"/>
    <cellStyle name="CurrencyTBWB 2 2 5 2 5" xfId="109"/>
    <cellStyle name="CurrencyTBWB 2 2 5 3" xfId="109"/>
    <cellStyle name="CurrencyTBWB 2 2 5 3 2" xfId="109"/>
    <cellStyle name="CurrencyTBWB 2 2 5 3 3" xfId="109"/>
    <cellStyle name="CurrencyTBWB 2 2 5 3 4" xfId="109"/>
    <cellStyle name="CurrencyTBWB 2 2 5 4" xfId="109"/>
    <cellStyle name="CurrencyTBWB 2 2 5 5" xfId="109"/>
    <cellStyle name="CurrencyTBWB 2 2 5 6" xfId="109"/>
    <cellStyle name="CurrencyTBWB 2 2 5 7" xfId="109"/>
    <cellStyle name="CurrencyTBWB 2 2 5 8" xfId="109"/>
    <cellStyle name="CurrencyTBWB 2 2 6" xfId="109"/>
    <cellStyle name="CurrencyTBWB 2 2 6 2" xfId="109"/>
    <cellStyle name="CurrencyTBWB 2 2 6 2 2" xfId="109"/>
    <cellStyle name="CurrencyTBWB 2 2 6 2 3" xfId="109"/>
    <cellStyle name="CurrencyTBWB 2 2 6 2 4" xfId="109"/>
    <cellStyle name="CurrencyTBWB 2 2 6 2 5" xfId="109"/>
    <cellStyle name="CurrencyTBWB 2 2 6 3" xfId="109"/>
    <cellStyle name="CurrencyTBWB 2 2 6 3 2" xfId="109"/>
    <cellStyle name="CurrencyTBWB 2 2 6 3 3" xfId="109"/>
    <cellStyle name="CurrencyTBWB 2 2 6 3 4" xfId="109"/>
    <cellStyle name="CurrencyTBWB 2 2 6 4" xfId="109"/>
    <cellStyle name="CurrencyTBWB 2 2 6 5" xfId="109"/>
    <cellStyle name="CurrencyTBWB 2 2 6 6" xfId="109"/>
    <cellStyle name="CurrencyTBWB 2 2 6 7" xfId="109"/>
    <cellStyle name="CurrencyTBWB 2 2 6 8" xfId="109"/>
    <cellStyle name="CurrencyTBWB 2 2 7" xfId="109"/>
    <cellStyle name="CurrencyTBWB 2 2 7 2" xfId="109"/>
    <cellStyle name="CurrencyTBWB 2 2 7 2 2" xfId="109"/>
    <cellStyle name="CurrencyTBWB 2 2 7 2 3" xfId="109"/>
    <cellStyle name="CurrencyTBWB 2 2 7 2 4" xfId="109"/>
    <cellStyle name="CurrencyTBWB 2 2 7 2 5" xfId="109"/>
    <cellStyle name="CurrencyTBWB 2 2 7 3" xfId="109"/>
    <cellStyle name="CurrencyTBWB 2 2 7 3 2" xfId="109"/>
    <cellStyle name="CurrencyTBWB 2 2 7 3 3" xfId="109"/>
    <cellStyle name="CurrencyTBWB 2 2 7 3 4" xfId="109"/>
    <cellStyle name="CurrencyTBWB 2 2 7 4" xfId="109"/>
    <cellStyle name="CurrencyTBWB 2 2 7 5" xfId="109"/>
    <cellStyle name="CurrencyTBWB 2 2 7 6" xfId="109"/>
    <cellStyle name="CurrencyTBWB 2 2 7 7" xfId="109"/>
    <cellStyle name="CurrencyTBWB 2 2 8" xfId="109"/>
    <cellStyle name="CurrencyTBWB 2 2 8 2" xfId="109"/>
    <cellStyle name="CurrencyTBWB 2 2 8 2 2" xfId="109"/>
    <cellStyle name="CurrencyTBWB 2 2 8 2 3" xfId="109"/>
    <cellStyle name="CurrencyTBWB 2 2 8 2 4" xfId="109"/>
    <cellStyle name="CurrencyTBWB 2 2 8 2 5" xfId="109"/>
    <cellStyle name="CurrencyTBWB 2 2 8 3" xfId="109"/>
    <cellStyle name="CurrencyTBWB 2 2 8 3 2" xfId="109"/>
    <cellStyle name="CurrencyTBWB 2 2 8 3 3" xfId="109"/>
    <cellStyle name="CurrencyTBWB 2 2 8 3 4" xfId="109"/>
    <cellStyle name="CurrencyTBWB 2 2 8 4" xfId="109"/>
    <cellStyle name="CurrencyTBWB 2 2 8 5" xfId="109"/>
    <cellStyle name="CurrencyTBWB 2 2 8 6" xfId="109"/>
    <cellStyle name="CurrencyTBWB 2 2 8 7" xfId="109"/>
    <cellStyle name="CurrencyTBWB 2 2 8 8" xfId="109"/>
    <cellStyle name="CurrencyTBWB 2 2 9" xfId="109"/>
    <cellStyle name="CurrencyTBWB 2 2 9 2" xfId="109"/>
    <cellStyle name="CurrencyTBWB 2 2 9 3" xfId="109"/>
    <cellStyle name="CurrencyTBWB 2 2 9 4" xfId="109"/>
    <cellStyle name="CurrencyTBWB 2 2 9 5" xfId="109"/>
    <cellStyle name="CurrencyTBWB 2 3" xfId="109"/>
    <cellStyle name="CurrencyTBWB 2 3 10" xfId="109"/>
    <cellStyle name="CurrencyTBWB 2 3 2" xfId="109"/>
    <cellStyle name="CurrencyTBWB 2 3 2 2" xfId="109"/>
    <cellStyle name="CurrencyTBWB 2 3 2 2 2" xfId="109"/>
    <cellStyle name="CurrencyTBWB 2 3 2 2 3" xfId="109"/>
    <cellStyle name="CurrencyTBWB 2 3 2 2 4" xfId="109"/>
    <cellStyle name="CurrencyTBWB 2 3 2 2 5" xfId="109"/>
    <cellStyle name="CurrencyTBWB 2 3 2 3" xfId="109"/>
    <cellStyle name="CurrencyTBWB 2 3 2 3 2" xfId="109"/>
    <cellStyle name="CurrencyTBWB 2 3 2 3 3" xfId="109"/>
    <cellStyle name="CurrencyTBWB 2 3 2 3 4" xfId="109"/>
    <cellStyle name="CurrencyTBWB 2 3 2 4" xfId="109"/>
    <cellStyle name="CurrencyTBWB 2 3 2 5" xfId="109"/>
    <cellStyle name="CurrencyTBWB 2 3 2 6" xfId="109"/>
    <cellStyle name="CurrencyTBWB 2 3 2 7" xfId="109"/>
    <cellStyle name="CurrencyTBWB 2 3 2 8" xfId="109"/>
    <cellStyle name="CurrencyTBWB 2 3 3" xfId="109"/>
    <cellStyle name="CurrencyTBWB 2 3 3 2" xfId="109"/>
    <cellStyle name="CurrencyTBWB 2 3 3 2 2" xfId="109"/>
    <cellStyle name="CurrencyTBWB 2 3 3 2 3" xfId="109"/>
    <cellStyle name="CurrencyTBWB 2 3 3 2 4" xfId="109"/>
    <cellStyle name="CurrencyTBWB 2 3 3 2 5" xfId="109"/>
    <cellStyle name="CurrencyTBWB 2 3 3 3" xfId="109"/>
    <cellStyle name="CurrencyTBWB 2 3 3 3 2" xfId="109"/>
    <cellStyle name="CurrencyTBWB 2 3 3 3 3" xfId="109"/>
    <cellStyle name="CurrencyTBWB 2 3 3 3 4" xfId="109"/>
    <cellStyle name="CurrencyTBWB 2 3 3 4" xfId="109"/>
    <cellStyle name="CurrencyTBWB 2 3 3 5" xfId="109"/>
    <cellStyle name="CurrencyTBWB 2 3 3 6" xfId="109"/>
    <cellStyle name="CurrencyTBWB 2 3 3 7" xfId="109"/>
    <cellStyle name="CurrencyTBWB 2 3 3 8" xfId="109"/>
    <cellStyle name="CurrencyTBWB 2 3 4" xfId="109"/>
    <cellStyle name="CurrencyTBWB 2 3 4 2" xfId="109"/>
    <cellStyle name="CurrencyTBWB 2 3 4 2 2" xfId="109"/>
    <cellStyle name="CurrencyTBWB 2 3 4 2 3" xfId="109"/>
    <cellStyle name="CurrencyTBWB 2 3 4 2 4" xfId="109"/>
    <cellStyle name="CurrencyTBWB 2 3 4 2 5" xfId="109"/>
    <cellStyle name="CurrencyTBWB 2 3 4 3" xfId="109"/>
    <cellStyle name="CurrencyTBWB 2 3 4 3 2" xfId="109"/>
    <cellStyle name="CurrencyTBWB 2 3 4 3 3" xfId="109"/>
    <cellStyle name="CurrencyTBWB 2 3 4 3 4" xfId="109"/>
    <cellStyle name="CurrencyTBWB 2 3 4 4" xfId="109"/>
    <cellStyle name="CurrencyTBWB 2 3 4 5" xfId="109"/>
    <cellStyle name="CurrencyTBWB 2 3 4 6" xfId="109"/>
    <cellStyle name="CurrencyTBWB 2 3 4 7" xfId="109"/>
    <cellStyle name="CurrencyTBWB 2 3 5" xfId="109"/>
    <cellStyle name="CurrencyTBWB 2 3 5 2" xfId="109"/>
    <cellStyle name="CurrencyTBWB 2 3 5 2 2" xfId="109"/>
    <cellStyle name="CurrencyTBWB 2 3 5 2 3" xfId="109"/>
    <cellStyle name="CurrencyTBWB 2 3 5 2 4" xfId="109"/>
    <cellStyle name="CurrencyTBWB 2 3 5 2 5" xfId="109"/>
    <cellStyle name="CurrencyTBWB 2 3 5 3" xfId="109"/>
    <cellStyle name="CurrencyTBWB 2 3 5 3 2" xfId="109"/>
    <cellStyle name="CurrencyTBWB 2 3 5 3 3" xfId="109"/>
    <cellStyle name="CurrencyTBWB 2 3 5 3 4" xfId="109"/>
    <cellStyle name="CurrencyTBWB 2 3 5 4" xfId="109"/>
    <cellStyle name="CurrencyTBWB 2 3 5 5" xfId="109"/>
    <cellStyle name="CurrencyTBWB 2 3 5 6" xfId="109"/>
    <cellStyle name="CurrencyTBWB 2 3 5 7" xfId="109"/>
    <cellStyle name="CurrencyTBWB 2 3 5 8" xfId="109"/>
    <cellStyle name="CurrencyTBWB 2 3 6" xfId="109"/>
    <cellStyle name="CurrencyTBWB 2 3 6 2" xfId="109"/>
    <cellStyle name="CurrencyTBWB 2 3 6 3" xfId="109"/>
    <cellStyle name="CurrencyTBWB 2 3 6 4" xfId="109"/>
    <cellStyle name="CurrencyTBWB 2 3 6 5" xfId="109"/>
    <cellStyle name="CurrencyTBWB 2 3 7" xfId="109"/>
    <cellStyle name="CurrencyTBWB 2 3 8" xfId="109"/>
    <cellStyle name="CurrencyTBWB 2 3 9" xfId="109"/>
    <cellStyle name="CurrencyTBWB 2 4" xfId="109"/>
    <cellStyle name="CurrencyTBWB 2 4 10" xfId="109"/>
    <cellStyle name="CurrencyTBWB 2 4 2" xfId="109"/>
    <cellStyle name="CurrencyTBWB 2 4 2 2" xfId="109"/>
    <cellStyle name="CurrencyTBWB 2 4 2 2 2" xfId="109"/>
    <cellStyle name="CurrencyTBWB 2 4 2 2 3" xfId="109"/>
    <cellStyle name="CurrencyTBWB 2 4 2 2 4" xfId="109"/>
    <cellStyle name="CurrencyTBWB 2 4 2 2 5" xfId="109"/>
    <cellStyle name="CurrencyTBWB 2 4 2 3" xfId="109"/>
    <cellStyle name="CurrencyTBWB 2 4 2 3 2" xfId="109"/>
    <cellStyle name="CurrencyTBWB 2 4 2 3 3" xfId="109"/>
    <cellStyle name="CurrencyTBWB 2 4 2 3 4" xfId="109"/>
    <cellStyle name="CurrencyTBWB 2 4 2 4" xfId="109"/>
    <cellStyle name="CurrencyTBWB 2 4 2 5" xfId="109"/>
    <cellStyle name="CurrencyTBWB 2 4 2 6" xfId="109"/>
    <cellStyle name="CurrencyTBWB 2 4 2 7" xfId="109"/>
    <cellStyle name="CurrencyTBWB 2 4 2 8" xfId="109"/>
    <cellStyle name="CurrencyTBWB 2 4 3" xfId="109"/>
    <cellStyle name="CurrencyTBWB 2 4 3 2" xfId="109"/>
    <cellStyle name="CurrencyTBWB 2 4 3 2 2" xfId="109"/>
    <cellStyle name="CurrencyTBWB 2 4 3 2 3" xfId="109"/>
    <cellStyle name="CurrencyTBWB 2 4 3 2 4" xfId="109"/>
    <cellStyle name="CurrencyTBWB 2 4 3 2 5" xfId="109"/>
    <cellStyle name="CurrencyTBWB 2 4 3 3" xfId="109"/>
    <cellStyle name="CurrencyTBWB 2 4 3 3 2" xfId="109"/>
    <cellStyle name="CurrencyTBWB 2 4 3 3 3" xfId="109"/>
    <cellStyle name="CurrencyTBWB 2 4 3 3 4" xfId="109"/>
    <cellStyle name="CurrencyTBWB 2 4 3 4" xfId="109"/>
    <cellStyle name="CurrencyTBWB 2 4 3 5" xfId="109"/>
    <cellStyle name="CurrencyTBWB 2 4 3 6" xfId="109"/>
    <cellStyle name="CurrencyTBWB 2 4 3 7" xfId="109"/>
    <cellStyle name="CurrencyTBWB 2 4 3 8" xfId="109"/>
    <cellStyle name="CurrencyTBWB 2 4 4" xfId="109"/>
    <cellStyle name="CurrencyTBWB 2 4 4 2" xfId="109"/>
    <cellStyle name="CurrencyTBWB 2 4 4 2 2" xfId="109"/>
    <cellStyle name="CurrencyTBWB 2 4 4 2 3" xfId="109"/>
    <cellStyle name="CurrencyTBWB 2 4 4 2 4" xfId="109"/>
    <cellStyle name="CurrencyTBWB 2 4 4 2 5" xfId="109"/>
    <cellStyle name="CurrencyTBWB 2 4 4 3" xfId="109"/>
    <cellStyle name="CurrencyTBWB 2 4 4 3 2" xfId="109"/>
    <cellStyle name="CurrencyTBWB 2 4 4 3 3" xfId="109"/>
    <cellStyle name="CurrencyTBWB 2 4 4 3 4" xfId="109"/>
    <cellStyle name="CurrencyTBWB 2 4 4 4" xfId="109"/>
    <cellStyle name="CurrencyTBWB 2 4 4 5" xfId="109"/>
    <cellStyle name="CurrencyTBWB 2 4 4 6" xfId="109"/>
    <cellStyle name="CurrencyTBWB 2 4 4 7" xfId="109"/>
    <cellStyle name="CurrencyTBWB 2 4 5" xfId="109"/>
    <cellStyle name="CurrencyTBWB 2 4 5 2" xfId="109"/>
    <cellStyle name="CurrencyTBWB 2 4 5 2 2" xfId="109"/>
    <cellStyle name="CurrencyTBWB 2 4 5 2 3" xfId="109"/>
    <cellStyle name="CurrencyTBWB 2 4 5 2 4" xfId="109"/>
    <cellStyle name="CurrencyTBWB 2 4 5 2 5" xfId="109"/>
    <cellStyle name="CurrencyTBWB 2 4 5 3" xfId="109"/>
    <cellStyle name="CurrencyTBWB 2 4 5 3 2" xfId="109"/>
    <cellStyle name="CurrencyTBWB 2 4 5 3 3" xfId="109"/>
    <cellStyle name="CurrencyTBWB 2 4 5 3 4" xfId="109"/>
    <cellStyle name="CurrencyTBWB 2 4 5 4" xfId="109"/>
    <cellStyle name="CurrencyTBWB 2 4 5 5" xfId="109"/>
    <cellStyle name="CurrencyTBWB 2 4 5 6" xfId="109"/>
    <cellStyle name="CurrencyTBWB 2 4 5 7" xfId="109"/>
    <cellStyle name="CurrencyTBWB 2 4 5 8" xfId="109"/>
    <cellStyle name="CurrencyTBWB 2 4 6" xfId="109"/>
    <cellStyle name="CurrencyTBWB 2 4 6 2" xfId="109"/>
    <cellStyle name="CurrencyTBWB 2 4 6 3" xfId="109"/>
    <cellStyle name="CurrencyTBWB 2 4 6 4" xfId="109"/>
    <cellStyle name="CurrencyTBWB 2 4 6 5" xfId="109"/>
    <cellStyle name="CurrencyTBWB 2 4 7" xfId="109"/>
    <cellStyle name="CurrencyTBWB 2 4 8" xfId="109"/>
    <cellStyle name="CurrencyTBWB 2 4 9" xfId="109"/>
    <cellStyle name="CurrencyTBWB 2 5" xfId="109"/>
    <cellStyle name="CurrencyTBWB 2 5 2" xfId="109"/>
    <cellStyle name="CurrencyTBWB 2 5 2 2" xfId="109"/>
    <cellStyle name="CurrencyTBWB 2 5 2 3" xfId="109"/>
    <cellStyle name="CurrencyTBWB 2 5 2 4" xfId="109"/>
    <cellStyle name="CurrencyTBWB 2 5 2 5" xfId="109"/>
    <cellStyle name="CurrencyTBWB 2 5 3" xfId="109"/>
    <cellStyle name="CurrencyTBWB 2 5 3 2" xfId="109"/>
    <cellStyle name="CurrencyTBWB 2 5 3 3" xfId="109"/>
    <cellStyle name="CurrencyTBWB 2 5 3 4" xfId="109"/>
    <cellStyle name="CurrencyTBWB 2 5 4" xfId="109"/>
    <cellStyle name="CurrencyTBWB 2 5 5" xfId="109"/>
    <cellStyle name="CurrencyTBWB 2 5 6" xfId="109"/>
    <cellStyle name="CurrencyTBWB 2 5 7" xfId="109"/>
    <cellStyle name="CurrencyTBWB 2 5 8" xfId="109"/>
    <cellStyle name="CurrencyTBWB 2 6" xfId="109"/>
    <cellStyle name="CurrencyTBWB 2 6 2" xfId="109"/>
    <cellStyle name="CurrencyTBWB 2 6 2 2" xfId="109"/>
    <cellStyle name="CurrencyTBWB 2 6 2 3" xfId="109"/>
    <cellStyle name="CurrencyTBWB 2 6 2 4" xfId="109"/>
    <cellStyle name="CurrencyTBWB 2 6 2 5" xfId="109"/>
    <cellStyle name="CurrencyTBWB 2 6 3" xfId="109"/>
    <cellStyle name="CurrencyTBWB 2 6 3 2" xfId="109"/>
    <cellStyle name="CurrencyTBWB 2 6 3 3" xfId="109"/>
    <cellStyle name="CurrencyTBWB 2 6 3 4" xfId="109"/>
    <cellStyle name="CurrencyTBWB 2 6 4" xfId="109"/>
    <cellStyle name="CurrencyTBWB 2 6 5" xfId="109"/>
    <cellStyle name="CurrencyTBWB 2 6 6" xfId="109"/>
    <cellStyle name="CurrencyTBWB 2 6 7" xfId="109"/>
    <cellStyle name="CurrencyTBWB 2 6 8" xfId="109"/>
    <cellStyle name="CurrencyTBWB 2 7" xfId="109"/>
    <cellStyle name="CurrencyTBWB 2 7 2" xfId="109"/>
    <cellStyle name="CurrencyTBWB 2 7 2 2" xfId="109"/>
    <cellStyle name="CurrencyTBWB 2 7 2 3" xfId="109"/>
    <cellStyle name="CurrencyTBWB 2 7 2 4" xfId="109"/>
    <cellStyle name="CurrencyTBWB 2 7 2 5" xfId="109"/>
    <cellStyle name="CurrencyTBWB 2 7 3" xfId="109"/>
    <cellStyle name="CurrencyTBWB 2 7 3 2" xfId="109"/>
    <cellStyle name="CurrencyTBWB 2 7 3 3" xfId="109"/>
    <cellStyle name="CurrencyTBWB 2 7 3 4" xfId="109"/>
    <cellStyle name="CurrencyTBWB 2 7 4" xfId="109"/>
    <cellStyle name="CurrencyTBWB 2 7 5" xfId="109"/>
    <cellStyle name="CurrencyTBWB 2 7 6" xfId="109"/>
    <cellStyle name="CurrencyTBWB 2 7 7" xfId="109"/>
    <cellStyle name="CurrencyTBWB 2 8" xfId="109"/>
    <cellStyle name="CurrencyTBWB 2 8 2" xfId="109"/>
    <cellStyle name="CurrencyTBWB 2 8 2 2" xfId="109"/>
    <cellStyle name="CurrencyTBWB 2 8 2 3" xfId="109"/>
    <cellStyle name="CurrencyTBWB 2 8 2 4" xfId="109"/>
    <cellStyle name="CurrencyTBWB 2 8 2 5" xfId="109"/>
    <cellStyle name="CurrencyTBWB 2 8 3" xfId="109"/>
    <cellStyle name="CurrencyTBWB 2 8 3 2" xfId="109"/>
    <cellStyle name="CurrencyTBWB 2 8 3 3" xfId="109"/>
    <cellStyle name="CurrencyTBWB 2 8 3 4" xfId="109"/>
    <cellStyle name="CurrencyTBWB 2 8 4" xfId="109"/>
    <cellStyle name="CurrencyTBWB 2 8 5" xfId="109"/>
    <cellStyle name="CurrencyTBWB 2 8 6" xfId="109"/>
    <cellStyle name="CurrencyTBWB 2 8 7" xfId="109"/>
    <cellStyle name="CurrencyTBWB 2 8 8" xfId="109"/>
    <cellStyle name="CurrencyTBWB 2 9" xfId="109"/>
    <cellStyle name="CurrencyTBWB 2 9 2" xfId="109"/>
    <cellStyle name="CurrencyTBWB 2 9 3" xfId="109"/>
    <cellStyle name="CurrencyTBWB 2 9 4" xfId="109"/>
    <cellStyle name="CurrencyTBWB 2 9 5" xfId="109"/>
    <cellStyle name="CurrencyTBWB 3" xfId="109"/>
    <cellStyle name="CurrencyTBWB 3 10" xfId="109"/>
    <cellStyle name="CurrencyTBWB 3 11" xfId="109"/>
    <cellStyle name="CurrencyTBWB 3 12" xfId="109"/>
    <cellStyle name="CurrencyTBWB 3 2" xfId="109"/>
    <cellStyle name="CurrencyTBWB 3 2 10" xfId="109"/>
    <cellStyle name="CurrencyTBWB 3 2 2" xfId="109"/>
    <cellStyle name="CurrencyTBWB 3 2 2 2" xfId="109"/>
    <cellStyle name="CurrencyTBWB 3 2 2 2 2" xfId="109"/>
    <cellStyle name="CurrencyTBWB 3 2 2 2 3" xfId="109"/>
    <cellStyle name="CurrencyTBWB 3 2 2 2 4" xfId="109"/>
    <cellStyle name="CurrencyTBWB 3 2 2 2 5" xfId="109"/>
    <cellStyle name="CurrencyTBWB 3 2 2 3" xfId="109"/>
    <cellStyle name="CurrencyTBWB 3 2 2 3 2" xfId="109"/>
    <cellStyle name="CurrencyTBWB 3 2 2 3 3" xfId="109"/>
    <cellStyle name="CurrencyTBWB 3 2 2 3 4" xfId="109"/>
    <cellStyle name="CurrencyTBWB 3 2 2 4" xfId="109"/>
    <cellStyle name="CurrencyTBWB 3 2 2 5" xfId="109"/>
    <cellStyle name="CurrencyTBWB 3 2 2 6" xfId="109"/>
    <cellStyle name="CurrencyTBWB 3 2 2 7" xfId="109"/>
    <cellStyle name="CurrencyTBWB 3 2 2 8" xfId="109"/>
    <cellStyle name="CurrencyTBWB 3 2 3" xfId="109"/>
    <cellStyle name="CurrencyTBWB 3 2 3 2" xfId="109"/>
    <cellStyle name="CurrencyTBWB 3 2 3 2 2" xfId="109"/>
    <cellStyle name="CurrencyTBWB 3 2 3 2 3" xfId="109"/>
    <cellStyle name="CurrencyTBWB 3 2 3 2 4" xfId="109"/>
    <cellStyle name="CurrencyTBWB 3 2 3 2 5" xfId="109"/>
    <cellStyle name="CurrencyTBWB 3 2 3 3" xfId="109"/>
    <cellStyle name="CurrencyTBWB 3 2 3 3 2" xfId="109"/>
    <cellStyle name="CurrencyTBWB 3 2 3 3 3" xfId="109"/>
    <cellStyle name="CurrencyTBWB 3 2 3 3 4" xfId="109"/>
    <cellStyle name="CurrencyTBWB 3 2 3 4" xfId="109"/>
    <cellStyle name="CurrencyTBWB 3 2 3 5" xfId="109"/>
    <cellStyle name="CurrencyTBWB 3 2 3 6" xfId="109"/>
    <cellStyle name="CurrencyTBWB 3 2 3 7" xfId="109"/>
    <cellStyle name="CurrencyTBWB 3 2 3 8" xfId="109"/>
    <cellStyle name="CurrencyTBWB 3 2 4" xfId="109"/>
    <cellStyle name="CurrencyTBWB 3 2 4 2" xfId="109"/>
    <cellStyle name="CurrencyTBWB 3 2 4 2 2" xfId="109"/>
    <cellStyle name="CurrencyTBWB 3 2 4 2 3" xfId="109"/>
    <cellStyle name="CurrencyTBWB 3 2 4 2 4" xfId="109"/>
    <cellStyle name="CurrencyTBWB 3 2 4 2 5" xfId="109"/>
    <cellStyle name="CurrencyTBWB 3 2 4 3" xfId="109"/>
    <cellStyle name="CurrencyTBWB 3 2 4 3 2" xfId="109"/>
    <cellStyle name="CurrencyTBWB 3 2 4 3 3" xfId="109"/>
    <cellStyle name="CurrencyTBWB 3 2 4 3 4" xfId="109"/>
    <cellStyle name="CurrencyTBWB 3 2 4 4" xfId="109"/>
    <cellStyle name="CurrencyTBWB 3 2 4 5" xfId="109"/>
    <cellStyle name="CurrencyTBWB 3 2 4 6" xfId="109"/>
    <cellStyle name="CurrencyTBWB 3 2 4 7" xfId="109"/>
    <cellStyle name="CurrencyTBWB 3 2 5" xfId="109"/>
    <cellStyle name="CurrencyTBWB 3 2 5 2" xfId="109"/>
    <cellStyle name="CurrencyTBWB 3 2 5 2 2" xfId="109"/>
    <cellStyle name="CurrencyTBWB 3 2 5 2 3" xfId="109"/>
    <cellStyle name="CurrencyTBWB 3 2 5 2 4" xfId="109"/>
    <cellStyle name="CurrencyTBWB 3 2 5 2 5" xfId="109"/>
    <cellStyle name="CurrencyTBWB 3 2 5 3" xfId="109"/>
    <cellStyle name="CurrencyTBWB 3 2 5 3 2" xfId="109"/>
    <cellStyle name="CurrencyTBWB 3 2 5 3 3" xfId="109"/>
    <cellStyle name="CurrencyTBWB 3 2 5 3 4" xfId="109"/>
    <cellStyle name="CurrencyTBWB 3 2 5 4" xfId="109"/>
    <cellStyle name="CurrencyTBWB 3 2 5 5" xfId="109"/>
    <cellStyle name="CurrencyTBWB 3 2 5 6" xfId="109"/>
    <cellStyle name="CurrencyTBWB 3 2 5 7" xfId="109"/>
    <cellStyle name="CurrencyTBWB 3 2 5 8" xfId="109"/>
    <cellStyle name="CurrencyTBWB 3 2 6" xfId="109"/>
    <cellStyle name="CurrencyTBWB 3 2 6 2" xfId="109"/>
    <cellStyle name="CurrencyTBWB 3 2 6 3" xfId="109"/>
    <cellStyle name="CurrencyTBWB 3 2 6 4" xfId="109"/>
    <cellStyle name="CurrencyTBWB 3 2 6 5" xfId="109"/>
    <cellStyle name="CurrencyTBWB 3 2 7" xfId="109"/>
    <cellStyle name="CurrencyTBWB 3 2 8" xfId="109"/>
    <cellStyle name="CurrencyTBWB 3 2 9" xfId="109"/>
    <cellStyle name="CurrencyTBWB 3 3" xfId="109"/>
    <cellStyle name="CurrencyTBWB 3 3 10" xfId="109"/>
    <cellStyle name="CurrencyTBWB 3 3 2" xfId="109"/>
    <cellStyle name="CurrencyTBWB 3 3 2 2" xfId="109"/>
    <cellStyle name="CurrencyTBWB 3 3 2 2 2" xfId="109"/>
    <cellStyle name="CurrencyTBWB 3 3 2 2 3" xfId="109"/>
    <cellStyle name="CurrencyTBWB 3 3 2 2 4" xfId="109"/>
    <cellStyle name="CurrencyTBWB 3 3 2 2 5" xfId="109"/>
    <cellStyle name="CurrencyTBWB 3 3 2 3" xfId="109"/>
    <cellStyle name="CurrencyTBWB 3 3 2 3 2" xfId="109"/>
    <cellStyle name="CurrencyTBWB 3 3 2 3 3" xfId="109"/>
    <cellStyle name="CurrencyTBWB 3 3 2 3 4" xfId="109"/>
    <cellStyle name="CurrencyTBWB 3 3 2 4" xfId="109"/>
    <cellStyle name="CurrencyTBWB 3 3 2 5" xfId="109"/>
    <cellStyle name="CurrencyTBWB 3 3 2 6" xfId="109"/>
    <cellStyle name="CurrencyTBWB 3 3 2 7" xfId="109"/>
    <cellStyle name="CurrencyTBWB 3 3 2 8" xfId="109"/>
    <cellStyle name="CurrencyTBWB 3 3 3" xfId="109"/>
    <cellStyle name="CurrencyTBWB 3 3 3 2" xfId="109"/>
    <cellStyle name="CurrencyTBWB 3 3 3 2 2" xfId="109"/>
    <cellStyle name="CurrencyTBWB 3 3 3 2 3" xfId="109"/>
    <cellStyle name="CurrencyTBWB 3 3 3 2 4" xfId="109"/>
    <cellStyle name="CurrencyTBWB 3 3 3 2 5" xfId="109"/>
    <cellStyle name="CurrencyTBWB 3 3 3 3" xfId="109"/>
    <cellStyle name="CurrencyTBWB 3 3 3 3 2" xfId="109"/>
    <cellStyle name="CurrencyTBWB 3 3 3 3 3" xfId="109"/>
    <cellStyle name="CurrencyTBWB 3 3 3 3 4" xfId="109"/>
    <cellStyle name="CurrencyTBWB 3 3 3 4" xfId="109"/>
    <cellStyle name="CurrencyTBWB 3 3 3 5" xfId="109"/>
    <cellStyle name="CurrencyTBWB 3 3 3 6" xfId="109"/>
    <cellStyle name="CurrencyTBWB 3 3 3 7" xfId="109"/>
    <cellStyle name="CurrencyTBWB 3 3 3 8" xfId="109"/>
    <cellStyle name="CurrencyTBWB 3 3 4" xfId="109"/>
    <cellStyle name="CurrencyTBWB 3 3 4 2" xfId="109"/>
    <cellStyle name="CurrencyTBWB 3 3 4 2 2" xfId="109"/>
    <cellStyle name="CurrencyTBWB 3 3 4 2 3" xfId="109"/>
    <cellStyle name="CurrencyTBWB 3 3 4 2 4" xfId="109"/>
    <cellStyle name="CurrencyTBWB 3 3 4 2 5" xfId="109"/>
    <cellStyle name="CurrencyTBWB 3 3 4 3" xfId="109"/>
    <cellStyle name="CurrencyTBWB 3 3 4 3 2" xfId="109"/>
    <cellStyle name="CurrencyTBWB 3 3 4 3 3" xfId="109"/>
    <cellStyle name="CurrencyTBWB 3 3 4 3 4" xfId="109"/>
    <cellStyle name="CurrencyTBWB 3 3 4 4" xfId="109"/>
    <cellStyle name="CurrencyTBWB 3 3 4 5" xfId="109"/>
    <cellStyle name="CurrencyTBWB 3 3 4 6" xfId="109"/>
    <cellStyle name="CurrencyTBWB 3 3 4 7" xfId="109"/>
    <cellStyle name="CurrencyTBWB 3 3 5" xfId="109"/>
    <cellStyle name="CurrencyTBWB 3 3 5 2" xfId="109"/>
    <cellStyle name="CurrencyTBWB 3 3 5 2 2" xfId="109"/>
    <cellStyle name="CurrencyTBWB 3 3 5 2 3" xfId="109"/>
    <cellStyle name="CurrencyTBWB 3 3 5 2 4" xfId="109"/>
    <cellStyle name="CurrencyTBWB 3 3 5 2 5" xfId="109"/>
    <cellStyle name="CurrencyTBWB 3 3 5 3" xfId="109"/>
    <cellStyle name="CurrencyTBWB 3 3 5 3 2" xfId="109"/>
    <cellStyle name="CurrencyTBWB 3 3 5 3 3" xfId="109"/>
    <cellStyle name="CurrencyTBWB 3 3 5 3 4" xfId="109"/>
    <cellStyle name="CurrencyTBWB 3 3 5 4" xfId="109"/>
    <cellStyle name="CurrencyTBWB 3 3 5 5" xfId="109"/>
    <cellStyle name="CurrencyTBWB 3 3 5 6" xfId="109"/>
    <cellStyle name="CurrencyTBWB 3 3 5 7" xfId="109"/>
    <cellStyle name="CurrencyTBWB 3 3 5 8" xfId="109"/>
    <cellStyle name="CurrencyTBWB 3 3 6" xfId="109"/>
    <cellStyle name="CurrencyTBWB 3 3 6 2" xfId="109"/>
    <cellStyle name="CurrencyTBWB 3 3 6 3" xfId="109"/>
    <cellStyle name="CurrencyTBWB 3 3 6 4" xfId="109"/>
    <cellStyle name="CurrencyTBWB 3 3 6 5" xfId="109"/>
    <cellStyle name="CurrencyTBWB 3 3 7" xfId="109"/>
    <cellStyle name="CurrencyTBWB 3 3 8" xfId="109"/>
    <cellStyle name="CurrencyTBWB 3 3 9" xfId="109"/>
    <cellStyle name="CurrencyTBWB 3 4" xfId="109"/>
    <cellStyle name="CurrencyTBWB 3 4 2" xfId="109"/>
    <cellStyle name="CurrencyTBWB 3 4 2 2" xfId="109"/>
    <cellStyle name="CurrencyTBWB 3 4 2 3" xfId="109"/>
    <cellStyle name="CurrencyTBWB 3 4 2 4" xfId="109"/>
    <cellStyle name="CurrencyTBWB 3 4 2 5" xfId="109"/>
    <cellStyle name="CurrencyTBWB 3 4 3" xfId="109"/>
    <cellStyle name="CurrencyTBWB 3 4 3 2" xfId="109"/>
    <cellStyle name="CurrencyTBWB 3 4 3 3" xfId="109"/>
    <cellStyle name="CurrencyTBWB 3 4 3 4" xfId="109"/>
    <cellStyle name="CurrencyTBWB 3 4 4" xfId="109"/>
    <cellStyle name="CurrencyTBWB 3 4 5" xfId="109"/>
    <cellStyle name="CurrencyTBWB 3 4 6" xfId="109"/>
    <cellStyle name="CurrencyTBWB 3 4 7" xfId="109"/>
    <cellStyle name="CurrencyTBWB 3 4 8" xfId="109"/>
    <cellStyle name="CurrencyTBWB 3 5" xfId="109"/>
    <cellStyle name="CurrencyTBWB 3 5 2" xfId="109"/>
    <cellStyle name="CurrencyTBWB 3 5 2 2" xfId="109"/>
    <cellStyle name="CurrencyTBWB 3 5 2 3" xfId="109"/>
    <cellStyle name="CurrencyTBWB 3 5 2 4" xfId="109"/>
    <cellStyle name="CurrencyTBWB 3 5 2 5" xfId="109"/>
    <cellStyle name="CurrencyTBWB 3 5 3" xfId="109"/>
    <cellStyle name="CurrencyTBWB 3 5 3 2" xfId="109"/>
    <cellStyle name="CurrencyTBWB 3 5 3 3" xfId="109"/>
    <cellStyle name="CurrencyTBWB 3 5 3 4" xfId="109"/>
    <cellStyle name="CurrencyTBWB 3 5 4" xfId="109"/>
    <cellStyle name="CurrencyTBWB 3 5 5" xfId="109"/>
    <cellStyle name="CurrencyTBWB 3 5 6" xfId="109"/>
    <cellStyle name="CurrencyTBWB 3 5 7" xfId="109"/>
    <cellStyle name="CurrencyTBWB 3 5 8" xfId="109"/>
    <cellStyle name="CurrencyTBWB 3 6" xfId="109"/>
    <cellStyle name="CurrencyTBWB 3 6 2" xfId="109"/>
    <cellStyle name="CurrencyTBWB 3 6 2 2" xfId="109"/>
    <cellStyle name="CurrencyTBWB 3 6 2 3" xfId="109"/>
    <cellStyle name="CurrencyTBWB 3 6 2 4" xfId="109"/>
    <cellStyle name="CurrencyTBWB 3 6 2 5" xfId="109"/>
    <cellStyle name="CurrencyTBWB 3 6 3" xfId="109"/>
    <cellStyle name="CurrencyTBWB 3 6 3 2" xfId="109"/>
    <cellStyle name="CurrencyTBWB 3 6 3 3" xfId="109"/>
    <cellStyle name="CurrencyTBWB 3 6 3 4" xfId="109"/>
    <cellStyle name="CurrencyTBWB 3 6 4" xfId="109"/>
    <cellStyle name="CurrencyTBWB 3 6 5" xfId="109"/>
    <cellStyle name="CurrencyTBWB 3 6 6" xfId="109"/>
    <cellStyle name="CurrencyTBWB 3 6 7" xfId="109"/>
    <cellStyle name="CurrencyTBWB 3 7" xfId="109"/>
    <cellStyle name="CurrencyTBWB 3 7 2" xfId="109"/>
    <cellStyle name="CurrencyTBWB 3 7 2 2" xfId="109"/>
    <cellStyle name="CurrencyTBWB 3 7 2 3" xfId="109"/>
    <cellStyle name="CurrencyTBWB 3 7 2 4" xfId="109"/>
    <cellStyle name="CurrencyTBWB 3 7 2 5" xfId="109"/>
    <cellStyle name="CurrencyTBWB 3 7 3" xfId="109"/>
    <cellStyle name="CurrencyTBWB 3 7 3 2" xfId="109"/>
    <cellStyle name="CurrencyTBWB 3 7 3 3" xfId="109"/>
    <cellStyle name="CurrencyTBWB 3 7 3 4" xfId="109"/>
    <cellStyle name="CurrencyTBWB 3 7 4" xfId="109"/>
    <cellStyle name="CurrencyTBWB 3 7 5" xfId="109"/>
    <cellStyle name="CurrencyTBWB 3 7 6" xfId="109"/>
    <cellStyle name="CurrencyTBWB 3 7 7" xfId="109"/>
    <cellStyle name="CurrencyTBWB 3 7 8" xfId="109"/>
    <cellStyle name="CurrencyTBWB 3 8" xfId="109"/>
    <cellStyle name="CurrencyTBWB 3 8 2" xfId="109"/>
    <cellStyle name="CurrencyTBWB 3 8 3" xfId="109"/>
    <cellStyle name="CurrencyTBWB 3 8 4" xfId="109"/>
    <cellStyle name="CurrencyTBWB 3 8 5" xfId="109"/>
    <cellStyle name="CurrencyTBWB 3 9" xfId="109"/>
    <cellStyle name="CurrencyTBWB 4" xfId="109"/>
    <cellStyle name="CurrencyTBWB 4 10" xfId="109"/>
    <cellStyle name="CurrencyTBWB 4 2" xfId="109"/>
    <cellStyle name="CurrencyTBWB 4 2 2" xfId="109"/>
    <cellStyle name="CurrencyTBWB 4 2 2 2" xfId="109"/>
    <cellStyle name="CurrencyTBWB 4 2 2 3" xfId="109"/>
    <cellStyle name="CurrencyTBWB 4 2 2 4" xfId="109"/>
    <cellStyle name="CurrencyTBWB 4 2 2 5" xfId="109"/>
    <cellStyle name="CurrencyTBWB 4 2 3" xfId="109"/>
    <cellStyle name="CurrencyTBWB 4 2 3 2" xfId="109"/>
    <cellStyle name="CurrencyTBWB 4 2 3 3" xfId="109"/>
    <cellStyle name="CurrencyTBWB 4 2 3 4" xfId="109"/>
    <cellStyle name="CurrencyTBWB 4 2 4" xfId="109"/>
    <cellStyle name="CurrencyTBWB 4 2 5" xfId="109"/>
    <cellStyle name="CurrencyTBWB 4 2 6" xfId="109"/>
    <cellStyle name="CurrencyTBWB 4 2 7" xfId="109"/>
    <cellStyle name="CurrencyTBWB 4 2 8" xfId="109"/>
    <cellStyle name="CurrencyTBWB 4 3" xfId="109"/>
    <cellStyle name="CurrencyTBWB 4 3 2" xfId="109"/>
    <cellStyle name="CurrencyTBWB 4 3 2 2" xfId="109"/>
    <cellStyle name="CurrencyTBWB 4 3 2 3" xfId="109"/>
    <cellStyle name="CurrencyTBWB 4 3 2 4" xfId="109"/>
    <cellStyle name="CurrencyTBWB 4 3 2 5" xfId="109"/>
    <cellStyle name="CurrencyTBWB 4 3 3" xfId="109"/>
    <cellStyle name="CurrencyTBWB 4 3 3 2" xfId="109"/>
    <cellStyle name="CurrencyTBWB 4 3 3 3" xfId="109"/>
    <cellStyle name="CurrencyTBWB 4 3 3 4" xfId="109"/>
    <cellStyle name="CurrencyTBWB 4 3 4" xfId="109"/>
    <cellStyle name="CurrencyTBWB 4 3 5" xfId="109"/>
    <cellStyle name="CurrencyTBWB 4 3 6" xfId="109"/>
    <cellStyle name="CurrencyTBWB 4 3 7" xfId="109"/>
    <cellStyle name="CurrencyTBWB 4 3 8" xfId="109"/>
    <cellStyle name="CurrencyTBWB 4 4" xfId="109"/>
    <cellStyle name="CurrencyTBWB 4 4 2" xfId="109"/>
    <cellStyle name="CurrencyTBWB 4 4 2 2" xfId="109"/>
    <cellStyle name="CurrencyTBWB 4 4 2 3" xfId="109"/>
    <cellStyle name="CurrencyTBWB 4 4 2 4" xfId="109"/>
    <cellStyle name="CurrencyTBWB 4 4 2 5" xfId="109"/>
    <cellStyle name="CurrencyTBWB 4 4 3" xfId="109"/>
    <cellStyle name="CurrencyTBWB 4 4 3 2" xfId="109"/>
    <cellStyle name="CurrencyTBWB 4 4 3 3" xfId="109"/>
    <cellStyle name="CurrencyTBWB 4 4 3 4" xfId="109"/>
    <cellStyle name="CurrencyTBWB 4 4 4" xfId="109"/>
    <cellStyle name="CurrencyTBWB 4 4 5" xfId="109"/>
    <cellStyle name="CurrencyTBWB 4 4 6" xfId="109"/>
    <cellStyle name="CurrencyTBWB 4 4 7" xfId="109"/>
    <cellStyle name="CurrencyTBWB 4 5" xfId="109"/>
    <cellStyle name="CurrencyTBWB 4 5 2" xfId="109"/>
    <cellStyle name="CurrencyTBWB 4 5 2 2" xfId="109"/>
    <cellStyle name="CurrencyTBWB 4 5 2 3" xfId="109"/>
    <cellStyle name="CurrencyTBWB 4 5 2 4" xfId="109"/>
    <cellStyle name="CurrencyTBWB 4 5 2 5" xfId="109"/>
    <cellStyle name="CurrencyTBWB 4 5 3" xfId="109"/>
    <cellStyle name="CurrencyTBWB 4 5 3 2" xfId="109"/>
    <cellStyle name="CurrencyTBWB 4 5 3 3" xfId="109"/>
    <cellStyle name="CurrencyTBWB 4 5 3 4" xfId="109"/>
    <cellStyle name="CurrencyTBWB 4 5 4" xfId="109"/>
    <cellStyle name="CurrencyTBWB 4 5 5" xfId="109"/>
    <cellStyle name="CurrencyTBWB 4 5 6" xfId="109"/>
    <cellStyle name="CurrencyTBWB 4 5 7" xfId="109"/>
    <cellStyle name="CurrencyTBWB 4 5 8" xfId="109"/>
    <cellStyle name="CurrencyTBWB 4 6" xfId="109"/>
    <cellStyle name="CurrencyTBWB 4 6 2" xfId="109"/>
    <cellStyle name="CurrencyTBWB 4 6 3" xfId="109"/>
    <cellStyle name="CurrencyTBWB 4 6 4" xfId="109"/>
    <cellStyle name="CurrencyTBWB 4 6 5" xfId="109"/>
    <cellStyle name="CurrencyTBWB 4 7" xfId="109"/>
    <cellStyle name="CurrencyTBWB 4 8" xfId="109"/>
    <cellStyle name="CurrencyTBWB 4 9" xfId="109"/>
    <cellStyle name="CurrencyTBWB 5" xfId="109"/>
    <cellStyle name="CurrencyTBWB 5 2" xfId="109"/>
    <cellStyle name="CurrencyTBWB 5 2 2" xfId="109"/>
    <cellStyle name="CurrencyTBWB 5 2 2 2" xfId="109"/>
    <cellStyle name="CurrencyTBWB 5 2 2 3" xfId="109"/>
    <cellStyle name="CurrencyTBWB 5 2 2 4" xfId="109"/>
    <cellStyle name="CurrencyTBWB 5 2 2 5" xfId="109"/>
    <cellStyle name="CurrencyTBWB 5 2 3" xfId="109"/>
    <cellStyle name="CurrencyTBWB 5 2 3 2" xfId="109"/>
    <cellStyle name="CurrencyTBWB 5 2 3 3" xfId="109"/>
    <cellStyle name="CurrencyTBWB 5 2 3 4" xfId="109"/>
    <cellStyle name="CurrencyTBWB 5 2 4" xfId="109"/>
    <cellStyle name="CurrencyTBWB 5 2 5" xfId="109"/>
    <cellStyle name="CurrencyTBWB 5 2 6" xfId="109"/>
    <cellStyle name="CurrencyTBWB 5 2 7" xfId="109"/>
    <cellStyle name="CurrencyTBWB 5 2 8" xfId="109"/>
    <cellStyle name="CurrencyTBWB 5 3" xfId="109"/>
    <cellStyle name="CurrencyTBWB 5 3 2" xfId="109"/>
    <cellStyle name="CurrencyTBWB 5 3 2 2" xfId="109"/>
    <cellStyle name="CurrencyTBWB 5 3 2 3" xfId="109"/>
    <cellStyle name="CurrencyTBWB 5 3 2 4" xfId="109"/>
    <cellStyle name="CurrencyTBWB 5 3 2 5" xfId="109"/>
    <cellStyle name="CurrencyTBWB 5 3 3" xfId="109"/>
    <cellStyle name="CurrencyTBWB 5 3 3 2" xfId="109"/>
    <cellStyle name="CurrencyTBWB 5 3 3 3" xfId="109"/>
    <cellStyle name="CurrencyTBWB 5 3 3 4" xfId="109"/>
    <cellStyle name="CurrencyTBWB 5 3 4" xfId="109"/>
    <cellStyle name="CurrencyTBWB 5 3 5" xfId="109"/>
    <cellStyle name="CurrencyTBWB 5 3 6" xfId="109"/>
    <cellStyle name="CurrencyTBWB 5 3 7" xfId="109"/>
    <cellStyle name="CurrencyTBWB 5 4" xfId="109"/>
    <cellStyle name="CurrencyTBWB 5 4 2" xfId="109"/>
    <cellStyle name="CurrencyTBWB 5 4 3" xfId="109"/>
    <cellStyle name="CurrencyTBWB 5 4 4" xfId="109"/>
    <cellStyle name="CurrencyTBWB 5 4 5" xfId="109"/>
    <cellStyle name="CurrencyTBWB 5 5" xfId="109"/>
    <cellStyle name="CurrencyTBWB 5 5 2" xfId="109"/>
    <cellStyle name="CurrencyTBWB 5 5 3" xfId="109"/>
    <cellStyle name="CurrencyTBWB 5 5 4" xfId="109"/>
    <cellStyle name="CurrencyTBWB 5 6" xfId="109"/>
    <cellStyle name="CurrencyTBWB 5 7" xfId="109"/>
    <cellStyle name="CurrencyTBWB 5 8" xfId="109"/>
    <cellStyle name="CurrencyTBWB 5 9" xfId="109"/>
    <cellStyle name="CurrencyTBWB 6" xfId="109"/>
    <cellStyle name="CurrencyTBWB 6 2" xfId="109"/>
    <cellStyle name="CurrencyTBWB 6 2 2" xfId="109"/>
    <cellStyle name="CurrencyTBWB 6 2 3" xfId="109"/>
    <cellStyle name="CurrencyTBWB 6 2 4" xfId="109"/>
    <cellStyle name="CurrencyTBWB 6 2 5" xfId="109"/>
    <cellStyle name="CurrencyTBWB 6 3" xfId="109"/>
    <cellStyle name="CurrencyTBWB 6 3 2" xfId="109"/>
    <cellStyle name="CurrencyTBWB 6 3 3" xfId="109"/>
    <cellStyle name="CurrencyTBWB 6 3 4" xfId="109"/>
    <cellStyle name="CurrencyTBWB 6 4" xfId="109"/>
    <cellStyle name="CurrencyTBWB 6 5" xfId="109"/>
    <cellStyle name="CurrencyTBWB 6 6" xfId="109"/>
    <cellStyle name="CurrencyTBWB 6 7" xfId="109"/>
    <cellStyle name="CurrencyTBWB 6 8" xfId="109"/>
    <cellStyle name="CurrencyTBWB 7" xfId="109"/>
    <cellStyle name="CurrencyTBWB 7 2" xfId="109"/>
    <cellStyle name="CurrencyTBWB 7 3" xfId="109"/>
    <cellStyle name="CurrencyTBWB 7 4" xfId="109"/>
    <cellStyle name="CurrencyTBWB 7 5" xfId="109"/>
    <cellStyle name="CurrencyTBWB 8" xfId="109"/>
    <cellStyle name="CurrencyTBWNeg" xfId="110"/>
    <cellStyle name="D" xfId="111"/>
    <cellStyle name="Date" xfId="112"/>
    <cellStyle name="Date Short" xfId="113"/>
    <cellStyle name="Date TB" xfId="114"/>
    <cellStyle name="Date TB-H" xfId="115"/>
    <cellStyle name="Date TB-Left" xfId="116"/>
    <cellStyle name="Date TB-R,C" xfId="117"/>
    <cellStyle name="Date TBCenterAlign" xfId="118"/>
    <cellStyle name="Date TBMMDDYYYYCenterAlign" xfId="119"/>
    <cellStyle name="Date TBMMDDYYYYLeftAlign" xfId="120"/>
    <cellStyle name="Date TBMMDDYYYYRightAlign" xfId="121"/>
    <cellStyle name="Date TBMMMM-R" xfId="122"/>
    <cellStyle name="Date TBR" xfId="123"/>
    <cellStyle name="Date TBRB-Red" xfId="124"/>
    <cellStyle name="Date TBRight" xfId="125"/>
    <cellStyle name="Date TBRLeftAlign" xfId="126"/>
    <cellStyle name="DateTBMMMDD" xfId="127"/>
    <cellStyle name="DateTBMMMDDWrite" xfId="128"/>
    <cellStyle name="DefaultNumberStandard" xfId="129"/>
    <cellStyle name="DefaultNumberStandard 2" xfId="129"/>
    <cellStyle name="DefaultNumberStandard 2 2" xfId="129"/>
    <cellStyle name="DefaultNumberStandard 2 2 2" xfId="129"/>
    <cellStyle name="DefaultNumberStandard 2 2 2 2" xfId="129"/>
    <cellStyle name="DefaultNumberStandard 2 2 3" xfId="129"/>
    <cellStyle name="DefaultNumberStandard 2 2 3 2" xfId="129"/>
    <cellStyle name="DefaultNumberStandard 2 2 4" xfId="129"/>
    <cellStyle name="DefaultNumberStandard 2 2 4 2" xfId="129"/>
    <cellStyle name="DefaultNumberStandard 2 2 5" xfId="129"/>
    <cellStyle name="DefaultNumberStandard 2 2 5 2" xfId="129"/>
    <cellStyle name="DefaultNumberStandard 2 2 6" xfId="129"/>
    <cellStyle name="DefaultNumberStandard 2 3" xfId="129"/>
    <cellStyle name="DefaultNumberStandard 2 3 2" xfId="129"/>
    <cellStyle name="DefaultNumberStandard 2 4" xfId="129"/>
    <cellStyle name="DefaultNumberStandard 2 4 2" xfId="129"/>
    <cellStyle name="DefaultNumberStandard 2 5" xfId="129"/>
    <cellStyle name="DefaultNumberStandard 2 5 2" xfId="129"/>
    <cellStyle name="DefaultNumberStandard 2 6" xfId="129"/>
    <cellStyle name="DefaultNumberStandard 2 6 2" xfId="129"/>
    <cellStyle name="DefaultNumberStandard 3" xfId="129"/>
    <cellStyle name="DefaultNumberStandard 3 2" xfId="129"/>
    <cellStyle name="DefaultNumberStandard 3 2 2" xfId="129"/>
    <cellStyle name="DefaultNumberStandard 3 3" xfId="129"/>
    <cellStyle name="DefaultNumberStandard 3 3 2" xfId="129"/>
    <cellStyle name="DefaultNumberStandard 3 4" xfId="129"/>
    <cellStyle name="DefaultNumberStandard 3 4 2" xfId="129"/>
    <cellStyle name="DefaultNumberStandard 3 5" xfId="129"/>
    <cellStyle name="DefaultNumberStandard 3 5 2" xfId="129"/>
    <cellStyle name="DefaultNumberStandard 3 6" xfId="129"/>
    <cellStyle name="DefaultNumberStandard 4" xfId="129"/>
    <cellStyle name="DefaultNumberStandard 4 2" xfId="129"/>
    <cellStyle name="DefaultNumberStandard 5" xfId="129"/>
    <cellStyle name="DefaultNumberStandard 5 2" xfId="129"/>
    <cellStyle name="DefaultNumberStandard 6" xfId="129"/>
    <cellStyle name="DropDown" xfId="130"/>
    <cellStyle name="DropDownCenter" xfId="131"/>
    <cellStyle name="DropDownCenterBB" xfId="132"/>
    <cellStyle name="DropDownCenterNum" xfId="133"/>
    <cellStyle name="DropDownNoBorder" xfId="134"/>
    <cellStyle name="DropDownRight" xfId="135"/>
    <cellStyle name="EditableFormulaNumberStandard" xfId="136"/>
    <cellStyle name="EditableFormulaNumberStandard 2" xfId="136"/>
    <cellStyle name="EditableFormulaNumberStandard 2 2" xfId="136"/>
    <cellStyle name="EditableFormulaNumberStandard 2 2 2" xfId="136"/>
    <cellStyle name="EditableFormulaNumberStandard 2 2 2 2" xfId="136"/>
    <cellStyle name="EditableFormulaNumberStandard 2 2 3" xfId="136"/>
    <cellStyle name="EditableFormulaNumberStandard 2 2 3 2" xfId="136"/>
    <cellStyle name="EditableFormulaNumberStandard 2 2 4" xfId="136"/>
    <cellStyle name="EditableFormulaNumberStandard 2 2 4 2" xfId="136"/>
    <cellStyle name="EditableFormulaNumberStandard 2 2 5" xfId="136"/>
    <cellStyle name="EditableFormulaNumberStandard 2 2 5 2" xfId="136"/>
    <cellStyle name="EditableFormulaNumberStandard 2 2 6" xfId="136"/>
    <cellStyle name="EditableFormulaNumberStandard 2 3" xfId="136"/>
    <cellStyle name="EditableFormulaNumberStandard 2 3 2" xfId="136"/>
    <cellStyle name="EditableFormulaNumberStandard 2 4" xfId="136"/>
    <cellStyle name="EditableFormulaNumberStandard 2 4 2" xfId="136"/>
    <cellStyle name="EditableFormulaNumberStandard 2 5" xfId="136"/>
    <cellStyle name="EditableFormulaNumberStandard 2 5 2" xfId="136"/>
    <cellStyle name="EditableFormulaNumberStandard 2 6" xfId="136"/>
    <cellStyle name="EditableFormulaNumberStandard 2 6 2" xfId="136"/>
    <cellStyle name="EditableFormulaNumberStandard 3" xfId="136"/>
    <cellStyle name="EditableFormulaNumberStandard 3 2" xfId="136"/>
    <cellStyle name="EditableFormulaNumberStandard 3 2 2" xfId="136"/>
    <cellStyle name="EditableFormulaNumberStandard 3 3" xfId="136"/>
    <cellStyle name="EditableFormulaNumberStandard 3 3 2" xfId="136"/>
    <cellStyle name="EditableFormulaNumberStandard 3 4" xfId="136"/>
    <cellStyle name="EditableFormulaNumberStandard 3 4 2" xfId="136"/>
    <cellStyle name="EditableFormulaNumberStandard 3 5" xfId="136"/>
    <cellStyle name="EditableFormulaNumberStandard 3 5 2" xfId="136"/>
    <cellStyle name="EditableFormulaNumberStandard 3 6" xfId="136"/>
    <cellStyle name="EditableFormulaNumberStandard 4" xfId="136"/>
    <cellStyle name="EditableFormulaNumberStandard 4 2" xfId="136"/>
    <cellStyle name="EditableFormulaNumberStandard 5" xfId="136"/>
    <cellStyle name="EditableFormulaNumberStandard 5 2" xfId="136"/>
    <cellStyle name="EditableFormulaNumberStandard 6" xfId="136"/>
    <cellStyle name="EmptyCell" xfId="137"/>
    <cellStyle name="ErrorCurrencyTB-C" xfId="138"/>
    <cellStyle name="ErrorCurrencyTB-C 2" xfId="138"/>
    <cellStyle name="ErrorCurrencyTB-C 2 10" xfId="138"/>
    <cellStyle name="ErrorCurrencyTB-C 2 11" xfId="138"/>
    <cellStyle name="ErrorCurrencyTB-C 2 12" xfId="138"/>
    <cellStyle name="ErrorCurrencyTB-C 2 13" xfId="138"/>
    <cellStyle name="ErrorCurrencyTB-C 2 14" xfId="138"/>
    <cellStyle name="ErrorCurrencyTB-C 2 2" xfId="138"/>
    <cellStyle name="ErrorCurrencyTB-C 2 2 10" xfId="138"/>
    <cellStyle name="ErrorCurrencyTB-C 2 2 11" xfId="138"/>
    <cellStyle name="ErrorCurrencyTB-C 2 2 12" xfId="138"/>
    <cellStyle name="ErrorCurrencyTB-C 2 2 13" xfId="138"/>
    <cellStyle name="ErrorCurrencyTB-C 2 2 14" xfId="138"/>
    <cellStyle name="ErrorCurrencyTB-C 2 2 2" xfId="138"/>
    <cellStyle name="ErrorCurrencyTB-C 2 2 2 10" xfId="138"/>
    <cellStyle name="ErrorCurrencyTB-C 2 2 2 11" xfId="138"/>
    <cellStyle name="ErrorCurrencyTB-C 2 2 2 12" xfId="138"/>
    <cellStyle name="ErrorCurrencyTB-C 2 2 2 2" xfId="138"/>
    <cellStyle name="ErrorCurrencyTB-C 2 2 2 2 2" xfId="138"/>
    <cellStyle name="ErrorCurrencyTB-C 2 2 2 2 2 2" xfId="138"/>
    <cellStyle name="ErrorCurrencyTB-C 2 2 2 2 2 3" xfId="138"/>
    <cellStyle name="ErrorCurrencyTB-C 2 2 2 2 2 4" xfId="138"/>
    <cellStyle name="ErrorCurrencyTB-C 2 2 2 2 2 5" xfId="138"/>
    <cellStyle name="ErrorCurrencyTB-C 2 2 2 2 3" xfId="138"/>
    <cellStyle name="ErrorCurrencyTB-C 2 2 2 2 3 2" xfId="138"/>
    <cellStyle name="ErrorCurrencyTB-C 2 2 2 2 3 3" xfId="138"/>
    <cellStyle name="ErrorCurrencyTB-C 2 2 2 2 3 4" xfId="138"/>
    <cellStyle name="ErrorCurrencyTB-C 2 2 2 2 4" xfId="138"/>
    <cellStyle name="ErrorCurrencyTB-C 2 2 2 2 5" xfId="138"/>
    <cellStyle name="ErrorCurrencyTB-C 2 2 2 2 6" xfId="138"/>
    <cellStyle name="ErrorCurrencyTB-C 2 2 2 2 7" xfId="138"/>
    <cellStyle name="ErrorCurrencyTB-C 2 2 2 2 8" xfId="138"/>
    <cellStyle name="ErrorCurrencyTB-C 2 2 2 3" xfId="138"/>
    <cellStyle name="ErrorCurrencyTB-C 2 2 2 3 2" xfId="138"/>
    <cellStyle name="ErrorCurrencyTB-C 2 2 2 3 2 2" xfId="138"/>
    <cellStyle name="ErrorCurrencyTB-C 2 2 2 3 2 3" xfId="138"/>
    <cellStyle name="ErrorCurrencyTB-C 2 2 2 3 2 4" xfId="138"/>
    <cellStyle name="ErrorCurrencyTB-C 2 2 2 3 2 5" xfId="138"/>
    <cellStyle name="ErrorCurrencyTB-C 2 2 2 3 3" xfId="138"/>
    <cellStyle name="ErrorCurrencyTB-C 2 2 2 3 3 2" xfId="138"/>
    <cellStyle name="ErrorCurrencyTB-C 2 2 2 3 3 3" xfId="138"/>
    <cellStyle name="ErrorCurrencyTB-C 2 2 2 3 3 4" xfId="138"/>
    <cellStyle name="ErrorCurrencyTB-C 2 2 2 3 4" xfId="138"/>
    <cellStyle name="ErrorCurrencyTB-C 2 2 2 3 5" xfId="138"/>
    <cellStyle name="ErrorCurrencyTB-C 2 2 2 3 6" xfId="138"/>
    <cellStyle name="ErrorCurrencyTB-C 2 2 2 3 7" xfId="138"/>
    <cellStyle name="ErrorCurrencyTB-C 2 2 2 3 8" xfId="138"/>
    <cellStyle name="ErrorCurrencyTB-C 2 2 2 4" xfId="138"/>
    <cellStyle name="ErrorCurrencyTB-C 2 2 2 4 2" xfId="138"/>
    <cellStyle name="ErrorCurrencyTB-C 2 2 2 4 2 2" xfId="138"/>
    <cellStyle name="ErrorCurrencyTB-C 2 2 2 4 2 3" xfId="138"/>
    <cellStyle name="ErrorCurrencyTB-C 2 2 2 4 2 4" xfId="138"/>
    <cellStyle name="ErrorCurrencyTB-C 2 2 2 4 2 5" xfId="138"/>
    <cellStyle name="ErrorCurrencyTB-C 2 2 2 4 3" xfId="138"/>
    <cellStyle name="ErrorCurrencyTB-C 2 2 2 4 3 2" xfId="138"/>
    <cellStyle name="ErrorCurrencyTB-C 2 2 2 4 3 3" xfId="138"/>
    <cellStyle name="ErrorCurrencyTB-C 2 2 2 4 3 4" xfId="138"/>
    <cellStyle name="ErrorCurrencyTB-C 2 2 2 4 4" xfId="138"/>
    <cellStyle name="ErrorCurrencyTB-C 2 2 2 4 5" xfId="138"/>
    <cellStyle name="ErrorCurrencyTB-C 2 2 2 4 6" xfId="138"/>
    <cellStyle name="ErrorCurrencyTB-C 2 2 2 4 7" xfId="138"/>
    <cellStyle name="ErrorCurrencyTB-C 2 2 2 4 8" xfId="138"/>
    <cellStyle name="ErrorCurrencyTB-C 2 2 2 5" xfId="138"/>
    <cellStyle name="ErrorCurrencyTB-C 2 2 2 5 2" xfId="138"/>
    <cellStyle name="ErrorCurrencyTB-C 2 2 2 5 2 2" xfId="138"/>
    <cellStyle name="ErrorCurrencyTB-C 2 2 2 5 2 3" xfId="138"/>
    <cellStyle name="ErrorCurrencyTB-C 2 2 2 5 2 4" xfId="138"/>
    <cellStyle name="ErrorCurrencyTB-C 2 2 2 5 2 5" xfId="138"/>
    <cellStyle name="ErrorCurrencyTB-C 2 2 2 5 3" xfId="138"/>
    <cellStyle name="ErrorCurrencyTB-C 2 2 2 5 3 2" xfId="138"/>
    <cellStyle name="ErrorCurrencyTB-C 2 2 2 5 3 3" xfId="138"/>
    <cellStyle name="ErrorCurrencyTB-C 2 2 2 5 3 4" xfId="138"/>
    <cellStyle name="ErrorCurrencyTB-C 2 2 2 5 4" xfId="138"/>
    <cellStyle name="ErrorCurrencyTB-C 2 2 2 5 5" xfId="138"/>
    <cellStyle name="ErrorCurrencyTB-C 2 2 2 5 6" xfId="138"/>
    <cellStyle name="ErrorCurrencyTB-C 2 2 2 5 7" xfId="138"/>
    <cellStyle name="ErrorCurrencyTB-C 2 2 2 5 8" xfId="138"/>
    <cellStyle name="ErrorCurrencyTB-C 2 2 2 6" xfId="138"/>
    <cellStyle name="ErrorCurrencyTB-C 2 2 2 6 2" xfId="138"/>
    <cellStyle name="ErrorCurrencyTB-C 2 2 2 6 3" xfId="138"/>
    <cellStyle name="ErrorCurrencyTB-C 2 2 2 6 4" xfId="138"/>
    <cellStyle name="ErrorCurrencyTB-C 2 2 2 6 5" xfId="138"/>
    <cellStyle name="ErrorCurrencyTB-C 2 2 2 7" xfId="138"/>
    <cellStyle name="ErrorCurrencyTB-C 2 2 2 7 2" xfId="138"/>
    <cellStyle name="ErrorCurrencyTB-C 2 2 2 7 3" xfId="138"/>
    <cellStyle name="ErrorCurrencyTB-C 2 2 2 7 4" xfId="138"/>
    <cellStyle name="ErrorCurrencyTB-C 2 2 2 8" xfId="138"/>
    <cellStyle name="ErrorCurrencyTB-C 2 2 2 9" xfId="138"/>
    <cellStyle name="ErrorCurrencyTB-C 2 2 3" xfId="138"/>
    <cellStyle name="ErrorCurrencyTB-C 2 2 3 10" xfId="138"/>
    <cellStyle name="ErrorCurrencyTB-C 2 2 3 11" xfId="138"/>
    <cellStyle name="ErrorCurrencyTB-C 2 2 3 12" xfId="138"/>
    <cellStyle name="ErrorCurrencyTB-C 2 2 3 2" xfId="138"/>
    <cellStyle name="ErrorCurrencyTB-C 2 2 3 2 2" xfId="138"/>
    <cellStyle name="ErrorCurrencyTB-C 2 2 3 2 2 2" xfId="138"/>
    <cellStyle name="ErrorCurrencyTB-C 2 2 3 2 2 3" xfId="138"/>
    <cellStyle name="ErrorCurrencyTB-C 2 2 3 2 2 4" xfId="138"/>
    <cellStyle name="ErrorCurrencyTB-C 2 2 3 2 2 5" xfId="138"/>
    <cellStyle name="ErrorCurrencyTB-C 2 2 3 2 3" xfId="138"/>
    <cellStyle name="ErrorCurrencyTB-C 2 2 3 2 3 2" xfId="138"/>
    <cellStyle name="ErrorCurrencyTB-C 2 2 3 2 3 3" xfId="138"/>
    <cellStyle name="ErrorCurrencyTB-C 2 2 3 2 3 4" xfId="138"/>
    <cellStyle name="ErrorCurrencyTB-C 2 2 3 2 4" xfId="138"/>
    <cellStyle name="ErrorCurrencyTB-C 2 2 3 2 5" xfId="138"/>
    <cellStyle name="ErrorCurrencyTB-C 2 2 3 2 6" xfId="138"/>
    <cellStyle name="ErrorCurrencyTB-C 2 2 3 2 7" xfId="138"/>
    <cellStyle name="ErrorCurrencyTB-C 2 2 3 2 8" xfId="138"/>
    <cellStyle name="ErrorCurrencyTB-C 2 2 3 3" xfId="138"/>
    <cellStyle name="ErrorCurrencyTB-C 2 2 3 3 2" xfId="138"/>
    <cellStyle name="ErrorCurrencyTB-C 2 2 3 3 2 2" xfId="138"/>
    <cellStyle name="ErrorCurrencyTB-C 2 2 3 3 2 3" xfId="138"/>
    <cellStyle name="ErrorCurrencyTB-C 2 2 3 3 2 4" xfId="138"/>
    <cellStyle name="ErrorCurrencyTB-C 2 2 3 3 2 5" xfId="138"/>
    <cellStyle name="ErrorCurrencyTB-C 2 2 3 3 3" xfId="138"/>
    <cellStyle name="ErrorCurrencyTB-C 2 2 3 3 3 2" xfId="138"/>
    <cellStyle name="ErrorCurrencyTB-C 2 2 3 3 3 3" xfId="138"/>
    <cellStyle name="ErrorCurrencyTB-C 2 2 3 3 3 4" xfId="138"/>
    <cellStyle name="ErrorCurrencyTB-C 2 2 3 3 4" xfId="138"/>
    <cellStyle name="ErrorCurrencyTB-C 2 2 3 3 5" xfId="138"/>
    <cellStyle name="ErrorCurrencyTB-C 2 2 3 3 6" xfId="138"/>
    <cellStyle name="ErrorCurrencyTB-C 2 2 3 3 7" xfId="138"/>
    <cellStyle name="ErrorCurrencyTB-C 2 2 3 3 8" xfId="138"/>
    <cellStyle name="ErrorCurrencyTB-C 2 2 3 4" xfId="138"/>
    <cellStyle name="ErrorCurrencyTB-C 2 2 3 4 2" xfId="138"/>
    <cellStyle name="ErrorCurrencyTB-C 2 2 3 4 2 2" xfId="138"/>
    <cellStyle name="ErrorCurrencyTB-C 2 2 3 4 2 3" xfId="138"/>
    <cellStyle name="ErrorCurrencyTB-C 2 2 3 4 2 4" xfId="138"/>
    <cellStyle name="ErrorCurrencyTB-C 2 2 3 4 2 5" xfId="138"/>
    <cellStyle name="ErrorCurrencyTB-C 2 2 3 4 3" xfId="138"/>
    <cellStyle name="ErrorCurrencyTB-C 2 2 3 4 3 2" xfId="138"/>
    <cellStyle name="ErrorCurrencyTB-C 2 2 3 4 3 3" xfId="138"/>
    <cellStyle name="ErrorCurrencyTB-C 2 2 3 4 3 4" xfId="138"/>
    <cellStyle name="ErrorCurrencyTB-C 2 2 3 4 4" xfId="138"/>
    <cellStyle name="ErrorCurrencyTB-C 2 2 3 4 5" xfId="138"/>
    <cellStyle name="ErrorCurrencyTB-C 2 2 3 4 6" xfId="138"/>
    <cellStyle name="ErrorCurrencyTB-C 2 2 3 4 7" xfId="138"/>
    <cellStyle name="ErrorCurrencyTB-C 2 2 3 4 8" xfId="138"/>
    <cellStyle name="ErrorCurrencyTB-C 2 2 3 5" xfId="138"/>
    <cellStyle name="ErrorCurrencyTB-C 2 2 3 5 2" xfId="138"/>
    <cellStyle name="ErrorCurrencyTB-C 2 2 3 5 2 2" xfId="138"/>
    <cellStyle name="ErrorCurrencyTB-C 2 2 3 5 2 3" xfId="138"/>
    <cellStyle name="ErrorCurrencyTB-C 2 2 3 5 2 4" xfId="138"/>
    <cellStyle name="ErrorCurrencyTB-C 2 2 3 5 2 5" xfId="138"/>
    <cellStyle name="ErrorCurrencyTB-C 2 2 3 5 3" xfId="138"/>
    <cellStyle name="ErrorCurrencyTB-C 2 2 3 5 3 2" xfId="138"/>
    <cellStyle name="ErrorCurrencyTB-C 2 2 3 5 3 3" xfId="138"/>
    <cellStyle name="ErrorCurrencyTB-C 2 2 3 5 3 4" xfId="138"/>
    <cellStyle name="ErrorCurrencyTB-C 2 2 3 5 4" xfId="138"/>
    <cellStyle name="ErrorCurrencyTB-C 2 2 3 5 5" xfId="138"/>
    <cellStyle name="ErrorCurrencyTB-C 2 2 3 5 6" xfId="138"/>
    <cellStyle name="ErrorCurrencyTB-C 2 2 3 5 7" xfId="138"/>
    <cellStyle name="ErrorCurrencyTB-C 2 2 3 5 8" xfId="138"/>
    <cellStyle name="ErrorCurrencyTB-C 2 2 3 6" xfId="138"/>
    <cellStyle name="ErrorCurrencyTB-C 2 2 3 6 2" xfId="138"/>
    <cellStyle name="ErrorCurrencyTB-C 2 2 3 6 3" xfId="138"/>
    <cellStyle name="ErrorCurrencyTB-C 2 2 3 6 4" xfId="138"/>
    <cellStyle name="ErrorCurrencyTB-C 2 2 3 6 5" xfId="138"/>
    <cellStyle name="ErrorCurrencyTB-C 2 2 3 7" xfId="138"/>
    <cellStyle name="ErrorCurrencyTB-C 2 2 3 7 2" xfId="138"/>
    <cellStyle name="ErrorCurrencyTB-C 2 2 3 7 3" xfId="138"/>
    <cellStyle name="ErrorCurrencyTB-C 2 2 3 7 4" xfId="138"/>
    <cellStyle name="ErrorCurrencyTB-C 2 2 3 8" xfId="138"/>
    <cellStyle name="ErrorCurrencyTB-C 2 2 3 9" xfId="138"/>
    <cellStyle name="ErrorCurrencyTB-C 2 2 4" xfId="138"/>
    <cellStyle name="ErrorCurrencyTB-C 2 2 4 2" xfId="138"/>
    <cellStyle name="ErrorCurrencyTB-C 2 2 4 2 2" xfId="138"/>
    <cellStyle name="ErrorCurrencyTB-C 2 2 4 2 3" xfId="138"/>
    <cellStyle name="ErrorCurrencyTB-C 2 2 4 2 4" xfId="138"/>
    <cellStyle name="ErrorCurrencyTB-C 2 2 4 2 5" xfId="138"/>
    <cellStyle name="ErrorCurrencyTB-C 2 2 4 3" xfId="138"/>
    <cellStyle name="ErrorCurrencyTB-C 2 2 4 3 2" xfId="138"/>
    <cellStyle name="ErrorCurrencyTB-C 2 2 4 3 3" xfId="138"/>
    <cellStyle name="ErrorCurrencyTB-C 2 2 4 3 4" xfId="138"/>
    <cellStyle name="ErrorCurrencyTB-C 2 2 4 4" xfId="138"/>
    <cellStyle name="ErrorCurrencyTB-C 2 2 4 5" xfId="138"/>
    <cellStyle name="ErrorCurrencyTB-C 2 2 4 6" xfId="138"/>
    <cellStyle name="ErrorCurrencyTB-C 2 2 4 7" xfId="138"/>
    <cellStyle name="ErrorCurrencyTB-C 2 2 4 8" xfId="138"/>
    <cellStyle name="ErrorCurrencyTB-C 2 2 5" xfId="138"/>
    <cellStyle name="ErrorCurrencyTB-C 2 2 5 2" xfId="138"/>
    <cellStyle name="ErrorCurrencyTB-C 2 2 5 2 2" xfId="138"/>
    <cellStyle name="ErrorCurrencyTB-C 2 2 5 2 3" xfId="138"/>
    <cellStyle name="ErrorCurrencyTB-C 2 2 5 2 4" xfId="138"/>
    <cellStyle name="ErrorCurrencyTB-C 2 2 5 2 5" xfId="138"/>
    <cellStyle name="ErrorCurrencyTB-C 2 2 5 3" xfId="138"/>
    <cellStyle name="ErrorCurrencyTB-C 2 2 5 3 2" xfId="138"/>
    <cellStyle name="ErrorCurrencyTB-C 2 2 5 3 3" xfId="138"/>
    <cellStyle name="ErrorCurrencyTB-C 2 2 5 3 4" xfId="138"/>
    <cellStyle name="ErrorCurrencyTB-C 2 2 5 4" xfId="138"/>
    <cellStyle name="ErrorCurrencyTB-C 2 2 5 5" xfId="138"/>
    <cellStyle name="ErrorCurrencyTB-C 2 2 5 6" xfId="138"/>
    <cellStyle name="ErrorCurrencyTB-C 2 2 5 7" xfId="138"/>
    <cellStyle name="ErrorCurrencyTB-C 2 2 5 8" xfId="138"/>
    <cellStyle name="ErrorCurrencyTB-C 2 2 6" xfId="138"/>
    <cellStyle name="ErrorCurrencyTB-C 2 2 6 2" xfId="138"/>
    <cellStyle name="ErrorCurrencyTB-C 2 2 6 2 2" xfId="138"/>
    <cellStyle name="ErrorCurrencyTB-C 2 2 6 2 3" xfId="138"/>
    <cellStyle name="ErrorCurrencyTB-C 2 2 6 2 4" xfId="138"/>
    <cellStyle name="ErrorCurrencyTB-C 2 2 6 2 5" xfId="138"/>
    <cellStyle name="ErrorCurrencyTB-C 2 2 6 3" xfId="138"/>
    <cellStyle name="ErrorCurrencyTB-C 2 2 6 3 2" xfId="138"/>
    <cellStyle name="ErrorCurrencyTB-C 2 2 6 3 3" xfId="138"/>
    <cellStyle name="ErrorCurrencyTB-C 2 2 6 3 4" xfId="138"/>
    <cellStyle name="ErrorCurrencyTB-C 2 2 6 4" xfId="138"/>
    <cellStyle name="ErrorCurrencyTB-C 2 2 6 5" xfId="138"/>
    <cellStyle name="ErrorCurrencyTB-C 2 2 6 6" xfId="138"/>
    <cellStyle name="ErrorCurrencyTB-C 2 2 6 7" xfId="138"/>
    <cellStyle name="ErrorCurrencyTB-C 2 2 6 8" xfId="138"/>
    <cellStyle name="ErrorCurrencyTB-C 2 2 7" xfId="138"/>
    <cellStyle name="ErrorCurrencyTB-C 2 2 7 2" xfId="138"/>
    <cellStyle name="ErrorCurrencyTB-C 2 2 7 2 2" xfId="138"/>
    <cellStyle name="ErrorCurrencyTB-C 2 2 7 2 3" xfId="138"/>
    <cellStyle name="ErrorCurrencyTB-C 2 2 7 2 4" xfId="138"/>
    <cellStyle name="ErrorCurrencyTB-C 2 2 7 2 5" xfId="138"/>
    <cellStyle name="ErrorCurrencyTB-C 2 2 7 3" xfId="138"/>
    <cellStyle name="ErrorCurrencyTB-C 2 2 7 3 2" xfId="138"/>
    <cellStyle name="ErrorCurrencyTB-C 2 2 7 3 3" xfId="138"/>
    <cellStyle name="ErrorCurrencyTB-C 2 2 7 3 4" xfId="138"/>
    <cellStyle name="ErrorCurrencyTB-C 2 2 7 4" xfId="138"/>
    <cellStyle name="ErrorCurrencyTB-C 2 2 7 5" xfId="138"/>
    <cellStyle name="ErrorCurrencyTB-C 2 2 7 6" xfId="138"/>
    <cellStyle name="ErrorCurrencyTB-C 2 2 7 7" xfId="138"/>
    <cellStyle name="ErrorCurrencyTB-C 2 2 7 8" xfId="138"/>
    <cellStyle name="ErrorCurrencyTB-C 2 2 8" xfId="138"/>
    <cellStyle name="ErrorCurrencyTB-C 2 2 8 2" xfId="138"/>
    <cellStyle name="ErrorCurrencyTB-C 2 2 8 3" xfId="138"/>
    <cellStyle name="ErrorCurrencyTB-C 2 2 8 4" xfId="138"/>
    <cellStyle name="ErrorCurrencyTB-C 2 2 8 5" xfId="138"/>
    <cellStyle name="ErrorCurrencyTB-C 2 2 9" xfId="138"/>
    <cellStyle name="ErrorCurrencyTB-C 2 2 9 2" xfId="138"/>
    <cellStyle name="ErrorCurrencyTB-C 2 2 9 3" xfId="138"/>
    <cellStyle name="ErrorCurrencyTB-C 2 2 9 4" xfId="138"/>
    <cellStyle name="ErrorCurrencyTB-C 2 3" xfId="138"/>
    <cellStyle name="ErrorCurrencyTB-C 2 3 10" xfId="138"/>
    <cellStyle name="ErrorCurrencyTB-C 2 3 11" xfId="138"/>
    <cellStyle name="ErrorCurrencyTB-C 2 3 12" xfId="138"/>
    <cellStyle name="ErrorCurrencyTB-C 2 3 2" xfId="138"/>
    <cellStyle name="ErrorCurrencyTB-C 2 3 2 2" xfId="138"/>
    <cellStyle name="ErrorCurrencyTB-C 2 3 2 2 2" xfId="138"/>
    <cellStyle name="ErrorCurrencyTB-C 2 3 2 2 3" xfId="138"/>
    <cellStyle name="ErrorCurrencyTB-C 2 3 2 2 4" xfId="138"/>
    <cellStyle name="ErrorCurrencyTB-C 2 3 2 2 5" xfId="138"/>
    <cellStyle name="ErrorCurrencyTB-C 2 3 2 3" xfId="138"/>
    <cellStyle name="ErrorCurrencyTB-C 2 3 2 3 2" xfId="138"/>
    <cellStyle name="ErrorCurrencyTB-C 2 3 2 3 3" xfId="138"/>
    <cellStyle name="ErrorCurrencyTB-C 2 3 2 3 4" xfId="138"/>
    <cellStyle name="ErrorCurrencyTB-C 2 3 2 4" xfId="138"/>
    <cellStyle name="ErrorCurrencyTB-C 2 3 2 5" xfId="138"/>
    <cellStyle name="ErrorCurrencyTB-C 2 3 2 6" xfId="138"/>
    <cellStyle name="ErrorCurrencyTB-C 2 3 2 7" xfId="138"/>
    <cellStyle name="ErrorCurrencyTB-C 2 3 2 8" xfId="138"/>
    <cellStyle name="ErrorCurrencyTB-C 2 3 3" xfId="138"/>
    <cellStyle name="ErrorCurrencyTB-C 2 3 3 2" xfId="138"/>
    <cellStyle name="ErrorCurrencyTB-C 2 3 3 2 2" xfId="138"/>
    <cellStyle name="ErrorCurrencyTB-C 2 3 3 2 3" xfId="138"/>
    <cellStyle name="ErrorCurrencyTB-C 2 3 3 2 4" xfId="138"/>
    <cellStyle name="ErrorCurrencyTB-C 2 3 3 2 5" xfId="138"/>
    <cellStyle name="ErrorCurrencyTB-C 2 3 3 3" xfId="138"/>
    <cellStyle name="ErrorCurrencyTB-C 2 3 3 3 2" xfId="138"/>
    <cellStyle name="ErrorCurrencyTB-C 2 3 3 3 3" xfId="138"/>
    <cellStyle name="ErrorCurrencyTB-C 2 3 3 3 4" xfId="138"/>
    <cellStyle name="ErrorCurrencyTB-C 2 3 3 4" xfId="138"/>
    <cellStyle name="ErrorCurrencyTB-C 2 3 3 5" xfId="138"/>
    <cellStyle name="ErrorCurrencyTB-C 2 3 3 6" xfId="138"/>
    <cellStyle name="ErrorCurrencyTB-C 2 3 3 7" xfId="138"/>
    <cellStyle name="ErrorCurrencyTB-C 2 3 3 8" xfId="138"/>
    <cellStyle name="ErrorCurrencyTB-C 2 3 4" xfId="138"/>
    <cellStyle name="ErrorCurrencyTB-C 2 3 4 2" xfId="138"/>
    <cellStyle name="ErrorCurrencyTB-C 2 3 4 2 2" xfId="138"/>
    <cellStyle name="ErrorCurrencyTB-C 2 3 4 2 3" xfId="138"/>
    <cellStyle name="ErrorCurrencyTB-C 2 3 4 2 4" xfId="138"/>
    <cellStyle name="ErrorCurrencyTB-C 2 3 4 2 5" xfId="138"/>
    <cellStyle name="ErrorCurrencyTB-C 2 3 4 3" xfId="138"/>
    <cellStyle name="ErrorCurrencyTB-C 2 3 4 3 2" xfId="138"/>
    <cellStyle name="ErrorCurrencyTB-C 2 3 4 3 3" xfId="138"/>
    <cellStyle name="ErrorCurrencyTB-C 2 3 4 3 4" xfId="138"/>
    <cellStyle name="ErrorCurrencyTB-C 2 3 4 4" xfId="138"/>
    <cellStyle name="ErrorCurrencyTB-C 2 3 4 5" xfId="138"/>
    <cellStyle name="ErrorCurrencyTB-C 2 3 4 6" xfId="138"/>
    <cellStyle name="ErrorCurrencyTB-C 2 3 4 7" xfId="138"/>
    <cellStyle name="ErrorCurrencyTB-C 2 3 4 8" xfId="138"/>
    <cellStyle name="ErrorCurrencyTB-C 2 3 5" xfId="138"/>
    <cellStyle name="ErrorCurrencyTB-C 2 3 5 2" xfId="138"/>
    <cellStyle name="ErrorCurrencyTB-C 2 3 5 2 2" xfId="138"/>
    <cellStyle name="ErrorCurrencyTB-C 2 3 5 2 3" xfId="138"/>
    <cellStyle name="ErrorCurrencyTB-C 2 3 5 2 4" xfId="138"/>
    <cellStyle name="ErrorCurrencyTB-C 2 3 5 2 5" xfId="138"/>
    <cellStyle name="ErrorCurrencyTB-C 2 3 5 3" xfId="138"/>
    <cellStyle name="ErrorCurrencyTB-C 2 3 5 3 2" xfId="138"/>
    <cellStyle name="ErrorCurrencyTB-C 2 3 5 3 3" xfId="138"/>
    <cellStyle name="ErrorCurrencyTB-C 2 3 5 3 4" xfId="138"/>
    <cellStyle name="ErrorCurrencyTB-C 2 3 5 4" xfId="138"/>
    <cellStyle name="ErrorCurrencyTB-C 2 3 5 5" xfId="138"/>
    <cellStyle name="ErrorCurrencyTB-C 2 3 5 6" xfId="138"/>
    <cellStyle name="ErrorCurrencyTB-C 2 3 5 7" xfId="138"/>
    <cellStyle name="ErrorCurrencyTB-C 2 3 5 8" xfId="138"/>
    <cellStyle name="ErrorCurrencyTB-C 2 3 6" xfId="138"/>
    <cellStyle name="ErrorCurrencyTB-C 2 3 6 2" xfId="138"/>
    <cellStyle name="ErrorCurrencyTB-C 2 3 6 3" xfId="138"/>
    <cellStyle name="ErrorCurrencyTB-C 2 3 6 4" xfId="138"/>
    <cellStyle name="ErrorCurrencyTB-C 2 3 6 5" xfId="138"/>
    <cellStyle name="ErrorCurrencyTB-C 2 3 7" xfId="138"/>
    <cellStyle name="ErrorCurrencyTB-C 2 3 7 2" xfId="138"/>
    <cellStyle name="ErrorCurrencyTB-C 2 3 7 3" xfId="138"/>
    <cellStyle name="ErrorCurrencyTB-C 2 3 7 4" xfId="138"/>
    <cellStyle name="ErrorCurrencyTB-C 2 3 8" xfId="138"/>
    <cellStyle name="ErrorCurrencyTB-C 2 3 9" xfId="138"/>
    <cellStyle name="ErrorCurrencyTB-C 2 4" xfId="138"/>
    <cellStyle name="ErrorCurrencyTB-C 2 4 2" xfId="138"/>
    <cellStyle name="ErrorCurrencyTB-C 2 4 2 2" xfId="138"/>
    <cellStyle name="ErrorCurrencyTB-C 2 4 2 3" xfId="138"/>
    <cellStyle name="ErrorCurrencyTB-C 2 4 2 4" xfId="138"/>
    <cellStyle name="ErrorCurrencyTB-C 2 4 2 5" xfId="138"/>
    <cellStyle name="ErrorCurrencyTB-C 2 4 3" xfId="138"/>
    <cellStyle name="ErrorCurrencyTB-C 2 4 3 2" xfId="138"/>
    <cellStyle name="ErrorCurrencyTB-C 2 4 3 3" xfId="138"/>
    <cellStyle name="ErrorCurrencyTB-C 2 4 3 4" xfId="138"/>
    <cellStyle name="ErrorCurrencyTB-C 2 4 4" xfId="138"/>
    <cellStyle name="ErrorCurrencyTB-C 2 4 5" xfId="138"/>
    <cellStyle name="ErrorCurrencyTB-C 2 4 6" xfId="138"/>
    <cellStyle name="ErrorCurrencyTB-C 2 4 7" xfId="138"/>
    <cellStyle name="ErrorCurrencyTB-C 2 4 8" xfId="138"/>
    <cellStyle name="ErrorCurrencyTB-C 2 5" xfId="138"/>
    <cellStyle name="ErrorCurrencyTB-C 2 5 2" xfId="138"/>
    <cellStyle name="ErrorCurrencyTB-C 2 5 2 2" xfId="138"/>
    <cellStyle name="ErrorCurrencyTB-C 2 5 2 3" xfId="138"/>
    <cellStyle name="ErrorCurrencyTB-C 2 5 2 4" xfId="138"/>
    <cellStyle name="ErrorCurrencyTB-C 2 5 2 5" xfId="138"/>
    <cellStyle name="ErrorCurrencyTB-C 2 5 3" xfId="138"/>
    <cellStyle name="ErrorCurrencyTB-C 2 5 3 2" xfId="138"/>
    <cellStyle name="ErrorCurrencyTB-C 2 5 3 3" xfId="138"/>
    <cellStyle name="ErrorCurrencyTB-C 2 5 3 4" xfId="138"/>
    <cellStyle name="ErrorCurrencyTB-C 2 5 4" xfId="138"/>
    <cellStyle name="ErrorCurrencyTB-C 2 5 5" xfId="138"/>
    <cellStyle name="ErrorCurrencyTB-C 2 5 6" xfId="138"/>
    <cellStyle name="ErrorCurrencyTB-C 2 5 7" xfId="138"/>
    <cellStyle name="ErrorCurrencyTB-C 2 5 8" xfId="138"/>
    <cellStyle name="ErrorCurrencyTB-C 2 6" xfId="138"/>
    <cellStyle name="ErrorCurrencyTB-C 2 6 2" xfId="138"/>
    <cellStyle name="ErrorCurrencyTB-C 2 6 2 2" xfId="138"/>
    <cellStyle name="ErrorCurrencyTB-C 2 6 2 3" xfId="138"/>
    <cellStyle name="ErrorCurrencyTB-C 2 6 2 4" xfId="138"/>
    <cellStyle name="ErrorCurrencyTB-C 2 6 2 5" xfId="138"/>
    <cellStyle name="ErrorCurrencyTB-C 2 6 3" xfId="138"/>
    <cellStyle name="ErrorCurrencyTB-C 2 6 3 2" xfId="138"/>
    <cellStyle name="ErrorCurrencyTB-C 2 6 3 3" xfId="138"/>
    <cellStyle name="ErrorCurrencyTB-C 2 6 3 4" xfId="138"/>
    <cellStyle name="ErrorCurrencyTB-C 2 6 4" xfId="138"/>
    <cellStyle name="ErrorCurrencyTB-C 2 6 5" xfId="138"/>
    <cellStyle name="ErrorCurrencyTB-C 2 6 6" xfId="138"/>
    <cellStyle name="ErrorCurrencyTB-C 2 6 7" xfId="138"/>
    <cellStyle name="ErrorCurrencyTB-C 2 6 8" xfId="138"/>
    <cellStyle name="ErrorCurrencyTB-C 2 7" xfId="138"/>
    <cellStyle name="ErrorCurrencyTB-C 2 7 2" xfId="138"/>
    <cellStyle name="ErrorCurrencyTB-C 2 7 2 2" xfId="138"/>
    <cellStyle name="ErrorCurrencyTB-C 2 7 2 3" xfId="138"/>
    <cellStyle name="ErrorCurrencyTB-C 2 7 2 4" xfId="138"/>
    <cellStyle name="ErrorCurrencyTB-C 2 7 2 5" xfId="138"/>
    <cellStyle name="ErrorCurrencyTB-C 2 7 3" xfId="138"/>
    <cellStyle name="ErrorCurrencyTB-C 2 7 3 2" xfId="138"/>
    <cellStyle name="ErrorCurrencyTB-C 2 7 3 3" xfId="138"/>
    <cellStyle name="ErrorCurrencyTB-C 2 7 3 4" xfId="138"/>
    <cellStyle name="ErrorCurrencyTB-C 2 7 4" xfId="138"/>
    <cellStyle name="ErrorCurrencyTB-C 2 7 5" xfId="138"/>
    <cellStyle name="ErrorCurrencyTB-C 2 7 6" xfId="138"/>
    <cellStyle name="ErrorCurrencyTB-C 2 7 7" xfId="138"/>
    <cellStyle name="ErrorCurrencyTB-C 2 7 8" xfId="138"/>
    <cellStyle name="ErrorCurrencyTB-C 2 8" xfId="138"/>
    <cellStyle name="ErrorCurrencyTB-C 2 8 2" xfId="138"/>
    <cellStyle name="ErrorCurrencyTB-C 2 8 3" xfId="138"/>
    <cellStyle name="ErrorCurrencyTB-C 2 8 4" xfId="138"/>
    <cellStyle name="ErrorCurrencyTB-C 2 8 5" xfId="138"/>
    <cellStyle name="ErrorCurrencyTB-C 2 9" xfId="138"/>
    <cellStyle name="ErrorCurrencyTB-C 2 9 2" xfId="138"/>
    <cellStyle name="ErrorCurrencyTB-C 2 9 3" xfId="138"/>
    <cellStyle name="ErrorCurrencyTB-C 2 9 4" xfId="138"/>
    <cellStyle name="ErrorCurrencyTB-C 3" xfId="138"/>
    <cellStyle name="ErrorCurrencyTB-C 3 10" xfId="138"/>
    <cellStyle name="ErrorCurrencyTB-C 3 11" xfId="138"/>
    <cellStyle name="ErrorCurrencyTB-C 3 12" xfId="138"/>
    <cellStyle name="ErrorCurrencyTB-C 3 13" xfId="138"/>
    <cellStyle name="ErrorCurrencyTB-C 3 14" xfId="138"/>
    <cellStyle name="ErrorCurrencyTB-C 3 2" xfId="138"/>
    <cellStyle name="ErrorCurrencyTB-C 3 2 10" xfId="138"/>
    <cellStyle name="ErrorCurrencyTB-C 3 2 11" xfId="138"/>
    <cellStyle name="ErrorCurrencyTB-C 3 2 12" xfId="138"/>
    <cellStyle name="ErrorCurrencyTB-C 3 2 2" xfId="138"/>
    <cellStyle name="ErrorCurrencyTB-C 3 2 2 2" xfId="138"/>
    <cellStyle name="ErrorCurrencyTB-C 3 2 2 2 2" xfId="138"/>
    <cellStyle name="ErrorCurrencyTB-C 3 2 2 2 3" xfId="138"/>
    <cellStyle name="ErrorCurrencyTB-C 3 2 2 2 4" xfId="138"/>
    <cellStyle name="ErrorCurrencyTB-C 3 2 2 2 5" xfId="138"/>
    <cellStyle name="ErrorCurrencyTB-C 3 2 2 3" xfId="138"/>
    <cellStyle name="ErrorCurrencyTB-C 3 2 2 3 2" xfId="138"/>
    <cellStyle name="ErrorCurrencyTB-C 3 2 2 3 3" xfId="138"/>
    <cellStyle name="ErrorCurrencyTB-C 3 2 2 3 4" xfId="138"/>
    <cellStyle name="ErrorCurrencyTB-C 3 2 2 4" xfId="138"/>
    <cellStyle name="ErrorCurrencyTB-C 3 2 2 5" xfId="138"/>
    <cellStyle name="ErrorCurrencyTB-C 3 2 2 6" xfId="138"/>
    <cellStyle name="ErrorCurrencyTB-C 3 2 2 7" xfId="138"/>
    <cellStyle name="ErrorCurrencyTB-C 3 2 2 8" xfId="138"/>
    <cellStyle name="ErrorCurrencyTB-C 3 2 3" xfId="138"/>
    <cellStyle name="ErrorCurrencyTB-C 3 2 3 2" xfId="138"/>
    <cellStyle name="ErrorCurrencyTB-C 3 2 3 2 2" xfId="138"/>
    <cellStyle name="ErrorCurrencyTB-C 3 2 3 2 3" xfId="138"/>
    <cellStyle name="ErrorCurrencyTB-C 3 2 3 2 4" xfId="138"/>
    <cellStyle name="ErrorCurrencyTB-C 3 2 3 2 5" xfId="138"/>
    <cellStyle name="ErrorCurrencyTB-C 3 2 3 3" xfId="138"/>
    <cellStyle name="ErrorCurrencyTB-C 3 2 3 3 2" xfId="138"/>
    <cellStyle name="ErrorCurrencyTB-C 3 2 3 3 3" xfId="138"/>
    <cellStyle name="ErrorCurrencyTB-C 3 2 3 3 4" xfId="138"/>
    <cellStyle name="ErrorCurrencyTB-C 3 2 3 4" xfId="138"/>
    <cellStyle name="ErrorCurrencyTB-C 3 2 3 5" xfId="138"/>
    <cellStyle name="ErrorCurrencyTB-C 3 2 3 6" xfId="138"/>
    <cellStyle name="ErrorCurrencyTB-C 3 2 3 7" xfId="138"/>
    <cellStyle name="ErrorCurrencyTB-C 3 2 3 8" xfId="138"/>
    <cellStyle name="ErrorCurrencyTB-C 3 2 4" xfId="138"/>
    <cellStyle name="ErrorCurrencyTB-C 3 2 4 2" xfId="138"/>
    <cellStyle name="ErrorCurrencyTB-C 3 2 4 2 2" xfId="138"/>
    <cellStyle name="ErrorCurrencyTB-C 3 2 4 2 3" xfId="138"/>
    <cellStyle name="ErrorCurrencyTB-C 3 2 4 2 4" xfId="138"/>
    <cellStyle name="ErrorCurrencyTB-C 3 2 4 2 5" xfId="138"/>
    <cellStyle name="ErrorCurrencyTB-C 3 2 4 3" xfId="138"/>
    <cellStyle name="ErrorCurrencyTB-C 3 2 4 3 2" xfId="138"/>
    <cellStyle name="ErrorCurrencyTB-C 3 2 4 3 3" xfId="138"/>
    <cellStyle name="ErrorCurrencyTB-C 3 2 4 3 4" xfId="138"/>
    <cellStyle name="ErrorCurrencyTB-C 3 2 4 4" xfId="138"/>
    <cellStyle name="ErrorCurrencyTB-C 3 2 4 5" xfId="138"/>
    <cellStyle name="ErrorCurrencyTB-C 3 2 4 6" xfId="138"/>
    <cellStyle name="ErrorCurrencyTB-C 3 2 4 7" xfId="138"/>
    <cellStyle name="ErrorCurrencyTB-C 3 2 4 8" xfId="138"/>
    <cellStyle name="ErrorCurrencyTB-C 3 2 5" xfId="138"/>
    <cellStyle name="ErrorCurrencyTB-C 3 2 5 2" xfId="138"/>
    <cellStyle name="ErrorCurrencyTB-C 3 2 5 2 2" xfId="138"/>
    <cellStyle name="ErrorCurrencyTB-C 3 2 5 2 3" xfId="138"/>
    <cellStyle name="ErrorCurrencyTB-C 3 2 5 2 4" xfId="138"/>
    <cellStyle name="ErrorCurrencyTB-C 3 2 5 2 5" xfId="138"/>
    <cellStyle name="ErrorCurrencyTB-C 3 2 5 3" xfId="138"/>
    <cellStyle name="ErrorCurrencyTB-C 3 2 5 3 2" xfId="138"/>
    <cellStyle name="ErrorCurrencyTB-C 3 2 5 3 3" xfId="138"/>
    <cellStyle name="ErrorCurrencyTB-C 3 2 5 3 4" xfId="138"/>
    <cellStyle name="ErrorCurrencyTB-C 3 2 5 4" xfId="138"/>
    <cellStyle name="ErrorCurrencyTB-C 3 2 5 5" xfId="138"/>
    <cellStyle name="ErrorCurrencyTB-C 3 2 5 6" xfId="138"/>
    <cellStyle name="ErrorCurrencyTB-C 3 2 5 7" xfId="138"/>
    <cellStyle name="ErrorCurrencyTB-C 3 2 5 8" xfId="138"/>
    <cellStyle name="ErrorCurrencyTB-C 3 2 6" xfId="138"/>
    <cellStyle name="ErrorCurrencyTB-C 3 2 6 2" xfId="138"/>
    <cellStyle name="ErrorCurrencyTB-C 3 2 6 3" xfId="138"/>
    <cellStyle name="ErrorCurrencyTB-C 3 2 6 4" xfId="138"/>
    <cellStyle name="ErrorCurrencyTB-C 3 2 6 5" xfId="138"/>
    <cellStyle name="ErrorCurrencyTB-C 3 2 7" xfId="138"/>
    <cellStyle name="ErrorCurrencyTB-C 3 2 7 2" xfId="138"/>
    <cellStyle name="ErrorCurrencyTB-C 3 2 7 3" xfId="138"/>
    <cellStyle name="ErrorCurrencyTB-C 3 2 7 4" xfId="138"/>
    <cellStyle name="ErrorCurrencyTB-C 3 2 8" xfId="138"/>
    <cellStyle name="ErrorCurrencyTB-C 3 2 9" xfId="138"/>
    <cellStyle name="ErrorCurrencyTB-C 3 3" xfId="138"/>
    <cellStyle name="ErrorCurrencyTB-C 3 3 10" xfId="138"/>
    <cellStyle name="ErrorCurrencyTB-C 3 3 11" xfId="138"/>
    <cellStyle name="ErrorCurrencyTB-C 3 3 12" xfId="138"/>
    <cellStyle name="ErrorCurrencyTB-C 3 3 2" xfId="138"/>
    <cellStyle name="ErrorCurrencyTB-C 3 3 2 2" xfId="138"/>
    <cellStyle name="ErrorCurrencyTB-C 3 3 2 2 2" xfId="138"/>
    <cellStyle name="ErrorCurrencyTB-C 3 3 2 2 3" xfId="138"/>
    <cellStyle name="ErrorCurrencyTB-C 3 3 2 2 4" xfId="138"/>
    <cellStyle name="ErrorCurrencyTB-C 3 3 2 2 5" xfId="138"/>
    <cellStyle name="ErrorCurrencyTB-C 3 3 2 3" xfId="138"/>
    <cellStyle name="ErrorCurrencyTB-C 3 3 2 3 2" xfId="138"/>
    <cellStyle name="ErrorCurrencyTB-C 3 3 2 3 3" xfId="138"/>
    <cellStyle name="ErrorCurrencyTB-C 3 3 2 3 4" xfId="138"/>
    <cellStyle name="ErrorCurrencyTB-C 3 3 2 4" xfId="138"/>
    <cellStyle name="ErrorCurrencyTB-C 3 3 2 5" xfId="138"/>
    <cellStyle name="ErrorCurrencyTB-C 3 3 2 6" xfId="138"/>
    <cellStyle name="ErrorCurrencyTB-C 3 3 2 7" xfId="138"/>
    <cellStyle name="ErrorCurrencyTB-C 3 3 2 8" xfId="138"/>
    <cellStyle name="ErrorCurrencyTB-C 3 3 3" xfId="138"/>
    <cellStyle name="ErrorCurrencyTB-C 3 3 3 2" xfId="138"/>
    <cellStyle name="ErrorCurrencyTB-C 3 3 3 2 2" xfId="138"/>
    <cellStyle name="ErrorCurrencyTB-C 3 3 3 2 3" xfId="138"/>
    <cellStyle name="ErrorCurrencyTB-C 3 3 3 2 4" xfId="138"/>
    <cellStyle name="ErrorCurrencyTB-C 3 3 3 2 5" xfId="138"/>
    <cellStyle name="ErrorCurrencyTB-C 3 3 3 3" xfId="138"/>
    <cellStyle name="ErrorCurrencyTB-C 3 3 3 3 2" xfId="138"/>
    <cellStyle name="ErrorCurrencyTB-C 3 3 3 3 3" xfId="138"/>
    <cellStyle name="ErrorCurrencyTB-C 3 3 3 3 4" xfId="138"/>
    <cellStyle name="ErrorCurrencyTB-C 3 3 3 4" xfId="138"/>
    <cellStyle name="ErrorCurrencyTB-C 3 3 3 5" xfId="138"/>
    <cellStyle name="ErrorCurrencyTB-C 3 3 3 6" xfId="138"/>
    <cellStyle name="ErrorCurrencyTB-C 3 3 3 7" xfId="138"/>
    <cellStyle name="ErrorCurrencyTB-C 3 3 3 8" xfId="138"/>
    <cellStyle name="ErrorCurrencyTB-C 3 3 4" xfId="138"/>
    <cellStyle name="ErrorCurrencyTB-C 3 3 4 2" xfId="138"/>
    <cellStyle name="ErrorCurrencyTB-C 3 3 4 2 2" xfId="138"/>
    <cellStyle name="ErrorCurrencyTB-C 3 3 4 2 3" xfId="138"/>
    <cellStyle name="ErrorCurrencyTB-C 3 3 4 2 4" xfId="138"/>
    <cellStyle name="ErrorCurrencyTB-C 3 3 4 2 5" xfId="138"/>
    <cellStyle name="ErrorCurrencyTB-C 3 3 4 3" xfId="138"/>
    <cellStyle name="ErrorCurrencyTB-C 3 3 4 3 2" xfId="138"/>
    <cellStyle name="ErrorCurrencyTB-C 3 3 4 3 3" xfId="138"/>
    <cellStyle name="ErrorCurrencyTB-C 3 3 4 3 4" xfId="138"/>
    <cellStyle name="ErrorCurrencyTB-C 3 3 4 4" xfId="138"/>
    <cellStyle name="ErrorCurrencyTB-C 3 3 4 5" xfId="138"/>
    <cellStyle name="ErrorCurrencyTB-C 3 3 4 6" xfId="138"/>
    <cellStyle name="ErrorCurrencyTB-C 3 3 4 7" xfId="138"/>
    <cellStyle name="ErrorCurrencyTB-C 3 3 4 8" xfId="138"/>
    <cellStyle name="ErrorCurrencyTB-C 3 3 5" xfId="138"/>
    <cellStyle name="ErrorCurrencyTB-C 3 3 5 2" xfId="138"/>
    <cellStyle name="ErrorCurrencyTB-C 3 3 5 2 2" xfId="138"/>
    <cellStyle name="ErrorCurrencyTB-C 3 3 5 2 3" xfId="138"/>
    <cellStyle name="ErrorCurrencyTB-C 3 3 5 2 4" xfId="138"/>
    <cellStyle name="ErrorCurrencyTB-C 3 3 5 2 5" xfId="138"/>
    <cellStyle name="ErrorCurrencyTB-C 3 3 5 3" xfId="138"/>
    <cellStyle name="ErrorCurrencyTB-C 3 3 5 3 2" xfId="138"/>
    <cellStyle name="ErrorCurrencyTB-C 3 3 5 3 3" xfId="138"/>
    <cellStyle name="ErrorCurrencyTB-C 3 3 5 3 4" xfId="138"/>
    <cellStyle name="ErrorCurrencyTB-C 3 3 5 4" xfId="138"/>
    <cellStyle name="ErrorCurrencyTB-C 3 3 5 5" xfId="138"/>
    <cellStyle name="ErrorCurrencyTB-C 3 3 5 6" xfId="138"/>
    <cellStyle name="ErrorCurrencyTB-C 3 3 5 7" xfId="138"/>
    <cellStyle name="ErrorCurrencyTB-C 3 3 5 8" xfId="138"/>
    <cellStyle name="ErrorCurrencyTB-C 3 3 6" xfId="138"/>
    <cellStyle name="ErrorCurrencyTB-C 3 3 6 2" xfId="138"/>
    <cellStyle name="ErrorCurrencyTB-C 3 3 6 3" xfId="138"/>
    <cellStyle name="ErrorCurrencyTB-C 3 3 6 4" xfId="138"/>
    <cellStyle name="ErrorCurrencyTB-C 3 3 6 5" xfId="138"/>
    <cellStyle name="ErrorCurrencyTB-C 3 3 7" xfId="138"/>
    <cellStyle name="ErrorCurrencyTB-C 3 3 7 2" xfId="138"/>
    <cellStyle name="ErrorCurrencyTB-C 3 3 7 3" xfId="138"/>
    <cellStyle name="ErrorCurrencyTB-C 3 3 7 4" xfId="138"/>
    <cellStyle name="ErrorCurrencyTB-C 3 3 8" xfId="138"/>
    <cellStyle name="ErrorCurrencyTB-C 3 3 9" xfId="138"/>
    <cellStyle name="ErrorCurrencyTB-C 3 4" xfId="138"/>
    <cellStyle name="ErrorCurrencyTB-C 3 4 2" xfId="138"/>
    <cellStyle name="ErrorCurrencyTB-C 3 4 2 2" xfId="138"/>
    <cellStyle name="ErrorCurrencyTB-C 3 4 2 3" xfId="138"/>
    <cellStyle name="ErrorCurrencyTB-C 3 4 2 4" xfId="138"/>
    <cellStyle name="ErrorCurrencyTB-C 3 4 2 5" xfId="138"/>
    <cellStyle name="ErrorCurrencyTB-C 3 4 3" xfId="138"/>
    <cellStyle name="ErrorCurrencyTB-C 3 4 3 2" xfId="138"/>
    <cellStyle name="ErrorCurrencyTB-C 3 4 3 3" xfId="138"/>
    <cellStyle name="ErrorCurrencyTB-C 3 4 3 4" xfId="138"/>
    <cellStyle name="ErrorCurrencyTB-C 3 4 4" xfId="138"/>
    <cellStyle name="ErrorCurrencyTB-C 3 4 5" xfId="138"/>
    <cellStyle name="ErrorCurrencyTB-C 3 4 6" xfId="138"/>
    <cellStyle name="ErrorCurrencyTB-C 3 4 7" xfId="138"/>
    <cellStyle name="ErrorCurrencyTB-C 3 4 8" xfId="138"/>
    <cellStyle name="ErrorCurrencyTB-C 3 5" xfId="138"/>
    <cellStyle name="ErrorCurrencyTB-C 3 5 2" xfId="138"/>
    <cellStyle name="ErrorCurrencyTB-C 3 5 2 2" xfId="138"/>
    <cellStyle name="ErrorCurrencyTB-C 3 5 2 3" xfId="138"/>
    <cellStyle name="ErrorCurrencyTB-C 3 5 2 4" xfId="138"/>
    <cellStyle name="ErrorCurrencyTB-C 3 5 2 5" xfId="138"/>
    <cellStyle name="ErrorCurrencyTB-C 3 5 3" xfId="138"/>
    <cellStyle name="ErrorCurrencyTB-C 3 5 3 2" xfId="138"/>
    <cellStyle name="ErrorCurrencyTB-C 3 5 3 3" xfId="138"/>
    <cellStyle name="ErrorCurrencyTB-C 3 5 3 4" xfId="138"/>
    <cellStyle name="ErrorCurrencyTB-C 3 5 4" xfId="138"/>
    <cellStyle name="ErrorCurrencyTB-C 3 5 5" xfId="138"/>
    <cellStyle name="ErrorCurrencyTB-C 3 5 6" xfId="138"/>
    <cellStyle name="ErrorCurrencyTB-C 3 5 7" xfId="138"/>
    <cellStyle name="ErrorCurrencyTB-C 3 5 8" xfId="138"/>
    <cellStyle name="ErrorCurrencyTB-C 3 6" xfId="138"/>
    <cellStyle name="ErrorCurrencyTB-C 3 6 2" xfId="138"/>
    <cellStyle name="ErrorCurrencyTB-C 3 6 2 2" xfId="138"/>
    <cellStyle name="ErrorCurrencyTB-C 3 6 2 3" xfId="138"/>
    <cellStyle name="ErrorCurrencyTB-C 3 6 2 4" xfId="138"/>
    <cellStyle name="ErrorCurrencyTB-C 3 6 2 5" xfId="138"/>
    <cellStyle name="ErrorCurrencyTB-C 3 6 3" xfId="138"/>
    <cellStyle name="ErrorCurrencyTB-C 3 6 3 2" xfId="138"/>
    <cellStyle name="ErrorCurrencyTB-C 3 6 3 3" xfId="138"/>
    <cellStyle name="ErrorCurrencyTB-C 3 6 3 4" xfId="138"/>
    <cellStyle name="ErrorCurrencyTB-C 3 6 4" xfId="138"/>
    <cellStyle name="ErrorCurrencyTB-C 3 6 5" xfId="138"/>
    <cellStyle name="ErrorCurrencyTB-C 3 6 6" xfId="138"/>
    <cellStyle name="ErrorCurrencyTB-C 3 6 7" xfId="138"/>
    <cellStyle name="ErrorCurrencyTB-C 3 6 8" xfId="138"/>
    <cellStyle name="ErrorCurrencyTB-C 3 7" xfId="138"/>
    <cellStyle name="ErrorCurrencyTB-C 3 7 2" xfId="138"/>
    <cellStyle name="ErrorCurrencyTB-C 3 7 2 2" xfId="138"/>
    <cellStyle name="ErrorCurrencyTB-C 3 7 2 3" xfId="138"/>
    <cellStyle name="ErrorCurrencyTB-C 3 7 2 4" xfId="138"/>
    <cellStyle name="ErrorCurrencyTB-C 3 7 2 5" xfId="138"/>
    <cellStyle name="ErrorCurrencyTB-C 3 7 3" xfId="138"/>
    <cellStyle name="ErrorCurrencyTB-C 3 7 3 2" xfId="138"/>
    <cellStyle name="ErrorCurrencyTB-C 3 7 3 3" xfId="138"/>
    <cellStyle name="ErrorCurrencyTB-C 3 7 3 4" xfId="138"/>
    <cellStyle name="ErrorCurrencyTB-C 3 7 4" xfId="138"/>
    <cellStyle name="ErrorCurrencyTB-C 3 7 5" xfId="138"/>
    <cellStyle name="ErrorCurrencyTB-C 3 7 6" xfId="138"/>
    <cellStyle name="ErrorCurrencyTB-C 3 7 7" xfId="138"/>
    <cellStyle name="ErrorCurrencyTB-C 3 7 8" xfId="138"/>
    <cellStyle name="ErrorCurrencyTB-C 3 8" xfId="138"/>
    <cellStyle name="ErrorCurrencyTB-C 3 8 2" xfId="138"/>
    <cellStyle name="ErrorCurrencyTB-C 3 8 3" xfId="138"/>
    <cellStyle name="ErrorCurrencyTB-C 3 8 4" xfId="138"/>
    <cellStyle name="ErrorCurrencyTB-C 3 8 5" xfId="138"/>
    <cellStyle name="ErrorCurrencyTB-C 3 9" xfId="138"/>
    <cellStyle name="ErrorCurrencyTB-C 3 9 2" xfId="138"/>
    <cellStyle name="ErrorCurrencyTB-C 3 9 3" xfId="138"/>
    <cellStyle name="ErrorCurrencyTB-C 3 9 4" xfId="138"/>
    <cellStyle name="ErrorCurrencyTB-C 4" xfId="138"/>
    <cellStyle name="ErrorCurrencyTB-C 4 2" xfId="138"/>
    <cellStyle name="ErrorCurrencyTB-C 4 2 2" xfId="138"/>
    <cellStyle name="ErrorCurrencyTB-C 4 2 2 2" xfId="138"/>
    <cellStyle name="ErrorCurrencyTB-C 4 2 2 3" xfId="138"/>
    <cellStyle name="ErrorCurrencyTB-C 4 2 2 4" xfId="138"/>
    <cellStyle name="ErrorCurrencyTB-C 4 2 2 5" xfId="138"/>
    <cellStyle name="ErrorCurrencyTB-C 4 2 3" xfId="138"/>
    <cellStyle name="ErrorCurrencyTB-C 4 2 3 2" xfId="138"/>
    <cellStyle name="ErrorCurrencyTB-C 4 2 3 3" xfId="138"/>
    <cellStyle name="ErrorCurrencyTB-C 4 2 3 4" xfId="138"/>
    <cellStyle name="ErrorCurrencyTB-C 4 2 4" xfId="138"/>
    <cellStyle name="ErrorCurrencyTB-C 4 2 5" xfId="138"/>
    <cellStyle name="ErrorCurrencyTB-C 4 2 6" xfId="138"/>
    <cellStyle name="ErrorCurrencyTB-C 4 2 7" xfId="138"/>
    <cellStyle name="ErrorCurrencyTB-C 4 2 8" xfId="138"/>
    <cellStyle name="ErrorCurrencyTB-C 4 3" xfId="138"/>
    <cellStyle name="ErrorCurrencyTB-C 4 3 2" xfId="138"/>
    <cellStyle name="ErrorCurrencyTB-C 4 3 2 2" xfId="138"/>
    <cellStyle name="ErrorCurrencyTB-C 4 3 2 3" xfId="138"/>
    <cellStyle name="ErrorCurrencyTB-C 4 3 2 4" xfId="138"/>
    <cellStyle name="ErrorCurrencyTB-C 4 3 2 5" xfId="138"/>
    <cellStyle name="ErrorCurrencyTB-C 4 3 3" xfId="138"/>
    <cellStyle name="ErrorCurrencyTB-C 4 3 3 2" xfId="138"/>
    <cellStyle name="ErrorCurrencyTB-C 4 3 3 3" xfId="138"/>
    <cellStyle name="ErrorCurrencyTB-C 4 3 3 4" xfId="138"/>
    <cellStyle name="ErrorCurrencyTB-C 4 3 4" xfId="138"/>
    <cellStyle name="ErrorCurrencyTB-C 4 3 5" xfId="138"/>
    <cellStyle name="ErrorCurrencyTB-C 4 3 6" xfId="138"/>
    <cellStyle name="ErrorCurrencyTB-C 4 3 7" xfId="138"/>
    <cellStyle name="ErrorCurrencyTB-C 4 4" xfId="138"/>
    <cellStyle name="ErrorCurrencyTB-C 4 4 2" xfId="138"/>
    <cellStyle name="ErrorCurrencyTB-C 4 4 3" xfId="138"/>
    <cellStyle name="ErrorCurrencyTB-C 4 4 4" xfId="138"/>
    <cellStyle name="ErrorCurrencyTB-C 4 4 5" xfId="138"/>
    <cellStyle name="ErrorCurrencyTB-C 4 5" xfId="138"/>
    <cellStyle name="ErrorCurrencyTB-C 4 5 2" xfId="138"/>
    <cellStyle name="ErrorCurrencyTB-C 4 5 3" xfId="138"/>
    <cellStyle name="ErrorCurrencyTB-C 4 5 4" xfId="138"/>
    <cellStyle name="ErrorCurrencyTB-C 4 6" xfId="138"/>
    <cellStyle name="ErrorCurrencyTB-C 4 7" xfId="138"/>
    <cellStyle name="ErrorCurrencyTB-C 4 8" xfId="138"/>
    <cellStyle name="ErrorCurrencyTB-C 4 9" xfId="138"/>
    <cellStyle name="ErrorCurrencyTB-C 5" xfId="138"/>
    <cellStyle name="ErrorCurrencyTB-C 5 2" xfId="138"/>
    <cellStyle name="ErrorCurrencyTB-C 5 2 2" xfId="138"/>
    <cellStyle name="ErrorCurrencyTB-C 5 2 3" xfId="138"/>
    <cellStyle name="ErrorCurrencyTB-C 5 2 4" xfId="138"/>
    <cellStyle name="ErrorCurrencyTB-C 5 2 5" xfId="138"/>
    <cellStyle name="ErrorCurrencyTB-C 5 3" xfId="138"/>
    <cellStyle name="ErrorCurrencyTB-C 5 3 2" xfId="138"/>
    <cellStyle name="ErrorCurrencyTB-C 5 3 3" xfId="138"/>
    <cellStyle name="ErrorCurrencyTB-C 5 3 4" xfId="138"/>
    <cellStyle name="ErrorCurrencyTB-C 5 4" xfId="138"/>
    <cellStyle name="ErrorCurrencyTB-C 5 5" xfId="138"/>
    <cellStyle name="ErrorCurrencyTB-C 5 6" xfId="138"/>
    <cellStyle name="ErrorCurrencyTB-C 5 7" xfId="138"/>
    <cellStyle name="ErrorCurrencyTB-C 5 8" xfId="138"/>
    <cellStyle name="ErrorCurrencyTB-C 6" xfId="138"/>
    <cellStyle name="ErrorCurrencyTB-C 6 2" xfId="138"/>
    <cellStyle name="ErrorCurrencyTB-C 6 3" xfId="138"/>
    <cellStyle name="ErrorCurrencyTB-C 6 4" xfId="138"/>
    <cellStyle name="ErrorCurrencyTB-C 6 5" xfId="138"/>
    <cellStyle name="ErrorCurrencyTB-C 7" xfId="138"/>
    <cellStyle name="ErrorCurrencyTB-C 8" xfId="138"/>
    <cellStyle name="ErrorCurrencyTB,rIGHT" xfId="139"/>
    <cellStyle name="ErrorCurrencyTB,rIGHT 2" xfId="139"/>
    <cellStyle name="ErrorCurrencyTB,rIGHT 2 10" xfId="139"/>
    <cellStyle name="ErrorCurrencyTB,rIGHT 2 11" xfId="139"/>
    <cellStyle name="ErrorCurrencyTB,rIGHT 2 12" xfId="139"/>
    <cellStyle name="ErrorCurrencyTB,rIGHT 2 13" xfId="139"/>
    <cellStyle name="ErrorCurrencyTB,rIGHT 2 14" xfId="139"/>
    <cellStyle name="ErrorCurrencyTB,rIGHT 2 2" xfId="139"/>
    <cellStyle name="ErrorCurrencyTB,rIGHT 2 2 10" xfId="139"/>
    <cellStyle name="ErrorCurrencyTB,rIGHT 2 2 11" xfId="139"/>
    <cellStyle name="ErrorCurrencyTB,rIGHT 2 2 12" xfId="139"/>
    <cellStyle name="ErrorCurrencyTB,rIGHT 2 2 13" xfId="139"/>
    <cellStyle name="ErrorCurrencyTB,rIGHT 2 2 14" xfId="139"/>
    <cellStyle name="ErrorCurrencyTB,rIGHT 2 2 2" xfId="139"/>
    <cellStyle name="ErrorCurrencyTB,rIGHT 2 2 2 10" xfId="139"/>
    <cellStyle name="ErrorCurrencyTB,rIGHT 2 2 2 11" xfId="139"/>
    <cellStyle name="ErrorCurrencyTB,rIGHT 2 2 2 12" xfId="139"/>
    <cellStyle name="ErrorCurrencyTB,rIGHT 2 2 2 2" xfId="139"/>
    <cellStyle name="ErrorCurrencyTB,rIGHT 2 2 2 2 2" xfId="139"/>
    <cellStyle name="ErrorCurrencyTB,rIGHT 2 2 2 2 2 2" xfId="139"/>
    <cellStyle name="ErrorCurrencyTB,rIGHT 2 2 2 2 2 3" xfId="139"/>
    <cellStyle name="ErrorCurrencyTB,rIGHT 2 2 2 2 2 4" xfId="139"/>
    <cellStyle name="ErrorCurrencyTB,rIGHT 2 2 2 2 2 5" xfId="139"/>
    <cellStyle name="ErrorCurrencyTB,rIGHT 2 2 2 2 3" xfId="139"/>
    <cellStyle name="ErrorCurrencyTB,rIGHT 2 2 2 2 3 2" xfId="139"/>
    <cellStyle name="ErrorCurrencyTB,rIGHT 2 2 2 2 3 3" xfId="139"/>
    <cellStyle name="ErrorCurrencyTB,rIGHT 2 2 2 2 3 4" xfId="139"/>
    <cellStyle name="ErrorCurrencyTB,rIGHT 2 2 2 2 4" xfId="139"/>
    <cellStyle name="ErrorCurrencyTB,rIGHT 2 2 2 2 5" xfId="139"/>
    <cellStyle name="ErrorCurrencyTB,rIGHT 2 2 2 2 6" xfId="139"/>
    <cellStyle name="ErrorCurrencyTB,rIGHT 2 2 2 2 7" xfId="139"/>
    <cellStyle name="ErrorCurrencyTB,rIGHT 2 2 2 2 8" xfId="139"/>
    <cellStyle name="ErrorCurrencyTB,rIGHT 2 2 2 3" xfId="139"/>
    <cellStyle name="ErrorCurrencyTB,rIGHT 2 2 2 3 2" xfId="139"/>
    <cellStyle name="ErrorCurrencyTB,rIGHT 2 2 2 3 2 2" xfId="139"/>
    <cellStyle name="ErrorCurrencyTB,rIGHT 2 2 2 3 2 3" xfId="139"/>
    <cellStyle name="ErrorCurrencyTB,rIGHT 2 2 2 3 2 4" xfId="139"/>
    <cellStyle name="ErrorCurrencyTB,rIGHT 2 2 2 3 2 5" xfId="139"/>
    <cellStyle name="ErrorCurrencyTB,rIGHT 2 2 2 3 3" xfId="139"/>
    <cellStyle name="ErrorCurrencyTB,rIGHT 2 2 2 3 3 2" xfId="139"/>
    <cellStyle name="ErrorCurrencyTB,rIGHT 2 2 2 3 3 3" xfId="139"/>
    <cellStyle name="ErrorCurrencyTB,rIGHT 2 2 2 3 3 4" xfId="139"/>
    <cellStyle name="ErrorCurrencyTB,rIGHT 2 2 2 3 4" xfId="139"/>
    <cellStyle name="ErrorCurrencyTB,rIGHT 2 2 2 3 5" xfId="139"/>
    <cellStyle name="ErrorCurrencyTB,rIGHT 2 2 2 3 6" xfId="139"/>
    <cellStyle name="ErrorCurrencyTB,rIGHT 2 2 2 3 7" xfId="139"/>
    <cellStyle name="ErrorCurrencyTB,rIGHT 2 2 2 3 8" xfId="139"/>
    <cellStyle name="ErrorCurrencyTB,rIGHT 2 2 2 4" xfId="139"/>
    <cellStyle name="ErrorCurrencyTB,rIGHT 2 2 2 4 2" xfId="139"/>
    <cellStyle name="ErrorCurrencyTB,rIGHT 2 2 2 4 2 2" xfId="139"/>
    <cellStyle name="ErrorCurrencyTB,rIGHT 2 2 2 4 2 3" xfId="139"/>
    <cellStyle name="ErrorCurrencyTB,rIGHT 2 2 2 4 2 4" xfId="139"/>
    <cellStyle name="ErrorCurrencyTB,rIGHT 2 2 2 4 2 5" xfId="139"/>
    <cellStyle name="ErrorCurrencyTB,rIGHT 2 2 2 4 3" xfId="139"/>
    <cellStyle name="ErrorCurrencyTB,rIGHT 2 2 2 4 3 2" xfId="139"/>
    <cellStyle name="ErrorCurrencyTB,rIGHT 2 2 2 4 3 3" xfId="139"/>
    <cellStyle name="ErrorCurrencyTB,rIGHT 2 2 2 4 3 4" xfId="139"/>
    <cellStyle name="ErrorCurrencyTB,rIGHT 2 2 2 4 4" xfId="139"/>
    <cellStyle name="ErrorCurrencyTB,rIGHT 2 2 2 4 5" xfId="139"/>
    <cellStyle name="ErrorCurrencyTB,rIGHT 2 2 2 4 6" xfId="139"/>
    <cellStyle name="ErrorCurrencyTB,rIGHT 2 2 2 4 7" xfId="139"/>
    <cellStyle name="ErrorCurrencyTB,rIGHT 2 2 2 4 8" xfId="139"/>
    <cellStyle name="ErrorCurrencyTB,rIGHT 2 2 2 5" xfId="139"/>
    <cellStyle name="ErrorCurrencyTB,rIGHT 2 2 2 5 2" xfId="139"/>
    <cellStyle name="ErrorCurrencyTB,rIGHT 2 2 2 5 2 2" xfId="139"/>
    <cellStyle name="ErrorCurrencyTB,rIGHT 2 2 2 5 2 3" xfId="139"/>
    <cellStyle name="ErrorCurrencyTB,rIGHT 2 2 2 5 2 4" xfId="139"/>
    <cellStyle name="ErrorCurrencyTB,rIGHT 2 2 2 5 2 5" xfId="139"/>
    <cellStyle name="ErrorCurrencyTB,rIGHT 2 2 2 5 3" xfId="139"/>
    <cellStyle name="ErrorCurrencyTB,rIGHT 2 2 2 5 3 2" xfId="139"/>
    <cellStyle name="ErrorCurrencyTB,rIGHT 2 2 2 5 3 3" xfId="139"/>
    <cellStyle name="ErrorCurrencyTB,rIGHT 2 2 2 5 3 4" xfId="139"/>
    <cellStyle name="ErrorCurrencyTB,rIGHT 2 2 2 5 4" xfId="139"/>
    <cellStyle name="ErrorCurrencyTB,rIGHT 2 2 2 5 5" xfId="139"/>
    <cellStyle name="ErrorCurrencyTB,rIGHT 2 2 2 5 6" xfId="139"/>
    <cellStyle name="ErrorCurrencyTB,rIGHT 2 2 2 5 7" xfId="139"/>
    <cellStyle name="ErrorCurrencyTB,rIGHT 2 2 2 5 8" xfId="139"/>
    <cellStyle name="ErrorCurrencyTB,rIGHT 2 2 2 6" xfId="139"/>
    <cellStyle name="ErrorCurrencyTB,rIGHT 2 2 2 6 2" xfId="139"/>
    <cellStyle name="ErrorCurrencyTB,rIGHT 2 2 2 6 3" xfId="139"/>
    <cellStyle name="ErrorCurrencyTB,rIGHT 2 2 2 6 4" xfId="139"/>
    <cellStyle name="ErrorCurrencyTB,rIGHT 2 2 2 6 5" xfId="139"/>
    <cellStyle name="ErrorCurrencyTB,rIGHT 2 2 2 7" xfId="139"/>
    <cellStyle name="ErrorCurrencyTB,rIGHT 2 2 2 7 2" xfId="139"/>
    <cellStyle name="ErrorCurrencyTB,rIGHT 2 2 2 7 3" xfId="139"/>
    <cellStyle name="ErrorCurrencyTB,rIGHT 2 2 2 7 4" xfId="139"/>
    <cellStyle name="ErrorCurrencyTB,rIGHT 2 2 2 8" xfId="139"/>
    <cellStyle name="ErrorCurrencyTB,rIGHT 2 2 2 9" xfId="139"/>
    <cellStyle name="ErrorCurrencyTB,rIGHT 2 2 3" xfId="139"/>
    <cellStyle name="ErrorCurrencyTB,rIGHT 2 2 3 10" xfId="139"/>
    <cellStyle name="ErrorCurrencyTB,rIGHT 2 2 3 11" xfId="139"/>
    <cellStyle name="ErrorCurrencyTB,rIGHT 2 2 3 12" xfId="139"/>
    <cellStyle name="ErrorCurrencyTB,rIGHT 2 2 3 2" xfId="139"/>
    <cellStyle name="ErrorCurrencyTB,rIGHT 2 2 3 2 2" xfId="139"/>
    <cellStyle name="ErrorCurrencyTB,rIGHT 2 2 3 2 2 2" xfId="139"/>
    <cellStyle name="ErrorCurrencyTB,rIGHT 2 2 3 2 2 3" xfId="139"/>
    <cellStyle name="ErrorCurrencyTB,rIGHT 2 2 3 2 2 4" xfId="139"/>
    <cellStyle name="ErrorCurrencyTB,rIGHT 2 2 3 2 2 5" xfId="139"/>
    <cellStyle name="ErrorCurrencyTB,rIGHT 2 2 3 2 3" xfId="139"/>
    <cellStyle name="ErrorCurrencyTB,rIGHT 2 2 3 2 3 2" xfId="139"/>
    <cellStyle name="ErrorCurrencyTB,rIGHT 2 2 3 2 3 3" xfId="139"/>
    <cellStyle name="ErrorCurrencyTB,rIGHT 2 2 3 2 3 4" xfId="139"/>
    <cellStyle name="ErrorCurrencyTB,rIGHT 2 2 3 2 4" xfId="139"/>
    <cellStyle name="ErrorCurrencyTB,rIGHT 2 2 3 2 5" xfId="139"/>
    <cellStyle name="ErrorCurrencyTB,rIGHT 2 2 3 2 6" xfId="139"/>
    <cellStyle name="ErrorCurrencyTB,rIGHT 2 2 3 2 7" xfId="139"/>
    <cellStyle name="ErrorCurrencyTB,rIGHT 2 2 3 2 8" xfId="139"/>
    <cellStyle name="ErrorCurrencyTB,rIGHT 2 2 3 3" xfId="139"/>
    <cellStyle name="ErrorCurrencyTB,rIGHT 2 2 3 3 2" xfId="139"/>
    <cellStyle name="ErrorCurrencyTB,rIGHT 2 2 3 3 2 2" xfId="139"/>
    <cellStyle name="ErrorCurrencyTB,rIGHT 2 2 3 3 2 3" xfId="139"/>
    <cellStyle name="ErrorCurrencyTB,rIGHT 2 2 3 3 2 4" xfId="139"/>
    <cellStyle name="ErrorCurrencyTB,rIGHT 2 2 3 3 2 5" xfId="139"/>
    <cellStyle name="ErrorCurrencyTB,rIGHT 2 2 3 3 3" xfId="139"/>
    <cellStyle name="ErrorCurrencyTB,rIGHT 2 2 3 3 3 2" xfId="139"/>
    <cellStyle name="ErrorCurrencyTB,rIGHT 2 2 3 3 3 3" xfId="139"/>
    <cellStyle name="ErrorCurrencyTB,rIGHT 2 2 3 3 3 4" xfId="139"/>
    <cellStyle name="ErrorCurrencyTB,rIGHT 2 2 3 3 4" xfId="139"/>
    <cellStyle name="ErrorCurrencyTB,rIGHT 2 2 3 3 5" xfId="139"/>
    <cellStyle name="ErrorCurrencyTB,rIGHT 2 2 3 3 6" xfId="139"/>
    <cellStyle name="ErrorCurrencyTB,rIGHT 2 2 3 3 7" xfId="139"/>
    <cellStyle name="ErrorCurrencyTB,rIGHT 2 2 3 3 8" xfId="139"/>
    <cellStyle name="ErrorCurrencyTB,rIGHT 2 2 3 4" xfId="139"/>
    <cellStyle name="ErrorCurrencyTB,rIGHT 2 2 3 4 2" xfId="139"/>
    <cellStyle name="ErrorCurrencyTB,rIGHT 2 2 3 4 2 2" xfId="139"/>
    <cellStyle name="ErrorCurrencyTB,rIGHT 2 2 3 4 2 3" xfId="139"/>
    <cellStyle name="ErrorCurrencyTB,rIGHT 2 2 3 4 2 4" xfId="139"/>
    <cellStyle name="ErrorCurrencyTB,rIGHT 2 2 3 4 2 5" xfId="139"/>
    <cellStyle name="ErrorCurrencyTB,rIGHT 2 2 3 4 3" xfId="139"/>
    <cellStyle name="ErrorCurrencyTB,rIGHT 2 2 3 4 3 2" xfId="139"/>
    <cellStyle name="ErrorCurrencyTB,rIGHT 2 2 3 4 3 3" xfId="139"/>
    <cellStyle name="ErrorCurrencyTB,rIGHT 2 2 3 4 3 4" xfId="139"/>
    <cellStyle name="ErrorCurrencyTB,rIGHT 2 2 3 4 4" xfId="139"/>
    <cellStyle name="ErrorCurrencyTB,rIGHT 2 2 3 4 5" xfId="139"/>
    <cellStyle name="ErrorCurrencyTB,rIGHT 2 2 3 4 6" xfId="139"/>
    <cellStyle name="ErrorCurrencyTB,rIGHT 2 2 3 4 7" xfId="139"/>
    <cellStyle name="ErrorCurrencyTB,rIGHT 2 2 3 4 8" xfId="139"/>
    <cellStyle name="ErrorCurrencyTB,rIGHT 2 2 3 5" xfId="139"/>
    <cellStyle name="ErrorCurrencyTB,rIGHT 2 2 3 5 2" xfId="139"/>
    <cellStyle name="ErrorCurrencyTB,rIGHT 2 2 3 5 2 2" xfId="139"/>
    <cellStyle name="ErrorCurrencyTB,rIGHT 2 2 3 5 2 3" xfId="139"/>
    <cellStyle name="ErrorCurrencyTB,rIGHT 2 2 3 5 2 4" xfId="139"/>
    <cellStyle name="ErrorCurrencyTB,rIGHT 2 2 3 5 2 5" xfId="139"/>
    <cellStyle name="ErrorCurrencyTB,rIGHT 2 2 3 5 3" xfId="139"/>
    <cellStyle name="ErrorCurrencyTB,rIGHT 2 2 3 5 3 2" xfId="139"/>
    <cellStyle name="ErrorCurrencyTB,rIGHT 2 2 3 5 3 3" xfId="139"/>
    <cellStyle name="ErrorCurrencyTB,rIGHT 2 2 3 5 3 4" xfId="139"/>
    <cellStyle name="ErrorCurrencyTB,rIGHT 2 2 3 5 4" xfId="139"/>
    <cellStyle name="ErrorCurrencyTB,rIGHT 2 2 3 5 5" xfId="139"/>
    <cellStyle name="ErrorCurrencyTB,rIGHT 2 2 3 5 6" xfId="139"/>
    <cellStyle name="ErrorCurrencyTB,rIGHT 2 2 3 5 7" xfId="139"/>
    <cellStyle name="ErrorCurrencyTB,rIGHT 2 2 3 5 8" xfId="139"/>
    <cellStyle name="ErrorCurrencyTB,rIGHT 2 2 3 6" xfId="139"/>
    <cellStyle name="ErrorCurrencyTB,rIGHT 2 2 3 6 2" xfId="139"/>
    <cellStyle name="ErrorCurrencyTB,rIGHT 2 2 3 6 3" xfId="139"/>
    <cellStyle name="ErrorCurrencyTB,rIGHT 2 2 3 6 4" xfId="139"/>
    <cellStyle name="ErrorCurrencyTB,rIGHT 2 2 3 6 5" xfId="139"/>
    <cellStyle name="ErrorCurrencyTB,rIGHT 2 2 3 7" xfId="139"/>
    <cellStyle name="ErrorCurrencyTB,rIGHT 2 2 3 7 2" xfId="139"/>
    <cellStyle name="ErrorCurrencyTB,rIGHT 2 2 3 7 3" xfId="139"/>
    <cellStyle name="ErrorCurrencyTB,rIGHT 2 2 3 7 4" xfId="139"/>
    <cellStyle name="ErrorCurrencyTB,rIGHT 2 2 3 8" xfId="139"/>
    <cellStyle name="ErrorCurrencyTB,rIGHT 2 2 3 9" xfId="139"/>
    <cellStyle name="ErrorCurrencyTB,rIGHT 2 2 4" xfId="139"/>
    <cellStyle name="ErrorCurrencyTB,rIGHT 2 2 4 2" xfId="139"/>
    <cellStyle name="ErrorCurrencyTB,rIGHT 2 2 4 2 2" xfId="139"/>
    <cellStyle name="ErrorCurrencyTB,rIGHT 2 2 4 2 3" xfId="139"/>
    <cellStyle name="ErrorCurrencyTB,rIGHT 2 2 4 2 4" xfId="139"/>
    <cellStyle name="ErrorCurrencyTB,rIGHT 2 2 4 2 5" xfId="139"/>
    <cellStyle name="ErrorCurrencyTB,rIGHT 2 2 4 3" xfId="139"/>
    <cellStyle name="ErrorCurrencyTB,rIGHT 2 2 4 3 2" xfId="139"/>
    <cellStyle name="ErrorCurrencyTB,rIGHT 2 2 4 3 3" xfId="139"/>
    <cellStyle name="ErrorCurrencyTB,rIGHT 2 2 4 3 4" xfId="139"/>
    <cellStyle name="ErrorCurrencyTB,rIGHT 2 2 4 4" xfId="139"/>
    <cellStyle name="ErrorCurrencyTB,rIGHT 2 2 4 5" xfId="139"/>
    <cellStyle name="ErrorCurrencyTB,rIGHT 2 2 4 6" xfId="139"/>
    <cellStyle name="ErrorCurrencyTB,rIGHT 2 2 4 7" xfId="139"/>
    <cellStyle name="ErrorCurrencyTB,rIGHT 2 2 4 8" xfId="139"/>
    <cellStyle name="ErrorCurrencyTB,rIGHT 2 2 5" xfId="139"/>
    <cellStyle name="ErrorCurrencyTB,rIGHT 2 2 5 2" xfId="139"/>
    <cellStyle name="ErrorCurrencyTB,rIGHT 2 2 5 2 2" xfId="139"/>
    <cellStyle name="ErrorCurrencyTB,rIGHT 2 2 5 2 3" xfId="139"/>
    <cellStyle name="ErrorCurrencyTB,rIGHT 2 2 5 2 4" xfId="139"/>
    <cellStyle name="ErrorCurrencyTB,rIGHT 2 2 5 2 5" xfId="139"/>
    <cellStyle name="ErrorCurrencyTB,rIGHT 2 2 5 3" xfId="139"/>
    <cellStyle name="ErrorCurrencyTB,rIGHT 2 2 5 3 2" xfId="139"/>
    <cellStyle name="ErrorCurrencyTB,rIGHT 2 2 5 3 3" xfId="139"/>
    <cellStyle name="ErrorCurrencyTB,rIGHT 2 2 5 3 4" xfId="139"/>
    <cellStyle name="ErrorCurrencyTB,rIGHT 2 2 5 4" xfId="139"/>
    <cellStyle name="ErrorCurrencyTB,rIGHT 2 2 5 5" xfId="139"/>
    <cellStyle name="ErrorCurrencyTB,rIGHT 2 2 5 6" xfId="139"/>
    <cellStyle name="ErrorCurrencyTB,rIGHT 2 2 5 7" xfId="139"/>
    <cellStyle name="ErrorCurrencyTB,rIGHT 2 2 5 8" xfId="139"/>
    <cellStyle name="ErrorCurrencyTB,rIGHT 2 2 6" xfId="139"/>
    <cellStyle name="ErrorCurrencyTB,rIGHT 2 2 6 2" xfId="139"/>
    <cellStyle name="ErrorCurrencyTB,rIGHT 2 2 6 2 2" xfId="139"/>
    <cellStyle name="ErrorCurrencyTB,rIGHT 2 2 6 2 3" xfId="139"/>
    <cellStyle name="ErrorCurrencyTB,rIGHT 2 2 6 2 4" xfId="139"/>
    <cellStyle name="ErrorCurrencyTB,rIGHT 2 2 6 2 5" xfId="139"/>
    <cellStyle name="ErrorCurrencyTB,rIGHT 2 2 6 3" xfId="139"/>
    <cellStyle name="ErrorCurrencyTB,rIGHT 2 2 6 3 2" xfId="139"/>
    <cellStyle name="ErrorCurrencyTB,rIGHT 2 2 6 3 3" xfId="139"/>
    <cellStyle name="ErrorCurrencyTB,rIGHT 2 2 6 3 4" xfId="139"/>
    <cellStyle name="ErrorCurrencyTB,rIGHT 2 2 6 4" xfId="139"/>
    <cellStyle name="ErrorCurrencyTB,rIGHT 2 2 6 5" xfId="139"/>
    <cellStyle name="ErrorCurrencyTB,rIGHT 2 2 6 6" xfId="139"/>
    <cellStyle name="ErrorCurrencyTB,rIGHT 2 2 6 7" xfId="139"/>
    <cellStyle name="ErrorCurrencyTB,rIGHT 2 2 6 8" xfId="139"/>
    <cellStyle name="ErrorCurrencyTB,rIGHT 2 2 7" xfId="139"/>
    <cellStyle name="ErrorCurrencyTB,rIGHT 2 2 7 2" xfId="139"/>
    <cellStyle name="ErrorCurrencyTB,rIGHT 2 2 7 2 2" xfId="139"/>
    <cellStyle name="ErrorCurrencyTB,rIGHT 2 2 7 2 3" xfId="139"/>
    <cellStyle name="ErrorCurrencyTB,rIGHT 2 2 7 2 4" xfId="139"/>
    <cellStyle name="ErrorCurrencyTB,rIGHT 2 2 7 2 5" xfId="139"/>
    <cellStyle name="ErrorCurrencyTB,rIGHT 2 2 7 3" xfId="139"/>
    <cellStyle name="ErrorCurrencyTB,rIGHT 2 2 7 3 2" xfId="139"/>
    <cellStyle name="ErrorCurrencyTB,rIGHT 2 2 7 3 3" xfId="139"/>
    <cellStyle name="ErrorCurrencyTB,rIGHT 2 2 7 3 4" xfId="139"/>
    <cellStyle name="ErrorCurrencyTB,rIGHT 2 2 7 4" xfId="139"/>
    <cellStyle name="ErrorCurrencyTB,rIGHT 2 2 7 5" xfId="139"/>
    <cellStyle name="ErrorCurrencyTB,rIGHT 2 2 7 6" xfId="139"/>
    <cellStyle name="ErrorCurrencyTB,rIGHT 2 2 7 7" xfId="139"/>
    <cellStyle name="ErrorCurrencyTB,rIGHT 2 2 7 8" xfId="139"/>
    <cellStyle name="ErrorCurrencyTB,rIGHT 2 2 8" xfId="139"/>
    <cellStyle name="ErrorCurrencyTB,rIGHT 2 2 8 2" xfId="139"/>
    <cellStyle name="ErrorCurrencyTB,rIGHT 2 2 8 3" xfId="139"/>
    <cellStyle name="ErrorCurrencyTB,rIGHT 2 2 8 4" xfId="139"/>
    <cellStyle name="ErrorCurrencyTB,rIGHT 2 2 8 5" xfId="139"/>
    <cellStyle name="ErrorCurrencyTB,rIGHT 2 2 9" xfId="139"/>
    <cellStyle name="ErrorCurrencyTB,rIGHT 2 2 9 2" xfId="139"/>
    <cellStyle name="ErrorCurrencyTB,rIGHT 2 2 9 3" xfId="139"/>
    <cellStyle name="ErrorCurrencyTB,rIGHT 2 2 9 4" xfId="139"/>
    <cellStyle name="ErrorCurrencyTB,rIGHT 2 3" xfId="139"/>
    <cellStyle name="ErrorCurrencyTB,rIGHT 2 3 10" xfId="139"/>
    <cellStyle name="ErrorCurrencyTB,rIGHT 2 3 11" xfId="139"/>
    <cellStyle name="ErrorCurrencyTB,rIGHT 2 3 12" xfId="139"/>
    <cellStyle name="ErrorCurrencyTB,rIGHT 2 3 2" xfId="139"/>
    <cellStyle name="ErrorCurrencyTB,rIGHT 2 3 2 2" xfId="139"/>
    <cellStyle name="ErrorCurrencyTB,rIGHT 2 3 2 2 2" xfId="139"/>
    <cellStyle name="ErrorCurrencyTB,rIGHT 2 3 2 2 3" xfId="139"/>
    <cellStyle name="ErrorCurrencyTB,rIGHT 2 3 2 2 4" xfId="139"/>
    <cellStyle name="ErrorCurrencyTB,rIGHT 2 3 2 2 5" xfId="139"/>
    <cellStyle name="ErrorCurrencyTB,rIGHT 2 3 2 3" xfId="139"/>
    <cellStyle name="ErrorCurrencyTB,rIGHT 2 3 2 3 2" xfId="139"/>
    <cellStyle name="ErrorCurrencyTB,rIGHT 2 3 2 3 3" xfId="139"/>
    <cellStyle name="ErrorCurrencyTB,rIGHT 2 3 2 3 4" xfId="139"/>
    <cellStyle name="ErrorCurrencyTB,rIGHT 2 3 2 4" xfId="139"/>
    <cellStyle name="ErrorCurrencyTB,rIGHT 2 3 2 5" xfId="139"/>
    <cellStyle name="ErrorCurrencyTB,rIGHT 2 3 2 6" xfId="139"/>
    <cellStyle name="ErrorCurrencyTB,rIGHT 2 3 2 7" xfId="139"/>
    <cellStyle name="ErrorCurrencyTB,rIGHT 2 3 2 8" xfId="139"/>
    <cellStyle name="ErrorCurrencyTB,rIGHT 2 3 3" xfId="139"/>
    <cellStyle name="ErrorCurrencyTB,rIGHT 2 3 3 2" xfId="139"/>
    <cellStyle name="ErrorCurrencyTB,rIGHT 2 3 3 2 2" xfId="139"/>
    <cellStyle name="ErrorCurrencyTB,rIGHT 2 3 3 2 3" xfId="139"/>
    <cellStyle name="ErrorCurrencyTB,rIGHT 2 3 3 2 4" xfId="139"/>
    <cellStyle name="ErrorCurrencyTB,rIGHT 2 3 3 2 5" xfId="139"/>
    <cellStyle name="ErrorCurrencyTB,rIGHT 2 3 3 3" xfId="139"/>
    <cellStyle name="ErrorCurrencyTB,rIGHT 2 3 3 3 2" xfId="139"/>
    <cellStyle name="ErrorCurrencyTB,rIGHT 2 3 3 3 3" xfId="139"/>
    <cellStyle name="ErrorCurrencyTB,rIGHT 2 3 3 3 4" xfId="139"/>
    <cellStyle name="ErrorCurrencyTB,rIGHT 2 3 3 4" xfId="139"/>
    <cellStyle name="ErrorCurrencyTB,rIGHT 2 3 3 5" xfId="139"/>
    <cellStyle name="ErrorCurrencyTB,rIGHT 2 3 3 6" xfId="139"/>
    <cellStyle name="ErrorCurrencyTB,rIGHT 2 3 3 7" xfId="139"/>
    <cellStyle name="ErrorCurrencyTB,rIGHT 2 3 3 8" xfId="139"/>
    <cellStyle name="ErrorCurrencyTB,rIGHT 2 3 4" xfId="139"/>
    <cellStyle name="ErrorCurrencyTB,rIGHT 2 3 4 2" xfId="139"/>
    <cellStyle name="ErrorCurrencyTB,rIGHT 2 3 4 2 2" xfId="139"/>
    <cellStyle name="ErrorCurrencyTB,rIGHT 2 3 4 2 3" xfId="139"/>
    <cellStyle name="ErrorCurrencyTB,rIGHT 2 3 4 2 4" xfId="139"/>
    <cellStyle name="ErrorCurrencyTB,rIGHT 2 3 4 2 5" xfId="139"/>
    <cellStyle name="ErrorCurrencyTB,rIGHT 2 3 4 3" xfId="139"/>
    <cellStyle name="ErrorCurrencyTB,rIGHT 2 3 4 3 2" xfId="139"/>
    <cellStyle name="ErrorCurrencyTB,rIGHT 2 3 4 3 3" xfId="139"/>
    <cellStyle name="ErrorCurrencyTB,rIGHT 2 3 4 3 4" xfId="139"/>
    <cellStyle name="ErrorCurrencyTB,rIGHT 2 3 4 4" xfId="139"/>
    <cellStyle name="ErrorCurrencyTB,rIGHT 2 3 4 5" xfId="139"/>
    <cellStyle name="ErrorCurrencyTB,rIGHT 2 3 4 6" xfId="139"/>
    <cellStyle name="ErrorCurrencyTB,rIGHT 2 3 4 7" xfId="139"/>
    <cellStyle name="ErrorCurrencyTB,rIGHT 2 3 4 8" xfId="139"/>
    <cellStyle name="ErrorCurrencyTB,rIGHT 2 3 5" xfId="139"/>
    <cellStyle name="ErrorCurrencyTB,rIGHT 2 3 5 2" xfId="139"/>
    <cellStyle name="ErrorCurrencyTB,rIGHT 2 3 5 2 2" xfId="139"/>
    <cellStyle name="ErrorCurrencyTB,rIGHT 2 3 5 2 3" xfId="139"/>
    <cellStyle name="ErrorCurrencyTB,rIGHT 2 3 5 2 4" xfId="139"/>
    <cellStyle name="ErrorCurrencyTB,rIGHT 2 3 5 2 5" xfId="139"/>
    <cellStyle name="ErrorCurrencyTB,rIGHT 2 3 5 3" xfId="139"/>
    <cellStyle name="ErrorCurrencyTB,rIGHT 2 3 5 3 2" xfId="139"/>
    <cellStyle name="ErrorCurrencyTB,rIGHT 2 3 5 3 3" xfId="139"/>
    <cellStyle name="ErrorCurrencyTB,rIGHT 2 3 5 3 4" xfId="139"/>
    <cellStyle name="ErrorCurrencyTB,rIGHT 2 3 5 4" xfId="139"/>
    <cellStyle name="ErrorCurrencyTB,rIGHT 2 3 5 5" xfId="139"/>
    <cellStyle name="ErrorCurrencyTB,rIGHT 2 3 5 6" xfId="139"/>
    <cellStyle name="ErrorCurrencyTB,rIGHT 2 3 5 7" xfId="139"/>
    <cellStyle name="ErrorCurrencyTB,rIGHT 2 3 5 8" xfId="139"/>
    <cellStyle name="ErrorCurrencyTB,rIGHT 2 3 6" xfId="139"/>
    <cellStyle name="ErrorCurrencyTB,rIGHT 2 3 6 2" xfId="139"/>
    <cellStyle name="ErrorCurrencyTB,rIGHT 2 3 6 3" xfId="139"/>
    <cellStyle name="ErrorCurrencyTB,rIGHT 2 3 6 4" xfId="139"/>
    <cellStyle name="ErrorCurrencyTB,rIGHT 2 3 6 5" xfId="139"/>
    <cellStyle name="ErrorCurrencyTB,rIGHT 2 3 7" xfId="139"/>
    <cellStyle name="ErrorCurrencyTB,rIGHT 2 3 7 2" xfId="139"/>
    <cellStyle name="ErrorCurrencyTB,rIGHT 2 3 7 3" xfId="139"/>
    <cellStyle name="ErrorCurrencyTB,rIGHT 2 3 7 4" xfId="139"/>
    <cellStyle name="ErrorCurrencyTB,rIGHT 2 3 8" xfId="139"/>
    <cellStyle name="ErrorCurrencyTB,rIGHT 2 3 9" xfId="139"/>
    <cellStyle name="ErrorCurrencyTB,rIGHT 2 4" xfId="139"/>
    <cellStyle name="ErrorCurrencyTB,rIGHT 2 4 2" xfId="139"/>
    <cellStyle name="ErrorCurrencyTB,rIGHT 2 4 2 2" xfId="139"/>
    <cellStyle name="ErrorCurrencyTB,rIGHT 2 4 2 3" xfId="139"/>
    <cellStyle name="ErrorCurrencyTB,rIGHT 2 4 2 4" xfId="139"/>
    <cellStyle name="ErrorCurrencyTB,rIGHT 2 4 2 5" xfId="139"/>
    <cellStyle name="ErrorCurrencyTB,rIGHT 2 4 3" xfId="139"/>
    <cellStyle name="ErrorCurrencyTB,rIGHT 2 4 3 2" xfId="139"/>
    <cellStyle name="ErrorCurrencyTB,rIGHT 2 4 3 3" xfId="139"/>
    <cellStyle name="ErrorCurrencyTB,rIGHT 2 4 3 4" xfId="139"/>
    <cellStyle name="ErrorCurrencyTB,rIGHT 2 4 4" xfId="139"/>
    <cellStyle name="ErrorCurrencyTB,rIGHT 2 4 5" xfId="139"/>
    <cellStyle name="ErrorCurrencyTB,rIGHT 2 4 6" xfId="139"/>
    <cellStyle name="ErrorCurrencyTB,rIGHT 2 4 7" xfId="139"/>
    <cellStyle name="ErrorCurrencyTB,rIGHT 2 4 8" xfId="139"/>
    <cellStyle name="ErrorCurrencyTB,rIGHT 2 5" xfId="139"/>
    <cellStyle name="ErrorCurrencyTB,rIGHT 2 5 2" xfId="139"/>
    <cellStyle name="ErrorCurrencyTB,rIGHT 2 5 2 2" xfId="139"/>
    <cellStyle name="ErrorCurrencyTB,rIGHT 2 5 2 3" xfId="139"/>
    <cellStyle name="ErrorCurrencyTB,rIGHT 2 5 2 4" xfId="139"/>
    <cellStyle name="ErrorCurrencyTB,rIGHT 2 5 2 5" xfId="139"/>
    <cellStyle name="ErrorCurrencyTB,rIGHT 2 5 3" xfId="139"/>
    <cellStyle name="ErrorCurrencyTB,rIGHT 2 5 3 2" xfId="139"/>
    <cellStyle name="ErrorCurrencyTB,rIGHT 2 5 3 3" xfId="139"/>
    <cellStyle name="ErrorCurrencyTB,rIGHT 2 5 3 4" xfId="139"/>
    <cellStyle name="ErrorCurrencyTB,rIGHT 2 5 4" xfId="139"/>
    <cellStyle name="ErrorCurrencyTB,rIGHT 2 5 5" xfId="139"/>
    <cellStyle name="ErrorCurrencyTB,rIGHT 2 5 6" xfId="139"/>
    <cellStyle name="ErrorCurrencyTB,rIGHT 2 5 7" xfId="139"/>
    <cellStyle name="ErrorCurrencyTB,rIGHT 2 5 8" xfId="139"/>
    <cellStyle name="ErrorCurrencyTB,rIGHT 2 6" xfId="139"/>
    <cellStyle name="ErrorCurrencyTB,rIGHT 2 6 2" xfId="139"/>
    <cellStyle name="ErrorCurrencyTB,rIGHT 2 6 2 2" xfId="139"/>
    <cellStyle name="ErrorCurrencyTB,rIGHT 2 6 2 3" xfId="139"/>
    <cellStyle name="ErrorCurrencyTB,rIGHT 2 6 2 4" xfId="139"/>
    <cellStyle name="ErrorCurrencyTB,rIGHT 2 6 2 5" xfId="139"/>
    <cellStyle name="ErrorCurrencyTB,rIGHT 2 6 3" xfId="139"/>
    <cellStyle name="ErrorCurrencyTB,rIGHT 2 6 3 2" xfId="139"/>
    <cellStyle name="ErrorCurrencyTB,rIGHT 2 6 3 3" xfId="139"/>
    <cellStyle name="ErrorCurrencyTB,rIGHT 2 6 3 4" xfId="139"/>
    <cellStyle name="ErrorCurrencyTB,rIGHT 2 6 4" xfId="139"/>
    <cellStyle name="ErrorCurrencyTB,rIGHT 2 6 5" xfId="139"/>
    <cellStyle name="ErrorCurrencyTB,rIGHT 2 6 6" xfId="139"/>
    <cellStyle name="ErrorCurrencyTB,rIGHT 2 6 7" xfId="139"/>
    <cellStyle name="ErrorCurrencyTB,rIGHT 2 6 8" xfId="139"/>
    <cellStyle name="ErrorCurrencyTB,rIGHT 2 7" xfId="139"/>
    <cellStyle name="ErrorCurrencyTB,rIGHT 2 7 2" xfId="139"/>
    <cellStyle name="ErrorCurrencyTB,rIGHT 2 7 2 2" xfId="139"/>
    <cellStyle name="ErrorCurrencyTB,rIGHT 2 7 2 3" xfId="139"/>
    <cellStyle name="ErrorCurrencyTB,rIGHT 2 7 2 4" xfId="139"/>
    <cellStyle name="ErrorCurrencyTB,rIGHT 2 7 2 5" xfId="139"/>
    <cellStyle name="ErrorCurrencyTB,rIGHT 2 7 3" xfId="139"/>
    <cellStyle name="ErrorCurrencyTB,rIGHT 2 7 3 2" xfId="139"/>
    <cellStyle name="ErrorCurrencyTB,rIGHT 2 7 3 3" xfId="139"/>
    <cellStyle name="ErrorCurrencyTB,rIGHT 2 7 3 4" xfId="139"/>
    <cellStyle name="ErrorCurrencyTB,rIGHT 2 7 4" xfId="139"/>
    <cellStyle name="ErrorCurrencyTB,rIGHT 2 7 5" xfId="139"/>
    <cellStyle name="ErrorCurrencyTB,rIGHT 2 7 6" xfId="139"/>
    <cellStyle name="ErrorCurrencyTB,rIGHT 2 7 7" xfId="139"/>
    <cellStyle name="ErrorCurrencyTB,rIGHT 2 7 8" xfId="139"/>
    <cellStyle name="ErrorCurrencyTB,rIGHT 2 8" xfId="139"/>
    <cellStyle name="ErrorCurrencyTB,rIGHT 2 8 2" xfId="139"/>
    <cellStyle name="ErrorCurrencyTB,rIGHT 2 8 3" xfId="139"/>
    <cellStyle name="ErrorCurrencyTB,rIGHT 2 8 4" xfId="139"/>
    <cellStyle name="ErrorCurrencyTB,rIGHT 2 8 5" xfId="139"/>
    <cellStyle name="ErrorCurrencyTB,rIGHT 2 9" xfId="139"/>
    <cellStyle name="ErrorCurrencyTB,rIGHT 2 9 2" xfId="139"/>
    <cellStyle name="ErrorCurrencyTB,rIGHT 2 9 3" xfId="139"/>
    <cellStyle name="ErrorCurrencyTB,rIGHT 2 9 4" xfId="139"/>
    <cellStyle name="ErrorCurrencyTB,rIGHT 3" xfId="139"/>
    <cellStyle name="ErrorCurrencyTB,rIGHT 3 10" xfId="139"/>
    <cellStyle name="ErrorCurrencyTB,rIGHT 3 11" xfId="139"/>
    <cellStyle name="ErrorCurrencyTB,rIGHT 3 12" xfId="139"/>
    <cellStyle name="ErrorCurrencyTB,rIGHT 3 13" xfId="139"/>
    <cellStyle name="ErrorCurrencyTB,rIGHT 3 14" xfId="139"/>
    <cellStyle name="ErrorCurrencyTB,rIGHT 3 2" xfId="139"/>
    <cellStyle name="ErrorCurrencyTB,rIGHT 3 2 10" xfId="139"/>
    <cellStyle name="ErrorCurrencyTB,rIGHT 3 2 11" xfId="139"/>
    <cellStyle name="ErrorCurrencyTB,rIGHT 3 2 12" xfId="139"/>
    <cellStyle name="ErrorCurrencyTB,rIGHT 3 2 2" xfId="139"/>
    <cellStyle name="ErrorCurrencyTB,rIGHT 3 2 2 2" xfId="139"/>
    <cellStyle name="ErrorCurrencyTB,rIGHT 3 2 2 2 2" xfId="139"/>
    <cellStyle name="ErrorCurrencyTB,rIGHT 3 2 2 2 3" xfId="139"/>
    <cellStyle name="ErrorCurrencyTB,rIGHT 3 2 2 2 4" xfId="139"/>
    <cellStyle name="ErrorCurrencyTB,rIGHT 3 2 2 2 5" xfId="139"/>
    <cellStyle name="ErrorCurrencyTB,rIGHT 3 2 2 3" xfId="139"/>
    <cellStyle name="ErrorCurrencyTB,rIGHT 3 2 2 3 2" xfId="139"/>
    <cellStyle name="ErrorCurrencyTB,rIGHT 3 2 2 3 3" xfId="139"/>
    <cellStyle name="ErrorCurrencyTB,rIGHT 3 2 2 3 4" xfId="139"/>
    <cellStyle name="ErrorCurrencyTB,rIGHT 3 2 2 4" xfId="139"/>
    <cellStyle name="ErrorCurrencyTB,rIGHT 3 2 2 5" xfId="139"/>
    <cellStyle name="ErrorCurrencyTB,rIGHT 3 2 2 6" xfId="139"/>
    <cellStyle name="ErrorCurrencyTB,rIGHT 3 2 2 7" xfId="139"/>
    <cellStyle name="ErrorCurrencyTB,rIGHT 3 2 2 8" xfId="139"/>
    <cellStyle name="ErrorCurrencyTB,rIGHT 3 2 3" xfId="139"/>
    <cellStyle name="ErrorCurrencyTB,rIGHT 3 2 3 2" xfId="139"/>
    <cellStyle name="ErrorCurrencyTB,rIGHT 3 2 3 2 2" xfId="139"/>
    <cellStyle name="ErrorCurrencyTB,rIGHT 3 2 3 2 3" xfId="139"/>
    <cellStyle name="ErrorCurrencyTB,rIGHT 3 2 3 2 4" xfId="139"/>
    <cellStyle name="ErrorCurrencyTB,rIGHT 3 2 3 2 5" xfId="139"/>
    <cellStyle name="ErrorCurrencyTB,rIGHT 3 2 3 3" xfId="139"/>
    <cellStyle name="ErrorCurrencyTB,rIGHT 3 2 3 3 2" xfId="139"/>
    <cellStyle name="ErrorCurrencyTB,rIGHT 3 2 3 3 3" xfId="139"/>
    <cellStyle name="ErrorCurrencyTB,rIGHT 3 2 3 3 4" xfId="139"/>
    <cellStyle name="ErrorCurrencyTB,rIGHT 3 2 3 4" xfId="139"/>
    <cellStyle name="ErrorCurrencyTB,rIGHT 3 2 3 5" xfId="139"/>
    <cellStyle name="ErrorCurrencyTB,rIGHT 3 2 3 6" xfId="139"/>
    <cellStyle name="ErrorCurrencyTB,rIGHT 3 2 3 7" xfId="139"/>
    <cellStyle name="ErrorCurrencyTB,rIGHT 3 2 3 8" xfId="139"/>
    <cellStyle name="ErrorCurrencyTB,rIGHT 3 2 4" xfId="139"/>
    <cellStyle name="ErrorCurrencyTB,rIGHT 3 2 4 2" xfId="139"/>
    <cellStyle name="ErrorCurrencyTB,rIGHT 3 2 4 2 2" xfId="139"/>
    <cellStyle name="ErrorCurrencyTB,rIGHT 3 2 4 2 3" xfId="139"/>
    <cellStyle name="ErrorCurrencyTB,rIGHT 3 2 4 2 4" xfId="139"/>
    <cellStyle name="ErrorCurrencyTB,rIGHT 3 2 4 2 5" xfId="139"/>
    <cellStyle name="ErrorCurrencyTB,rIGHT 3 2 4 3" xfId="139"/>
    <cellStyle name="ErrorCurrencyTB,rIGHT 3 2 4 3 2" xfId="139"/>
    <cellStyle name="ErrorCurrencyTB,rIGHT 3 2 4 3 3" xfId="139"/>
    <cellStyle name="ErrorCurrencyTB,rIGHT 3 2 4 3 4" xfId="139"/>
    <cellStyle name="ErrorCurrencyTB,rIGHT 3 2 4 4" xfId="139"/>
    <cellStyle name="ErrorCurrencyTB,rIGHT 3 2 4 5" xfId="139"/>
    <cellStyle name="ErrorCurrencyTB,rIGHT 3 2 4 6" xfId="139"/>
    <cellStyle name="ErrorCurrencyTB,rIGHT 3 2 4 7" xfId="139"/>
    <cellStyle name="ErrorCurrencyTB,rIGHT 3 2 4 8" xfId="139"/>
    <cellStyle name="ErrorCurrencyTB,rIGHT 3 2 5" xfId="139"/>
    <cellStyle name="ErrorCurrencyTB,rIGHT 3 2 5 2" xfId="139"/>
    <cellStyle name="ErrorCurrencyTB,rIGHT 3 2 5 2 2" xfId="139"/>
    <cellStyle name="ErrorCurrencyTB,rIGHT 3 2 5 2 3" xfId="139"/>
    <cellStyle name="ErrorCurrencyTB,rIGHT 3 2 5 2 4" xfId="139"/>
    <cellStyle name="ErrorCurrencyTB,rIGHT 3 2 5 2 5" xfId="139"/>
    <cellStyle name="ErrorCurrencyTB,rIGHT 3 2 5 3" xfId="139"/>
    <cellStyle name="ErrorCurrencyTB,rIGHT 3 2 5 3 2" xfId="139"/>
    <cellStyle name="ErrorCurrencyTB,rIGHT 3 2 5 3 3" xfId="139"/>
    <cellStyle name="ErrorCurrencyTB,rIGHT 3 2 5 3 4" xfId="139"/>
    <cellStyle name="ErrorCurrencyTB,rIGHT 3 2 5 4" xfId="139"/>
    <cellStyle name="ErrorCurrencyTB,rIGHT 3 2 5 5" xfId="139"/>
    <cellStyle name="ErrorCurrencyTB,rIGHT 3 2 5 6" xfId="139"/>
    <cellStyle name="ErrorCurrencyTB,rIGHT 3 2 5 7" xfId="139"/>
    <cellStyle name="ErrorCurrencyTB,rIGHT 3 2 5 8" xfId="139"/>
    <cellStyle name="ErrorCurrencyTB,rIGHT 3 2 6" xfId="139"/>
    <cellStyle name="ErrorCurrencyTB,rIGHT 3 2 6 2" xfId="139"/>
    <cellStyle name="ErrorCurrencyTB,rIGHT 3 2 6 3" xfId="139"/>
    <cellStyle name="ErrorCurrencyTB,rIGHT 3 2 6 4" xfId="139"/>
    <cellStyle name="ErrorCurrencyTB,rIGHT 3 2 6 5" xfId="139"/>
    <cellStyle name="ErrorCurrencyTB,rIGHT 3 2 7" xfId="139"/>
    <cellStyle name="ErrorCurrencyTB,rIGHT 3 2 7 2" xfId="139"/>
    <cellStyle name="ErrorCurrencyTB,rIGHT 3 2 7 3" xfId="139"/>
    <cellStyle name="ErrorCurrencyTB,rIGHT 3 2 7 4" xfId="139"/>
    <cellStyle name="ErrorCurrencyTB,rIGHT 3 2 8" xfId="139"/>
    <cellStyle name="ErrorCurrencyTB,rIGHT 3 2 9" xfId="139"/>
    <cellStyle name="ErrorCurrencyTB,rIGHT 3 3" xfId="139"/>
    <cellStyle name="ErrorCurrencyTB,rIGHT 3 3 10" xfId="139"/>
    <cellStyle name="ErrorCurrencyTB,rIGHT 3 3 11" xfId="139"/>
    <cellStyle name="ErrorCurrencyTB,rIGHT 3 3 12" xfId="139"/>
    <cellStyle name="ErrorCurrencyTB,rIGHT 3 3 2" xfId="139"/>
    <cellStyle name="ErrorCurrencyTB,rIGHT 3 3 2 2" xfId="139"/>
    <cellStyle name="ErrorCurrencyTB,rIGHT 3 3 2 2 2" xfId="139"/>
    <cellStyle name="ErrorCurrencyTB,rIGHT 3 3 2 2 3" xfId="139"/>
    <cellStyle name="ErrorCurrencyTB,rIGHT 3 3 2 2 4" xfId="139"/>
    <cellStyle name="ErrorCurrencyTB,rIGHT 3 3 2 2 5" xfId="139"/>
    <cellStyle name="ErrorCurrencyTB,rIGHT 3 3 2 3" xfId="139"/>
    <cellStyle name="ErrorCurrencyTB,rIGHT 3 3 2 3 2" xfId="139"/>
    <cellStyle name="ErrorCurrencyTB,rIGHT 3 3 2 3 3" xfId="139"/>
    <cellStyle name="ErrorCurrencyTB,rIGHT 3 3 2 3 4" xfId="139"/>
    <cellStyle name="ErrorCurrencyTB,rIGHT 3 3 2 4" xfId="139"/>
    <cellStyle name="ErrorCurrencyTB,rIGHT 3 3 2 5" xfId="139"/>
    <cellStyle name="ErrorCurrencyTB,rIGHT 3 3 2 6" xfId="139"/>
    <cellStyle name="ErrorCurrencyTB,rIGHT 3 3 2 7" xfId="139"/>
    <cellStyle name="ErrorCurrencyTB,rIGHT 3 3 2 8" xfId="139"/>
    <cellStyle name="ErrorCurrencyTB,rIGHT 3 3 3" xfId="139"/>
    <cellStyle name="ErrorCurrencyTB,rIGHT 3 3 3 2" xfId="139"/>
    <cellStyle name="ErrorCurrencyTB,rIGHT 3 3 3 2 2" xfId="139"/>
    <cellStyle name="ErrorCurrencyTB,rIGHT 3 3 3 2 3" xfId="139"/>
    <cellStyle name="ErrorCurrencyTB,rIGHT 3 3 3 2 4" xfId="139"/>
    <cellStyle name="ErrorCurrencyTB,rIGHT 3 3 3 2 5" xfId="139"/>
    <cellStyle name="ErrorCurrencyTB,rIGHT 3 3 3 3" xfId="139"/>
    <cellStyle name="ErrorCurrencyTB,rIGHT 3 3 3 3 2" xfId="139"/>
    <cellStyle name="ErrorCurrencyTB,rIGHT 3 3 3 3 3" xfId="139"/>
    <cellStyle name="ErrorCurrencyTB,rIGHT 3 3 3 3 4" xfId="139"/>
    <cellStyle name="ErrorCurrencyTB,rIGHT 3 3 3 4" xfId="139"/>
    <cellStyle name="ErrorCurrencyTB,rIGHT 3 3 3 5" xfId="139"/>
    <cellStyle name="ErrorCurrencyTB,rIGHT 3 3 3 6" xfId="139"/>
    <cellStyle name="ErrorCurrencyTB,rIGHT 3 3 3 7" xfId="139"/>
    <cellStyle name="ErrorCurrencyTB,rIGHT 3 3 3 8" xfId="139"/>
    <cellStyle name="ErrorCurrencyTB,rIGHT 3 3 4" xfId="139"/>
    <cellStyle name="ErrorCurrencyTB,rIGHT 3 3 4 2" xfId="139"/>
    <cellStyle name="ErrorCurrencyTB,rIGHT 3 3 4 2 2" xfId="139"/>
    <cellStyle name="ErrorCurrencyTB,rIGHT 3 3 4 2 3" xfId="139"/>
    <cellStyle name="ErrorCurrencyTB,rIGHT 3 3 4 2 4" xfId="139"/>
    <cellStyle name="ErrorCurrencyTB,rIGHT 3 3 4 2 5" xfId="139"/>
    <cellStyle name="ErrorCurrencyTB,rIGHT 3 3 4 3" xfId="139"/>
    <cellStyle name="ErrorCurrencyTB,rIGHT 3 3 4 3 2" xfId="139"/>
    <cellStyle name="ErrorCurrencyTB,rIGHT 3 3 4 3 3" xfId="139"/>
    <cellStyle name="ErrorCurrencyTB,rIGHT 3 3 4 3 4" xfId="139"/>
    <cellStyle name="ErrorCurrencyTB,rIGHT 3 3 4 4" xfId="139"/>
    <cellStyle name="ErrorCurrencyTB,rIGHT 3 3 4 5" xfId="139"/>
    <cellStyle name="ErrorCurrencyTB,rIGHT 3 3 4 6" xfId="139"/>
    <cellStyle name="ErrorCurrencyTB,rIGHT 3 3 4 7" xfId="139"/>
    <cellStyle name="ErrorCurrencyTB,rIGHT 3 3 4 8" xfId="139"/>
    <cellStyle name="ErrorCurrencyTB,rIGHT 3 3 5" xfId="139"/>
    <cellStyle name="ErrorCurrencyTB,rIGHT 3 3 5 2" xfId="139"/>
    <cellStyle name="ErrorCurrencyTB,rIGHT 3 3 5 2 2" xfId="139"/>
    <cellStyle name="ErrorCurrencyTB,rIGHT 3 3 5 2 3" xfId="139"/>
    <cellStyle name="ErrorCurrencyTB,rIGHT 3 3 5 2 4" xfId="139"/>
    <cellStyle name="ErrorCurrencyTB,rIGHT 3 3 5 2 5" xfId="139"/>
    <cellStyle name="ErrorCurrencyTB,rIGHT 3 3 5 3" xfId="139"/>
    <cellStyle name="ErrorCurrencyTB,rIGHT 3 3 5 3 2" xfId="139"/>
    <cellStyle name="ErrorCurrencyTB,rIGHT 3 3 5 3 3" xfId="139"/>
    <cellStyle name="ErrorCurrencyTB,rIGHT 3 3 5 3 4" xfId="139"/>
    <cellStyle name="ErrorCurrencyTB,rIGHT 3 3 5 4" xfId="139"/>
    <cellStyle name="ErrorCurrencyTB,rIGHT 3 3 5 5" xfId="139"/>
    <cellStyle name="ErrorCurrencyTB,rIGHT 3 3 5 6" xfId="139"/>
    <cellStyle name="ErrorCurrencyTB,rIGHT 3 3 5 7" xfId="139"/>
    <cellStyle name="ErrorCurrencyTB,rIGHT 3 3 5 8" xfId="139"/>
    <cellStyle name="ErrorCurrencyTB,rIGHT 3 3 6" xfId="139"/>
    <cellStyle name="ErrorCurrencyTB,rIGHT 3 3 6 2" xfId="139"/>
    <cellStyle name="ErrorCurrencyTB,rIGHT 3 3 6 3" xfId="139"/>
    <cellStyle name="ErrorCurrencyTB,rIGHT 3 3 6 4" xfId="139"/>
    <cellStyle name="ErrorCurrencyTB,rIGHT 3 3 6 5" xfId="139"/>
    <cellStyle name="ErrorCurrencyTB,rIGHT 3 3 7" xfId="139"/>
    <cellStyle name="ErrorCurrencyTB,rIGHT 3 3 7 2" xfId="139"/>
    <cellStyle name="ErrorCurrencyTB,rIGHT 3 3 7 3" xfId="139"/>
    <cellStyle name="ErrorCurrencyTB,rIGHT 3 3 7 4" xfId="139"/>
    <cellStyle name="ErrorCurrencyTB,rIGHT 3 3 8" xfId="139"/>
    <cellStyle name="ErrorCurrencyTB,rIGHT 3 3 9" xfId="139"/>
    <cellStyle name="ErrorCurrencyTB,rIGHT 3 4" xfId="139"/>
    <cellStyle name="ErrorCurrencyTB,rIGHT 3 4 2" xfId="139"/>
    <cellStyle name="ErrorCurrencyTB,rIGHT 3 4 2 2" xfId="139"/>
    <cellStyle name="ErrorCurrencyTB,rIGHT 3 4 2 3" xfId="139"/>
    <cellStyle name="ErrorCurrencyTB,rIGHT 3 4 2 4" xfId="139"/>
    <cellStyle name="ErrorCurrencyTB,rIGHT 3 4 2 5" xfId="139"/>
    <cellStyle name="ErrorCurrencyTB,rIGHT 3 4 3" xfId="139"/>
    <cellStyle name="ErrorCurrencyTB,rIGHT 3 4 3 2" xfId="139"/>
    <cellStyle name="ErrorCurrencyTB,rIGHT 3 4 3 3" xfId="139"/>
    <cellStyle name="ErrorCurrencyTB,rIGHT 3 4 3 4" xfId="139"/>
    <cellStyle name="ErrorCurrencyTB,rIGHT 3 4 4" xfId="139"/>
    <cellStyle name="ErrorCurrencyTB,rIGHT 3 4 5" xfId="139"/>
    <cellStyle name="ErrorCurrencyTB,rIGHT 3 4 6" xfId="139"/>
    <cellStyle name="ErrorCurrencyTB,rIGHT 3 4 7" xfId="139"/>
    <cellStyle name="ErrorCurrencyTB,rIGHT 3 4 8" xfId="139"/>
    <cellStyle name="ErrorCurrencyTB,rIGHT 3 5" xfId="139"/>
    <cellStyle name="ErrorCurrencyTB,rIGHT 3 5 2" xfId="139"/>
    <cellStyle name="ErrorCurrencyTB,rIGHT 3 5 2 2" xfId="139"/>
    <cellStyle name="ErrorCurrencyTB,rIGHT 3 5 2 3" xfId="139"/>
    <cellStyle name="ErrorCurrencyTB,rIGHT 3 5 2 4" xfId="139"/>
    <cellStyle name="ErrorCurrencyTB,rIGHT 3 5 2 5" xfId="139"/>
    <cellStyle name="ErrorCurrencyTB,rIGHT 3 5 3" xfId="139"/>
    <cellStyle name="ErrorCurrencyTB,rIGHT 3 5 3 2" xfId="139"/>
    <cellStyle name="ErrorCurrencyTB,rIGHT 3 5 3 3" xfId="139"/>
    <cellStyle name="ErrorCurrencyTB,rIGHT 3 5 3 4" xfId="139"/>
    <cellStyle name="ErrorCurrencyTB,rIGHT 3 5 4" xfId="139"/>
    <cellStyle name="ErrorCurrencyTB,rIGHT 3 5 5" xfId="139"/>
    <cellStyle name="ErrorCurrencyTB,rIGHT 3 5 6" xfId="139"/>
    <cellStyle name="ErrorCurrencyTB,rIGHT 3 5 7" xfId="139"/>
    <cellStyle name="ErrorCurrencyTB,rIGHT 3 5 8" xfId="139"/>
    <cellStyle name="ErrorCurrencyTB,rIGHT 3 6" xfId="139"/>
    <cellStyle name="ErrorCurrencyTB,rIGHT 3 6 2" xfId="139"/>
    <cellStyle name="ErrorCurrencyTB,rIGHT 3 6 2 2" xfId="139"/>
    <cellStyle name="ErrorCurrencyTB,rIGHT 3 6 2 3" xfId="139"/>
    <cellStyle name="ErrorCurrencyTB,rIGHT 3 6 2 4" xfId="139"/>
    <cellStyle name="ErrorCurrencyTB,rIGHT 3 6 2 5" xfId="139"/>
    <cellStyle name="ErrorCurrencyTB,rIGHT 3 6 3" xfId="139"/>
    <cellStyle name="ErrorCurrencyTB,rIGHT 3 6 3 2" xfId="139"/>
    <cellStyle name="ErrorCurrencyTB,rIGHT 3 6 3 3" xfId="139"/>
    <cellStyle name="ErrorCurrencyTB,rIGHT 3 6 3 4" xfId="139"/>
    <cellStyle name="ErrorCurrencyTB,rIGHT 3 6 4" xfId="139"/>
    <cellStyle name="ErrorCurrencyTB,rIGHT 3 6 5" xfId="139"/>
    <cellStyle name="ErrorCurrencyTB,rIGHT 3 6 6" xfId="139"/>
    <cellStyle name="ErrorCurrencyTB,rIGHT 3 6 7" xfId="139"/>
    <cellStyle name="ErrorCurrencyTB,rIGHT 3 6 8" xfId="139"/>
    <cellStyle name="ErrorCurrencyTB,rIGHT 3 7" xfId="139"/>
    <cellStyle name="ErrorCurrencyTB,rIGHT 3 7 2" xfId="139"/>
    <cellStyle name="ErrorCurrencyTB,rIGHT 3 7 2 2" xfId="139"/>
    <cellStyle name="ErrorCurrencyTB,rIGHT 3 7 2 3" xfId="139"/>
    <cellStyle name="ErrorCurrencyTB,rIGHT 3 7 2 4" xfId="139"/>
    <cellStyle name="ErrorCurrencyTB,rIGHT 3 7 2 5" xfId="139"/>
    <cellStyle name="ErrorCurrencyTB,rIGHT 3 7 3" xfId="139"/>
    <cellStyle name="ErrorCurrencyTB,rIGHT 3 7 3 2" xfId="139"/>
    <cellStyle name="ErrorCurrencyTB,rIGHT 3 7 3 3" xfId="139"/>
    <cellStyle name="ErrorCurrencyTB,rIGHT 3 7 3 4" xfId="139"/>
    <cellStyle name="ErrorCurrencyTB,rIGHT 3 7 4" xfId="139"/>
    <cellStyle name="ErrorCurrencyTB,rIGHT 3 7 5" xfId="139"/>
    <cellStyle name="ErrorCurrencyTB,rIGHT 3 7 6" xfId="139"/>
    <cellStyle name="ErrorCurrencyTB,rIGHT 3 7 7" xfId="139"/>
    <cellStyle name="ErrorCurrencyTB,rIGHT 3 7 8" xfId="139"/>
    <cellStyle name="ErrorCurrencyTB,rIGHT 3 8" xfId="139"/>
    <cellStyle name="ErrorCurrencyTB,rIGHT 3 8 2" xfId="139"/>
    <cellStyle name="ErrorCurrencyTB,rIGHT 3 8 3" xfId="139"/>
    <cellStyle name="ErrorCurrencyTB,rIGHT 3 8 4" xfId="139"/>
    <cellStyle name="ErrorCurrencyTB,rIGHT 3 8 5" xfId="139"/>
    <cellStyle name="ErrorCurrencyTB,rIGHT 3 9" xfId="139"/>
    <cellStyle name="ErrorCurrencyTB,rIGHT 3 9 2" xfId="139"/>
    <cellStyle name="ErrorCurrencyTB,rIGHT 3 9 3" xfId="139"/>
    <cellStyle name="ErrorCurrencyTB,rIGHT 3 9 4" xfId="139"/>
    <cellStyle name="ErrorCurrencyTB,rIGHT 4" xfId="139"/>
    <cellStyle name="ErrorCurrencyTB,rIGHT 4 2" xfId="139"/>
    <cellStyle name="ErrorCurrencyTB,rIGHT 4 2 2" xfId="139"/>
    <cellStyle name="ErrorCurrencyTB,rIGHT 4 2 2 2" xfId="139"/>
    <cellStyle name="ErrorCurrencyTB,rIGHT 4 2 2 3" xfId="139"/>
    <cellStyle name="ErrorCurrencyTB,rIGHT 4 2 2 4" xfId="139"/>
    <cellStyle name="ErrorCurrencyTB,rIGHT 4 2 2 5" xfId="139"/>
    <cellStyle name="ErrorCurrencyTB,rIGHT 4 2 3" xfId="139"/>
    <cellStyle name="ErrorCurrencyTB,rIGHT 4 2 3 2" xfId="139"/>
    <cellStyle name="ErrorCurrencyTB,rIGHT 4 2 3 3" xfId="139"/>
    <cellStyle name="ErrorCurrencyTB,rIGHT 4 2 3 4" xfId="139"/>
    <cellStyle name="ErrorCurrencyTB,rIGHT 4 2 4" xfId="139"/>
    <cellStyle name="ErrorCurrencyTB,rIGHT 4 2 5" xfId="139"/>
    <cellStyle name="ErrorCurrencyTB,rIGHT 4 2 6" xfId="139"/>
    <cellStyle name="ErrorCurrencyTB,rIGHT 4 2 7" xfId="139"/>
    <cellStyle name="ErrorCurrencyTB,rIGHT 4 2 8" xfId="139"/>
    <cellStyle name="ErrorCurrencyTB,rIGHT 4 3" xfId="139"/>
    <cellStyle name="ErrorCurrencyTB,rIGHT 4 3 2" xfId="139"/>
    <cellStyle name="ErrorCurrencyTB,rIGHT 4 3 2 2" xfId="139"/>
    <cellStyle name="ErrorCurrencyTB,rIGHT 4 3 2 3" xfId="139"/>
    <cellStyle name="ErrorCurrencyTB,rIGHT 4 3 2 4" xfId="139"/>
    <cellStyle name="ErrorCurrencyTB,rIGHT 4 3 2 5" xfId="139"/>
    <cellStyle name="ErrorCurrencyTB,rIGHT 4 3 3" xfId="139"/>
    <cellStyle name="ErrorCurrencyTB,rIGHT 4 3 3 2" xfId="139"/>
    <cellStyle name="ErrorCurrencyTB,rIGHT 4 3 3 3" xfId="139"/>
    <cellStyle name="ErrorCurrencyTB,rIGHT 4 3 3 4" xfId="139"/>
    <cellStyle name="ErrorCurrencyTB,rIGHT 4 3 4" xfId="139"/>
    <cellStyle name="ErrorCurrencyTB,rIGHT 4 3 5" xfId="139"/>
    <cellStyle name="ErrorCurrencyTB,rIGHT 4 3 6" xfId="139"/>
    <cellStyle name="ErrorCurrencyTB,rIGHT 4 3 7" xfId="139"/>
    <cellStyle name="ErrorCurrencyTB,rIGHT 4 4" xfId="139"/>
    <cellStyle name="ErrorCurrencyTB,rIGHT 4 4 2" xfId="139"/>
    <cellStyle name="ErrorCurrencyTB,rIGHT 4 4 3" xfId="139"/>
    <cellStyle name="ErrorCurrencyTB,rIGHT 4 4 4" xfId="139"/>
    <cellStyle name="ErrorCurrencyTB,rIGHT 4 4 5" xfId="139"/>
    <cellStyle name="ErrorCurrencyTB,rIGHT 4 5" xfId="139"/>
    <cellStyle name="ErrorCurrencyTB,rIGHT 4 5 2" xfId="139"/>
    <cellStyle name="ErrorCurrencyTB,rIGHT 4 5 3" xfId="139"/>
    <cellStyle name="ErrorCurrencyTB,rIGHT 4 5 4" xfId="139"/>
    <cellStyle name="ErrorCurrencyTB,rIGHT 4 6" xfId="139"/>
    <cellStyle name="ErrorCurrencyTB,rIGHT 4 7" xfId="139"/>
    <cellStyle name="ErrorCurrencyTB,rIGHT 4 8" xfId="139"/>
    <cellStyle name="ErrorCurrencyTB,rIGHT 4 9" xfId="139"/>
    <cellStyle name="ErrorCurrencyTB,rIGHT 5" xfId="139"/>
    <cellStyle name="ErrorCurrencyTB,rIGHT 5 2" xfId="139"/>
    <cellStyle name="ErrorCurrencyTB,rIGHT 5 2 2" xfId="139"/>
    <cellStyle name="ErrorCurrencyTB,rIGHT 5 2 3" xfId="139"/>
    <cellStyle name="ErrorCurrencyTB,rIGHT 5 2 4" xfId="139"/>
    <cellStyle name="ErrorCurrencyTB,rIGHT 5 2 5" xfId="139"/>
    <cellStyle name="ErrorCurrencyTB,rIGHT 5 3" xfId="139"/>
    <cellStyle name="ErrorCurrencyTB,rIGHT 5 3 2" xfId="139"/>
    <cellStyle name="ErrorCurrencyTB,rIGHT 5 3 3" xfId="139"/>
    <cellStyle name="ErrorCurrencyTB,rIGHT 5 3 4" xfId="139"/>
    <cellStyle name="ErrorCurrencyTB,rIGHT 5 4" xfId="139"/>
    <cellStyle name="ErrorCurrencyTB,rIGHT 5 5" xfId="139"/>
    <cellStyle name="ErrorCurrencyTB,rIGHT 5 6" xfId="139"/>
    <cellStyle name="ErrorCurrencyTB,rIGHT 5 7" xfId="139"/>
    <cellStyle name="ErrorCurrencyTB,rIGHT 5 8" xfId="139"/>
    <cellStyle name="ErrorCurrencyTB,rIGHT 6" xfId="139"/>
    <cellStyle name="ErrorCurrencyTB,rIGHT 6 2" xfId="139"/>
    <cellStyle name="ErrorCurrencyTB,rIGHT 6 3" xfId="139"/>
    <cellStyle name="ErrorCurrencyTB,rIGHT 6 4" xfId="139"/>
    <cellStyle name="ErrorCurrencyTB,rIGHT 6 5" xfId="139"/>
    <cellStyle name="ErrorCurrencyTB,rIGHT 7" xfId="139"/>
    <cellStyle name="ErrorCurrencyTB,rIGHT 8" xfId="139"/>
    <cellStyle name="ErrorDate TBCenterAlign" xfId="140"/>
    <cellStyle name="ErrorDate TBCenterAlign 2" xfId="140"/>
    <cellStyle name="ErrorDate TBCenterAlign 2 10" xfId="140"/>
    <cellStyle name="ErrorDate TBCenterAlign 2 11" xfId="140"/>
    <cellStyle name="ErrorDate TBCenterAlign 2 12" xfId="140"/>
    <cellStyle name="ErrorDate TBCenterAlign 2 13" xfId="140"/>
    <cellStyle name="ErrorDate TBCenterAlign 2 14" xfId="140"/>
    <cellStyle name="ErrorDate TBCenterAlign 2 2" xfId="140"/>
    <cellStyle name="ErrorDate TBCenterAlign 2 2 10" xfId="140"/>
    <cellStyle name="ErrorDate TBCenterAlign 2 2 11" xfId="140"/>
    <cellStyle name="ErrorDate TBCenterAlign 2 2 12" xfId="140"/>
    <cellStyle name="ErrorDate TBCenterAlign 2 2 13" xfId="140"/>
    <cellStyle name="ErrorDate TBCenterAlign 2 2 14" xfId="140"/>
    <cellStyle name="ErrorDate TBCenterAlign 2 2 2" xfId="140"/>
    <cellStyle name="ErrorDate TBCenterAlign 2 2 2 10" xfId="140"/>
    <cellStyle name="ErrorDate TBCenterAlign 2 2 2 11" xfId="140"/>
    <cellStyle name="ErrorDate TBCenterAlign 2 2 2 12" xfId="140"/>
    <cellStyle name="ErrorDate TBCenterAlign 2 2 2 2" xfId="140"/>
    <cellStyle name="ErrorDate TBCenterAlign 2 2 2 2 2" xfId="140"/>
    <cellStyle name="ErrorDate TBCenterAlign 2 2 2 2 2 2" xfId="140"/>
    <cellStyle name="ErrorDate TBCenterAlign 2 2 2 2 2 3" xfId="140"/>
    <cellStyle name="ErrorDate TBCenterAlign 2 2 2 2 2 4" xfId="140"/>
    <cellStyle name="ErrorDate TBCenterAlign 2 2 2 2 2 5" xfId="140"/>
    <cellStyle name="ErrorDate TBCenterAlign 2 2 2 2 3" xfId="140"/>
    <cellStyle name="ErrorDate TBCenterAlign 2 2 2 2 3 2" xfId="140"/>
    <cellStyle name="ErrorDate TBCenterAlign 2 2 2 2 3 3" xfId="140"/>
    <cellStyle name="ErrorDate TBCenterAlign 2 2 2 2 3 4" xfId="140"/>
    <cellStyle name="ErrorDate TBCenterAlign 2 2 2 2 4" xfId="140"/>
    <cellStyle name="ErrorDate TBCenterAlign 2 2 2 2 5" xfId="140"/>
    <cellStyle name="ErrorDate TBCenterAlign 2 2 2 2 6" xfId="140"/>
    <cellStyle name="ErrorDate TBCenterAlign 2 2 2 2 7" xfId="140"/>
    <cellStyle name="ErrorDate TBCenterAlign 2 2 2 2 8" xfId="140"/>
    <cellStyle name="ErrorDate TBCenterAlign 2 2 2 3" xfId="140"/>
    <cellStyle name="ErrorDate TBCenterAlign 2 2 2 3 2" xfId="140"/>
    <cellStyle name="ErrorDate TBCenterAlign 2 2 2 3 2 2" xfId="140"/>
    <cellStyle name="ErrorDate TBCenterAlign 2 2 2 3 2 3" xfId="140"/>
    <cellStyle name="ErrorDate TBCenterAlign 2 2 2 3 2 4" xfId="140"/>
    <cellStyle name="ErrorDate TBCenterAlign 2 2 2 3 2 5" xfId="140"/>
    <cellStyle name="ErrorDate TBCenterAlign 2 2 2 3 3" xfId="140"/>
    <cellStyle name="ErrorDate TBCenterAlign 2 2 2 3 3 2" xfId="140"/>
    <cellStyle name="ErrorDate TBCenterAlign 2 2 2 3 3 3" xfId="140"/>
    <cellStyle name="ErrorDate TBCenterAlign 2 2 2 3 3 4" xfId="140"/>
    <cellStyle name="ErrorDate TBCenterAlign 2 2 2 3 4" xfId="140"/>
    <cellStyle name="ErrorDate TBCenterAlign 2 2 2 3 5" xfId="140"/>
    <cellStyle name="ErrorDate TBCenterAlign 2 2 2 3 6" xfId="140"/>
    <cellStyle name="ErrorDate TBCenterAlign 2 2 2 3 7" xfId="140"/>
    <cellStyle name="ErrorDate TBCenterAlign 2 2 2 3 8" xfId="140"/>
    <cellStyle name="ErrorDate TBCenterAlign 2 2 2 4" xfId="140"/>
    <cellStyle name="ErrorDate TBCenterAlign 2 2 2 4 2" xfId="140"/>
    <cellStyle name="ErrorDate TBCenterAlign 2 2 2 4 2 2" xfId="140"/>
    <cellStyle name="ErrorDate TBCenterAlign 2 2 2 4 2 3" xfId="140"/>
    <cellStyle name="ErrorDate TBCenterAlign 2 2 2 4 2 4" xfId="140"/>
    <cellStyle name="ErrorDate TBCenterAlign 2 2 2 4 2 5" xfId="140"/>
    <cellStyle name="ErrorDate TBCenterAlign 2 2 2 4 3" xfId="140"/>
    <cellStyle name="ErrorDate TBCenterAlign 2 2 2 4 3 2" xfId="140"/>
    <cellStyle name="ErrorDate TBCenterAlign 2 2 2 4 3 3" xfId="140"/>
    <cellStyle name="ErrorDate TBCenterAlign 2 2 2 4 3 4" xfId="140"/>
    <cellStyle name="ErrorDate TBCenterAlign 2 2 2 4 4" xfId="140"/>
    <cellStyle name="ErrorDate TBCenterAlign 2 2 2 4 5" xfId="140"/>
    <cellStyle name="ErrorDate TBCenterAlign 2 2 2 4 6" xfId="140"/>
    <cellStyle name="ErrorDate TBCenterAlign 2 2 2 4 7" xfId="140"/>
    <cellStyle name="ErrorDate TBCenterAlign 2 2 2 4 8" xfId="140"/>
    <cellStyle name="ErrorDate TBCenterAlign 2 2 2 5" xfId="140"/>
    <cellStyle name="ErrorDate TBCenterAlign 2 2 2 5 2" xfId="140"/>
    <cellStyle name="ErrorDate TBCenterAlign 2 2 2 5 2 2" xfId="140"/>
    <cellStyle name="ErrorDate TBCenterAlign 2 2 2 5 2 3" xfId="140"/>
    <cellStyle name="ErrorDate TBCenterAlign 2 2 2 5 2 4" xfId="140"/>
    <cellStyle name="ErrorDate TBCenterAlign 2 2 2 5 2 5" xfId="140"/>
    <cellStyle name="ErrorDate TBCenterAlign 2 2 2 5 3" xfId="140"/>
    <cellStyle name="ErrorDate TBCenterAlign 2 2 2 5 3 2" xfId="140"/>
    <cellStyle name="ErrorDate TBCenterAlign 2 2 2 5 3 3" xfId="140"/>
    <cellStyle name="ErrorDate TBCenterAlign 2 2 2 5 3 4" xfId="140"/>
    <cellStyle name="ErrorDate TBCenterAlign 2 2 2 5 4" xfId="140"/>
    <cellStyle name="ErrorDate TBCenterAlign 2 2 2 5 5" xfId="140"/>
    <cellStyle name="ErrorDate TBCenterAlign 2 2 2 5 6" xfId="140"/>
    <cellStyle name="ErrorDate TBCenterAlign 2 2 2 5 7" xfId="140"/>
    <cellStyle name="ErrorDate TBCenterAlign 2 2 2 5 8" xfId="140"/>
    <cellStyle name="ErrorDate TBCenterAlign 2 2 2 6" xfId="140"/>
    <cellStyle name="ErrorDate TBCenterAlign 2 2 2 6 2" xfId="140"/>
    <cellStyle name="ErrorDate TBCenterAlign 2 2 2 6 3" xfId="140"/>
    <cellStyle name="ErrorDate TBCenterAlign 2 2 2 6 4" xfId="140"/>
    <cellStyle name="ErrorDate TBCenterAlign 2 2 2 6 5" xfId="140"/>
    <cellStyle name="ErrorDate TBCenterAlign 2 2 2 7" xfId="140"/>
    <cellStyle name="ErrorDate TBCenterAlign 2 2 2 7 2" xfId="140"/>
    <cellStyle name="ErrorDate TBCenterAlign 2 2 2 7 3" xfId="140"/>
    <cellStyle name="ErrorDate TBCenterAlign 2 2 2 7 4" xfId="140"/>
    <cellStyle name="ErrorDate TBCenterAlign 2 2 2 8" xfId="140"/>
    <cellStyle name="ErrorDate TBCenterAlign 2 2 2 9" xfId="140"/>
    <cellStyle name="ErrorDate TBCenterAlign 2 2 3" xfId="140"/>
    <cellStyle name="ErrorDate TBCenterAlign 2 2 3 10" xfId="140"/>
    <cellStyle name="ErrorDate TBCenterAlign 2 2 3 11" xfId="140"/>
    <cellStyle name="ErrorDate TBCenterAlign 2 2 3 12" xfId="140"/>
    <cellStyle name="ErrorDate TBCenterAlign 2 2 3 2" xfId="140"/>
    <cellStyle name="ErrorDate TBCenterAlign 2 2 3 2 2" xfId="140"/>
    <cellStyle name="ErrorDate TBCenterAlign 2 2 3 2 2 2" xfId="140"/>
    <cellStyle name="ErrorDate TBCenterAlign 2 2 3 2 2 3" xfId="140"/>
    <cellStyle name="ErrorDate TBCenterAlign 2 2 3 2 2 4" xfId="140"/>
    <cellStyle name="ErrorDate TBCenterAlign 2 2 3 2 2 5" xfId="140"/>
    <cellStyle name="ErrorDate TBCenterAlign 2 2 3 2 3" xfId="140"/>
    <cellStyle name="ErrorDate TBCenterAlign 2 2 3 2 3 2" xfId="140"/>
    <cellStyle name="ErrorDate TBCenterAlign 2 2 3 2 3 3" xfId="140"/>
    <cellStyle name="ErrorDate TBCenterAlign 2 2 3 2 3 4" xfId="140"/>
    <cellStyle name="ErrorDate TBCenterAlign 2 2 3 2 4" xfId="140"/>
    <cellStyle name="ErrorDate TBCenterAlign 2 2 3 2 5" xfId="140"/>
    <cellStyle name="ErrorDate TBCenterAlign 2 2 3 2 6" xfId="140"/>
    <cellStyle name="ErrorDate TBCenterAlign 2 2 3 2 7" xfId="140"/>
    <cellStyle name="ErrorDate TBCenterAlign 2 2 3 2 8" xfId="140"/>
    <cellStyle name="ErrorDate TBCenterAlign 2 2 3 3" xfId="140"/>
    <cellStyle name="ErrorDate TBCenterAlign 2 2 3 3 2" xfId="140"/>
    <cellStyle name="ErrorDate TBCenterAlign 2 2 3 3 2 2" xfId="140"/>
    <cellStyle name="ErrorDate TBCenterAlign 2 2 3 3 2 3" xfId="140"/>
    <cellStyle name="ErrorDate TBCenterAlign 2 2 3 3 2 4" xfId="140"/>
    <cellStyle name="ErrorDate TBCenterAlign 2 2 3 3 2 5" xfId="140"/>
    <cellStyle name="ErrorDate TBCenterAlign 2 2 3 3 3" xfId="140"/>
    <cellStyle name="ErrorDate TBCenterAlign 2 2 3 3 3 2" xfId="140"/>
    <cellStyle name="ErrorDate TBCenterAlign 2 2 3 3 3 3" xfId="140"/>
    <cellStyle name="ErrorDate TBCenterAlign 2 2 3 3 3 4" xfId="140"/>
    <cellStyle name="ErrorDate TBCenterAlign 2 2 3 3 4" xfId="140"/>
    <cellStyle name="ErrorDate TBCenterAlign 2 2 3 3 5" xfId="140"/>
    <cellStyle name="ErrorDate TBCenterAlign 2 2 3 3 6" xfId="140"/>
    <cellStyle name="ErrorDate TBCenterAlign 2 2 3 3 7" xfId="140"/>
    <cellStyle name="ErrorDate TBCenterAlign 2 2 3 3 8" xfId="140"/>
    <cellStyle name="ErrorDate TBCenterAlign 2 2 3 4" xfId="140"/>
    <cellStyle name="ErrorDate TBCenterAlign 2 2 3 4 2" xfId="140"/>
    <cellStyle name="ErrorDate TBCenterAlign 2 2 3 4 2 2" xfId="140"/>
    <cellStyle name="ErrorDate TBCenterAlign 2 2 3 4 2 3" xfId="140"/>
    <cellStyle name="ErrorDate TBCenterAlign 2 2 3 4 2 4" xfId="140"/>
    <cellStyle name="ErrorDate TBCenterAlign 2 2 3 4 2 5" xfId="140"/>
    <cellStyle name="ErrorDate TBCenterAlign 2 2 3 4 3" xfId="140"/>
    <cellStyle name="ErrorDate TBCenterAlign 2 2 3 4 3 2" xfId="140"/>
    <cellStyle name="ErrorDate TBCenterAlign 2 2 3 4 3 3" xfId="140"/>
    <cellStyle name="ErrorDate TBCenterAlign 2 2 3 4 3 4" xfId="140"/>
    <cellStyle name="ErrorDate TBCenterAlign 2 2 3 4 4" xfId="140"/>
    <cellStyle name="ErrorDate TBCenterAlign 2 2 3 4 5" xfId="140"/>
    <cellStyle name="ErrorDate TBCenterAlign 2 2 3 4 6" xfId="140"/>
    <cellStyle name="ErrorDate TBCenterAlign 2 2 3 4 7" xfId="140"/>
    <cellStyle name="ErrorDate TBCenterAlign 2 2 3 4 8" xfId="140"/>
    <cellStyle name="ErrorDate TBCenterAlign 2 2 3 5" xfId="140"/>
    <cellStyle name="ErrorDate TBCenterAlign 2 2 3 5 2" xfId="140"/>
    <cellStyle name="ErrorDate TBCenterAlign 2 2 3 5 2 2" xfId="140"/>
    <cellStyle name="ErrorDate TBCenterAlign 2 2 3 5 2 3" xfId="140"/>
    <cellStyle name="ErrorDate TBCenterAlign 2 2 3 5 2 4" xfId="140"/>
    <cellStyle name="ErrorDate TBCenterAlign 2 2 3 5 2 5" xfId="140"/>
    <cellStyle name="ErrorDate TBCenterAlign 2 2 3 5 3" xfId="140"/>
    <cellStyle name="ErrorDate TBCenterAlign 2 2 3 5 3 2" xfId="140"/>
    <cellStyle name="ErrorDate TBCenterAlign 2 2 3 5 3 3" xfId="140"/>
    <cellStyle name="ErrorDate TBCenterAlign 2 2 3 5 3 4" xfId="140"/>
    <cellStyle name="ErrorDate TBCenterAlign 2 2 3 5 4" xfId="140"/>
    <cellStyle name="ErrorDate TBCenterAlign 2 2 3 5 5" xfId="140"/>
    <cellStyle name="ErrorDate TBCenterAlign 2 2 3 5 6" xfId="140"/>
    <cellStyle name="ErrorDate TBCenterAlign 2 2 3 5 7" xfId="140"/>
    <cellStyle name="ErrorDate TBCenterAlign 2 2 3 5 8" xfId="140"/>
    <cellStyle name="ErrorDate TBCenterAlign 2 2 3 6" xfId="140"/>
    <cellStyle name="ErrorDate TBCenterAlign 2 2 3 6 2" xfId="140"/>
    <cellStyle name="ErrorDate TBCenterAlign 2 2 3 6 3" xfId="140"/>
    <cellStyle name="ErrorDate TBCenterAlign 2 2 3 6 4" xfId="140"/>
    <cellStyle name="ErrorDate TBCenterAlign 2 2 3 6 5" xfId="140"/>
    <cellStyle name="ErrorDate TBCenterAlign 2 2 3 7" xfId="140"/>
    <cellStyle name="ErrorDate TBCenterAlign 2 2 3 7 2" xfId="140"/>
    <cellStyle name="ErrorDate TBCenterAlign 2 2 3 7 3" xfId="140"/>
    <cellStyle name="ErrorDate TBCenterAlign 2 2 3 7 4" xfId="140"/>
    <cellStyle name="ErrorDate TBCenterAlign 2 2 3 8" xfId="140"/>
    <cellStyle name="ErrorDate TBCenterAlign 2 2 3 9" xfId="140"/>
    <cellStyle name="ErrorDate TBCenterAlign 2 2 4" xfId="140"/>
    <cellStyle name="ErrorDate TBCenterAlign 2 2 4 2" xfId="140"/>
    <cellStyle name="ErrorDate TBCenterAlign 2 2 4 2 2" xfId="140"/>
    <cellStyle name="ErrorDate TBCenterAlign 2 2 4 2 3" xfId="140"/>
    <cellStyle name="ErrorDate TBCenterAlign 2 2 4 2 4" xfId="140"/>
    <cellStyle name="ErrorDate TBCenterAlign 2 2 4 2 5" xfId="140"/>
    <cellStyle name="ErrorDate TBCenterAlign 2 2 4 3" xfId="140"/>
    <cellStyle name="ErrorDate TBCenterAlign 2 2 4 3 2" xfId="140"/>
    <cellStyle name="ErrorDate TBCenterAlign 2 2 4 3 3" xfId="140"/>
    <cellStyle name="ErrorDate TBCenterAlign 2 2 4 3 4" xfId="140"/>
    <cellStyle name="ErrorDate TBCenterAlign 2 2 4 4" xfId="140"/>
    <cellStyle name="ErrorDate TBCenterAlign 2 2 4 5" xfId="140"/>
    <cellStyle name="ErrorDate TBCenterAlign 2 2 4 6" xfId="140"/>
    <cellStyle name="ErrorDate TBCenterAlign 2 2 4 7" xfId="140"/>
    <cellStyle name="ErrorDate TBCenterAlign 2 2 4 8" xfId="140"/>
    <cellStyle name="ErrorDate TBCenterAlign 2 2 5" xfId="140"/>
    <cellStyle name="ErrorDate TBCenterAlign 2 2 5 2" xfId="140"/>
    <cellStyle name="ErrorDate TBCenterAlign 2 2 5 2 2" xfId="140"/>
    <cellStyle name="ErrorDate TBCenterAlign 2 2 5 2 3" xfId="140"/>
    <cellStyle name="ErrorDate TBCenterAlign 2 2 5 2 4" xfId="140"/>
    <cellStyle name="ErrorDate TBCenterAlign 2 2 5 2 5" xfId="140"/>
    <cellStyle name="ErrorDate TBCenterAlign 2 2 5 3" xfId="140"/>
    <cellStyle name="ErrorDate TBCenterAlign 2 2 5 3 2" xfId="140"/>
    <cellStyle name="ErrorDate TBCenterAlign 2 2 5 3 3" xfId="140"/>
    <cellStyle name="ErrorDate TBCenterAlign 2 2 5 3 4" xfId="140"/>
    <cellStyle name="ErrorDate TBCenterAlign 2 2 5 4" xfId="140"/>
    <cellStyle name="ErrorDate TBCenterAlign 2 2 5 5" xfId="140"/>
    <cellStyle name="ErrorDate TBCenterAlign 2 2 5 6" xfId="140"/>
    <cellStyle name="ErrorDate TBCenterAlign 2 2 5 7" xfId="140"/>
    <cellStyle name="ErrorDate TBCenterAlign 2 2 5 8" xfId="140"/>
    <cellStyle name="ErrorDate TBCenterAlign 2 2 6" xfId="140"/>
    <cellStyle name="ErrorDate TBCenterAlign 2 2 6 2" xfId="140"/>
    <cellStyle name="ErrorDate TBCenterAlign 2 2 6 2 2" xfId="140"/>
    <cellStyle name="ErrorDate TBCenterAlign 2 2 6 2 3" xfId="140"/>
    <cellStyle name="ErrorDate TBCenterAlign 2 2 6 2 4" xfId="140"/>
    <cellStyle name="ErrorDate TBCenterAlign 2 2 6 2 5" xfId="140"/>
    <cellStyle name="ErrorDate TBCenterAlign 2 2 6 3" xfId="140"/>
    <cellStyle name="ErrorDate TBCenterAlign 2 2 6 3 2" xfId="140"/>
    <cellStyle name="ErrorDate TBCenterAlign 2 2 6 3 3" xfId="140"/>
    <cellStyle name="ErrorDate TBCenterAlign 2 2 6 3 4" xfId="140"/>
    <cellStyle name="ErrorDate TBCenterAlign 2 2 6 4" xfId="140"/>
    <cellStyle name="ErrorDate TBCenterAlign 2 2 6 5" xfId="140"/>
    <cellStyle name="ErrorDate TBCenterAlign 2 2 6 6" xfId="140"/>
    <cellStyle name="ErrorDate TBCenterAlign 2 2 6 7" xfId="140"/>
    <cellStyle name="ErrorDate TBCenterAlign 2 2 6 8" xfId="140"/>
    <cellStyle name="ErrorDate TBCenterAlign 2 2 7" xfId="140"/>
    <cellStyle name="ErrorDate TBCenterAlign 2 2 7 2" xfId="140"/>
    <cellStyle name="ErrorDate TBCenterAlign 2 2 7 2 2" xfId="140"/>
    <cellStyle name="ErrorDate TBCenterAlign 2 2 7 2 3" xfId="140"/>
    <cellStyle name="ErrorDate TBCenterAlign 2 2 7 2 4" xfId="140"/>
    <cellStyle name="ErrorDate TBCenterAlign 2 2 7 2 5" xfId="140"/>
    <cellStyle name="ErrorDate TBCenterAlign 2 2 7 3" xfId="140"/>
    <cellStyle name="ErrorDate TBCenterAlign 2 2 7 3 2" xfId="140"/>
    <cellStyle name="ErrorDate TBCenterAlign 2 2 7 3 3" xfId="140"/>
    <cellStyle name="ErrorDate TBCenterAlign 2 2 7 3 4" xfId="140"/>
    <cellStyle name="ErrorDate TBCenterAlign 2 2 7 4" xfId="140"/>
    <cellStyle name="ErrorDate TBCenterAlign 2 2 7 5" xfId="140"/>
    <cellStyle name="ErrorDate TBCenterAlign 2 2 7 6" xfId="140"/>
    <cellStyle name="ErrorDate TBCenterAlign 2 2 7 7" xfId="140"/>
    <cellStyle name="ErrorDate TBCenterAlign 2 2 7 8" xfId="140"/>
    <cellStyle name="ErrorDate TBCenterAlign 2 2 8" xfId="140"/>
    <cellStyle name="ErrorDate TBCenterAlign 2 2 8 2" xfId="140"/>
    <cellStyle name="ErrorDate TBCenterAlign 2 2 8 3" xfId="140"/>
    <cellStyle name="ErrorDate TBCenterAlign 2 2 8 4" xfId="140"/>
    <cellStyle name="ErrorDate TBCenterAlign 2 2 8 5" xfId="140"/>
    <cellStyle name="ErrorDate TBCenterAlign 2 2 9" xfId="140"/>
    <cellStyle name="ErrorDate TBCenterAlign 2 2 9 2" xfId="140"/>
    <cellStyle name="ErrorDate TBCenterAlign 2 2 9 3" xfId="140"/>
    <cellStyle name="ErrorDate TBCenterAlign 2 2 9 4" xfId="140"/>
    <cellStyle name="ErrorDate TBCenterAlign 2 3" xfId="140"/>
    <cellStyle name="ErrorDate TBCenterAlign 2 3 10" xfId="140"/>
    <cellStyle name="ErrorDate TBCenterAlign 2 3 11" xfId="140"/>
    <cellStyle name="ErrorDate TBCenterAlign 2 3 12" xfId="140"/>
    <cellStyle name="ErrorDate TBCenterAlign 2 3 2" xfId="140"/>
    <cellStyle name="ErrorDate TBCenterAlign 2 3 2 2" xfId="140"/>
    <cellStyle name="ErrorDate TBCenterAlign 2 3 2 2 2" xfId="140"/>
    <cellStyle name="ErrorDate TBCenterAlign 2 3 2 2 3" xfId="140"/>
    <cellStyle name="ErrorDate TBCenterAlign 2 3 2 2 4" xfId="140"/>
    <cellStyle name="ErrorDate TBCenterAlign 2 3 2 2 5" xfId="140"/>
    <cellStyle name="ErrorDate TBCenterAlign 2 3 2 3" xfId="140"/>
    <cellStyle name="ErrorDate TBCenterAlign 2 3 2 3 2" xfId="140"/>
    <cellStyle name="ErrorDate TBCenterAlign 2 3 2 3 3" xfId="140"/>
    <cellStyle name="ErrorDate TBCenterAlign 2 3 2 3 4" xfId="140"/>
    <cellStyle name="ErrorDate TBCenterAlign 2 3 2 4" xfId="140"/>
    <cellStyle name="ErrorDate TBCenterAlign 2 3 2 5" xfId="140"/>
    <cellStyle name="ErrorDate TBCenterAlign 2 3 2 6" xfId="140"/>
    <cellStyle name="ErrorDate TBCenterAlign 2 3 2 7" xfId="140"/>
    <cellStyle name="ErrorDate TBCenterAlign 2 3 2 8" xfId="140"/>
    <cellStyle name="ErrorDate TBCenterAlign 2 3 3" xfId="140"/>
    <cellStyle name="ErrorDate TBCenterAlign 2 3 3 2" xfId="140"/>
    <cellStyle name="ErrorDate TBCenterAlign 2 3 3 2 2" xfId="140"/>
    <cellStyle name="ErrorDate TBCenterAlign 2 3 3 2 3" xfId="140"/>
    <cellStyle name="ErrorDate TBCenterAlign 2 3 3 2 4" xfId="140"/>
    <cellStyle name="ErrorDate TBCenterAlign 2 3 3 2 5" xfId="140"/>
    <cellStyle name="ErrorDate TBCenterAlign 2 3 3 3" xfId="140"/>
    <cellStyle name="ErrorDate TBCenterAlign 2 3 3 3 2" xfId="140"/>
    <cellStyle name="ErrorDate TBCenterAlign 2 3 3 3 3" xfId="140"/>
    <cellStyle name="ErrorDate TBCenterAlign 2 3 3 3 4" xfId="140"/>
    <cellStyle name="ErrorDate TBCenterAlign 2 3 3 4" xfId="140"/>
    <cellStyle name="ErrorDate TBCenterAlign 2 3 3 5" xfId="140"/>
    <cellStyle name="ErrorDate TBCenterAlign 2 3 3 6" xfId="140"/>
    <cellStyle name="ErrorDate TBCenterAlign 2 3 3 7" xfId="140"/>
    <cellStyle name="ErrorDate TBCenterAlign 2 3 3 8" xfId="140"/>
    <cellStyle name="ErrorDate TBCenterAlign 2 3 4" xfId="140"/>
    <cellStyle name="ErrorDate TBCenterAlign 2 3 4 2" xfId="140"/>
    <cellStyle name="ErrorDate TBCenterAlign 2 3 4 2 2" xfId="140"/>
    <cellStyle name="ErrorDate TBCenterAlign 2 3 4 2 3" xfId="140"/>
    <cellStyle name="ErrorDate TBCenterAlign 2 3 4 2 4" xfId="140"/>
    <cellStyle name="ErrorDate TBCenterAlign 2 3 4 2 5" xfId="140"/>
    <cellStyle name="ErrorDate TBCenterAlign 2 3 4 3" xfId="140"/>
    <cellStyle name="ErrorDate TBCenterAlign 2 3 4 3 2" xfId="140"/>
    <cellStyle name="ErrorDate TBCenterAlign 2 3 4 3 3" xfId="140"/>
    <cellStyle name="ErrorDate TBCenterAlign 2 3 4 3 4" xfId="140"/>
    <cellStyle name="ErrorDate TBCenterAlign 2 3 4 4" xfId="140"/>
    <cellStyle name="ErrorDate TBCenterAlign 2 3 4 5" xfId="140"/>
    <cellStyle name="ErrorDate TBCenterAlign 2 3 4 6" xfId="140"/>
    <cellStyle name="ErrorDate TBCenterAlign 2 3 4 7" xfId="140"/>
    <cellStyle name="ErrorDate TBCenterAlign 2 3 4 8" xfId="140"/>
    <cellStyle name="ErrorDate TBCenterAlign 2 3 5" xfId="140"/>
    <cellStyle name="ErrorDate TBCenterAlign 2 3 5 2" xfId="140"/>
    <cellStyle name="ErrorDate TBCenterAlign 2 3 5 2 2" xfId="140"/>
    <cellStyle name="ErrorDate TBCenterAlign 2 3 5 2 3" xfId="140"/>
    <cellStyle name="ErrorDate TBCenterAlign 2 3 5 2 4" xfId="140"/>
    <cellStyle name="ErrorDate TBCenterAlign 2 3 5 2 5" xfId="140"/>
    <cellStyle name="ErrorDate TBCenterAlign 2 3 5 3" xfId="140"/>
    <cellStyle name="ErrorDate TBCenterAlign 2 3 5 3 2" xfId="140"/>
    <cellStyle name="ErrorDate TBCenterAlign 2 3 5 3 3" xfId="140"/>
    <cellStyle name="ErrorDate TBCenterAlign 2 3 5 3 4" xfId="140"/>
    <cellStyle name="ErrorDate TBCenterAlign 2 3 5 4" xfId="140"/>
    <cellStyle name="ErrorDate TBCenterAlign 2 3 5 5" xfId="140"/>
    <cellStyle name="ErrorDate TBCenterAlign 2 3 5 6" xfId="140"/>
    <cellStyle name="ErrorDate TBCenterAlign 2 3 5 7" xfId="140"/>
    <cellStyle name="ErrorDate TBCenterAlign 2 3 5 8" xfId="140"/>
    <cellStyle name="ErrorDate TBCenterAlign 2 3 6" xfId="140"/>
    <cellStyle name="ErrorDate TBCenterAlign 2 3 6 2" xfId="140"/>
    <cellStyle name="ErrorDate TBCenterAlign 2 3 6 3" xfId="140"/>
    <cellStyle name="ErrorDate TBCenterAlign 2 3 6 4" xfId="140"/>
    <cellStyle name="ErrorDate TBCenterAlign 2 3 6 5" xfId="140"/>
    <cellStyle name="ErrorDate TBCenterAlign 2 3 7" xfId="140"/>
    <cellStyle name="ErrorDate TBCenterAlign 2 3 7 2" xfId="140"/>
    <cellStyle name="ErrorDate TBCenterAlign 2 3 7 3" xfId="140"/>
    <cellStyle name="ErrorDate TBCenterAlign 2 3 7 4" xfId="140"/>
    <cellStyle name="ErrorDate TBCenterAlign 2 3 8" xfId="140"/>
    <cellStyle name="ErrorDate TBCenterAlign 2 3 9" xfId="140"/>
    <cellStyle name="ErrorDate TBCenterAlign 2 4" xfId="140"/>
    <cellStyle name="ErrorDate TBCenterAlign 2 4 2" xfId="140"/>
    <cellStyle name="ErrorDate TBCenterAlign 2 4 2 2" xfId="140"/>
    <cellStyle name="ErrorDate TBCenterAlign 2 4 2 3" xfId="140"/>
    <cellStyle name="ErrorDate TBCenterAlign 2 4 2 4" xfId="140"/>
    <cellStyle name="ErrorDate TBCenterAlign 2 4 2 5" xfId="140"/>
    <cellStyle name="ErrorDate TBCenterAlign 2 4 3" xfId="140"/>
    <cellStyle name="ErrorDate TBCenterAlign 2 4 3 2" xfId="140"/>
    <cellStyle name="ErrorDate TBCenterAlign 2 4 3 3" xfId="140"/>
    <cellStyle name="ErrorDate TBCenterAlign 2 4 3 4" xfId="140"/>
    <cellStyle name="ErrorDate TBCenterAlign 2 4 4" xfId="140"/>
    <cellStyle name="ErrorDate TBCenterAlign 2 4 5" xfId="140"/>
    <cellStyle name="ErrorDate TBCenterAlign 2 4 6" xfId="140"/>
    <cellStyle name="ErrorDate TBCenterAlign 2 4 7" xfId="140"/>
    <cellStyle name="ErrorDate TBCenterAlign 2 4 8" xfId="140"/>
    <cellStyle name="ErrorDate TBCenterAlign 2 5" xfId="140"/>
    <cellStyle name="ErrorDate TBCenterAlign 2 5 2" xfId="140"/>
    <cellStyle name="ErrorDate TBCenterAlign 2 5 2 2" xfId="140"/>
    <cellStyle name="ErrorDate TBCenterAlign 2 5 2 3" xfId="140"/>
    <cellStyle name="ErrorDate TBCenterAlign 2 5 2 4" xfId="140"/>
    <cellStyle name="ErrorDate TBCenterAlign 2 5 2 5" xfId="140"/>
    <cellStyle name="ErrorDate TBCenterAlign 2 5 3" xfId="140"/>
    <cellStyle name="ErrorDate TBCenterAlign 2 5 3 2" xfId="140"/>
    <cellStyle name="ErrorDate TBCenterAlign 2 5 3 3" xfId="140"/>
    <cellStyle name="ErrorDate TBCenterAlign 2 5 3 4" xfId="140"/>
    <cellStyle name="ErrorDate TBCenterAlign 2 5 4" xfId="140"/>
    <cellStyle name="ErrorDate TBCenterAlign 2 5 5" xfId="140"/>
    <cellStyle name="ErrorDate TBCenterAlign 2 5 6" xfId="140"/>
    <cellStyle name="ErrorDate TBCenterAlign 2 5 7" xfId="140"/>
    <cellStyle name="ErrorDate TBCenterAlign 2 5 8" xfId="140"/>
    <cellStyle name="ErrorDate TBCenterAlign 2 6" xfId="140"/>
    <cellStyle name="ErrorDate TBCenterAlign 2 6 2" xfId="140"/>
    <cellStyle name="ErrorDate TBCenterAlign 2 6 2 2" xfId="140"/>
    <cellStyle name="ErrorDate TBCenterAlign 2 6 2 3" xfId="140"/>
    <cellStyle name="ErrorDate TBCenterAlign 2 6 2 4" xfId="140"/>
    <cellStyle name="ErrorDate TBCenterAlign 2 6 2 5" xfId="140"/>
    <cellStyle name="ErrorDate TBCenterAlign 2 6 3" xfId="140"/>
    <cellStyle name="ErrorDate TBCenterAlign 2 6 3 2" xfId="140"/>
    <cellStyle name="ErrorDate TBCenterAlign 2 6 3 3" xfId="140"/>
    <cellStyle name="ErrorDate TBCenterAlign 2 6 3 4" xfId="140"/>
    <cellStyle name="ErrorDate TBCenterAlign 2 6 4" xfId="140"/>
    <cellStyle name="ErrorDate TBCenterAlign 2 6 5" xfId="140"/>
    <cellStyle name="ErrorDate TBCenterAlign 2 6 6" xfId="140"/>
    <cellStyle name="ErrorDate TBCenterAlign 2 6 7" xfId="140"/>
    <cellStyle name="ErrorDate TBCenterAlign 2 6 8" xfId="140"/>
    <cellStyle name="ErrorDate TBCenterAlign 2 7" xfId="140"/>
    <cellStyle name="ErrorDate TBCenterAlign 2 7 2" xfId="140"/>
    <cellStyle name="ErrorDate TBCenterAlign 2 7 2 2" xfId="140"/>
    <cellStyle name="ErrorDate TBCenterAlign 2 7 2 3" xfId="140"/>
    <cellStyle name="ErrorDate TBCenterAlign 2 7 2 4" xfId="140"/>
    <cellStyle name="ErrorDate TBCenterAlign 2 7 2 5" xfId="140"/>
    <cellStyle name="ErrorDate TBCenterAlign 2 7 3" xfId="140"/>
    <cellStyle name="ErrorDate TBCenterAlign 2 7 3 2" xfId="140"/>
    <cellStyle name="ErrorDate TBCenterAlign 2 7 3 3" xfId="140"/>
    <cellStyle name="ErrorDate TBCenterAlign 2 7 3 4" xfId="140"/>
    <cellStyle name="ErrorDate TBCenterAlign 2 7 4" xfId="140"/>
    <cellStyle name="ErrorDate TBCenterAlign 2 7 5" xfId="140"/>
    <cellStyle name="ErrorDate TBCenterAlign 2 7 6" xfId="140"/>
    <cellStyle name="ErrorDate TBCenterAlign 2 7 7" xfId="140"/>
    <cellStyle name="ErrorDate TBCenterAlign 2 7 8" xfId="140"/>
    <cellStyle name="ErrorDate TBCenterAlign 2 8" xfId="140"/>
    <cellStyle name="ErrorDate TBCenterAlign 2 8 2" xfId="140"/>
    <cellStyle name="ErrorDate TBCenterAlign 2 8 3" xfId="140"/>
    <cellStyle name="ErrorDate TBCenterAlign 2 8 4" xfId="140"/>
    <cellStyle name="ErrorDate TBCenterAlign 2 8 5" xfId="140"/>
    <cellStyle name="ErrorDate TBCenterAlign 2 9" xfId="140"/>
    <cellStyle name="ErrorDate TBCenterAlign 2 9 2" xfId="140"/>
    <cellStyle name="ErrorDate TBCenterAlign 2 9 3" xfId="140"/>
    <cellStyle name="ErrorDate TBCenterAlign 2 9 4" xfId="140"/>
    <cellStyle name="ErrorDate TBCenterAlign 3" xfId="140"/>
    <cellStyle name="ErrorDate TBCenterAlign 3 10" xfId="140"/>
    <cellStyle name="ErrorDate TBCenterAlign 3 11" xfId="140"/>
    <cellStyle name="ErrorDate TBCenterAlign 3 12" xfId="140"/>
    <cellStyle name="ErrorDate TBCenterAlign 3 13" xfId="140"/>
    <cellStyle name="ErrorDate TBCenterAlign 3 14" xfId="140"/>
    <cellStyle name="ErrorDate TBCenterAlign 3 2" xfId="140"/>
    <cellStyle name="ErrorDate TBCenterAlign 3 2 10" xfId="140"/>
    <cellStyle name="ErrorDate TBCenterAlign 3 2 11" xfId="140"/>
    <cellStyle name="ErrorDate TBCenterAlign 3 2 12" xfId="140"/>
    <cellStyle name="ErrorDate TBCenterAlign 3 2 2" xfId="140"/>
    <cellStyle name="ErrorDate TBCenterAlign 3 2 2 2" xfId="140"/>
    <cellStyle name="ErrorDate TBCenterAlign 3 2 2 2 2" xfId="140"/>
    <cellStyle name="ErrorDate TBCenterAlign 3 2 2 2 3" xfId="140"/>
    <cellStyle name="ErrorDate TBCenterAlign 3 2 2 2 4" xfId="140"/>
    <cellStyle name="ErrorDate TBCenterAlign 3 2 2 2 5" xfId="140"/>
    <cellStyle name="ErrorDate TBCenterAlign 3 2 2 3" xfId="140"/>
    <cellStyle name="ErrorDate TBCenterAlign 3 2 2 3 2" xfId="140"/>
    <cellStyle name="ErrorDate TBCenterAlign 3 2 2 3 3" xfId="140"/>
    <cellStyle name="ErrorDate TBCenterAlign 3 2 2 3 4" xfId="140"/>
    <cellStyle name="ErrorDate TBCenterAlign 3 2 2 4" xfId="140"/>
    <cellStyle name="ErrorDate TBCenterAlign 3 2 2 5" xfId="140"/>
    <cellStyle name="ErrorDate TBCenterAlign 3 2 2 6" xfId="140"/>
    <cellStyle name="ErrorDate TBCenterAlign 3 2 2 7" xfId="140"/>
    <cellStyle name="ErrorDate TBCenterAlign 3 2 2 8" xfId="140"/>
    <cellStyle name="ErrorDate TBCenterAlign 3 2 3" xfId="140"/>
    <cellStyle name="ErrorDate TBCenterAlign 3 2 3 2" xfId="140"/>
    <cellStyle name="ErrorDate TBCenterAlign 3 2 3 2 2" xfId="140"/>
    <cellStyle name="ErrorDate TBCenterAlign 3 2 3 2 3" xfId="140"/>
    <cellStyle name="ErrorDate TBCenterAlign 3 2 3 2 4" xfId="140"/>
    <cellStyle name="ErrorDate TBCenterAlign 3 2 3 2 5" xfId="140"/>
    <cellStyle name="ErrorDate TBCenterAlign 3 2 3 3" xfId="140"/>
    <cellStyle name="ErrorDate TBCenterAlign 3 2 3 3 2" xfId="140"/>
    <cellStyle name="ErrorDate TBCenterAlign 3 2 3 3 3" xfId="140"/>
    <cellStyle name="ErrorDate TBCenterAlign 3 2 3 3 4" xfId="140"/>
    <cellStyle name="ErrorDate TBCenterAlign 3 2 3 4" xfId="140"/>
    <cellStyle name="ErrorDate TBCenterAlign 3 2 3 5" xfId="140"/>
    <cellStyle name="ErrorDate TBCenterAlign 3 2 3 6" xfId="140"/>
    <cellStyle name="ErrorDate TBCenterAlign 3 2 3 7" xfId="140"/>
    <cellStyle name="ErrorDate TBCenterAlign 3 2 3 8" xfId="140"/>
    <cellStyle name="ErrorDate TBCenterAlign 3 2 4" xfId="140"/>
    <cellStyle name="ErrorDate TBCenterAlign 3 2 4 2" xfId="140"/>
    <cellStyle name="ErrorDate TBCenterAlign 3 2 4 2 2" xfId="140"/>
    <cellStyle name="ErrorDate TBCenterAlign 3 2 4 2 3" xfId="140"/>
    <cellStyle name="ErrorDate TBCenterAlign 3 2 4 2 4" xfId="140"/>
    <cellStyle name="ErrorDate TBCenterAlign 3 2 4 2 5" xfId="140"/>
    <cellStyle name="ErrorDate TBCenterAlign 3 2 4 3" xfId="140"/>
    <cellStyle name="ErrorDate TBCenterAlign 3 2 4 3 2" xfId="140"/>
    <cellStyle name="ErrorDate TBCenterAlign 3 2 4 3 3" xfId="140"/>
    <cellStyle name="ErrorDate TBCenterAlign 3 2 4 3 4" xfId="140"/>
    <cellStyle name="ErrorDate TBCenterAlign 3 2 4 4" xfId="140"/>
    <cellStyle name="ErrorDate TBCenterAlign 3 2 4 5" xfId="140"/>
    <cellStyle name="ErrorDate TBCenterAlign 3 2 4 6" xfId="140"/>
    <cellStyle name="ErrorDate TBCenterAlign 3 2 4 7" xfId="140"/>
    <cellStyle name="ErrorDate TBCenterAlign 3 2 4 8" xfId="140"/>
    <cellStyle name="ErrorDate TBCenterAlign 3 2 5" xfId="140"/>
    <cellStyle name="ErrorDate TBCenterAlign 3 2 5 2" xfId="140"/>
    <cellStyle name="ErrorDate TBCenterAlign 3 2 5 2 2" xfId="140"/>
    <cellStyle name="ErrorDate TBCenterAlign 3 2 5 2 3" xfId="140"/>
    <cellStyle name="ErrorDate TBCenterAlign 3 2 5 2 4" xfId="140"/>
    <cellStyle name="ErrorDate TBCenterAlign 3 2 5 2 5" xfId="140"/>
    <cellStyle name="ErrorDate TBCenterAlign 3 2 5 3" xfId="140"/>
    <cellStyle name="ErrorDate TBCenterAlign 3 2 5 3 2" xfId="140"/>
    <cellStyle name="ErrorDate TBCenterAlign 3 2 5 3 3" xfId="140"/>
    <cellStyle name="ErrorDate TBCenterAlign 3 2 5 3 4" xfId="140"/>
    <cellStyle name="ErrorDate TBCenterAlign 3 2 5 4" xfId="140"/>
    <cellStyle name="ErrorDate TBCenterAlign 3 2 5 5" xfId="140"/>
    <cellStyle name="ErrorDate TBCenterAlign 3 2 5 6" xfId="140"/>
    <cellStyle name="ErrorDate TBCenterAlign 3 2 5 7" xfId="140"/>
    <cellStyle name="ErrorDate TBCenterAlign 3 2 5 8" xfId="140"/>
    <cellStyle name="ErrorDate TBCenterAlign 3 2 6" xfId="140"/>
    <cellStyle name="ErrorDate TBCenterAlign 3 2 6 2" xfId="140"/>
    <cellStyle name="ErrorDate TBCenterAlign 3 2 6 3" xfId="140"/>
    <cellStyle name="ErrorDate TBCenterAlign 3 2 6 4" xfId="140"/>
    <cellStyle name="ErrorDate TBCenterAlign 3 2 6 5" xfId="140"/>
    <cellStyle name="ErrorDate TBCenterAlign 3 2 7" xfId="140"/>
    <cellStyle name="ErrorDate TBCenterAlign 3 2 7 2" xfId="140"/>
    <cellStyle name="ErrorDate TBCenterAlign 3 2 7 3" xfId="140"/>
    <cellStyle name="ErrorDate TBCenterAlign 3 2 7 4" xfId="140"/>
    <cellStyle name="ErrorDate TBCenterAlign 3 2 8" xfId="140"/>
    <cellStyle name="ErrorDate TBCenterAlign 3 2 9" xfId="140"/>
    <cellStyle name="ErrorDate TBCenterAlign 3 3" xfId="140"/>
    <cellStyle name="ErrorDate TBCenterAlign 3 3 10" xfId="140"/>
    <cellStyle name="ErrorDate TBCenterAlign 3 3 11" xfId="140"/>
    <cellStyle name="ErrorDate TBCenterAlign 3 3 12" xfId="140"/>
    <cellStyle name="ErrorDate TBCenterAlign 3 3 2" xfId="140"/>
    <cellStyle name="ErrorDate TBCenterAlign 3 3 2 2" xfId="140"/>
    <cellStyle name="ErrorDate TBCenterAlign 3 3 2 2 2" xfId="140"/>
    <cellStyle name="ErrorDate TBCenterAlign 3 3 2 2 3" xfId="140"/>
    <cellStyle name="ErrorDate TBCenterAlign 3 3 2 2 4" xfId="140"/>
    <cellStyle name="ErrorDate TBCenterAlign 3 3 2 2 5" xfId="140"/>
    <cellStyle name="ErrorDate TBCenterAlign 3 3 2 3" xfId="140"/>
    <cellStyle name="ErrorDate TBCenterAlign 3 3 2 3 2" xfId="140"/>
    <cellStyle name="ErrorDate TBCenterAlign 3 3 2 3 3" xfId="140"/>
    <cellStyle name="ErrorDate TBCenterAlign 3 3 2 3 4" xfId="140"/>
    <cellStyle name="ErrorDate TBCenterAlign 3 3 2 4" xfId="140"/>
    <cellStyle name="ErrorDate TBCenterAlign 3 3 2 5" xfId="140"/>
    <cellStyle name="ErrorDate TBCenterAlign 3 3 2 6" xfId="140"/>
    <cellStyle name="ErrorDate TBCenterAlign 3 3 2 7" xfId="140"/>
    <cellStyle name="ErrorDate TBCenterAlign 3 3 2 8" xfId="140"/>
    <cellStyle name="ErrorDate TBCenterAlign 3 3 3" xfId="140"/>
    <cellStyle name="ErrorDate TBCenterAlign 3 3 3 2" xfId="140"/>
    <cellStyle name="ErrorDate TBCenterAlign 3 3 3 2 2" xfId="140"/>
    <cellStyle name="ErrorDate TBCenterAlign 3 3 3 2 3" xfId="140"/>
    <cellStyle name="ErrorDate TBCenterAlign 3 3 3 2 4" xfId="140"/>
    <cellStyle name="ErrorDate TBCenterAlign 3 3 3 2 5" xfId="140"/>
    <cellStyle name="ErrorDate TBCenterAlign 3 3 3 3" xfId="140"/>
    <cellStyle name="ErrorDate TBCenterAlign 3 3 3 3 2" xfId="140"/>
    <cellStyle name="ErrorDate TBCenterAlign 3 3 3 3 3" xfId="140"/>
    <cellStyle name="ErrorDate TBCenterAlign 3 3 3 3 4" xfId="140"/>
    <cellStyle name="ErrorDate TBCenterAlign 3 3 3 4" xfId="140"/>
    <cellStyle name="ErrorDate TBCenterAlign 3 3 3 5" xfId="140"/>
    <cellStyle name="ErrorDate TBCenterAlign 3 3 3 6" xfId="140"/>
    <cellStyle name="ErrorDate TBCenterAlign 3 3 3 7" xfId="140"/>
    <cellStyle name="ErrorDate TBCenterAlign 3 3 3 8" xfId="140"/>
    <cellStyle name="ErrorDate TBCenterAlign 3 3 4" xfId="140"/>
    <cellStyle name="ErrorDate TBCenterAlign 3 3 4 2" xfId="140"/>
    <cellStyle name="ErrorDate TBCenterAlign 3 3 4 2 2" xfId="140"/>
    <cellStyle name="ErrorDate TBCenterAlign 3 3 4 2 3" xfId="140"/>
    <cellStyle name="ErrorDate TBCenterAlign 3 3 4 2 4" xfId="140"/>
    <cellStyle name="ErrorDate TBCenterAlign 3 3 4 2 5" xfId="140"/>
    <cellStyle name="ErrorDate TBCenterAlign 3 3 4 3" xfId="140"/>
    <cellStyle name="ErrorDate TBCenterAlign 3 3 4 3 2" xfId="140"/>
    <cellStyle name="ErrorDate TBCenterAlign 3 3 4 3 3" xfId="140"/>
    <cellStyle name="ErrorDate TBCenterAlign 3 3 4 3 4" xfId="140"/>
    <cellStyle name="ErrorDate TBCenterAlign 3 3 4 4" xfId="140"/>
    <cellStyle name="ErrorDate TBCenterAlign 3 3 4 5" xfId="140"/>
    <cellStyle name="ErrorDate TBCenterAlign 3 3 4 6" xfId="140"/>
    <cellStyle name="ErrorDate TBCenterAlign 3 3 4 7" xfId="140"/>
    <cellStyle name="ErrorDate TBCenterAlign 3 3 4 8" xfId="140"/>
    <cellStyle name="ErrorDate TBCenterAlign 3 3 5" xfId="140"/>
    <cellStyle name="ErrorDate TBCenterAlign 3 3 5 2" xfId="140"/>
    <cellStyle name="ErrorDate TBCenterAlign 3 3 5 2 2" xfId="140"/>
    <cellStyle name="ErrorDate TBCenterAlign 3 3 5 2 3" xfId="140"/>
    <cellStyle name="ErrorDate TBCenterAlign 3 3 5 2 4" xfId="140"/>
    <cellStyle name="ErrorDate TBCenterAlign 3 3 5 2 5" xfId="140"/>
    <cellStyle name="ErrorDate TBCenterAlign 3 3 5 3" xfId="140"/>
    <cellStyle name="ErrorDate TBCenterAlign 3 3 5 3 2" xfId="140"/>
    <cellStyle name="ErrorDate TBCenterAlign 3 3 5 3 3" xfId="140"/>
    <cellStyle name="ErrorDate TBCenterAlign 3 3 5 3 4" xfId="140"/>
    <cellStyle name="ErrorDate TBCenterAlign 3 3 5 4" xfId="140"/>
    <cellStyle name="ErrorDate TBCenterAlign 3 3 5 5" xfId="140"/>
    <cellStyle name="ErrorDate TBCenterAlign 3 3 5 6" xfId="140"/>
    <cellStyle name="ErrorDate TBCenterAlign 3 3 5 7" xfId="140"/>
    <cellStyle name="ErrorDate TBCenterAlign 3 3 5 8" xfId="140"/>
    <cellStyle name="ErrorDate TBCenterAlign 3 3 6" xfId="140"/>
    <cellStyle name="ErrorDate TBCenterAlign 3 3 6 2" xfId="140"/>
    <cellStyle name="ErrorDate TBCenterAlign 3 3 6 3" xfId="140"/>
    <cellStyle name="ErrorDate TBCenterAlign 3 3 6 4" xfId="140"/>
    <cellStyle name="ErrorDate TBCenterAlign 3 3 6 5" xfId="140"/>
    <cellStyle name="ErrorDate TBCenterAlign 3 3 7" xfId="140"/>
    <cellStyle name="ErrorDate TBCenterAlign 3 3 7 2" xfId="140"/>
    <cellStyle name="ErrorDate TBCenterAlign 3 3 7 3" xfId="140"/>
    <cellStyle name="ErrorDate TBCenterAlign 3 3 7 4" xfId="140"/>
    <cellStyle name="ErrorDate TBCenterAlign 3 3 8" xfId="140"/>
    <cellStyle name="ErrorDate TBCenterAlign 3 3 9" xfId="140"/>
    <cellStyle name="ErrorDate TBCenterAlign 3 4" xfId="140"/>
    <cellStyle name="ErrorDate TBCenterAlign 3 4 2" xfId="140"/>
    <cellStyle name="ErrorDate TBCenterAlign 3 4 2 2" xfId="140"/>
    <cellStyle name="ErrorDate TBCenterAlign 3 4 2 3" xfId="140"/>
    <cellStyle name="ErrorDate TBCenterAlign 3 4 2 4" xfId="140"/>
    <cellStyle name="ErrorDate TBCenterAlign 3 4 2 5" xfId="140"/>
    <cellStyle name="ErrorDate TBCenterAlign 3 4 3" xfId="140"/>
    <cellStyle name="ErrorDate TBCenterAlign 3 4 3 2" xfId="140"/>
    <cellStyle name="ErrorDate TBCenterAlign 3 4 3 3" xfId="140"/>
    <cellStyle name="ErrorDate TBCenterAlign 3 4 3 4" xfId="140"/>
    <cellStyle name="ErrorDate TBCenterAlign 3 4 4" xfId="140"/>
    <cellStyle name="ErrorDate TBCenterAlign 3 4 5" xfId="140"/>
    <cellStyle name="ErrorDate TBCenterAlign 3 4 6" xfId="140"/>
    <cellStyle name="ErrorDate TBCenterAlign 3 4 7" xfId="140"/>
    <cellStyle name="ErrorDate TBCenterAlign 3 4 8" xfId="140"/>
    <cellStyle name="ErrorDate TBCenterAlign 3 5" xfId="140"/>
    <cellStyle name="ErrorDate TBCenterAlign 3 5 2" xfId="140"/>
    <cellStyle name="ErrorDate TBCenterAlign 3 5 2 2" xfId="140"/>
    <cellStyle name="ErrorDate TBCenterAlign 3 5 2 3" xfId="140"/>
    <cellStyle name="ErrorDate TBCenterAlign 3 5 2 4" xfId="140"/>
    <cellStyle name="ErrorDate TBCenterAlign 3 5 2 5" xfId="140"/>
    <cellStyle name="ErrorDate TBCenterAlign 3 5 3" xfId="140"/>
    <cellStyle name="ErrorDate TBCenterAlign 3 5 3 2" xfId="140"/>
    <cellStyle name="ErrorDate TBCenterAlign 3 5 3 3" xfId="140"/>
    <cellStyle name="ErrorDate TBCenterAlign 3 5 3 4" xfId="140"/>
    <cellStyle name="ErrorDate TBCenterAlign 3 5 4" xfId="140"/>
    <cellStyle name="ErrorDate TBCenterAlign 3 5 5" xfId="140"/>
    <cellStyle name="ErrorDate TBCenterAlign 3 5 6" xfId="140"/>
    <cellStyle name="ErrorDate TBCenterAlign 3 5 7" xfId="140"/>
    <cellStyle name="ErrorDate TBCenterAlign 3 5 8" xfId="140"/>
    <cellStyle name="ErrorDate TBCenterAlign 3 6" xfId="140"/>
    <cellStyle name="ErrorDate TBCenterAlign 3 6 2" xfId="140"/>
    <cellStyle name="ErrorDate TBCenterAlign 3 6 2 2" xfId="140"/>
    <cellStyle name="ErrorDate TBCenterAlign 3 6 2 3" xfId="140"/>
    <cellStyle name="ErrorDate TBCenterAlign 3 6 2 4" xfId="140"/>
    <cellStyle name="ErrorDate TBCenterAlign 3 6 2 5" xfId="140"/>
    <cellStyle name="ErrorDate TBCenterAlign 3 6 3" xfId="140"/>
    <cellStyle name="ErrorDate TBCenterAlign 3 6 3 2" xfId="140"/>
    <cellStyle name="ErrorDate TBCenterAlign 3 6 3 3" xfId="140"/>
    <cellStyle name="ErrorDate TBCenterAlign 3 6 3 4" xfId="140"/>
    <cellStyle name="ErrorDate TBCenterAlign 3 6 4" xfId="140"/>
    <cellStyle name="ErrorDate TBCenterAlign 3 6 5" xfId="140"/>
    <cellStyle name="ErrorDate TBCenterAlign 3 6 6" xfId="140"/>
    <cellStyle name="ErrorDate TBCenterAlign 3 6 7" xfId="140"/>
    <cellStyle name="ErrorDate TBCenterAlign 3 6 8" xfId="140"/>
    <cellStyle name="ErrorDate TBCenterAlign 3 7" xfId="140"/>
    <cellStyle name="ErrorDate TBCenterAlign 3 7 2" xfId="140"/>
    <cellStyle name="ErrorDate TBCenterAlign 3 7 2 2" xfId="140"/>
    <cellStyle name="ErrorDate TBCenterAlign 3 7 2 3" xfId="140"/>
    <cellStyle name="ErrorDate TBCenterAlign 3 7 2 4" xfId="140"/>
    <cellStyle name="ErrorDate TBCenterAlign 3 7 2 5" xfId="140"/>
    <cellStyle name="ErrorDate TBCenterAlign 3 7 3" xfId="140"/>
    <cellStyle name="ErrorDate TBCenterAlign 3 7 3 2" xfId="140"/>
    <cellStyle name="ErrorDate TBCenterAlign 3 7 3 3" xfId="140"/>
    <cellStyle name="ErrorDate TBCenterAlign 3 7 3 4" xfId="140"/>
    <cellStyle name="ErrorDate TBCenterAlign 3 7 4" xfId="140"/>
    <cellStyle name="ErrorDate TBCenterAlign 3 7 5" xfId="140"/>
    <cellStyle name="ErrorDate TBCenterAlign 3 7 6" xfId="140"/>
    <cellStyle name="ErrorDate TBCenterAlign 3 7 7" xfId="140"/>
    <cellStyle name="ErrorDate TBCenterAlign 3 7 8" xfId="140"/>
    <cellStyle name="ErrorDate TBCenterAlign 3 8" xfId="140"/>
    <cellStyle name="ErrorDate TBCenterAlign 3 8 2" xfId="140"/>
    <cellStyle name="ErrorDate TBCenterAlign 3 8 3" xfId="140"/>
    <cellStyle name="ErrorDate TBCenterAlign 3 8 4" xfId="140"/>
    <cellStyle name="ErrorDate TBCenterAlign 3 8 5" xfId="140"/>
    <cellStyle name="ErrorDate TBCenterAlign 3 9" xfId="140"/>
    <cellStyle name="ErrorDate TBCenterAlign 3 9 2" xfId="140"/>
    <cellStyle name="ErrorDate TBCenterAlign 3 9 3" xfId="140"/>
    <cellStyle name="ErrorDate TBCenterAlign 3 9 4" xfId="140"/>
    <cellStyle name="ErrorDate TBCenterAlign 4" xfId="140"/>
    <cellStyle name="ErrorDate TBCenterAlign 4 2" xfId="140"/>
    <cellStyle name="ErrorDate TBCenterAlign 4 2 2" xfId="140"/>
    <cellStyle name="ErrorDate TBCenterAlign 4 2 2 2" xfId="140"/>
    <cellStyle name="ErrorDate TBCenterAlign 4 2 2 3" xfId="140"/>
    <cellStyle name="ErrorDate TBCenterAlign 4 2 2 4" xfId="140"/>
    <cellStyle name="ErrorDate TBCenterAlign 4 2 2 5" xfId="140"/>
    <cellStyle name="ErrorDate TBCenterAlign 4 2 3" xfId="140"/>
    <cellStyle name="ErrorDate TBCenterAlign 4 2 3 2" xfId="140"/>
    <cellStyle name="ErrorDate TBCenterAlign 4 2 3 3" xfId="140"/>
    <cellStyle name="ErrorDate TBCenterAlign 4 2 3 4" xfId="140"/>
    <cellStyle name="ErrorDate TBCenterAlign 4 2 4" xfId="140"/>
    <cellStyle name="ErrorDate TBCenterAlign 4 2 5" xfId="140"/>
    <cellStyle name="ErrorDate TBCenterAlign 4 2 6" xfId="140"/>
    <cellStyle name="ErrorDate TBCenterAlign 4 2 7" xfId="140"/>
    <cellStyle name="ErrorDate TBCenterAlign 4 2 8" xfId="140"/>
    <cellStyle name="ErrorDate TBCenterAlign 4 3" xfId="140"/>
    <cellStyle name="ErrorDate TBCenterAlign 4 3 2" xfId="140"/>
    <cellStyle name="ErrorDate TBCenterAlign 4 3 2 2" xfId="140"/>
    <cellStyle name="ErrorDate TBCenterAlign 4 3 2 3" xfId="140"/>
    <cellStyle name="ErrorDate TBCenterAlign 4 3 2 4" xfId="140"/>
    <cellStyle name="ErrorDate TBCenterAlign 4 3 2 5" xfId="140"/>
    <cellStyle name="ErrorDate TBCenterAlign 4 3 3" xfId="140"/>
    <cellStyle name="ErrorDate TBCenterAlign 4 3 3 2" xfId="140"/>
    <cellStyle name="ErrorDate TBCenterAlign 4 3 3 3" xfId="140"/>
    <cellStyle name="ErrorDate TBCenterAlign 4 3 3 4" xfId="140"/>
    <cellStyle name="ErrorDate TBCenterAlign 4 3 4" xfId="140"/>
    <cellStyle name="ErrorDate TBCenterAlign 4 3 5" xfId="140"/>
    <cellStyle name="ErrorDate TBCenterAlign 4 3 6" xfId="140"/>
    <cellStyle name="ErrorDate TBCenterAlign 4 3 7" xfId="140"/>
    <cellStyle name="ErrorDate TBCenterAlign 4 4" xfId="140"/>
    <cellStyle name="ErrorDate TBCenterAlign 4 4 2" xfId="140"/>
    <cellStyle name="ErrorDate TBCenterAlign 4 4 3" xfId="140"/>
    <cellStyle name="ErrorDate TBCenterAlign 4 4 4" xfId="140"/>
    <cellStyle name="ErrorDate TBCenterAlign 4 4 5" xfId="140"/>
    <cellStyle name="ErrorDate TBCenterAlign 4 5" xfId="140"/>
    <cellStyle name="ErrorDate TBCenterAlign 4 5 2" xfId="140"/>
    <cellStyle name="ErrorDate TBCenterAlign 4 5 3" xfId="140"/>
    <cellStyle name="ErrorDate TBCenterAlign 4 5 4" xfId="140"/>
    <cellStyle name="ErrorDate TBCenterAlign 4 6" xfId="140"/>
    <cellStyle name="ErrorDate TBCenterAlign 4 7" xfId="140"/>
    <cellStyle name="ErrorDate TBCenterAlign 4 8" xfId="140"/>
    <cellStyle name="ErrorDate TBCenterAlign 4 9" xfId="140"/>
    <cellStyle name="ErrorDate TBCenterAlign 5" xfId="140"/>
    <cellStyle name="ErrorDate TBCenterAlign 5 2" xfId="140"/>
    <cellStyle name="ErrorDate TBCenterAlign 5 2 2" xfId="140"/>
    <cellStyle name="ErrorDate TBCenterAlign 5 2 3" xfId="140"/>
    <cellStyle name="ErrorDate TBCenterAlign 5 2 4" xfId="140"/>
    <cellStyle name="ErrorDate TBCenterAlign 5 2 5" xfId="140"/>
    <cellStyle name="ErrorDate TBCenterAlign 5 3" xfId="140"/>
    <cellStyle name="ErrorDate TBCenterAlign 5 3 2" xfId="140"/>
    <cellStyle name="ErrorDate TBCenterAlign 5 3 3" xfId="140"/>
    <cellStyle name="ErrorDate TBCenterAlign 5 3 4" xfId="140"/>
    <cellStyle name="ErrorDate TBCenterAlign 5 4" xfId="140"/>
    <cellStyle name="ErrorDate TBCenterAlign 5 5" xfId="140"/>
    <cellStyle name="ErrorDate TBCenterAlign 5 6" xfId="140"/>
    <cellStyle name="ErrorDate TBCenterAlign 5 7" xfId="140"/>
    <cellStyle name="ErrorDate TBCenterAlign 5 8" xfId="140"/>
    <cellStyle name="ErrorDate TBCenterAlign 6" xfId="140"/>
    <cellStyle name="ErrorDate TBCenterAlign 6 2" xfId="140"/>
    <cellStyle name="ErrorDate TBCenterAlign 6 3" xfId="140"/>
    <cellStyle name="ErrorDate TBCenterAlign 6 4" xfId="140"/>
    <cellStyle name="ErrorDate TBCenterAlign 6 5" xfId="140"/>
    <cellStyle name="ErrorDate TBCenterAlign 7" xfId="140"/>
    <cellStyle name="ErrorDate TBCenterAlign 8" xfId="140"/>
    <cellStyle name="ErrorDropDown" xfId="141"/>
    <cellStyle name="ErrorDropDown 2" xfId="141"/>
    <cellStyle name="ErrorDropDown 2 10" xfId="141"/>
    <cellStyle name="ErrorDropDown 2 11" xfId="141"/>
    <cellStyle name="ErrorDropDown 2 12" xfId="141"/>
    <cellStyle name="ErrorDropDown 2 13" xfId="141"/>
    <cellStyle name="ErrorDropDown 2 14" xfId="141"/>
    <cellStyle name="ErrorDropDown 2 2" xfId="141"/>
    <cellStyle name="ErrorDropDown 2 2 10" xfId="141"/>
    <cellStyle name="ErrorDropDown 2 2 11" xfId="141"/>
    <cellStyle name="ErrorDropDown 2 2 12" xfId="141"/>
    <cellStyle name="ErrorDropDown 2 2 13" xfId="141"/>
    <cellStyle name="ErrorDropDown 2 2 14" xfId="141"/>
    <cellStyle name="ErrorDropDown 2 2 2" xfId="141"/>
    <cellStyle name="ErrorDropDown 2 2 2 10" xfId="141"/>
    <cellStyle name="ErrorDropDown 2 2 2 11" xfId="141"/>
    <cellStyle name="ErrorDropDown 2 2 2 12" xfId="141"/>
    <cellStyle name="ErrorDropDown 2 2 2 2" xfId="141"/>
    <cellStyle name="ErrorDropDown 2 2 2 2 2" xfId="141"/>
    <cellStyle name="ErrorDropDown 2 2 2 2 2 2" xfId="141"/>
    <cellStyle name="ErrorDropDown 2 2 2 2 2 3" xfId="141"/>
    <cellStyle name="ErrorDropDown 2 2 2 2 2 4" xfId="141"/>
    <cellStyle name="ErrorDropDown 2 2 2 2 2 5" xfId="141"/>
    <cellStyle name="ErrorDropDown 2 2 2 2 3" xfId="141"/>
    <cellStyle name="ErrorDropDown 2 2 2 2 3 2" xfId="141"/>
    <cellStyle name="ErrorDropDown 2 2 2 2 3 3" xfId="141"/>
    <cellStyle name="ErrorDropDown 2 2 2 2 3 4" xfId="141"/>
    <cellStyle name="ErrorDropDown 2 2 2 2 4" xfId="141"/>
    <cellStyle name="ErrorDropDown 2 2 2 2 5" xfId="141"/>
    <cellStyle name="ErrorDropDown 2 2 2 2 6" xfId="141"/>
    <cellStyle name="ErrorDropDown 2 2 2 2 7" xfId="141"/>
    <cellStyle name="ErrorDropDown 2 2 2 2 8" xfId="141"/>
    <cellStyle name="ErrorDropDown 2 2 2 3" xfId="141"/>
    <cellStyle name="ErrorDropDown 2 2 2 3 2" xfId="141"/>
    <cellStyle name="ErrorDropDown 2 2 2 3 2 2" xfId="141"/>
    <cellStyle name="ErrorDropDown 2 2 2 3 2 3" xfId="141"/>
    <cellStyle name="ErrorDropDown 2 2 2 3 2 4" xfId="141"/>
    <cellStyle name="ErrorDropDown 2 2 2 3 2 5" xfId="141"/>
    <cellStyle name="ErrorDropDown 2 2 2 3 3" xfId="141"/>
    <cellStyle name="ErrorDropDown 2 2 2 3 3 2" xfId="141"/>
    <cellStyle name="ErrorDropDown 2 2 2 3 3 3" xfId="141"/>
    <cellStyle name="ErrorDropDown 2 2 2 3 3 4" xfId="141"/>
    <cellStyle name="ErrorDropDown 2 2 2 3 4" xfId="141"/>
    <cellStyle name="ErrorDropDown 2 2 2 3 5" xfId="141"/>
    <cellStyle name="ErrorDropDown 2 2 2 3 6" xfId="141"/>
    <cellStyle name="ErrorDropDown 2 2 2 3 7" xfId="141"/>
    <cellStyle name="ErrorDropDown 2 2 2 3 8" xfId="141"/>
    <cellStyle name="ErrorDropDown 2 2 2 4" xfId="141"/>
    <cellStyle name="ErrorDropDown 2 2 2 4 2" xfId="141"/>
    <cellStyle name="ErrorDropDown 2 2 2 4 2 2" xfId="141"/>
    <cellStyle name="ErrorDropDown 2 2 2 4 2 3" xfId="141"/>
    <cellStyle name="ErrorDropDown 2 2 2 4 2 4" xfId="141"/>
    <cellStyle name="ErrorDropDown 2 2 2 4 2 5" xfId="141"/>
    <cellStyle name="ErrorDropDown 2 2 2 4 3" xfId="141"/>
    <cellStyle name="ErrorDropDown 2 2 2 4 3 2" xfId="141"/>
    <cellStyle name="ErrorDropDown 2 2 2 4 3 3" xfId="141"/>
    <cellStyle name="ErrorDropDown 2 2 2 4 3 4" xfId="141"/>
    <cellStyle name="ErrorDropDown 2 2 2 4 4" xfId="141"/>
    <cellStyle name="ErrorDropDown 2 2 2 4 5" xfId="141"/>
    <cellStyle name="ErrorDropDown 2 2 2 4 6" xfId="141"/>
    <cellStyle name="ErrorDropDown 2 2 2 4 7" xfId="141"/>
    <cellStyle name="ErrorDropDown 2 2 2 4 8" xfId="141"/>
    <cellStyle name="ErrorDropDown 2 2 2 5" xfId="141"/>
    <cellStyle name="ErrorDropDown 2 2 2 5 2" xfId="141"/>
    <cellStyle name="ErrorDropDown 2 2 2 5 2 2" xfId="141"/>
    <cellStyle name="ErrorDropDown 2 2 2 5 2 3" xfId="141"/>
    <cellStyle name="ErrorDropDown 2 2 2 5 2 4" xfId="141"/>
    <cellStyle name="ErrorDropDown 2 2 2 5 2 5" xfId="141"/>
    <cellStyle name="ErrorDropDown 2 2 2 5 3" xfId="141"/>
    <cellStyle name="ErrorDropDown 2 2 2 5 3 2" xfId="141"/>
    <cellStyle name="ErrorDropDown 2 2 2 5 3 3" xfId="141"/>
    <cellStyle name="ErrorDropDown 2 2 2 5 3 4" xfId="141"/>
    <cellStyle name="ErrorDropDown 2 2 2 5 4" xfId="141"/>
    <cellStyle name="ErrorDropDown 2 2 2 5 5" xfId="141"/>
    <cellStyle name="ErrorDropDown 2 2 2 5 6" xfId="141"/>
    <cellStyle name="ErrorDropDown 2 2 2 5 7" xfId="141"/>
    <cellStyle name="ErrorDropDown 2 2 2 5 8" xfId="141"/>
    <cellStyle name="ErrorDropDown 2 2 2 6" xfId="141"/>
    <cellStyle name="ErrorDropDown 2 2 2 6 2" xfId="141"/>
    <cellStyle name="ErrorDropDown 2 2 2 6 3" xfId="141"/>
    <cellStyle name="ErrorDropDown 2 2 2 6 4" xfId="141"/>
    <cellStyle name="ErrorDropDown 2 2 2 6 5" xfId="141"/>
    <cellStyle name="ErrorDropDown 2 2 2 7" xfId="141"/>
    <cellStyle name="ErrorDropDown 2 2 2 7 2" xfId="141"/>
    <cellStyle name="ErrorDropDown 2 2 2 7 3" xfId="141"/>
    <cellStyle name="ErrorDropDown 2 2 2 7 4" xfId="141"/>
    <cellStyle name="ErrorDropDown 2 2 2 8" xfId="141"/>
    <cellStyle name="ErrorDropDown 2 2 2 9" xfId="141"/>
    <cellStyle name="ErrorDropDown 2 2 3" xfId="141"/>
    <cellStyle name="ErrorDropDown 2 2 3 10" xfId="141"/>
    <cellStyle name="ErrorDropDown 2 2 3 11" xfId="141"/>
    <cellStyle name="ErrorDropDown 2 2 3 12" xfId="141"/>
    <cellStyle name="ErrorDropDown 2 2 3 2" xfId="141"/>
    <cellStyle name="ErrorDropDown 2 2 3 2 2" xfId="141"/>
    <cellStyle name="ErrorDropDown 2 2 3 2 2 2" xfId="141"/>
    <cellStyle name="ErrorDropDown 2 2 3 2 2 3" xfId="141"/>
    <cellStyle name="ErrorDropDown 2 2 3 2 2 4" xfId="141"/>
    <cellStyle name="ErrorDropDown 2 2 3 2 2 5" xfId="141"/>
    <cellStyle name="ErrorDropDown 2 2 3 2 3" xfId="141"/>
    <cellStyle name="ErrorDropDown 2 2 3 2 3 2" xfId="141"/>
    <cellStyle name="ErrorDropDown 2 2 3 2 3 3" xfId="141"/>
    <cellStyle name="ErrorDropDown 2 2 3 2 3 4" xfId="141"/>
    <cellStyle name="ErrorDropDown 2 2 3 2 4" xfId="141"/>
    <cellStyle name="ErrorDropDown 2 2 3 2 5" xfId="141"/>
    <cellStyle name="ErrorDropDown 2 2 3 2 6" xfId="141"/>
    <cellStyle name="ErrorDropDown 2 2 3 2 7" xfId="141"/>
    <cellStyle name="ErrorDropDown 2 2 3 2 8" xfId="141"/>
    <cellStyle name="ErrorDropDown 2 2 3 3" xfId="141"/>
    <cellStyle name="ErrorDropDown 2 2 3 3 2" xfId="141"/>
    <cellStyle name="ErrorDropDown 2 2 3 3 2 2" xfId="141"/>
    <cellStyle name="ErrorDropDown 2 2 3 3 2 3" xfId="141"/>
    <cellStyle name="ErrorDropDown 2 2 3 3 2 4" xfId="141"/>
    <cellStyle name="ErrorDropDown 2 2 3 3 2 5" xfId="141"/>
    <cellStyle name="ErrorDropDown 2 2 3 3 3" xfId="141"/>
    <cellStyle name="ErrorDropDown 2 2 3 3 3 2" xfId="141"/>
    <cellStyle name="ErrorDropDown 2 2 3 3 3 3" xfId="141"/>
    <cellStyle name="ErrorDropDown 2 2 3 3 3 4" xfId="141"/>
    <cellStyle name="ErrorDropDown 2 2 3 3 4" xfId="141"/>
    <cellStyle name="ErrorDropDown 2 2 3 3 5" xfId="141"/>
    <cellStyle name="ErrorDropDown 2 2 3 3 6" xfId="141"/>
    <cellStyle name="ErrorDropDown 2 2 3 3 7" xfId="141"/>
    <cellStyle name="ErrorDropDown 2 2 3 3 8" xfId="141"/>
    <cellStyle name="ErrorDropDown 2 2 3 4" xfId="141"/>
    <cellStyle name="ErrorDropDown 2 2 3 4 2" xfId="141"/>
    <cellStyle name="ErrorDropDown 2 2 3 4 2 2" xfId="141"/>
    <cellStyle name="ErrorDropDown 2 2 3 4 2 3" xfId="141"/>
    <cellStyle name="ErrorDropDown 2 2 3 4 2 4" xfId="141"/>
    <cellStyle name="ErrorDropDown 2 2 3 4 2 5" xfId="141"/>
    <cellStyle name="ErrorDropDown 2 2 3 4 3" xfId="141"/>
    <cellStyle name="ErrorDropDown 2 2 3 4 3 2" xfId="141"/>
    <cellStyle name="ErrorDropDown 2 2 3 4 3 3" xfId="141"/>
    <cellStyle name="ErrorDropDown 2 2 3 4 3 4" xfId="141"/>
    <cellStyle name="ErrorDropDown 2 2 3 4 4" xfId="141"/>
    <cellStyle name="ErrorDropDown 2 2 3 4 5" xfId="141"/>
    <cellStyle name="ErrorDropDown 2 2 3 4 6" xfId="141"/>
    <cellStyle name="ErrorDropDown 2 2 3 4 7" xfId="141"/>
    <cellStyle name="ErrorDropDown 2 2 3 4 8" xfId="141"/>
    <cellStyle name="ErrorDropDown 2 2 3 5" xfId="141"/>
    <cellStyle name="ErrorDropDown 2 2 3 5 2" xfId="141"/>
    <cellStyle name="ErrorDropDown 2 2 3 5 2 2" xfId="141"/>
    <cellStyle name="ErrorDropDown 2 2 3 5 2 3" xfId="141"/>
    <cellStyle name="ErrorDropDown 2 2 3 5 2 4" xfId="141"/>
    <cellStyle name="ErrorDropDown 2 2 3 5 2 5" xfId="141"/>
    <cellStyle name="ErrorDropDown 2 2 3 5 3" xfId="141"/>
    <cellStyle name="ErrorDropDown 2 2 3 5 3 2" xfId="141"/>
    <cellStyle name="ErrorDropDown 2 2 3 5 3 3" xfId="141"/>
    <cellStyle name="ErrorDropDown 2 2 3 5 3 4" xfId="141"/>
    <cellStyle name="ErrorDropDown 2 2 3 5 4" xfId="141"/>
    <cellStyle name="ErrorDropDown 2 2 3 5 5" xfId="141"/>
    <cellStyle name="ErrorDropDown 2 2 3 5 6" xfId="141"/>
    <cellStyle name="ErrorDropDown 2 2 3 5 7" xfId="141"/>
    <cellStyle name="ErrorDropDown 2 2 3 5 8" xfId="141"/>
    <cellStyle name="ErrorDropDown 2 2 3 6" xfId="141"/>
    <cellStyle name="ErrorDropDown 2 2 3 6 2" xfId="141"/>
    <cellStyle name="ErrorDropDown 2 2 3 6 3" xfId="141"/>
    <cellStyle name="ErrorDropDown 2 2 3 6 4" xfId="141"/>
    <cellStyle name="ErrorDropDown 2 2 3 6 5" xfId="141"/>
    <cellStyle name="ErrorDropDown 2 2 3 7" xfId="141"/>
    <cellStyle name="ErrorDropDown 2 2 3 7 2" xfId="141"/>
    <cellStyle name="ErrorDropDown 2 2 3 7 3" xfId="141"/>
    <cellStyle name="ErrorDropDown 2 2 3 7 4" xfId="141"/>
    <cellStyle name="ErrorDropDown 2 2 3 8" xfId="141"/>
    <cellStyle name="ErrorDropDown 2 2 3 9" xfId="141"/>
    <cellStyle name="ErrorDropDown 2 2 4" xfId="141"/>
    <cellStyle name="ErrorDropDown 2 2 4 2" xfId="141"/>
    <cellStyle name="ErrorDropDown 2 2 4 2 2" xfId="141"/>
    <cellStyle name="ErrorDropDown 2 2 4 2 3" xfId="141"/>
    <cellStyle name="ErrorDropDown 2 2 4 2 4" xfId="141"/>
    <cellStyle name="ErrorDropDown 2 2 4 2 5" xfId="141"/>
    <cellStyle name="ErrorDropDown 2 2 4 3" xfId="141"/>
    <cellStyle name="ErrorDropDown 2 2 4 3 2" xfId="141"/>
    <cellStyle name="ErrorDropDown 2 2 4 3 3" xfId="141"/>
    <cellStyle name="ErrorDropDown 2 2 4 3 4" xfId="141"/>
    <cellStyle name="ErrorDropDown 2 2 4 4" xfId="141"/>
    <cellStyle name="ErrorDropDown 2 2 4 5" xfId="141"/>
    <cellStyle name="ErrorDropDown 2 2 4 6" xfId="141"/>
    <cellStyle name="ErrorDropDown 2 2 4 7" xfId="141"/>
    <cellStyle name="ErrorDropDown 2 2 4 8" xfId="141"/>
    <cellStyle name="ErrorDropDown 2 2 5" xfId="141"/>
    <cellStyle name="ErrorDropDown 2 2 5 2" xfId="141"/>
    <cellStyle name="ErrorDropDown 2 2 5 2 2" xfId="141"/>
    <cellStyle name="ErrorDropDown 2 2 5 2 3" xfId="141"/>
    <cellStyle name="ErrorDropDown 2 2 5 2 4" xfId="141"/>
    <cellStyle name="ErrorDropDown 2 2 5 2 5" xfId="141"/>
    <cellStyle name="ErrorDropDown 2 2 5 3" xfId="141"/>
    <cellStyle name="ErrorDropDown 2 2 5 3 2" xfId="141"/>
    <cellStyle name="ErrorDropDown 2 2 5 3 3" xfId="141"/>
    <cellStyle name="ErrorDropDown 2 2 5 3 4" xfId="141"/>
    <cellStyle name="ErrorDropDown 2 2 5 4" xfId="141"/>
    <cellStyle name="ErrorDropDown 2 2 5 5" xfId="141"/>
    <cellStyle name="ErrorDropDown 2 2 5 6" xfId="141"/>
    <cellStyle name="ErrorDropDown 2 2 5 7" xfId="141"/>
    <cellStyle name="ErrorDropDown 2 2 5 8" xfId="141"/>
    <cellStyle name="ErrorDropDown 2 2 6" xfId="141"/>
    <cellStyle name="ErrorDropDown 2 2 6 2" xfId="141"/>
    <cellStyle name="ErrorDropDown 2 2 6 2 2" xfId="141"/>
    <cellStyle name="ErrorDropDown 2 2 6 2 3" xfId="141"/>
    <cellStyle name="ErrorDropDown 2 2 6 2 4" xfId="141"/>
    <cellStyle name="ErrorDropDown 2 2 6 2 5" xfId="141"/>
    <cellStyle name="ErrorDropDown 2 2 6 3" xfId="141"/>
    <cellStyle name="ErrorDropDown 2 2 6 3 2" xfId="141"/>
    <cellStyle name="ErrorDropDown 2 2 6 3 3" xfId="141"/>
    <cellStyle name="ErrorDropDown 2 2 6 3 4" xfId="141"/>
    <cellStyle name="ErrorDropDown 2 2 6 4" xfId="141"/>
    <cellStyle name="ErrorDropDown 2 2 6 5" xfId="141"/>
    <cellStyle name="ErrorDropDown 2 2 6 6" xfId="141"/>
    <cellStyle name="ErrorDropDown 2 2 6 7" xfId="141"/>
    <cellStyle name="ErrorDropDown 2 2 6 8" xfId="141"/>
    <cellStyle name="ErrorDropDown 2 2 7" xfId="141"/>
    <cellStyle name="ErrorDropDown 2 2 7 2" xfId="141"/>
    <cellStyle name="ErrorDropDown 2 2 7 2 2" xfId="141"/>
    <cellStyle name="ErrorDropDown 2 2 7 2 3" xfId="141"/>
    <cellStyle name="ErrorDropDown 2 2 7 2 4" xfId="141"/>
    <cellStyle name="ErrorDropDown 2 2 7 2 5" xfId="141"/>
    <cellStyle name="ErrorDropDown 2 2 7 3" xfId="141"/>
    <cellStyle name="ErrorDropDown 2 2 7 3 2" xfId="141"/>
    <cellStyle name="ErrorDropDown 2 2 7 3 3" xfId="141"/>
    <cellStyle name="ErrorDropDown 2 2 7 3 4" xfId="141"/>
    <cellStyle name="ErrorDropDown 2 2 7 4" xfId="141"/>
    <cellStyle name="ErrorDropDown 2 2 7 5" xfId="141"/>
    <cellStyle name="ErrorDropDown 2 2 7 6" xfId="141"/>
    <cellStyle name="ErrorDropDown 2 2 7 7" xfId="141"/>
    <cellStyle name="ErrorDropDown 2 2 7 8" xfId="141"/>
    <cellStyle name="ErrorDropDown 2 2 8" xfId="141"/>
    <cellStyle name="ErrorDropDown 2 2 8 2" xfId="141"/>
    <cellStyle name="ErrorDropDown 2 2 8 3" xfId="141"/>
    <cellStyle name="ErrorDropDown 2 2 8 4" xfId="141"/>
    <cellStyle name="ErrorDropDown 2 2 8 5" xfId="141"/>
    <cellStyle name="ErrorDropDown 2 2 9" xfId="141"/>
    <cellStyle name="ErrorDropDown 2 2 9 2" xfId="141"/>
    <cellStyle name="ErrorDropDown 2 2 9 3" xfId="141"/>
    <cellStyle name="ErrorDropDown 2 2 9 4" xfId="141"/>
    <cellStyle name="ErrorDropDown 2 3" xfId="141"/>
    <cellStyle name="ErrorDropDown 2 3 10" xfId="141"/>
    <cellStyle name="ErrorDropDown 2 3 11" xfId="141"/>
    <cellStyle name="ErrorDropDown 2 3 12" xfId="141"/>
    <cellStyle name="ErrorDropDown 2 3 2" xfId="141"/>
    <cellStyle name="ErrorDropDown 2 3 2 2" xfId="141"/>
    <cellStyle name="ErrorDropDown 2 3 2 2 2" xfId="141"/>
    <cellStyle name="ErrorDropDown 2 3 2 2 3" xfId="141"/>
    <cellStyle name="ErrorDropDown 2 3 2 2 4" xfId="141"/>
    <cellStyle name="ErrorDropDown 2 3 2 2 5" xfId="141"/>
    <cellStyle name="ErrorDropDown 2 3 2 3" xfId="141"/>
    <cellStyle name="ErrorDropDown 2 3 2 3 2" xfId="141"/>
    <cellStyle name="ErrorDropDown 2 3 2 3 3" xfId="141"/>
    <cellStyle name="ErrorDropDown 2 3 2 3 4" xfId="141"/>
    <cellStyle name="ErrorDropDown 2 3 2 4" xfId="141"/>
    <cellStyle name="ErrorDropDown 2 3 2 5" xfId="141"/>
    <cellStyle name="ErrorDropDown 2 3 2 6" xfId="141"/>
    <cellStyle name="ErrorDropDown 2 3 2 7" xfId="141"/>
    <cellStyle name="ErrorDropDown 2 3 2 8" xfId="141"/>
    <cellStyle name="ErrorDropDown 2 3 3" xfId="141"/>
    <cellStyle name="ErrorDropDown 2 3 3 2" xfId="141"/>
    <cellStyle name="ErrorDropDown 2 3 3 2 2" xfId="141"/>
    <cellStyle name="ErrorDropDown 2 3 3 2 3" xfId="141"/>
    <cellStyle name="ErrorDropDown 2 3 3 2 4" xfId="141"/>
    <cellStyle name="ErrorDropDown 2 3 3 2 5" xfId="141"/>
    <cellStyle name="ErrorDropDown 2 3 3 3" xfId="141"/>
    <cellStyle name="ErrorDropDown 2 3 3 3 2" xfId="141"/>
    <cellStyle name="ErrorDropDown 2 3 3 3 3" xfId="141"/>
    <cellStyle name="ErrorDropDown 2 3 3 3 4" xfId="141"/>
    <cellStyle name="ErrorDropDown 2 3 3 4" xfId="141"/>
    <cellStyle name="ErrorDropDown 2 3 3 5" xfId="141"/>
    <cellStyle name="ErrorDropDown 2 3 3 6" xfId="141"/>
    <cellStyle name="ErrorDropDown 2 3 3 7" xfId="141"/>
    <cellStyle name="ErrorDropDown 2 3 3 8" xfId="141"/>
    <cellStyle name="ErrorDropDown 2 3 4" xfId="141"/>
    <cellStyle name="ErrorDropDown 2 3 4 2" xfId="141"/>
    <cellStyle name="ErrorDropDown 2 3 4 2 2" xfId="141"/>
    <cellStyle name="ErrorDropDown 2 3 4 2 3" xfId="141"/>
    <cellStyle name="ErrorDropDown 2 3 4 2 4" xfId="141"/>
    <cellStyle name="ErrorDropDown 2 3 4 2 5" xfId="141"/>
    <cellStyle name="ErrorDropDown 2 3 4 3" xfId="141"/>
    <cellStyle name="ErrorDropDown 2 3 4 3 2" xfId="141"/>
    <cellStyle name="ErrorDropDown 2 3 4 3 3" xfId="141"/>
    <cellStyle name="ErrorDropDown 2 3 4 3 4" xfId="141"/>
    <cellStyle name="ErrorDropDown 2 3 4 4" xfId="141"/>
    <cellStyle name="ErrorDropDown 2 3 4 5" xfId="141"/>
    <cellStyle name="ErrorDropDown 2 3 4 6" xfId="141"/>
    <cellStyle name="ErrorDropDown 2 3 4 7" xfId="141"/>
    <cellStyle name="ErrorDropDown 2 3 4 8" xfId="141"/>
    <cellStyle name="ErrorDropDown 2 3 5" xfId="141"/>
    <cellStyle name="ErrorDropDown 2 3 5 2" xfId="141"/>
    <cellStyle name="ErrorDropDown 2 3 5 2 2" xfId="141"/>
    <cellStyle name="ErrorDropDown 2 3 5 2 3" xfId="141"/>
    <cellStyle name="ErrorDropDown 2 3 5 2 4" xfId="141"/>
    <cellStyle name="ErrorDropDown 2 3 5 2 5" xfId="141"/>
    <cellStyle name="ErrorDropDown 2 3 5 3" xfId="141"/>
    <cellStyle name="ErrorDropDown 2 3 5 3 2" xfId="141"/>
    <cellStyle name="ErrorDropDown 2 3 5 3 3" xfId="141"/>
    <cellStyle name="ErrorDropDown 2 3 5 3 4" xfId="141"/>
    <cellStyle name="ErrorDropDown 2 3 5 4" xfId="141"/>
    <cellStyle name="ErrorDropDown 2 3 5 5" xfId="141"/>
    <cellStyle name="ErrorDropDown 2 3 5 6" xfId="141"/>
    <cellStyle name="ErrorDropDown 2 3 5 7" xfId="141"/>
    <cellStyle name="ErrorDropDown 2 3 5 8" xfId="141"/>
    <cellStyle name="ErrorDropDown 2 3 6" xfId="141"/>
    <cellStyle name="ErrorDropDown 2 3 6 2" xfId="141"/>
    <cellStyle name="ErrorDropDown 2 3 6 3" xfId="141"/>
    <cellStyle name="ErrorDropDown 2 3 6 4" xfId="141"/>
    <cellStyle name="ErrorDropDown 2 3 6 5" xfId="141"/>
    <cellStyle name="ErrorDropDown 2 3 7" xfId="141"/>
    <cellStyle name="ErrorDropDown 2 3 7 2" xfId="141"/>
    <cellStyle name="ErrorDropDown 2 3 7 3" xfId="141"/>
    <cellStyle name="ErrorDropDown 2 3 7 4" xfId="141"/>
    <cellStyle name="ErrorDropDown 2 3 8" xfId="141"/>
    <cellStyle name="ErrorDropDown 2 3 9" xfId="141"/>
    <cellStyle name="ErrorDropDown 2 4" xfId="141"/>
    <cellStyle name="ErrorDropDown 2 4 2" xfId="141"/>
    <cellStyle name="ErrorDropDown 2 4 2 2" xfId="141"/>
    <cellStyle name="ErrorDropDown 2 4 2 3" xfId="141"/>
    <cellStyle name="ErrorDropDown 2 4 2 4" xfId="141"/>
    <cellStyle name="ErrorDropDown 2 4 2 5" xfId="141"/>
    <cellStyle name="ErrorDropDown 2 4 3" xfId="141"/>
    <cellStyle name="ErrorDropDown 2 4 3 2" xfId="141"/>
    <cellStyle name="ErrorDropDown 2 4 3 3" xfId="141"/>
    <cellStyle name="ErrorDropDown 2 4 3 4" xfId="141"/>
    <cellStyle name="ErrorDropDown 2 4 4" xfId="141"/>
    <cellStyle name="ErrorDropDown 2 4 5" xfId="141"/>
    <cellStyle name="ErrorDropDown 2 4 6" xfId="141"/>
    <cellStyle name="ErrorDropDown 2 4 7" xfId="141"/>
    <cellStyle name="ErrorDropDown 2 4 8" xfId="141"/>
    <cellStyle name="ErrorDropDown 2 5" xfId="141"/>
    <cellStyle name="ErrorDropDown 2 5 2" xfId="141"/>
    <cellStyle name="ErrorDropDown 2 5 2 2" xfId="141"/>
    <cellStyle name="ErrorDropDown 2 5 2 3" xfId="141"/>
    <cellStyle name="ErrorDropDown 2 5 2 4" xfId="141"/>
    <cellStyle name="ErrorDropDown 2 5 2 5" xfId="141"/>
    <cellStyle name="ErrorDropDown 2 5 3" xfId="141"/>
    <cellStyle name="ErrorDropDown 2 5 3 2" xfId="141"/>
    <cellStyle name="ErrorDropDown 2 5 3 3" xfId="141"/>
    <cellStyle name="ErrorDropDown 2 5 3 4" xfId="141"/>
    <cellStyle name="ErrorDropDown 2 5 4" xfId="141"/>
    <cellStyle name="ErrorDropDown 2 5 5" xfId="141"/>
    <cellStyle name="ErrorDropDown 2 5 6" xfId="141"/>
    <cellStyle name="ErrorDropDown 2 5 7" xfId="141"/>
    <cellStyle name="ErrorDropDown 2 5 8" xfId="141"/>
    <cellStyle name="ErrorDropDown 2 6" xfId="141"/>
    <cellStyle name="ErrorDropDown 2 6 2" xfId="141"/>
    <cellStyle name="ErrorDropDown 2 6 2 2" xfId="141"/>
    <cellStyle name="ErrorDropDown 2 6 2 3" xfId="141"/>
    <cellStyle name="ErrorDropDown 2 6 2 4" xfId="141"/>
    <cellStyle name="ErrorDropDown 2 6 2 5" xfId="141"/>
    <cellStyle name="ErrorDropDown 2 6 3" xfId="141"/>
    <cellStyle name="ErrorDropDown 2 6 3 2" xfId="141"/>
    <cellStyle name="ErrorDropDown 2 6 3 3" xfId="141"/>
    <cellStyle name="ErrorDropDown 2 6 3 4" xfId="141"/>
    <cellStyle name="ErrorDropDown 2 6 4" xfId="141"/>
    <cellStyle name="ErrorDropDown 2 6 5" xfId="141"/>
    <cellStyle name="ErrorDropDown 2 6 6" xfId="141"/>
    <cellStyle name="ErrorDropDown 2 6 7" xfId="141"/>
    <cellStyle name="ErrorDropDown 2 6 8" xfId="141"/>
    <cellStyle name="ErrorDropDown 2 7" xfId="141"/>
    <cellStyle name="ErrorDropDown 2 7 2" xfId="141"/>
    <cellStyle name="ErrorDropDown 2 7 2 2" xfId="141"/>
    <cellStyle name="ErrorDropDown 2 7 2 3" xfId="141"/>
    <cellStyle name="ErrorDropDown 2 7 2 4" xfId="141"/>
    <cellStyle name="ErrorDropDown 2 7 2 5" xfId="141"/>
    <cellStyle name="ErrorDropDown 2 7 3" xfId="141"/>
    <cellStyle name="ErrorDropDown 2 7 3 2" xfId="141"/>
    <cellStyle name="ErrorDropDown 2 7 3 3" xfId="141"/>
    <cellStyle name="ErrorDropDown 2 7 3 4" xfId="141"/>
    <cellStyle name="ErrorDropDown 2 7 4" xfId="141"/>
    <cellStyle name="ErrorDropDown 2 7 5" xfId="141"/>
    <cellStyle name="ErrorDropDown 2 7 6" xfId="141"/>
    <cellStyle name="ErrorDropDown 2 7 7" xfId="141"/>
    <cellStyle name="ErrorDropDown 2 7 8" xfId="141"/>
    <cellStyle name="ErrorDropDown 2 8" xfId="141"/>
    <cellStyle name="ErrorDropDown 2 8 2" xfId="141"/>
    <cellStyle name="ErrorDropDown 2 8 3" xfId="141"/>
    <cellStyle name="ErrorDropDown 2 8 4" xfId="141"/>
    <cellStyle name="ErrorDropDown 2 8 5" xfId="141"/>
    <cellStyle name="ErrorDropDown 2 9" xfId="141"/>
    <cellStyle name="ErrorDropDown 2 9 2" xfId="141"/>
    <cellStyle name="ErrorDropDown 2 9 3" xfId="141"/>
    <cellStyle name="ErrorDropDown 2 9 4" xfId="141"/>
    <cellStyle name="ErrorDropDown 3" xfId="141"/>
    <cellStyle name="ErrorDropDown 3 10" xfId="141"/>
    <cellStyle name="ErrorDropDown 3 11" xfId="141"/>
    <cellStyle name="ErrorDropDown 3 12" xfId="141"/>
    <cellStyle name="ErrorDropDown 3 13" xfId="141"/>
    <cellStyle name="ErrorDropDown 3 14" xfId="141"/>
    <cellStyle name="ErrorDropDown 3 2" xfId="141"/>
    <cellStyle name="ErrorDropDown 3 2 10" xfId="141"/>
    <cellStyle name="ErrorDropDown 3 2 11" xfId="141"/>
    <cellStyle name="ErrorDropDown 3 2 12" xfId="141"/>
    <cellStyle name="ErrorDropDown 3 2 2" xfId="141"/>
    <cellStyle name="ErrorDropDown 3 2 2 2" xfId="141"/>
    <cellStyle name="ErrorDropDown 3 2 2 2 2" xfId="141"/>
    <cellStyle name="ErrorDropDown 3 2 2 2 3" xfId="141"/>
    <cellStyle name="ErrorDropDown 3 2 2 2 4" xfId="141"/>
    <cellStyle name="ErrorDropDown 3 2 2 2 5" xfId="141"/>
    <cellStyle name="ErrorDropDown 3 2 2 3" xfId="141"/>
    <cellStyle name="ErrorDropDown 3 2 2 3 2" xfId="141"/>
    <cellStyle name="ErrorDropDown 3 2 2 3 3" xfId="141"/>
    <cellStyle name="ErrorDropDown 3 2 2 3 4" xfId="141"/>
    <cellStyle name="ErrorDropDown 3 2 2 4" xfId="141"/>
    <cellStyle name="ErrorDropDown 3 2 2 5" xfId="141"/>
    <cellStyle name="ErrorDropDown 3 2 2 6" xfId="141"/>
    <cellStyle name="ErrorDropDown 3 2 2 7" xfId="141"/>
    <cellStyle name="ErrorDropDown 3 2 2 8" xfId="141"/>
    <cellStyle name="ErrorDropDown 3 2 3" xfId="141"/>
    <cellStyle name="ErrorDropDown 3 2 3 2" xfId="141"/>
    <cellStyle name="ErrorDropDown 3 2 3 2 2" xfId="141"/>
    <cellStyle name="ErrorDropDown 3 2 3 2 3" xfId="141"/>
    <cellStyle name="ErrorDropDown 3 2 3 2 4" xfId="141"/>
    <cellStyle name="ErrorDropDown 3 2 3 2 5" xfId="141"/>
    <cellStyle name="ErrorDropDown 3 2 3 3" xfId="141"/>
    <cellStyle name="ErrorDropDown 3 2 3 3 2" xfId="141"/>
    <cellStyle name="ErrorDropDown 3 2 3 3 3" xfId="141"/>
    <cellStyle name="ErrorDropDown 3 2 3 3 4" xfId="141"/>
    <cellStyle name="ErrorDropDown 3 2 3 4" xfId="141"/>
    <cellStyle name="ErrorDropDown 3 2 3 5" xfId="141"/>
    <cellStyle name="ErrorDropDown 3 2 3 6" xfId="141"/>
    <cellStyle name="ErrorDropDown 3 2 3 7" xfId="141"/>
    <cellStyle name="ErrorDropDown 3 2 3 8" xfId="141"/>
    <cellStyle name="ErrorDropDown 3 2 4" xfId="141"/>
    <cellStyle name="ErrorDropDown 3 2 4 2" xfId="141"/>
    <cellStyle name="ErrorDropDown 3 2 4 2 2" xfId="141"/>
    <cellStyle name="ErrorDropDown 3 2 4 2 3" xfId="141"/>
    <cellStyle name="ErrorDropDown 3 2 4 2 4" xfId="141"/>
    <cellStyle name="ErrorDropDown 3 2 4 2 5" xfId="141"/>
    <cellStyle name="ErrorDropDown 3 2 4 3" xfId="141"/>
    <cellStyle name="ErrorDropDown 3 2 4 3 2" xfId="141"/>
    <cellStyle name="ErrorDropDown 3 2 4 3 3" xfId="141"/>
    <cellStyle name="ErrorDropDown 3 2 4 3 4" xfId="141"/>
    <cellStyle name="ErrorDropDown 3 2 4 4" xfId="141"/>
    <cellStyle name="ErrorDropDown 3 2 4 5" xfId="141"/>
    <cellStyle name="ErrorDropDown 3 2 4 6" xfId="141"/>
    <cellStyle name="ErrorDropDown 3 2 4 7" xfId="141"/>
    <cellStyle name="ErrorDropDown 3 2 4 8" xfId="141"/>
    <cellStyle name="ErrorDropDown 3 2 5" xfId="141"/>
    <cellStyle name="ErrorDropDown 3 2 5 2" xfId="141"/>
    <cellStyle name="ErrorDropDown 3 2 5 2 2" xfId="141"/>
    <cellStyle name="ErrorDropDown 3 2 5 2 3" xfId="141"/>
    <cellStyle name="ErrorDropDown 3 2 5 2 4" xfId="141"/>
    <cellStyle name="ErrorDropDown 3 2 5 2 5" xfId="141"/>
    <cellStyle name="ErrorDropDown 3 2 5 3" xfId="141"/>
    <cellStyle name="ErrorDropDown 3 2 5 3 2" xfId="141"/>
    <cellStyle name="ErrorDropDown 3 2 5 3 3" xfId="141"/>
    <cellStyle name="ErrorDropDown 3 2 5 3 4" xfId="141"/>
    <cellStyle name="ErrorDropDown 3 2 5 4" xfId="141"/>
    <cellStyle name="ErrorDropDown 3 2 5 5" xfId="141"/>
    <cellStyle name="ErrorDropDown 3 2 5 6" xfId="141"/>
    <cellStyle name="ErrorDropDown 3 2 5 7" xfId="141"/>
    <cellStyle name="ErrorDropDown 3 2 5 8" xfId="141"/>
    <cellStyle name="ErrorDropDown 3 2 6" xfId="141"/>
    <cellStyle name="ErrorDropDown 3 2 6 2" xfId="141"/>
    <cellStyle name="ErrorDropDown 3 2 6 3" xfId="141"/>
    <cellStyle name="ErrorDropDown 3 2 6 4" xfId="141"/>
    <cellStyle name="ErrorDropDown 3 2 6 5" xfId="141"/>
    <cellStyle name="ErrorDropDown 3 2 7" xfId="141"/>
    <cellStyle name="ErrorDropDown 3 2 7 2" xfId="141"/>
    <cellStyle name="ErrorDropDown 3 2 7 3" xfId="141"/>
    <cellStyle name="ErrorDropDown 3 2 7 4" xfId="141"/>
    <cellStyle name="ErrorDropDown 3 2 8" xfId="141"/>
    <cellStyle name="ErrorDropDown 3 2 9" xfId="141"/>
    <cellStyle name="ErrorDropDown 3 3" xfId="141"/>
    <cellStyle name="ErrorDropDown 3 3 10" xfId="141"/>
    <cellStyle name="ErrorDropDown 3 3 11" xfId="141"/>
    <cellStyle name="ErrorDropDown 3 3 12" xfId="141"/>
    <cellStyle name="ErrorDropDown 3 3 2" xfId="141"/>
    <cellStyle name="ErrorDropDown 3 3 2 2" xfId="141"/>
    <cellStyle name="ErrorDropDown 3 3 2 2 2" xfId="141"/>
    <cellStyle name="ErrorDropDown 3 3 2 2 3" xfId="141"/>
    <cellStyle name="ErrorDropDown 3 3 2 2 4" xfId="141"/>
    <cellStyle name="ErrorDropDown 3 3 2 2 5" xfId="141"/>
    <cellStyle name="ErrorDropDown 3 3 2 3" xfId="141"/>
    <cellStyle name="ErrorDropDown 3 3 2 3 2" xfId="141"/>
    <cellStyle name="ErrorDropDown 3 3 2 3 3" xfId="141"/>
    <cellStyle name="ErrorDropDown 3 3 2 3 4" xfId="141"/>
    <cellStyle name="ErrorDropDown 3 3 2 4" xfId="141"/>
    <cellStyle name="ErrorDropDown 3 3 2 5" xfId="141"/>
    <cellStyle name="ErrorDropDown 3 3 2 6" xfId="141"/>
    <cellStyle name="ErrorDropDown 3 3 2 7" xfId="141"/>
    <cellStyle name="ErrorDropDown 3 3 2 8" xfId="141"/>
    <cellStyle name="ErrorDropDown 3 3 3" xfId="141"/>
    <cellStyle name="ErrorDropDown 3 3 3 2" xfId="141"/>
    <cellStyle name="ErrorDropDown 3 3 3 2 2" xfId="141"/>
    <cellStyle name="ErrorDropDown 3 3 3 2 3" xfId="141"/>
    <cellStyle name="ErrorDropDown 3 3 3 2 4" xfId="141"/>
    <cellStyle name="ErrorDropDown 3 3 3 2 5" xfId="141"/>
    <cellStyle name="ErrorDropDown 3 3 3 3" xfId="141"/>
    <cellStyle name="ErrorDropDown 3 3 3 3 2" xfId="141"/>
    <cellStyle name="ErrorDropDown 3 3 3 3 3" xfId="141"/>
    <cellStyle name="ErrorDropDown 3 3 3 3 4" xfId="141"/>
    <cellStyle name="ErrorDropDown 3 3 3 4" xfId="141"/>
    <cellStyle name="ErrorDropDown 3 3 3 5" xfId="141"/>
    <cellStyle name="ErrorDropDown 3 3 3 6" xfId="141"/>
    <cellStyle name="ErrorDropDown 3 3 3 7" xfId="141"/>
    <cellStyle name="ErrorDropDown 3 3 3 8" xfId="141"/>
    <cellStyle name="ErrorDropDown 3 3 4" xfId="141"/>
    <cellStyle name="ErrorDropDown 3 3 4 2" xfId="141"/>
    <cellStyle name="ErrorDropDown 3 3 4 2 2" xfId="141"/>
    <cellStyle name="ErrorDropDown 3 3 4 2 3" xfId="141"/>
    <cellStyle name="ErrorDropDown 3 3 4 2 4" xfId="141"/>
    <cellStyle name="ErrorDropDown 3 3 4 2 5" xfId="141"/>
    <cellStyle name="ErrorDropDown 3 3 4 3" xfId="141"/>
    <cellStyle name="ErrorDropDown 3 3 4 3 2" xfId="141"/>
    <cellStyle name="ErrorDropDown 3 3 4 3 3" xfId="141"/>
    <cellStyle name="ErrorDropDown 3 3 4 3 4" xfId="141"/>
    <cellStyle name="ErrorDropDown 3 3 4 4" xfId="141"/>
    <cellStyle name="ErrorDropDown 3 3 4 5" xfId="141"/>
    <cellStyle name="ErrorDropDown 3 3 4 6" xfId="141"/>
    <cellStyle name="ErrorDropDown 3 3 4 7" xfId="141"/>
    <cellStyle name="ErrorDropDown 3 3 4 8" xfId="141"/>
    <cellStyle name="ErrorDropDown 3 3 5" xfId="141"/>
    <cellStyle name="ErrorDropDown 3 3 5 2" xfId="141"/>
    <cellStyle name="ErrorDropDown 3 3 5 2 2" xfId="141"/>
    <cellStyle name="ErrorDropDown 3 3 5 2 3" xfId="141"/>
    <cellStyle name="ErrorDropDown 3 3 5 2 4" xfId="141"/>
    <cellStyle name="ErrorDropDown 3 3 5 2 5" xfId="141"/>
    <cellStyle name="ErrorDropDown 3 3 5 3" xfId="141"/>
    <cellStyle name="ErrorDropDown 3 3 5 3 2" xfId="141"/>
    <cellStyle name="ErrorDropDown 3 3 5 3 3" xfId="141"/>
    <cellStyle name="ErrorDropDown 3 3 5 3 4" xfId="141"/>
    <cellStyle name="ErrorDropDown 3 3 5 4" xfId="141"/>
    <cellStyle name="ErrorDropDown 3 3 5 5" xfId="141"/>
    <cellStyle name="ErrorDropDown 3 3 5 6" xfId="141"/>
    <cellStyle name="ErrorDropDown 3 3 5 7" xfId="141"/>
    <cellStyle name="ErrorDropDown 3 3 5 8" xfId="141"/>
    <cellStyle name="ErrorDropDown 3 3 6" xfId="141"/>
    <cellStyle name="ErrorDropDown 3 3 6 2" xfId="141"/>
    <cellStyle name="ErrorDropDown 3 3 6 3" xfId="141"/>
    <cellStyle name="ErrorDropDown 3 3 6 4" xfId="141"/>
    <cellStyle name="ErrorDropDown 3 3 6 5" xfId="141"/>
    <cellStyle name="ErrorDropDown 3 3 7" xfId="141"/>
    <cellStyle name="ErrorDropDown 3 3 7 2" xfId="141"/>
    <cellStyle name="ErrorDropDown 3 3 7 3" xfId="141"/>
    <cellStyle name="ErrorDropDown 3 3 7 4" xfId="141"/>
    <cellStyle name="ErrorDropDown 3 3 8" xfId="141"/>
    <cellStyle name="ErrorDropDown 3 3 9" xfId="141"/>
    <cellStyle name="ErrorDropDown 3 4" xfId="141"/>
    <cellStyle name="ErrorDropDown 3 4 2" xfId="141"/>
    <cellStyle name="ErrorDropDown 3 4 2 2" xfId="141"/>
    <cellStyle name="ErrorDropDown 3 4 2 3" xfId="141"/>
    <cellStyle name="ErrorDropDown 3 4 2 4" xfId="141"/>
    <cellStyle name="ErrorDropDown 3 4 2 5" xfId="141"/>
    <cellStyle name="ErrorDropDown 3 4 3" xfId="141"/>
    <cellStyle name="ErrorDropDown 3 4 3 2" xfId="141"/>
    <cellStyle name="ErrorDropDown 3 4 3 3" xfId="141"/>
    <cellStyle name="ErrorDropDown 3 4 3 4" xfId="141"/>
    <cellStyle name="ErrorDropDown 3 4 4" xfId="141"/>
    <cellStyle name="ErrorDropDown 3 4 5" xfId="141"/>
    <cellStyle name="ErrorDropDown 3 4 6" xfId="141"/>
    <cellStyle name="ErrorDropDown 3 4 7" xfId="141"/>
    <cellStyle name="ErrorDropDown 3 4 8" xfId="141"/>
    <cellStyle name="ErrorDropDown 3 5" xfId="141"/>
    <cellStyle name="ErrorDropDown 3 5 2" xfId="141"/>
    <cellStyle name="ErrorDropDown 3 5 2 2" xfId="141"/>
    <cellStyle name="ErrorDropDown 3 5 2 3" xfId="141"/>
    <cellStyle name="ErrorDropDown 3 5 2 4" xfId="141"/>
    <cellStyle name="ErrorDropDown 3 5 2 5" xfId="141"/>
    <cellStyle name="ErrorDropDown 3 5 3" xfId="141"/>
    <cellStyle name="ErrorDropDown 3 5 3 2" xfId="141"/>
    <cellStyle name="ErrorDropDown 3 5 3 3" xfId="141"/>
    <cellStyle name="ErrorDropDown 3 5 3 4" xfId="141"/>
    <cellStyle name="ErrorDropDown 3 5 4" xfId="141"/>
    <cellStyle name="ErrorDropDown 3 5 5" xfId="141"/>
    <cellStyle name="ErrorDropDown 3 5 6" xfId="141"/>
    <cellStyle name="ErrorDropDown 3 5 7" xfId="141"/>
    <cellStyle name="ErrorDropDown 3 5 8" xfId="141"/>
    <cellStyle name="ErrorDropDown 3 6" xfId="141"/>
    <cellStyle name="ErrorDropDown 3 6 2" xfId="141"/>
    <cellStyle name="ErrorDropDown 3 6 2 2" xfId="141"/>
    <cellStyle name="ErrorDropDown 3 6 2 3" xfId="141"/>
    <cellStyle name="ErrorDropDown 3 6 2 4" xfId="141"/>
    <cellStyle name="ErrorDropDown 3 6 2 5" xfId="141"/>
    <cellStyle name="ErrorDropDown 3 6 3" xfId="141"/>
    <cellStyle name="ErrorDropDown 3 6 3 2" xfId="141"/>
    <cellStyle name="ErrorDropDown 3 6 3 3" xfId="141"/>
    <cellStyle name="ErrorDropDown 3 6 3 4" xfId="141"/>
    <cellStyle name="ErrorDropDown 3 6 4" xfId="141"/>
    <cellStyle name="ErrorDropDown 3 6 5" xfId="141"/>
    <cellStyle name="ErrorDropDown 3 6 6" xfId="141"/>
    <cellStyle name="ErrorDropDown 3 6 7" xfId="141"/>
    <cellStyle name="ErrorDropDown 3 6 8" xfId="141"/>
    <cellStyle name="ErrorDropDown 3 7" xfId="141"/>
    <cellStyle name="ErrorDropDown 3 7 2" xfId="141"/>
    <cellStyle name="ErrorDropDown 3 7 2 2" xfId="141"/>
    <cellStyle name="ErrorDropDown 3 7 2 3" xfId="141"/>
    <cellStyle name="ErrorDropDown 3 7 2 4" xfId="141"/>
    <cellStyle name="ErrorDropDown 3 7 2 5" xfId="141"/>
    <cellStyle name="ErrorDropDown 3 7 3" xfId="141"/>
    <cellStyle name="ErrorDropDown 3 7 3 2" xfId="141"/>
    <cellStyle name="ErrorDropDown 3 7 3 3" xfId="141"/>
    <cellStyle name="ErrorDropDown 3 7 3 4" xfId="141"/>
    <cellStyle name="ErrorDropDown 3 7 4" xfId="141"/>
    <cellStyle name="ErrorDropDown 3 7 5" xfId="141"/>
    <cellStyle name="ErrorDropDown 3 7 6" xfId="141"/>
    <cellStyle name="ErrorDropDown 3 7 7" xfId="141"/>
    <cellStyle name="ErrorDropDown 3 7 8" xfId="141"/>
    <cellStyle name="ErrorDropDown 3 8" xfId="141"/>
    <cellStyle name="ErrorDropDown 3 8 2" xfId="141"/>
    <cellStyle name="ErrorDropDown 3 8 3" xfId="141"/>
    <cellStyle name="ErrorDropDown 3 8 4" xfId="141"/>
    <cellStyle name="ErrorDropDown 3 8 5" xfId="141"/>
    <cellStyle name="ErrorDropDown 3 9" xfId="141"/>
    <cellStyle name="ErrorDropDown 3 9 2" xfId="141"/>
    <cellStyle name="ErrorDropDown 3 9 3" xfId="141"/>
    <cellStyle name="ErrorDropDown 3 9 4" xfId="141"/>
    <cellStyle name="ErrorDropDown 4" xfId="141"/>
    <cellStyle name="ErrorDropDown 4 2" xfId="141"/>
    <cellStyle name="ErrorDropDown 4 2 2" xfId="141"/>
    <cellStyle name="ErrorDropDown 4 2 2 2" xfId="141"/>
    <cellStyle name="ErrorDropDown 4 2 2 3" xfId="141"/>
    <cellStyle name="ErrorDropDown 4 2 2 4" xfId="141"/>
    <cellStyle name="ErrorDropDown 4 2 2 5" xfId="141"/>
    <cellStyle name="ErrorDropDown 4 2 3" xfId="141"/>
    <cellStyle name="ErrorDropDown 4 2 3 2" xfId="141"/>
    <cellStyle name="ErrorDropDown 4 2 3 3" xfId="141"/>
    <cellStyle name="ErrorDropDown 4 2 3 4" xfId="141"/>
    <cellStyle name="ErrorDropDown 4 2 4" xfId="141"/>
    <cellStyle name="ErrorDropDown 4 2 5" xfId="141"/>
    <cellStyle name="ErrorDropDown 4 2 6" xfId="141"/>
    <cellStyle name="ErrorDropDown 4 2 7" xfId="141"/>
    <cellStyle name="ErrorDropDown 4 2 8" xfId="141"/>
    <cellStyle name="ErrorDropDown 4 3" xfId="141"/>
    <cellStyle name="ErrorDropDown 4 3 2" xfId="141"/>
    <cellStyle name="ErrorDropDown 4 3 2 2" xfId="141"/>
    <cellStyle name="ErrorDropDown 4 3 2 3" xfId="141"/>
    <cellStyle name="ErrorDropDown 4 3 2 4" xfId="141"/>
    <cellStyle name="ErrorDropDown 4 3 2 5" xfId="141"/>
    <cellStyle name="ErrorDropDown 4 3 3" xfId="141"/>
    <cellStyle name="ErrorDropDown 4 3 3 2" xfId="141"/>
    <cellStyle name="ErrorDropDown 4 3 3 3" xfId="141"/>
    <cellStyle name="ErrorDropDown 4 3 3 4" xfId="141"/>
    <cellStyle name="ErrorDropDown 4 3 4" xfId="141"/>
    <cellStyle name="ErrorDropDown 4 3 5" xfId="141"/>
    <cellStyle name="ErrorDropDown 4 3 6" xfId="141"/>
    <cellStyle name="ErrorDropDown 4 3 7" xfId="141"/>
    <cellStyle name="ErrorDropDown 4 4" xfId="141"/>
    <cellStyle name="ErrorDropDown 4 4 2" xfId="141"/>
    <cellStyle name="ErrorDropDown 4 4 3" xfId="141"/>
    <cellStyle name="ErrorDropDown 4 4 4" xfId="141"/>
    <cellStyle name="ErrorDropDown 4 4 5" xfId="141"/>
    <cellStyle name="ErrorDropDown 4 5" xfId="141"/>
    <cellStyle name="ErrorDropDown 4 5 2" xfId="141"/>
    <cellStyle name="ErrorDropDown 4 5 3" xfId="141"/>
    <cellStyle name="ErrorDropDown 4 5 4" xfId="141"/>
    <cellStyle name="ErrorDropDown 4 6" xfId="141"/>
    <cellStyle name="ErrorDropDown 4 7" xfId="141"/>
    <cellStyle name="ErrorDropDown 4 8" xfId="141"/>
    <cellStyle name="ErrorDropDown 4 9" xfId="141"/>
    <cellStyle name="ErrorDropDown 5" xfId="141"/>
    <cellStyle name="ErrorDropDown 5 2" xfId="141"/>
    <cellStyle name="ErrorDropDown 5 2 2" xfId="141"/>
    <cellStyle name="ErrorDropDown 5 2 3" xfId="141"/>
    <cellStyle name="ErrorDropDown 5 2 4" xfId="141"/>
    <cellStyle name="ErrorDropDown 5 2 5" xfId="141"/>
    <cellStyle name="ErrorDropDown 5 3" xfId="141"/>
    <cellStyle name="ErrorDropDown 5 3 2" xfId="141"/>
    <cellStyle name="ErrorDropDown 5 3 3" xfId="141"/>
    <cellStyle name="ErrorDropDown 5 3 4" xfId="141"/>
    <cellStyle name="ErrorDropDown 5 4" xfId="141"/>
    <cellStyle name="ErrorDropDown 5 5" xfId="141"/>
    <cellStyle name="ErrorDropDown 5 6" xfId="141"/>
    <cellStyle name="ErrorDropDown 5 7" xfId="141"/>
    <cellStyle name="ErrorDropDown 5 8" xfId="141"/>
    <cellStyle name="ErrorDropDown 6" xfId="141"/>
    <cellStyle name="ErrorDropDown 6 2" xfId="141"/>
    <cellStyle name="ErrorDropDown 6 3" xfId="141"/>
    <cellStyle name="ErrorDropDown 6 4" xfId="141"/>
    <cellStyle name="ErrorDropDown 6 5" xfId="141"/>
    <cellStyle name="ErrorDropDown 7" xfId="141"/>
    <cellStyle name="ErrorDropDown 8" xfId="141"/>
    <cellStyle name="ErrorDropDownCenter" xfId="141"/>
    <cellStyle name="ErrorDropDownCenter 2" xfId="141"/>
    <cellStyle name="ErrorDropDownCenter 2 10" xfId="141"/>
    <cellStyle name="ErrorDropDownCenter 2 11" xfId="141"/>
    <cellStyle name="ErrorDropDownCenter 2 12" xfId="141"/>
    <cellStyle name="ErrorDropDownCenter 2 13" xfId="141"/>
    <cellStyle name="ErrorDropDownCenter 2 14" xfId="141"/>
    <cellStyle name="ErrorDropDownCenter 2 2" xfId="141"/>
    <cellStyle name="ErrorDropDownCenter 2 2 10" xfId="141"/>
    <cellStyle name="ErrorDropDownCenter 2 2 11" xfId="141"/>
    <cellStyle name="ErrorDropDownCenter 2 2 12" xfId="141"/>
    <cellStyle name="ErrorDropDownCenter 2 2 13" xfId="141"/>
    <cellStyle name="ErrorDropDownCenter 2 2 14" xfId="141"/>
    <cellStyle name="ErrorDropDownCenter 2 2 2" xfId="141"/>
    <cellStyle name="ErrorDropDownCenter 2 2 2 10" xfId="141"/>
    <cellStyle name="ErrorDropDownCenter 2 2 2 11" xfId="141"/>
    <cellStyle name="ErrorDropDownCenter 2 2 2 12" xfId="141"/>
    <cellStyle name="ErrorDropDownCenter 2 2 2 2" xfId="141"/>
    <cellStyle name="ErrorDropDownCenter 2 2 2 2 2" xfId="141"/>
    <cellStyle name="ErrorDropDownCenter 2 2 2 2 2 2" xfId="141"/>
    <cellStyle name="ErrorDropDownCenter 2 2 2 2 2 3" xfId="141"/>
    <cellStyle name="ErrorDropDownCenter 2 2 2 2 2 4" xfId="141"/>
    <cellStyle name="ErrorDropDownCenter 2 2 2 2 2 5" xfId="141"/>
    <cellStyle name="ErrorDropDownCenter 2 2 2 2 3" xfId="141"/>
    <cellStyle name="ErrorDropDownCenter 2 2 2 2 3 2" xfId="141"/>
    <cellStyle name="ErrorDropDownCenter 2 2 2 2 3 3" xfId="141"/>
    <cellStyle name="ErrorDropDownCenter 2 2 2 2 3 4" xfId="141"/>
    <cellStyle name="ErrorDropDownCenter 2 2 2 2 4" xfId="141"/>
    <cellStyle name="ErrorDropDownCenter 2 2 2 2 5" xfId="141"/>
    <cellStyle name="ErrorDropDownCenter 2 2 2 2 6" xfId="141"/>
    <cellStyle name="ErrorDropDownCenter 2 2 2 2 7" xfId="141"/>
    <cellStyle name="ErrorDropDownCenter 2 2 2 2 8" xfId="141"/>
    <cellStyle name="ErrorDropDownCenter 2 2 2 3" xfId="141"/>
    <cellStyle name="ErrorDropDownCenter 2 2 2 3 2" xfId="141"/>
    <cellStyle name="ErrorDropDownCenter 2 2 2 3 2 2" xfId="141"/>
    <cellStyle name="ErrorDropDownCenter 2 2 2 3 2 3" xfId="141"/>
    <cellStyle name="ErrorDropDownCenter 2 2 2 3 2 4" xfId="141"/>
    <cellStyle name="ErrorDropDownCenter 2 2 2 3 2 5" xfId="141"/>
    <cellStyle name="ErrorDropDownCenter 2 2 2 3 3" xfId="141"/>
    <cellStyle name="ErrorDropDownCenter 2 2 2 3 3 2" xfId="141"/>
    <cellStyle name="ErrorDropDownCenter 2 2 2 3 3 3" xfId="141"/>
    <cellStyle name="ErrorDropDownCenter 2 2 2 3 3 4" xfId="141"/>
    <cellStyle name="ErrorDropDownCenter 2 2 2 3 4" xfId="141"/>
    <cellStyle name="ErrorDropDownCenter 2 2 2 3 5" xfId="141"/>
    <cellStyle name="ErrorDropDownCenter 2 2 2 3 6" xfId="141"/>
    <cellStyle name="ErrorDropDownCenter 2 2 2 3 7" xfId="141"/>
    <cellStyle name="ErrorDropDownCenter 2 2 2 3 8" xfId="141"/>
    <cellStyle name="ErrorDropDownCenter 2 2 2 4" xfId="141"/>
    <cellStyle name="ErrorDropDownCenter 2 2 2 4 2" xfId="141"/>
    <cellStyle name="ErrorDropDownCenter 2 2 2 4 2 2" xfId="141"/>
    <cellStyle name="ErrorDropDownCenter 2 2 2 4 2 3" xfId="141"/>
    <cellStyle name="ErrorDropDownCenter 2 2 2 4 2 4" xfId="141"/>
    <cellStyle name="ErrorDropDownCenter 2 2 2 4 2 5" xfId="141"/>
    <cellStyle name="ErrorDropDownCenter 2 2 2 4 3" xfId="141"/>
    <cellStyle name="ErrorDropDownCenter 2 2 2 4 3 2" xfId="141"/>
    <cellStyle name="ErrorDropDownCenter 2 2 2 4 3 3" xfId="141"/>
    <cellStyle name="ErrorDropDownCenter 2 2 2 4 3 4" xfId="141"/>
    <cellStyle name="ErrorDropDownCenter 2 2 2 4 4" xfId="141"/>
    <cellStyle name="ErrorDropDownCenter 2 2 2 4 5" xfId="141"/>
    <cellStyle name="ErrorDropDownCenter 2 2 2 4 6" xfId="141"/>
    <cellStyle name="ErrorDropDownCenter 2 2 2 4 7" xfId="141"/>
    <cellStyle name="ErrorDropDownCenter 2 2 2 4 8" xfId="141"/>
    <cellStyle name="ErrorDropDownCenter 2 2 2 5" xfId="141"/>
    <cellStyle name="ErrorDropDownCenter 2 2 2 5 2" xfId="141"/>
    <cellStyle name="ErrorDropDownCenter 2 2 2 5 2 2" xfId="141"/>
    <cellStyle name="ErrorDropDownCenter 2 2 2 5 2 3" xfId="141"/>
    <cellStyle name="ErrorDropDownCenter 2 2 2 5 2 4" xfId="141"/>
    <cellStyle name="ErrorDropDownCenter 2 2 2 5 2 5" xfId="141"/>
    <cellStyle name="ErrorDropDownCenter 2 2 2 5 3" xfId="141"/>
    <cellStyle name="ErrorDropDownCenter 2 2 2 5 3 2" xfId="141"/>
    <cellStyle name="ErrorDropDownCenter 2 2 2 5 3 3" xfId="141"/>
    <cellStyle name="ErrorDropDownCenter 2 2 2 5 3 4" xfId="141"/>
    <cellStyle name="ErrorDropDownCenter 2 2 2 5 4" xfId="141"/>
    <cellStyle name="ErrorDropDownCenter 2 2 2 5 5" xfId="141"/>
    <cellStyle name="ErrorDropDownCenter 2 2 2 5 6" xfId="141"/>
    <cellStyle name="ErrorDropDownCenter 2 2 2 5 7" xfId="141"/>
    <cellStyle name="ErrorDropDownCenter 2 2 2 5 8" xfId="141"/>
    <cellStyle name="ErrorDropDownCenter 2 2 2 6" xfId="141"/>
    <cellStyle name="ErrorDropDownCenter 2 2 2 6 2" xfId="141"/>
    <cellStyle name="ErrorDropDownCenter 2 2 2 6 3" xfId="141"/>
    <cellStyle name="ErrorDropDownCenter 2 2 2 6 4" xfId="141"/>
    <cellStyle name="ErrorDropDownCenter 2 2 2 6 5" xfId="141"/>
    <cellStyle name="ErrorDropDownCenter 2 2 2 7" xfId="141"/>
    <cellStyle name="ErrorDropDownCenter 2 2 2 7 2" xfId="141"/>
    <cellStyle name="ErrorDropDownCenter 2 2 2 7 3" xfId="141"/>
    <cellStyle name="ErrorDropDownCenter 2 2 2 7 4" xfId="141"/>
    <cellStyle name="ErrorDropDownCenter 2 2 2 8" xfId="141"/>
    <cellStyle name="ErrorDropDownCenter 2 2 2 9" xfId="141"/>
    <cellStyle name="ErrorDropDownCenter 2 2 3" xfId="141"/>
    <cellStyle name="ErrorDropDownCenter 2 2 3 10" xfId="141"/>
    <cellStyle name="ErrorDropDownCenter 2 2 3 11" xfId="141"/>
    <cellStyle name="ErrorDropDownCenter 2 2 3 12" xfId="141"/>
    <cellStyle name="ErrorDropDownCenter 2 2 3 2" xfId="141"/>
    <cellStyle name="ErrorDropDownCenter 2 2 3 2 2" xfId="141"/>
    <cellStyle name="ErrorDropDownCenter 2 2 3 2 2 2" xfId="141"/>
    <cellStyle name="ErrorDropDownCenter 2 2 3 2 2 3" xfId="141"/>
    <cellStyle name="ErrorDropDownCenter 2 2 3 2 2 4" xfId="141"/>
    <cellStyle name="ErrorDropDownCenter 2 2 3 2 2 5" xfId="141"/>
    <cellStyle name="ErrorDropDownCenter 2 2 3 2 3" xfId="141"/>
    <cellStyle name="ErrorDropDownCenter 2 2 3 2 3 2" xfId="141"/>
    <cellStyle name="ErrorDropDownCenter 2 2 3 2 3 3" xfId="141"/>
    <cellStyle name="ErrorDropDownCenter 2 2 3 2 3 4" xfId="141"/>
    <cellStyle name="ErrorDropDownCenter 2 2 3 2 4" xfId="141"/>
    <cellStyle name="ErrorDropDownCenter 2 2 3 2 5" xfId="141"/>
    <cellStyle name="ErrorDropDownCenter 2 2 3 2 6" xfId="141"/>
    <cellStyle name="ErrorDropDownCenter 2 2 3 2 7" xfId="141"/>
    <cellStyle name="ErrorDropDownCenter 2 2 3 2 8" xfId="141"/>
    <cellStyle name="ErrorDropDownCenter 2 2 3 3" xfId="141"/>
    <cellStyle name="ErrorDropDownCenter 2 2 3 3 2" xfId="141"/>
    <cellStyle name="ErrorDropDownCenter 2 2 3 3 2 2" xfId="141"/>
    <cellStyle name="ErrorDropDownCenter 2 2 3 3 2 3" xfId="141"/>
    <cellStyle name="ErrorDropDownCenter 2 2 3 3 2 4" xfId="141"/>
    <cellStyle name="ErrorDropDownCenter 2 2 3 3 2 5" xfId="141"/>
    <cellStyle name="ErrorDropDownCenter 2 2 3 3 3" xfId="141"/>
    <cellStyle name="ErrorDropDownCenter 2 2 3 3 3 2" xfId="141"/>
    <cellStyle name="ErrorDropDownCenter 2 2 3 3 3 3" xfId="141"/>
    <cellStyle name="ErrorDropDownCenter 2 2 3 3 3 4" xfId="141"/>
    <cellStyle name="ErrorDropDownCenter 2 2 3 3 4" xfId="141"/>
    <cellStyle name="ErrorDropDownCenter 2 2 3 3 5" xfId="141"/>
    <cellStyle name="ErrorDropDownCenter 2 2 3 3 6" xfId="141"/>
    <cellStyle name="ErrorDropDownCenter 2 2 3 3 7" xfId="141"/>
    <cellStyle name="ErrorDropDownCenter 2 2 3 3 8" xfId="141"/>
    <cellStyle name="ErrorDropDownCenter 2 2 3 4" xfId="141"/>
    <cellStyle name="ErrorDropDownCenter 2 2 3 4 2" xfId="141"/>
    <cellStyle name="ErrorDropDownCenter 2 2 3 4 2 2" xfId="141"/>
    <cellStyle name="ErrorDropDownCenter 2 2 3 4 2 3" xfId="141"/>
    <cellStyle name="ErrorDropDownCenter 2 2 3 4 2 4" xfId="141"/>
    <cellStyle name="ErrorDropDownCenter 2 2 3 4 2 5" xfId="141"/>
    <cellStyle name="ErrorDropDownCenter 2 2 3 4 3" xfId="141"/>
    <cellStyle name="ErrorDropDownCenter 2 2 3 4 3 2" xfId="141"/>
    <cellStyle name="ErrorDropDownCenter 2 2 3 4 3 3" xfId="141"/>
    <cellStyle name="ErrorDropDownCenter 2 2 3 4 3 4" xfId="141"/>
    <cellStyle name="ErrorDropDownCenter 2 2 3 4 4" xfId="141"/>
    <cellStyle name="ErrorDropDownCenter 2 2 3 4 5" xfId="141"/>
    <cellStyle name="ErrorDropDownCenter 2 2 3 4 6" xfId="141"/>
    <cellStyle name="ErrorDropDownCenter 2 2 3 4 7" xfId="141"/>
    <cellStyle name="ErrorDropDownCenter 2 2 3 4 8" xfId="141"/>
    <cellStyle name="ErrorDropDownCenter 2 2 3 5" xfId="141"/>
    <cellStyle name="ErrorDropDownCenter 2 2 3 5 2" xfId="141"/>
    <cellStyle name="ErrorDropDownCenter 2 2 3 5 2 2" xfId="141"/>
    <cellStyle name="ErrorDropDownCenter 2 2 3 5 2 3" xfId="141"/>
    <cellStyle name="ErrorDropDownCenter 2 2 3 5 2 4" xfId="141"/>
    <cellStyle name="ErrorDropDownCenter 2 2 3 5 2 5" xfId="141"/>
    <cellStyle name="ErrorDropDownCenter 2 2 3 5 3" xfId="141"/>
    <cellStyle name="ErrorDropDownCenter 2 2 3 5 3 2" xfId="141"/>
    <cellStyle name="ErrorDropDownCenter 2 2 3 5 3 3" xfId="141"/>
    <cellStyle name="ErrorDropDownCenter 2 2 3 5 3 4" xfId="141"/>
    <cellStyle name="ErrorDropDownCenter 2 2 3 5 4" xfId="141"/>
    <cellStyle name="ErrorDropDownCenter 2 2 3 5 5" xfId="141"/>
    <cellStyle name="ErrorDropDownCenter 2 2 3 5 6" xfId="141"/>
    <cellStyle name="ErrorDropDownCenter 2 2 3 5 7" xfId="141"/>
    <cellStyle name="ErrorDropDownCenter 2 2 3 5 8" xfId="141"/>
    <cellStyle name="ErrorDropDownCenter 2 2 3 6" xfId="141"/>
    <cellStyle name="ErrorDropDownCenter 2 2 3 6 2" xfId="141"/>
    <cellStyle name="ErrorDropDownCenter 2 2 3 6 3" xfId="141"/>
    <cellStyle name="ErrorDropDownCenter 2 2 3 6 4" xfId="141"/>
    <cellStyle name="ErrorDropDownCenter 2 2 3 6 5" xfId="141"/>
    <cellStyle name="ErrorDropDownCenter 2 2 3 7" xfId="141"/>
    <cellStyle name="ErrorDropDownCenter 2 2 3 7 2" xfId="141"/>
    <cellStyle name="ErrorDropDownCenter 2 2 3 7 3" xfId="141"/>
    <cellStyle name="ErrorDropDownCenter 2 2 3 7 4" xfId="141"/>
    <cellStyle name="ErrorDropDownCenter 2 2 3 8" xfId="141"/>
    <cellStyle name="ErrorDropDownCenter 2 2 3 9" xfId="141"/>
    <cellStyle name="ErrorDropDownCenter 2 2 4" xfId="141"/>
    <cellStyle name="ErrorDropDownCenter 2 2 4 2" xfId="141"/>
    <cellStyle name="ErrorDropDownCenter 2 2 4 2 2" xfId="141"/>
    <cellStyle name="ErrorDropDownCenter 2 2 4 2 3" xfId="141"/>
    <cellStyle name="ErrorDropDownCenter 2 2 4 2 4" xfId="141"/>
    <cellStyle name="ErrorDropDownCenter 2 2 4 2 5" xfId="141"/>
    <cellStyle name="ErrorDropDownCenter 2 2 4 3" xfId="141"/>
    <cellStyle name="ErrorDropDownCenter 2 2 4 3 2" xfId="141"/>
    <cellStyle name="ErrorDropDownCenter 2 2 4 3 3" xfId="141"/>
    <cellStyle name="ErrorDropDownCenter 2 2 4 3 4" xfId="141"/>
    <cellStyle name="ErrorDropDownCenter 2 2 4 4" xfId="141"/>
    <cellStyle name="ErrorDropDownCenter 2 2 4 5" xfId="141"/>
    <cellStyle name="ErrorDropDownCenter 2 2 4 6" xfId="141"/>
    <cellStyle name="ErrorDropDownCenter 2 2 4 7" xfId="141"/>
    <cellStyle name="ErrorDropDownCenter 2 2 4 8" xfId="141"/>
    <cellStyle name="ErrorDropDownCenter 2 2 5" xfId="141"/>
    <cellStyle name="ErrorDropDownCenter 2 2 5 2" xfId="141"/>
    <cellStyle name="ErrorDropDownCenter 2 2 5 2 2" xfId="141"/>
    <cellStyle name="ErrorDropDownCenter 2 2 5 2 3" xfId="141"/>
    <cellStyle name="ErrorDropDownCenter 2 2 5 2 4" xfId="141"/>
    <cellStyle name="ErrorDropDownCenter 2 2 5 2 5" xfId="141"/>
    <cellStyle name="ErrorDropDownCenter 2 2 5 3" xfId="141"/>
    <cellStyle name="ErrorDropDownCenter 2 2 5 3 2" xfId="141"/>
    <cellStyle name="ErrorDropDownCenter 2 2 5 3 3" xfId="141"/>
    <cellStyle name="ErrorDropDownCenter 2 2 5 3 4" xfId="141"/>
    <cellStyle name="ErrorDropDownCenter 2 2 5 4" xfId="141"/>
    <cellStyle name="ErrorDropDownCenter 2 2 5 5" xfId="141"/>
    <cellStyle name="ErrorDropDownCenter 2 2 5 6" xfId="141"/>
    <cellStyle name="ErrorDropDownCenter 2 2 5 7" xfId="141"/>
    <cellStyle name="ErrorDropDownCenter 2 2 5 8" xfId="141"/>
    <cellStyle name="ErrorDropDownCenter 2 2 6" xfId="141"/>
    <cellStyle name="ErrorDropDownCenter 2 2 6 2" xfId="141"/>
    <cellStyle name="ErrorDropDownCenter 2 2 6 2 2" xfId="141"/>
    <cellStyle name="ErrorDropDownCenter 2 2 6 2 3" xfId="141"/>
    <cellStyle name="ErrorDropDownCenter 2 2 6 2 4" xfId="141"/>
    <cellStyle name="ErrorDropDownCenter 2 2 6 2 5" xfId="141"/>
    <cellStyle name="ErrorDropDownCenter 2 2 6 3" xfId="141"/>
    <cellStyle name="ErrorDropDownCenter 2 2 6 3 2" xfId="141"/>
    <cellStyle name="ErrorDropDownCenter 2 2 6 3 3" xfId="141"/>
    <cellStyle name="ErrorDropDownCenter 2 2 6 3 4" xfId="141"/>
    <cellStyle name="ErrorDropDownCenter 2 2 6 4" xfId="141"/>
    <cellStyle name="ErrorDropDownCenter 2 2 6 5" xfId="141"/>
    <cellStyle name="ErrorDropDownCenter 2 2 6 6" xfId="141"/>
    <cellStyle name="ErrorDropDownCenter 2 2 6 7" xfId="141"/>
    <cellStyle name="ErrorDropDownCenter 2 2 6 8" xfId="141"/>
    <cellStyle name="ErrorDropDownCenter 2 2 7" xfId="141"/>
    <cellStyle name="ErrorDropDownCenter 2 2 7 2" xfId="141"/>
    <cellStyle name="ErrorDropDownCenter 2 2 7 2 2" xfId="141"/>
    <cellStyle name="ErrorDropDownCenter 2 2 7 2 3" xfId="141"/>
    <cellStyle name="ErrorDropDownCenter 2 2 7 2 4" xfId="141"/>
    <cellStyle name="ErrorDropDownCenter 2 2 7 2 5" xfId="141"/>
    <cellStyle name="ErrorDropDownCenter 2 2 7 3" xfId="141"/>
    <cellStyle name="ErrorDropDownCenter 2 2 7 3 2" xfId="141"/>
    <cellStyle name="ErrorDropDownCenter 2 2 7 3 3" xfId="141"/>
    <cellStyle name="ErrorDropDownCenter 2 2 7 3 4" xfId="141"/>
    <cellStyle name="ErrorDropDownCenter 2 2 7 4" xfId="141"/>
    <cellStyle name="ErrorDropDownCenter 2 2 7 5" xfId="141"/>
    <cellStyle name="ErrorDropDownCenter 2 2 7 6" xfId="141"/>
    <cellStyle name="ErrorDropDownCenter 2 2 7 7" xfId="141"/>
    <cellStyle name="ErrorDropDownCenter 2 2 7 8" xfId="141"/>
    <cellStyle name="ErrorDropDownCenter 2 2 8" xfId="141"/>
    <cellStyle name="ErrorDropDownCenter 2 2 8 2" xfId="141"/>
    <cellStyle name="ErrorDropDownCenter 2 2 8 3" xfId="141"/>
    <cellStyle name="ErrorDropDownCenter 2 2 8 4" xfId="141"/>
    <cellStyle name="ErrorDropDownCenter 2 2 8 5" xfId="141"/>
    <cellStyle name="ErrorDropDownCenter 2 2 9" xfId="141"/>
    <cellStyle name="ErrorDropDownCenter 2 2 9 2" xfId="141"/>
    <cellStyle name="ErrorDropDownCenter 2 2 9 3" xfId="141"/>
    <cellStyle name="ErrorDropDownCenter 2 2 9 4" xfId="141"/>
    <cellStyle name="ErrorDropDownCenter 2 3" xfId="141"/>
    <cellStyle name="ErrorDropDownCenter 2 3 10" xfId="141"/>
    <cellStyle name="ErrorDropDownCenter 2 3 11" xfId="141"/>
    <cellStyle name="ErrorDropDownCenter 2 3 12" xfId="141"/>
    <cellStyle name="ErrorDropDownCenter 2 3 2" xfId="141"/>
    <cellStyle name="ErrorDropDownCenter 2 3 2 2" xfId="141"/>
    <cellStyle name="ErrorDropDownCenter 2 3 2 2 2" xfId="141"/>
    <cellStyle name="ErrorDropDownCenter 2 3 2 2 3" xfId="141"/>
    <cellStyle name="ErrorDropDownCenter 2 3 2 2 4" xfId="141"/>
    <cellStyle name="ErrorDropDownCenter 2 3 2 2 5" xfId="141"/>
    <cellStyle name="ErrorDropDownCenter 2 3 2 3" xfId="141"/>
    <cellStyle name="ErrorDropDownCenter 2 3 2 3 2" xfId="141"/>
    <cellStyle name="ErrorDropDownCenter 2 3 2 3 3" xfId="141"/>
    <cellStyle name="ErrorDropDownCenter 2 3 2 3 4" xfId="141"/>
    <cellStyle name="ErrorDropDownCenter 2 3 2 4" xfId="141"/>
    <cellStyle name="ErrorDropDownCenter 2 3 2 5" xfId="141"/>
    <cellStyle name="ErrorDropDownCenter 2 3 2 6" xfId="141"/>
    <cellStyle name="ErrorDropDownCenter 2 3 2 7" xfId="141"/>
    <cellStyle name="ErrorDropDownCenter 2 3 2 8" xfId="141"/>
    <cellStyle name="ErrorDropDownCenter 2 3 3" xfId="141"/>
    <cellStyle name="ErrorDropDownCenter 2 3 3 2" xfId="141"/>
    <cellStyle name="ErrorDropDownCenter 2 3 3 2 2" xfId="141"/>
    <cellStyle name="ErrorDropDownCenter 2 3 3 2 3" xfId="141"/>
    <cellStyle name="ErrorDropDownCenter 2 3 3 2 4" xfId="141"/>
    <cellStyle name="ErrorDropDownCenter 2 3 3 2 5" xfId="141"/>
    <cellStyle name="ErrorDropDownCenter 2 3 3 3" xfId="141"/>
    <cellStyle name="ErrorDropDownCenter 2 3 3 3 2" xfId="141"/>
    <cellStyle name="ErrorDropDownCenter 2 3 3 3 3" xfId="141"/>
    <cellStyle name="ErrorDropDownCenter 2 3 3 3 4" xfId="141"/>
    <cellStyle name="ErrorDropDownCenter 2 3 3 4" xfId="141"/>
    <cellStyle name="ErrorDropDownCenter 2 3 3 5" xfId="141"/>
    <cellStyle name="ErrorDropDownCenter 2 3 3 6" xfId="141"/>
    <cellStyle name="ErrorDropDownCenter 2 3 3 7" xfId="141"/>
    <cellStyle name="ErrorDropDownCenter 2 3 3 8" xfId="141"/>
    <cellStyle name="ErrorDropDownCenter 2 3 4" xfId="141"/>
    <cellStyle name="ErrorDropDownCenter 2 3 4 2" xfId="141"/>
    <cellStyle name="ErrorDropDownCenter 2 3 4 2 2" xfId="141"/>
    <cellStyle name="ErrorDropDownCenter 2 3 4 2 3" xfId="141"/>
    <cellStyle name="ErrorDropDownCenter 2 3 4 2 4" xfId="141"/>
    <cellStyle name="ErrorDropDownCenter 2 3 4 2 5" xfId="141"/>
    <cellStyle name="ErrorDropDownCenter 2 3 4 3" xfId="141"/>
    <cellStyle name="ErrorDropDownCenter 2 3 4 3 2" xfId="141"/>
    <cellStyle name="ErrorDropDownCenter 2 3 4 3 3" xfId="141"/>
    <cellStyle name="ErrorDropDownCenter 2 3 4 3 4" xfId="141"/>
    <cellStyle name="ErrorDropDownCenter 2 3 4 4" xfId="141"/>
    <cellStyle name="ErrorDropDownCenter 2 3 4 5" xfId="141"/>
    <cellStyle name="ErrorDropDownCenter 2 3 4 6" xfId="141"/>
    <cellStyle name="ErrorDropDownCenter 2 3 4 7" xfId="141"/>
    <cellStyle name="ErrorDropDownCenter 2 3 4 8" xfId="141"/>
    <cellStyle name="ErrorDropDownCenter 2 3 5" xfId="141"/>
    <cellStyle name="ErrorDropDownCenter 2 3 5 2" xfId="141"/>
    <cellStyle name="ErrorDropDownCenter 2 3 5 2 2" xfId="141"/>
    <cellStyle name="ErrorDropDownCenter 2 3 5 2 3" xfId="141"/>
    <cellStyle name="ErrorDropDownCenter 2 3 5 2 4" xfId="141"/>
    <cellStyle name="ErrorDropDownCenter 2 3 5 2 5" xfId="141"/>
    <cellStyle name="ErrorDropDownCenter 2 3 5 3" xfId="141"/>
    <cellStyle name="ErrorDropDownCenter 2 3 5 3 2" xfId="141"/>
    <cellStyle name="ErrorDropDownCenter 2 3 5 3 3" xfId="141"/>
    <cellStyle name="ErrorDropDownCenter 2 3 5 3 4" xfId="141"/>
    <cellStyle name="ErrorDropDownCenter 2 3 5 4" xfId="141"/>
    <cellStyle name="ErrorDropDownCenter 2 3 5 5" xfId="141"/>
    <cellStyle name="ErrorDropDownCenter 2 3 5 6" xfId="141"/>
    <cellStyle name="ErrorDropDownCenter 2 3 5 7" xfId="141"/>
    <cellStyle name="ErrorDropDownCenter 2 3 5 8" xfId="141"/>
    <cellStyle name="ErrorDropDownCenter 2 3 6" xfId="141"/>
    <cellStyle name="ErrorDropDownCenter 2 3 6 2" xfId="141"/>
    <cellStyle name="ErrorDropDownCenter 2 3 6 3" xfId="141"/>
    <cellStyle name="ErrorDropDownCenter 2 3 6 4" xfId="141"/>
    <cellStyle name="ErrorDropDownCenter 2 3 6 5" xfId="141"/>
    <cellStyle name="ErrorDropDownCenter 2 3 7" xfId="141"/>
    <cellStyle name="ErrorDropDownCenter 2 3 7 2" xfId="141"/>
    <cellStyle name="ErrorDropDownCenter 2 3 7 3" xfId="141"/>
    <cellStyle name="ErrorDropDownCenter 2 3 7 4" xfId="141"/>
    <cellStyle name="ErrorDropDownCenter 2 3 8" xfId="141"/>
    <cellStyle name="ErrorDropDownCenter 2 3 9" xfId="141"/>
    <cellStyle name="ErrorDropDownCenter 2 4" xfId="141"/>
    <cellStyle name="ErrorDropDownCenter 2 4 2" xfId="141"/>
    <cellStyle name="ErrorDropDownCenter 2 4 2 2" xfId="141"/>
    <cellStyle name="ErrorDropDownCenter 2 4 2 3" xfId="141"/>
    <cellStyle name="ErrorDropDownCenter 2 4 2 4" xfId="141"/>
    <cellStyle name="ErrorDropDownCenter 2 4 2 5" xfId="141"/>
    <cellStyle name="ErrorDropDownCenter 2 4 3" xfId="141"/>
    <cellStyle name="ErrorDropDownCenter 2 4 3 2" xfId="141"/>
    <cellStyle name="ErrorDropDownCenter 2 4 3 3" xfId="141"/>
    <cellStyle name="ErrorDropDownCenter 2 4 3 4" xfId="141"/>
    <cellStyle name="ErrorDropDownCenter 2 4 4" xfId="141"/>
    <cellStyle name="ErrorDropDownCenter 2 4 5" xfId="141"/>
    <cellStyle name="ErrorDropDownCenter 2 4 6" xfId="141"/>
    <cellStyle name="ErrorDropDownCenter 2 4 7" xfId="141"/>
    <cellStyle name="ErrorDropDownCenter 2 4 8" xfId="141"/>
    <cellStyle name="ErrorDropDownCenter 2 5" xfId="141"/>
    <cellStyle name="ErrorDropDownCenter 2 5 2" xfId="141"/>
    <cellStyle name="ErrorDropDownCenter 2 5 2 2" xfId="141"/>
    <cellStyle name="ErrorDropDownCenter 2 5 2 3" xfId="141"/>
    <cellStyle name="ErrorDropDownCenter 2 5 2 4" xfId="141"/>
    <cellStyle name="ErrorDropDownCenter 2 5 2 5" xfId="141"/>
    <cellStyle name="ErrorDropDownCenter 2 5 3" xfId="141"/>
    <cellStyle name="ErrorDropDownCenter 2 5 3 2" xfId="141"/>
    <cellStyle name="ErrorDropDownCenter 2 5 3 3" xfId="141"/>
    <cellStyle name="ErrorDropDownCenter 2 5 3 4" xfId="141"/>
    <cellStyle name="ErrorDropDownCenter 2 5 4" xfId="141"/>
    <cellStyle name="ErrorDropDownCenter 2 5 5" xfId="141"/>
    <cellStyle name="ErrorDropDownCenter 2 5 6" xfId="141"/>
    <cellStyle name="ErrorDropDownCenter 2 5 7" xfId="141"/>
    <cellStyle name="ErrorDropDownCenter 2 5 8" xfId="141"/>
    <cellStyle name="ErrorDropDownCenter 2 6" xfId="141"/>
    <cellStyle name="ErrorDropDownCenter 2 6 2" xfId="141"/>
    <cellStyle name="ErrorDropDownCenter 2 6 2 2" xfId="141"/>
    <cellStyle name="ErrorDropDownCenter 2 6 2 3" xfId="141"/>
    <cellStyle name="ErrorDropDownCenter 2 6 2 4" xfId="141"/>
    <cellStyle name="ErrorDropDownCenter 2 6 2 5" xfId="141"/>
    <cellStyle name="ErrorDropDownCenter 2 6 3" xfId="141"/>
    <cellStyle name="ErrorDropDownCenter 2 6 3 2" xfId="141"/>
    <cellStyle name="ErrorDropDownCenter 2 6 3 3" xfId="141"/>
    <cellStyle name="ErrorDropDownCenter 2 6 3 4" xfId="141"/>
    <cellStyle name="ErrorDropDownCenter 2 6 4" xfId="141"/>
    <cellStyle name="ErrorDropDownCenter 2 6 5" xfId="141"/>
    <cellStyle name="ErrorDropDownCenter 2 6 6" xfId="141"/>
    <cellStyle name="ErrorDropDownCenter 2 6 7" xfId="141"/>
    <cellStyle name="ErrorDropDownCenter 2 6 8" xfId="141"/>
    <cellStyle name="ErrorDropDownCenter 2 7" xfId="141"/>
    <cellStyle name="ErrorDropDownCenter 2 7 2" xfId="141"/>
    <cellStyle name="ErrorDropDownCenter 2 7 2 2" xfId="141"/>
    <cellStyle name="ErrorDropDownCenter 2 7 2 3" xfId="141"/>
    <cellStyle name="ErrorDropDownCenter 2 7 2 4" xfId="141"/>
    <cellStyle name="ErrorDropDownCenter 2 7 2 5" xfId="141"/>
    <cellStyle name="ErrorDropDownCenter 2 7 3" xfId="141"/>
    <cellStyle name="ErrorDropDownCenter 2 7 3 2" xfId="141"/>
    <cellStyle name="ErrorDropDownCenter 2 7 3 3" xfId="141"/>
    <cellStyle name="ErrorDropDownCenter 2 7 3 4" xfId="141"/>
    <cellStyle name="ErrorDropDownCenter 2 7 4" xfId="141"/>
    <cellStyle name="ErrorDropDownCenter 2 7 5" xfId="141"/>
    <cellStyle name="ErrorDropDownCenter 2 7 6" xfId="141"/>
    <cellStyle name="ErrorDropDownCenter 2 7 7" xfId="141"/>
    <cellStyle name="ErrorDropDownCenter 2 7 8" xfId="141"/>
    <cellStyle name="ErrorDropDownCenter 2 8" xfId="141"/>
    <cellStyle name="ErrorDropDownCenter 2 8 2" xfId="141"/>
    <cellStyle name="ErrorDropDownCenter 2 8 3" xfId="141"/>
    <cellStyle name="ErrorDropDownCenter 2 8 4" xfId="141"/>
    <cellStyle name="ErrorDropDownCenter 2 8 5" xfId="141"/>
    <cellStyle name="ErrorDropDownCenter 2 9" xfId="141"/>
    <cellStyle name="ErrorDropDownCenter 2 9 2" xfId="141"/>
    <cellStyle name="ErrorDropDownCenter 2 9 3" xfId="141"/>
    <cellStyle name="ErrorDropDownCenter 2 9 4" xfId="141"/>
    <cellStyle name="ErrorDropDownCenter 3" xfId="141"/>
    <cellStyle name="ErrorDropDownCenter 3 10" xfId="141"/>
    <cellStyle name="ErrorDropDownCenter 3 11" xfId="141"/>
    <cellStyle name="ErrorDropDownCenter 3 12" xfId="141"/>
    <cellStyle name="ErrorDropDownCenter 3 13" xfId="141"/>
    <cellStyle name="ErrorDropDownCenter 3 14" xfId="141"/>
    <cellStyle name="ErrorDropDownCenter 3 2" xfId="141"/>
    <cellStyle name="ErrorDropDownCenter 3 2 10" xfId="141"/>
    <cellStyle name="ErrorDropDownCenter 3 2 11" xfId="141"/>
    <cellStyle name="ErrorDropDownCenter 3 2 12" xfId="141"/>
    <cellStyle name="ErrorDropDownCenter 3 2 2" xfId="141"/>
    <cellStyle name="ErrorDropDownCenter 3 2 2 2" xfId="141"/>
    <cellStyle name="ErrorDropDownCenter 3 2 2 2 2" xfId="141"/>
    <cellStyle name="ErrorDropDownCenter 3 2 2 2 3" xfId="141"/>
    <cellStyle name="ErrorDropDownCenter 3 2 2 2 4" xfId="141"/>
    <cellStyle name="ErrorDropDownCenter 3 2 2 2 5" xfId="141"/>
    <cellStyle name="ErrorDropDownCenter 3 2 2 3" xfId="141"/>
    <cellStyle name="ErrorDropDownCenter 3 2 2 3 2" xfId="141"/>
    <cellStyle name="ErrorDropDownCenter 3 2 2 3 3" xfId="141"/>
    <cellStyle name="ErrorDropDownCenter 3 2 2 3 4" xfId="141"/>
    <cellStyle name="ErrorDropDownCenter 3 2 2 4" xfId="141"/>
    <cellStyle name="ErrorDropDownCenter 3 2 2 5" xfId="141"/>
    <cellStyle name="ErrorDropDownCenter 3 2 2 6" xfId="141"/>
    <cellStyle name="ErrorDropDownCenter 3 2 2 7" xfId="141"/>
    <cellStyle name="ErrorDropDownCenter 3 2 2 8" xfId="141"/>
    <cellStyle name="ErrorDropDownCenter 3 2 3" xfId="141"/>
    <cellStyle name="ErrorDropDownCenter 3 2 3 2" xfId="141"/>
    <cellStyle name="ErrorDropDownCenter 3 2 3 2 2" xfId="141"/>
    <cellStyle name="ErrorDropDownCenter 3 2 3 2 3" xfId="141"/>
    <cellStyle name="ErrorDropDownCenter 3 2 3 2 4" xfId="141"/>
    <cellStyle name="ErrorDropDownCenter 3 2 3 2 5" xfId="141"/>
    <cellStyle name="ErrorDropDownCenter 3 2 3 3" xfId="141"/>
    <cellStyle name="ErrorDropDownCenter 3 2 3 3 2" xfId="141"/>
    <cellStyle name="ErrorDropDownCenter 3 2 3 3 3" xfId="141"/>
    <cellStyle name="ErrorDropDownCenter 3 2 3 3 4" xfId="141"/>
    <cellStyle name="ErrorDropDownCenter 3 2 3 4" xfId="141"/>
    <cellStyle name="ErrorDropDownCenter 3 2 3 5" xfId="141"/>
    <cellStyle name="ErrorDropDownCenter 3 2 3 6" xfId="141"/>
    <cellStyle name="ErrorDropDownCenter 3 2 3 7" xfId="141"/>
    <cellStyle name="ErrorDropDownCenter 3 2 3 8" xfId="141"/>
    <cellStyle name="ErrorDropDownCenter 3 2 4" xfId="141"/>
    <cellStyle name="ErrorDropDownCenter 3 2 4 2" xfId="141"/>
    <cellStyle name="ErrorDropDownCenter 3 2 4 2 2" xfId="141"/>
    <cellStyle name="ErrorDropDownCenter 3 2 4 2 3" xfId="141"/>
    <cellStyle name="ErrorDropDownCenter 3 2 4 2 4" xfId="141"/>
    <cellStyle name="ErrorDropDownCenter 3 2 4 2 5" xfId="141"/>
    <cellStyle name="ErrorDropDownCenter 3 2 4 3" xfId="141"/>
    <cellStyle name="ErrorDropDownCenter 3 2 4 3 2" xfId="141"/>
    <cellStyle name="ErrorDropDownCenter 3 2 4 3 3" xfId="141"/>
    <cellStyle name="ErrorDropDownCenter 3 2 4 3 4" xfId="141"/>
    <cellStyle name="ErrorDropDownCenter 3 2 4 4" xfId="141"/>
    <cellStyle name="ErrorDropDownCenter 3 2 4 5" xfId="141"/>
    <cellStyle name="ErrorDropDownCenter 3 2 4 6" xfId="141"/>
    <cellStyle name="ErrorDropDownCenter 3 2 4 7" xfId="141"/>
    <cellStyle name="ErrorDropDownCenter 3 2 4 8" xfId="141"/>
    <cellStyle name="ErrorDropDownCenter 3 2 5" xfId="141"/>
    <cellStyle name="ErrorDropDownCenter 3 2 5 2" xfId="141"/>
    <cellStyle name="ErrorDropDownCenter 3 2 5 2 2" xfId="141"/>
    <cellStyle name="ErrorDropDownCenter 3 2 5 2 3" xfId="141"/>
    <cellStyle name="ErrorDropDownCenter 3 2 5 2 4" xfId="141"/>
    <cellStyle name="ErrorDropDownCenter 3 2 5 2 5" xfId="141"/>
    <cellStyle name="ErrorDropDownCenter 3 2 5 3" xfId="141"/>
    <cellStyle name="ErrorDropDownCenter 3 2 5 3 2" xfId="141"/>
    <cellStyle name="ErrorDropDownCenter 3 2 5 3 3" xfId="141"/>
    <cellStyle name="ErrorDropDownCenter 3 2 5 3 4" xfId="141"/>
    <cellStyle name="ErrorDropDownCenter 3 2 5 4" xfId="141"/>
    <cellStyle name="ErrorDropDownCenter 3 2 5 5" xfId="141"/>
    <cellStyle name="ErrorDropDownCenter 3 2 5 6" xfId="141"/>
    <cellStyle name="ErrorDropDownCenter 3 2 5 7" xfId="141"/>
    <cellStyle name="ErrorDropDownCenter 3 2 5 8" xfId="141"/>
    <cellStyle name="ErrorDropDownCenter 3 2 6" xfId="141"/>
    <cellStyle name="ErrorDropDownCenter 3 2 6 2" xfId="141"/>
    <cellStyle name="ErrorDropDownCenter 3 2 6 3" xfId="141"/>
    <cellStyle name="ErrorDropDownCenter 3 2 6 4" xfId="141"/>
    <cellStyle name="ErrorDropDownCenter 3 2 6 5" xfId="141"/>
    <cellStyle name="ErrorDropDownCenter 3 2 7" xfId="141"/>
    <cellStyle name="ErrorDropDownCenter 3 2 7 2" xfId="141"/>
    <cellStyle name="ErrorDropDownCenter 3 2 7 3" xfId="141"/>
    <cellStyle name="ErrorDropDownCenter 3 2 7 4" xfId="141"/>
    <cellStyle name="ErrorDropDownCenter 3 2 8" xfId="141"/>
    <cellStyle name="ErrorDropDownCenter 3 2 9" xfId="141"/>
    <cellStyle name="ErrorDropDownCenter 3 3" xfId="141"/>
    <cellStyle name="ErrorDropDownCenter 3 3 10" xfId="141"/>
    <cellStyle name="ErrorDropDownCenter 3 3 11" xfId="141"/>
    <cellStyle name="ErrorDropDownCenter 3 3 12" xfId="141"/>
    <cellStyle name="ErrorDropDownCenter 3 3 2" xfId="141"/>
    <cellStyle name="ErrorDropDownCenter 3 3 2 2" xfId="141"/>
    <cellStyle name="ErrorDropDownCenter 3 3 2 2 2" xfId="141"/>
    <cellStyle name="ErrorDropDownCenter 3 3 2 2 3" xfId="141"/>
    <cellStyle name="ErrorDropDownCenter 3 3 2 2 4" xfId="141"/>
    <cellStyle name="ErrorDropDownCenter 3 3 2 2 5" xfId="141"/>
    <cellStyle name="ErrorDropDownCenter 3 3 2 3" xfId="141"/>
    <cellStyle name="ErrorDropDownCenter 3 3 2 3 2" xfId="141"/>
    <cellStyle name="ErrorDropDownCenter 3 3 2 3 3" xfId="141"/>
    <cellStyle name="ErrorDropDownCenter 3 3 2 3 4" xfId="141"/>
    <cellStyle name="ErrorDropDownCenter 3 3 2 4" xfId="141"/>
    <cellStyle name="ErrorDropDownCenter 3 3 2 5" xfId="141"/>
    <cellStyle name="ErrorDropDownCenter 3 3 2 6" xfId="141"/>
    <cellStyle name="ErrorDropDownCenter 3 3 2 7" xfId="141"/>
    <cellStyle name="ErrorDropDownCenter 3 3 2 8" xfId="141"/>
    <cellStyle name="ErrorDropDownCenter 3 3 3" xfId="141"/>
    <cellStyle name="ErrorDropDownCenter 3 3 3 2" xfId="141"/>
    <cellStyle name="ErrorDropDownCenter 3 3 3 2 2" xfId="141"/>
    <cellStyle name="ErrorDropDownCenter 3 3 3 2 3" xfId="141"/>
    <cellStyle name="ErrorDropDownCenter 3 3 3 2 4" xfId="141"/>
    <cellStyle name="ErrorDropDownCenter 3 3 3 2 5" xfId="141"/>
    <cellStyle name="ErrorDropDownCenter 3 3 3 3" xfId="141"/>
    <cellStyle name="ErrorDropDownCenter 3 3 3 3 2" xfId="141"/>
    <cellStyle name="ErrorDropDownCenter 3 3 3 3 3" xfId="141"/>
    <cellStyle name="ErrorDropDownCenter 3 3 3 3 4" xfId="141"/>
    <cellStyle name="ErrorDropDownCenter 3 3 3 4" xfId="141"/>
    <cellStyle name="ErrorDropDownCenter 3 3 3 5" xfId="141"/>
    <cellStyle name="ErrorDropDownCenter 3 3 3 6" xfId="141"/>
    <cellStyle name="ErrorDropDownCenter 3 3 3 7" xfId="141"/>
    <cellStyle name="ErrorDropDownCenter 3 3 3 8" xfId="141"/>
    <cellStyle name="ErrorDropDownCenter 3 3 4" xfId="141"/>
    <cellStyle name="ErrorDropDownCenter 3 3 4 2" xfId="141"/>
    <cellStyle name="ErrorDropDownCenter 3 3 4 2 2" xfId="141"/>
    <cellStyle name="ErrorDropDownCenter 3 3 4 2 3" xfId="141"/>
    <cellStyle name="ErrorDropDownCenter 3 3 4 2 4" xfId="141"/>
    <cellStyle name="ErrorDropDownCenter 3 3 4 2 5" xfId="141"/>
    <cellStyle name="ErrorDropDownCenter 3 3 4 3" xfId="141"/>
    <cellStyle name="ErrorDropDownCenter 3 3 4 3 2" xfId="141"/>
    <cellStyle name="ErrorDropDownCenter 3 3 4 3 3" xfId="141"/>
    <cellStyle name="ErrorDropDownCenter 3 3 4 3 4" xfId="141"/>
    <cellStyle name="ErrorDropDownCenter 3 3 4 4" xfId="141"/>
    <cellStyle name="ErrorDropDownCenter 3 3 4 5" xfId="141"/>
    <cellStyle name="ErrorDropDownCenter 3 3 4 6" xfId="141"/>
    <cellStyle name="ErrorDropDownCenter 3 3 4 7" xfId="141"/>
    <cellStyle name="ErrorDropDownCenter 3 3 4 8" xfId="141"/>
    <cellStyle name="ErrorDropDownCenter 3 3 5" xfId="141"/>
    <cellStyle name="ErrorDropDownCenter 3 3 5 2" xfId="141"/>
    <cellStyle name="ErrorDropDownCenter 3 3 5 2 2" xfId="141"/>
    <cellStyle name="ErrorDropDownCenter 3 3 5 2 3" xfId="141"/>
    <cellStyle name="ErrorDropDownCenter 3 3 5 2 4" xfId="141"/>
    <cellStyle name="ErrorDropDownCenter 3 3 5 2 5" xfId="141"/>
    <cellStyle name="ErrorDropDownCenter 3 3 5 3" xfId="141"/>
    <cellStyle name="ErrorDropDownCenter 3 3 5 3 2" xfId="141"/>
    <cellStyle name="ErrorDropDownCenter 3 3 5 3 3" xfId="141"/>
    <cellStyle name="ErrorDropDownCenter 3 3 5 3 4" xfId="141"/>
    <cellStyle name="ErrorDropDownCenter 3 3 5 4" xfId="141"/>
    <cellStyle name="ErrorDropDownCenter 3 3 5 5" xfId="141"/>
    <cellStyle name="ErrorDropDownCenter 3 3 5 6" xfId="141"/>
    <cellStyle name="ErrorDropDownCenter 3 3 5 7" xfId="141"/>
    <cellStyle name="ErrorDropDownCenter 3 3 5 8" xfId="141"/>
    <cellStyle name="ErrorDropDownCenter 3 3 6" xfId="141"/>
    <cellStyle name="ErrorDropDownCenter 3 3 6 2" xfId="141"/>
    <cellStyle name="ErrorDropDownCenter 3 3 6 3" xfId="141"/>
    <cellStyle name="ErrorDropDownCenter 3 3 6 4" xfId="141"/>
    <cellStyle name="ErrorDropDownCenter 3 3 6 5" xfId="141"/>
    <cellStyle name="ErrorDropDownCenter 3 3 7" xfId="141"/>
    <cellStyle name="ErrorDropDownCenter 3 3 7 2" xfId="141"/>
    <cellStyle name="ErrorDropDownCenter 3 3 7 3" xfId="141"/>
    <cellStyle name="ErrorDropDownCenter 3 3 7 4" xfId="141"/>
    <cellStyle name="ErrorDropDownCenter 3 3 8" xfId="141"/>
    <cellStyle name="ErrorDropDownCenter 3 3 9" xfId="141"/>
    <cellStyle name="ErrorDropDownCenter 3 4" xfId="141"/>
    <cellStyle name="ErrorDropDownCenter 3 4 2" xfId="141"/>
    <cellStyle name="ErrorDropDownCenter 3 4 2 2" xfId="141"/>
    <cellStyle name="ErrorDropDownCenter 3 4 2 3" xfId="141"/>
    <cellStyle name="ErrorDropDownCenter 3 4 2 4" xfId="141"/>
    <cellStyle name="ErrorDropDownCenter 3 4 2 5" xfId="141"/>
    <cellStyle name="ErrorDropDownCenter 3 4 3" xfId="141"/>
    <cellStyle name="ErrorDropDownCenter 3 4 3 2" xfId="141"/>
    <cellStyle name="ErrorDropDownCenter 3 4 3 3" xfId="141"/>
    <cellStyle name="ErrorDropDownCenter 3 4 3 4" xfId="141"/>
    <cellStyle name="ErrorDropDownCenter 3 4 4" xfId="141"/>
    <cellStyle name="ErrorDropDownCenter 3 4 5" xfId="141"/>
    <cellStyle name="ErrorDropDownCenter 3 4 6" xfId="141"/>
    <cellStyle name="ErrorDropDownCenter 3 4 7" xfId="141"/>
    <cellStyle name="ErrorDropDownCenter 3 4 8" xfId="141"/>
    <cellStyle name="ErrorDropDownCenter 3 5" xfId="141"/>
    <cellStyle name="ErrorDropDownCenter 3 5 2" xfId="141"/>
    <cellStyle name="ErrorDropDownCenter 3 5 2 2" xfId="141"/>
    <cellStyle name="ErrorDropDownCenter 3 5 2 3" xfId="141"/>
    <cellStyle name="ErrorDropDownCenter 3 5 2 4" xfId="141"/>
    <cellStyle name="ErrorDropDownCenter 3 5 2 5" xfId="141"/>
    <cellStyle name="ErrorDropDownCenter 3 5 3" xfId="141"/>
    <cellStyle name="ErrorDropDownCenter 3 5 3 2" xfId="141"/>
    <cellStyle name="ErrorDropDownCenter 3 5 3 3" xfId="141"/>
    <cellStyle name="ErrorDropDownCenter 3 5 3 4" xfId="141"/>
    <cellStyle name="ErrorDropDownCenter 3 5 4" xfId="141"/>
    <cellStyle name="ErrorDropDownCenter 3 5 5" xfId="141"/>
    <cellStyle name="ErrorDropDownCenter 3 5 6" xfId="141"/>
    <cellStyle name="ErrorDropDownCenter 3 5 7" xfId="141"/>
    <cellStyle name="ErrorDropDownCenter 3 5 8" xfId="141"/>
    <cellStyle name="ErrorDropDownCenter 3 6" xfId="141"/>
    <cellStyle name="ErrorDropDownCenter 3 6 2" xfId="141"/>
    <cellStyle name="ErrorDropDownCenter 3 6 2 2" xfId="141"/>
    <cellStyle name="ErrorDropDownCenter 3 6 2 3" xfId="141"/>
    <cellStyle name="ErrorDropDownCenter 3 6 2 4" xfId="141"/>
    <cellStyle name="ErrorDropDownCenter 3 6 2 5" xfId="141"/>
    <cellStyle name="ErrorDropDownCenter 3 6 3" xfId="141"/>
    <cellStyle name="ErrorDropDownCenter 3 6 3 2" xfId="141"/>
    <cellStyle name="ErrorDropDownCenter 3 6 3 3" xfId="141"/>
    <cellStyle name="ErrorDropDownCenter 3 6 3 4" xfId="141"/>
    <cellStyle name="ErrorDropDownCenter 3 6 4" xfId="141"/>
    <cellStyle name="ErrorDropDownCenter 3 6 5" xfId="141"/>
    <cellStyle name="ErrorDropDownCenter 3 6 6" xfId="141"/>
    <cellStyle name="ErrorDropDownCenter 3 6 7" xfId="141"/>
    <cellStyle name="ErrorDropDownCenter 3 6 8" xfId="141"/>
    <cellStyle name="ErrorDropDownCenter 3 7" xfId="141"/>
    <cellStyle name="ErrorDropDownCenter 3 7 2" xfId="141"/>
    <cellStyle name="ErrorDropDownCenter 3 7 2 2" xfId="141"/>
    <cellStyle name="ErrorDropDownCenter 3 7 2 3" xfId="141"/>
    <cellStyle name="ErrorDropDownCenter 3 7 2 4" xfId="141"/>
    <cellStyle name="ErrorDropDownCenter 3 7 2 5" xfId="141"/>
    <cellStyle name="ErrorDropDownCenter 3 7 3" xfId="141"/>
    <cellStyle name="ErrorDropDownCenter 3 7 3 2" xfId="141"/>
    <cellStyle name="ErrorDropDownCenter 3 7 3 3" xfId="141"/>
    <cellStyle name="ErrorDropDownCenter 3 7 3 4" xfId="141"/>
    <cellStyle name="ErrorDropDownCenter 3 7 4" xfId="141"/>
    <cellStyle name="ErrorDropDownCenter 3 7 5" xfId="141"/>
    <cellStyle name="ErrorDropDownCenter 3 7 6" xfId="141"/>
    <cellStyle name="ErrorDropDownCenter 3 7 7" xfId="141"/>
    <cellStyle name="ErrorDropDownCenter 3 7 8" xfId="141"/>
    <cellStyle name="ErrorDropDownCenter 3 8" xfId="141"/>
    <cellStyle name="ErrorDropDownCenter 3 8 2" xfId="141"/>
    <cellStyle name="ErrorDropDownCenter 3 8 3" xfId="141"/>
    <cellStyle name="ErrorDropDownCenter 3 8 4" xfId="141"/>
    <cellStyle name="ErrorDropDownCenter 3 8 5" xfId="141"/>
    <cellStyle name="ErrorDropDownCenter 3 9" xfId="141"/>
    <cellStyle name="ErrorDropDownCenter 3 9 2" xfId="141"/>
    <cellStyle name="ErrorDropDownCenter 3 9 3" xfId="141"/>
    <cellStyle name="ErrorDropDownCenter 3 9 4" xfId="141"/>
    <cellStyle name="ErrorDropDownCenter 4" xfId="141"/>
    <cellStyle name="ErrorDropDownCenter 4 2" xfId="141"/>
    <cellStyle name="ErrorDropDownCenter 4 2 2" xfId="141"/>
    <cellStyle name="ErrorDropDownCenter 4 2 2 2" xfId="141"/>
    <cellStyle name="ErrorDropDownCenter 4 2 2 3" xfId="141"/>
    <cellStyle name="ErrorDropDownCenter 4 2 2 4" xfId="141"/>
    <cellStyle name="ErrorDropDownCenter 4 2 2 5" xfId="141"/>
    <cellStyle name="ErrorDropDownCenter 4 2 3" xfId="141"/>
    <cellStyle name="ErrorDropDownCenter 4 2 3 2" xfId="141"/>
    <cellStyle name="ErrorDropDownCenter 4 2 3 3" xfId="141"/>
    <cellStyle name="ErrorDropDownCenter 4 2 3 4" xfId="141"/>
    <cellStyle name="ErrorDropDownCenter 4 2 4" xfId="141"/>
    <cellStyle name="ErrorDropDownCenter 4 2 5" xfId="141"/>
    <cellStyle name="ErrorDropDownCenter 4 2 6" xfId="141"/>
    <cellStyle name="ErrorDropDownCenter 4 2 7" xfId="141"/>
    <cellStyle name="ErrorDropDownCenter 4 2 8" xfId="141"/>
    <cellStyle name="ErrorDropDownCenter 4 3" xfId="141"/>
    <cellStyle name="ErrorDropDownCenter 4 3 2" xfId="141"/>
    <cellStyle name="ErrorDropDownCenter 4 3 2 2" xfId="141"/>
    <cellStyle name="ErrorDropDownCenter 4 3 2 3" xfId="141"/>
    <cellStyle name="ErrorDropDownCenter 4 3 2 4" xfId="141"/>
    <cellStyle name="ErrorDropDownCenter 4 3 2 5" xfId="141"/>
    <cellStyle name="ErrorDropDownCenter 4 3 3" xfId="141"/>
    <cellStyle name="ErrorDropDownCenter 4 3 3 2" xfId="141"/>
    <cellStyle name="ErrorDropDownCenter 4 3 3 3" xfId="141"/>
    <cellStyle name="ErrorDropDownCenter 4 3 3 4" xfId="141"/>
    <cellStyle name="ErrorDropDownCenter 4 3 4" xfId="141"/>
    <cellStyle name="ErrorDropDownCenter 4 3 5" xfId="141"/>
    <cellStyle name="ErrorDropDownCenter 4 3 6" xfId="141"/>
    <cellStyle name="ErrorDropDownCenter 4 3 7" xfId="141"/>
    <cellStyle name="ErrorDropDownCenter 4 4" xfId="141"/>
    <cellStyle name="ErrorDropDownCenter 4 4 2" xfId="141"/>
    <cellStyle name="ErrorDropDownCenter 4 4 3" xfId="141"/>
    <cellStyle name="ErrorDropDownCenter 4 4 4" xfId="141"/>
    <cellStyle name="ErrorDropDownCenter 4 4 5" xfId="141"/>
    <cellStyle name="ErrorDropDownCenter 4 5" xfId="141"/>
    <cellStyle name="ErrorDropDownCenter 4 5 2" xfId="141"/>
    <cellStyle name="ErrorDropDownCenter 4 5 3" xfId="141"/>
    <cellStyle name="ErrorDropDownCenter 4 5 4" xfId="141"/>
    <cellStyle name="ErrorDropDownCenter 4 6" xfId="141"/>
    <cellStyle name="ErrorDropDownCenter 4 7" xfId="141"/>
    <cellStyle name="ErrorDropDownCenter 4 8" xfId="141"/>
    <cellStyle name="ErrorDropDownCenter 4 9" xfId="141"/>
    <cellStyle name="ErrorDropDownCenter 5" xfId="141"/>
    <cellStyle name="ErrorDropDownCenter 5 2" xfId="141"/>
    <cellStyle name="ErrorDropDownCenter 5 2 2" xfId="141"/>
    <cellStyle name="ErrorDropDownCenter 5 2 3" xfId="141"/>
    <cellStyle name="ErrorDropDownCenter 5 2 4" xfId="141"/>
    <cellStyle name="ErrorDropDownCenter 5 2 5" xfId="141"/>
    <cellStyle name="ErrorDropDownCenter 5 3" xfId="141"/>
    <cellStyle name="ErrorDropDownCenter 5 3 2" xfId="141"/>
    <cellStyle name="ErrorDropDownCenter 5 3 3" xfId="141"/>
    <cellStyle name="ErrorDropDownCenter 5 3 4" xfId="141"/>
    <cellStyle name="ErrorDropDownCenter 5 4" xfId="141"/>
    <cellStyle name="ErrorDropDownCenter 5 5" xfId="141"/>
    <cellStyle name="ErrorDropDownCenter 5 6" xfId="141"/>
    <cellStyle name="ErrorDropDownCenter 5 7" xfId="141"/>
    <cellStyle name="ErrorDropDownCenter 5 8" xfId="141"/>
    <cellStyle name="ErrorDropDownCenter 6" xfId="141"/>
    <cellStyle name="ErrorDropDownCenter 6 2" xfId="141"/>
    <cellStyle name="ErrorDropDownCenter 6 3" xfId="141"/>
    <cellStyle name="ErrorDropDownCenter 6 4" xfId="141"/>
    <cellStyle name="ErrorDropDownCenter 6 5" xfId="141"/>
    <cellStyle name="ErrorDropDownCenter 7" xfId="141"/>
    <cellStyle name="ErrorDropDownCenter 8" xfId="141"/>
    <cellStyle name="ErrorDropDownRight" xfId="142"/>
    <cellStyle name="ErrorDropDownRight 2" xfId="142"/>
    <cellStyle name="ErrorDropDownRight 2 10" xfId="142"/>
    <cellStyle name="ErrorDropDownRight 2 11" xfId="142"/>
    <cellStyle name="ErrorDropDownRight 2 12" xfId="142"/>
    <cellStyle name="ErrorDropDownRight 2 13" xfId="142"/>
    <cellStyle name="ErrorDropDownRight 2 14" xfId="142"/>
    <cellStyle name="ErrorDropDownRight 2 2" xfId="142"/>
    <cellStyle name="ErrorDropDownRight 2 2 10" xfId="142"/>
    <cellStyle name="ErrorDropDownRight 2 2 11" xfId="142"/>
    <cellStyle name="ErrorDropDownRight 2 2 12" xfId="142"/>
    <cellStyle name="ErrorDropDownRight 2 2 13" xfId="142"/>
    <cellStyle name="ErrorDropDownRight 2 2 14" xfId="142"/>
    <cellStyle name="ErrorDropDownRight 2 2 2" xfId="142"/>
    <cellStyle name="ErrorDropDownRight 2 2 2 10" xfId="142"/>
    <cellStyle name="ErrorDropDownRight 2 2 2 11" xfId="142"/>
    <cellStyle name="ErrorDropDownRight 2 2 2 12" xfId="142"/>
    <cellStyle name="ErrorDropDownRight 2 2 2 2" xfId="142"/>
    <cellStyle name="ErrorDropDownRight 2 2 2 2 2" xfId="142"/>
    <cellStyle name="ErrorDropDownRight 2 2 2 2 2 2" xfId="142"/>
    <cellStyle name="ErrorDropDownRight 2 2 2 2 2 3" xfId="142"/>
    <cellStyle name="ErrorDropDownRight 2 2 2 2 2 4" xfId="142"/>
    <cellStyle name="ErrorDropDownRight 2 2 2 2 2 5" xfId="142"/>
    <cellStyle name="ErrorDropDownRight 2 2 2 2 3" xfId="142"/>
    <cellStyle name="ErrorDropDownRight 2 2 2 2 3 2" xfId="142"/>
    <cellStyle name="ErrorDropDownRight 2 2 2 2 3 3" xfId="142"/>
    <cellStyle name="ErrorDropDownRight 2 2 2 2 3 4" xfId="142"/>
    <cellStyle name="ErrorDropDownRight 2 2 2 2 4" xfId="142"/>
    <cellStyle name="ErrorDropDownRight 2 2 2 2 5" xfId="142"/>
    <cellStyle name="ErrorDropDownRight 2 2 2 2 6" xfId="142"/>
    <cellStyle name="ErrorDropDownRight 2 2 2 2 7" xfId="142"/>
    <cellStyle name="ErrorDropDownRight 2 2 2 2 8" xfId="142"/>
    <cellStyle name="ErrorDropDownRight 2 2 2 3" xfId="142"/>
    <cellStyle name="ErrorDropDownRight 2 2 2 3 2" xfId="142"/>
    <cellStyle name="ErrorDropDownRight 2 2 2 3 2 2" xfId="142"/>
    <cellStyle name="ErrorDropDownRight 2 2 2 3 2 3" xfId="142"/>
    <cellStyle name="ErrorDropDownRight 2 2 2 3 2 4" xfId="142"/>
    <cellStyle name="ErrorDropDownRight 2 2 2 3 2 5" xfId="142"/>
    <cellStyle name="ErrorDropDownRight 2 2 2 3 3" xfId="142"/>
    <cellStyle name="ErrorDropDownRight 2 2 2 3 3 2" xfId="142"/>
    <cellStyle name="ErrorDropDownRight 2 2 2 3 3 3" xfId="142"/>
    <cellStyle name="ErrorDropDownRight 2 2 2 3 3 4" xfId="142"/>
    <cellStyle name="ErrorDropDownRight 2 2 2 3 4" xfId="142"/>
    <cellStyle name="ErrorDropDownRight 2 2 2 3 5" xfId="142"/>
    <cellStyle name="ErrorDropDownRight 2 2 2 3 6" xfId="142"/>
    <cellStyle name="ErrorDropDownRight 2 2 2 3 7" xfId="142"/>
    <cellStyle name="ErrorDropDownRight 2 2 2 3 8" xfId="142"/>
    <cellStyle name="ErrorDropDownRight 2 2 2 4" xfId="142"/>
    <cellStyle name="ErrorDropDownRight 2 2 2 4 2" xfId="142"/>
    <cellStyle name="ErrorDropDownRight 2 2 2 4 2 2" xfId="142"/>
    <cellStyle name="ErrorDropDownRight 2 2 2 4 2 3" xfId="142"/>
    <cellStyle name="ErrorDropDownRight 2 2 2 4 2 4" xfId="142"/>
    <cellStyle name="ErrorDropDownRight 2 2 2 4 2 5" xfId="142"/>
    <cellStyle name="ErrorDropDownRight 2 2 2 4 3" xfId="142"/>
    <cellStyle name="ErrorDropDownRight 2 2 2 4 3 2" xfId="142"/>
    <cellStyle name="ErrorDropDownRight 2 2 2 4 3 3" xfId="142"/>
    <cellStyle name="ErrorDropDownRight 2 2 2 4 3 4" xfId="142"/>
    <cellStyle name="ErrorDropDownRight 2 2 2 4 4" xfId="142"/>
    <cellStyle name="ErrorDropDownRight 2 2 2 4 5" xfId="142"/>
    <cellStyle name="ErrorDropDownRight 2 2 2 4 6" xfId="142"/>
    <cellStyle name="ErrorDropDownRight 2 2 2 4 7" xfId="142"/>
    <cellStyle name="ErrorDropDownRight 2 2 2 4 8" xfId="142"/>
    <cellStyle name="ErrorDropDownRight 2 2 2 5" xfId="142"/>
    <cellStyle name="ErrorDropDownRight 2 2 2 5 2" xfId="142"/>
    <cellStyle name="ErrorDropDownRight 2 2 2 5 2 2" xfId="142"/>
    <cellStyle name="ErrorDropDownRight 2 2 2 5 2 3" xfId="142"/>
    <cellStyle name="ErrorDropDownRight 2 2 2 5 2 4" xfId="142"/>
    <cellStyle name="ErrorDropDownRight 2 2 2 5 2 5" xfId="142"/>
    <cellStyle name="ErrorDropDownRight 2 2 2 5 3" xfId="142"/>
    <cellStyle name="ErrorDropDownRight 2 2 2 5 3 2" xfId="142"/>
    <cellStyle name="ErrorDropDownRight 2 2 2 5 3 3" xfId="142"/>
    <cellStyle name="ErrorDropDownRight 2 2 2 5 3 4" xfId="142"/>
    <cellStyle name="ErrorDropDownRight 2 2 2 5 4" xfId="142"/>
    <cellStyle name="ErrorDropDownRight 2 2 2 5 5" xfId="142"/>
    <cellStyle name="ErrorDropDownRight 2 2 2 5 6" xfId="142"/>
    <cellStyle name="ErrorDropDownRight 2 2 2 5 7" xfId="142"/>
    <cellStyle name="ErrorDropDownRight 2 2 2 5 8" xfId="142"/>
    <cellStyle name="ErrorDropDownRight 2 2 2 6" xfId="142"/>
    <cellStyle name="ErrorDropDownRight 2 2 2 6 2" xfId="142"/>
    <cellStyle name="ErrorDropDownRight 2 2 2 6 3" xfId="142"/>
    <cellStyle name="ErrorDropDownRight 2 2 2 6 4" xfId="142"/>
    <cellStyle name="ErrorDropDownRight 2 2 2 6 5" xfId="142"/>
    <cellStyle name="ErrorDropDownRight 2 2 2 7" xfId="142"/>
    <cellStyle name="ErrorDropDownRight 2 2 2 7 2" xfId="142"/>
    <cellStyle name="ErrorDropDownRight 2 2 2 7 3" xfId="142"/>
    <cellStyle name="ErrorDropDownRight 2 2 2 7 4" xfId="142"/>
    <cellStyle name="ErrorDropDownRight 2 2 2 8" xfId="142"/>
    <cellStyle name="ErrorDropDownRight 2 2 2 9" xfId="142"/>
    <cellStyle name="ErrorDropDownRight 2 2 3" xfId="142"/>
    <cellStyle name="ErrorDropDownRight 2 2 3 10" xfId="142"/>
    <cellStyle name="ErrorDropDownRight 2 2 3 11" xfId="142"/>
    <cellStyle name="ErrorDropDownRight 2 2 3 12" xfId="142"/>
    <cellStyle name="ErrorDropDownRight 2 2 3 2" xfId="142"/>
    <cellStyle name="ErrorDropDownRight 2 2 3 2 2" xfId="142"/>
    <cellStyle name="ErrorDropDownRight 2 2 3 2 2 2" xfId="142"/>
    <cellStyle name="ErrorDropDownRight 2 2 3 2 2 3" xfId="142"/>
    <cellStyle name="ErrorDropDownRight 2 2 3 2 2 4" xfId="142"/>
    <cellStyle name="ErrorDropDownRight 2 2 3 2 2 5" xfId="142"/>
    <cellStyle name="ErrorDropDownRight 2 2 3 2 3" xfId="142"/>
    <cellStyle name="ErrorDropDownRight 2 2 3 2 3 2" xfId="142"/>
    <cellStyle name="ErrorDropDownRight 2 2 3 2 3 3" xfId="142"/>
    <cellStyle name="ErrorDropDownRight 2 2 3 2 3 4" xfId="142"/>
    <cellStyle name="ErrorDropDownRight 2 2 3 2 4" xfId="142"/>
    <cellStyle name="ErrorDropDownRight 2 2 3 2 5" xfId="142"/>
    <cellStyle name="ErrorDropDownRight 2 2 3 2 6" xfId="142"/>
    <cellStyle name="ErrorDropDownRight 2 2 3 2 7" xfId="142"/>
    <cellStyle name="ErrorDropDownRight 2 2 3 2 8" xfId="142"/>
    <cellStyle name="ErrorDropDownRight 2 2 3 3" xfId="142"/>
    <cellStyle name="ErrorDropDownRight 2 2 3 3 2" xfId="142"/>
    <cellStyle name="ErrorDropDownRight 2 2 3 3 2 2" xfId="142"/>
    <cellStyle name="ErrorDropDownRight 2 2 3 3 2 3" xfId="142"/>
    <cellStyle name="ErrorDropDownRight 2 2 3 3 2 4" xfId="142"/>
    <cellStyle name="ErrorDropDownRight 2 2 3 3 2 5" xfId="142"/>
    <cellStyle name="ErrorDropDownRight 2 2 3 3 3" xfId="142"/>
    <cellStyle name="ErrorDropDownRight 2 2 3 3 3 2" xfId="142"/>
    <cellStyle name="ErrorDropDownRight 2 2 3 3 3 3" xfId="142"/>
    <cellStyle name="ErrorDropDownRight 2 2 3 3 3 4" xfId="142"/>
    <cellStyle name="ErrorDropDownRight 2 2 3 3 4" xfId="142"/>
    <cellStyle name="ErrorDropDownRight 2 2 3 3 5" xfId="142"/>
    <cellStyle name="ErrorDropDownRight 2 2 3 3 6" xfId="142"/>
    <cellStyle name="ErrorDropDownRight 2 2 3 3 7" xfId="142"/>
    <cellStyle name="ErrorDropDownRight 2 2 3 3 8" xfId="142"/>
    <cellStyle name="ErrorDropDownRight 2 2 3 4" xfId="142"/>
    <cellStyle name="ErrorDropDownRight 2 2 3 4 2" xfId="142"/>
    <cellStyle name="ErrorDropDownRight 2 2 3 4 2 2" xfId="142"/>
    <cellStyle name="ErrorDropDownRight 2 2 3 4 2 3" xfId="142"/>
    <cellStyle name="ErrorDropDownRight 2 2 3 4 2 4" xfId="142"/>
    <cellStyle name="ErrorDropDownRight 2 2 3 4 2 5" xfId="142"/>
    <cellStyle name="ErrorDropDownRight 2 2 3 4 3" xfId="142"/>
    <cellStyle name="ErrorDropDownRight 2 2 3 4 3 2" xfId="142"/>
    <cellStyle name="ErrorDropDownRight 2 2 3 4 3 3" xfId="142"/>
    <cellStyle name="ErrorDropDownRight 2 2 3 4 3 4" xfId="142"/>
    <cellStyle name="ErrorDropDownRight 2 2 3 4 4" xfId="142"/>
    <cellStyle name="ErrorDropDownRight 2 2 3 4 5" xfId="142"/>
    <cellStyle name="ErrorDropDownRight 2 2 3 4 6" xfId="142"/>
    <cellStyle name="ErrorDropDownRight 2 2 3 4 7" xfId="142"/>
    <cellStyle name="ErrorDropDownRight 2 2 3 4 8" xfId="142"/>
    <cellStyle name="ErrorDropDownRight 2 2 3 5" xfId="142"/>
    <cellStyle name="ErrorDropDownRight 2 2 3 5 2" xfId="142"/>
    <cellStyle name="ErrorDropDownRight 2 2 3 5 2 2" xfId="142"/>
    <cellStyle name="ErrorDropDownRight 2 2 3 5 2 3" xfId="142"/>
    <cellStyle name="ErrorDropDownRight 2 2 3 5 2 4" xfId="142"/>
    <cellStyle name="ErrorDropDownRight 2 2 3 5 2 5" xfId="142"/>
    <cellStyle name="ErrorDropDownRight 2 2 3 5 3" xfId="142"/>
    <cellStyle name="ErrorDropDownRight 2 2 3 5 3 2" xfId="142"/>
    <cellStyle name="ErrorDropDownRight 2 2 3 5 3 3" xfId="142"/>
    <cellStyle name="ErrorDropDownRight 2 2 3 5 3 4" xfId="142"/>
    <cellStyle name="ErrorDropDownRight 2 2 3 5 4" xfId="142"/>
    <cellStyle name="ErrorDropDownRight 2 2 3 5 5" xfId="142"/>
    <cellStyle name="ErrorDropDownRight 2 2 3 5 6" xfId="142"/>
    <cellStyle name="ErrorDropDownRight 2 2 3 5 7" xfId="142"/>
    <cellStyle name="ErrorDropDownRight 2 2 3 5 8" xfId="142"/>
    <cellStyle name="ErrorDropDownRight 2 2 3 6" xfId="142"/>
    <cellStyle name="ErrorDropDownRight 2 2 3 6 2" xfId="142"/>
    <cellStyle name="ErrorDropDownRight 2 2 3 6 3" xfId="142"/>
    <cellStyle name="ErrorDropDownRight 2 2 3 6 4" xfId="142"/>
    <cellStyle name="ErrorDropDownRight 2 2 3 6 5" xfId="142"/>
    <cellStyle name="ErrorDropDownRight 2 2 3 7" xfId="142"/>
    <cellStyle name="ErrorDropDownRight 2 2 3 7 2" xfId="142"/>
    <cellStyle name="ErrorDropDownRight 2 2 3 7 3" xfId="142"/>
    <cellStyle name="ErrorDropDownRight 2 2 3 7 4" xfId="142"/>
    <cellStyle name="ErrorDropDownRight 2 2 3 8" xfId="142"/>
    <cellStyle name="ErrorDropDownRight 2 2 3 9" xfId="142"/>
    <cellStyle name="ErrorDropDownRight 2 2 4" xfId="142"/>
    <cellStyle name="ErrorDropDownRight 2 2 4 2" xfId="142"/>
    <cellStyle name="ErrorDropDownRight 2 2 4 2 2" xfId="142"/>
    <cellStyle name="ErrorDropDownRight 2 2 4 2 3" xfId="142"/>
    <cellStyle name="ErrorDropDownRight 2 2 4 2 4" xfId="142"/>
    <cellStyle name="ErrorDropDownRight 2 2 4 2 5" xfId="142"/>
    <cellStyle name="ErrorDropDownRight 2 2 4 3" xfId="142"/>
    <cellStyle name="ErrorDropDownRight 2 2 4 3 2" xfId="142"/>
    <cellStyle name="ErrorDropDownRight 2 2 4 3 3" xfId="142"/>
    <cellStyle name="ErrorDropDownRight 2 2 4 3 4" xfId="142"/>
    <cellStyle name="ErrorDropDownRight 2 2 4 4" xfId="142"/>
    <cellStyle name="ErrorDropDownRight 2 2 4 5" xfId="142"/>
    <cellStyle name="ErrorDropDownRight 2 2 4 6" xfId="142"/>
    <cellStyle name="ErrorDropDownRight 2 2 4 7" xfId="142"/>
    <cellStyle name="ErrorDropDownRight 2 2 4 8" xfId="142"/>
    <cellStyle name="ErrorDropDownRight 2 2 5" xfId="142"/>
    <cellStyle name="ErrorDropDownRight 2 2 5 2" xfId="142"/>
    <cellStyle name="ErrorDropDownRight 2 2 5 2 2" xfId="142"/>
    <cellStyle name="ErrorDropDownRight 2 2 5 2 3" xfId="142"/>
    <cellStyle name="ErrorDropDownRight 2 2 5 2 4" xfId="142"/>
    <cellStyle name="ErrorDropDownRight 2 2 5 2 5" xfId="142"/>
    <cellStyle name="ErrorDropDownRight 2 2 5 3" xfId="142"/>
    <cellStyle name="ErrorDropDownRight 2 2 5 3 2" xfId="142"/>
    <cellStyle name="ErrorDropDownRight 2 2 5 3 3" xfId="142"/>
    <cellStyle name="ErrorDropDownRight 2 2 5 3 4" xfId="142"/>
    <cellStyle name="ErrorDropDownRight 2 2 5 4" xfId="142"/>
    <cellStyle name="ErrorDropDownRight 2 2 5 5" xfId="142"/>
    <cellStyle name="ErrorDropDownRight 2 2 5 6" xfId="142"/>
    <cellStyle name="ErrorDropDownRight 2 2 5 7" xfId="142"/>
    <cellStyle name="ErrorDropDownRight 2 2 5 8" xfId="142"/>
    <cellStyle name="ErrorDropDownRight 2 2 6" xfId="142"/>
    <cellStyle name="ErrorDropDownRight 2 2 6 2" xfId="142"/>
    <cellStyle name="ErrorDropDownRight 2 2 6 2 2" xfId="142"/>
    <cellStyle name="ErrorDropDownRight 2 2 6 2 3" xfId="142"/>
    <cellStyle name="ErrorDropDownRight 2 2 6 2 4" xfId="142"/>
    <cellStyle name="ErrorDropDownRight 2 2 6 2 5" xfId="142"/>
    <cellStyle name="ErrorDropDownRight 2 2 6 3" xfId="142"/>
    <cellStyle name="ErrorDropDownRight 2 2 6 3 2" xfId="142"/>
    <cellStyle name="ErrorDropDownRight 2 2 6 3 3" xfId="142"/>
    <cellStyle name="ErrorDropDownRight 2 2 6 3 4" xfId="142"/>
    <cellStyle name="ErrorDropDownRight 2 2 6 4" xfId="142"/>
    <cellStyle name="ErrorDropDownRight 2 2 6 5" xfId="142"/>
    <cellStyle name="ErrorDropDownRight 2 2 6 6" xfId="142"/>
    <cellStyle name="ErrorDropDownRight 2 2 6 7" xfId="142"/>
    <cellStyle name="ErrorDropDownRight 2 2 6 8" xfId="142"/>
    <cellStyle name="ErrorDropDownRight 2 2 7" xfId="142"/>
    <cellStyle name="ErrorDropDownRight 2 2 7 2" xfId="142"/>
    <cellStyle name="ErrorDropDownRight 2 2 7 2 2" xfId="142"/>
    <cellStyle name="ErrorDropDownRight 2 2 7 2 3" xfId="142"/>
    <cellStyle name="ErrorDropDownRight 2 2 7 2 4" xfId="142"/>
    <cellStyle name="ErrorDropDownRight 2 2 7 2 5" xfId="142"/>
    <cellStyle name="ErrorDropDownRight 2 2 7 3" xfId="142"/>
    <cellStyle name="ErrorDropDownRight 2 2 7 3 2" xfId="142"/>
    <cellStyle name="ErrorDropDownRight 2 2 7 3 3" xfId="142"/>
    <cellStyle name="ErrorDropDownRight 2 2 7 3 4" xfId="142"/>
    <cellStyle name="ErrorDropDownRight 2 2 7 4" xfId="142"/>
    <cellStyle name="ErrorDropDownRight 2 2 7 5" xfId="142"/>
    <cellStyle name="ErrorDropDownRight 2 2 7 6" xfId="142"/>
    <cellStyle name="ErrorDropDownRight 2 2 7 7" xfId="142"/>
    <cellStyle name="ErrorDropDownRight 2 2 7 8" xfId="142"/>
    <cellStyle name="ErrorDropDownRight 2 2 8" xfId="142"/>
    <cellStyle name="ErrorDropDownRight 2 2 8 2" xfId="142"/>
    <cellStyle name="ErrorDropDownRight 2 2 8 3" xfId="142"/>
    <cellStyle name="ErrorDropDownRight 2 2 8 4" xfId="142"/>
    <cellStyle name="ErrorDropDownRight 2 2 8 5" xfId="142"/>
    <cellStyle name="ErrorDropDownRight 2 2 9" xfId="142"/>
    <cellStyle name="ErrorDropDownRight 2 2 9 2" xfId="142"/>
    <cellStyle name="ErrorDropDownRight 2 2 9 3" xfId="142"/>
    <cellStyle name="ErrorDropDownRight 2 2 9 4" xfId="142"/>
    <cellStyle name="ErrorDropDownRight 2 3" xfId="142"/>
    <cellStyle name="ErrorDropDownRight 2 3 10" xfId="142"/>
    <cellStyle name="ErrorDropDownRight 2 3 11" xfId="142"/>
    <cellStyle name="ErrorDropDownRight 2 3 12" xfId="142"/>
    <cellStyle name="ErrorDropDownRight 2 3 2" xfId="142"/>
    <cellStyle name="ErrorDropDownRight 2 3 2 2" xfId="142"/>
    <cellStyle name="ErrorDropDownRight 2 3 2 2 2" xfId="142"/>
    <cellStyle name="ErrorDropDownRight 2 3 2 2 3" xfId="142"/>
    <cellStyle name="ErrorDropDownRight 2 3 2 2 4" xfId="142"/>
    <cellStyle name="ErrorDropDownRight 2 3 2 2 5" xfId="142"/>
    <cellStyle name="ErrorDropDownRight 2 3 2 3" xfId="142"/>
    <cellStyle name="ErrorDropDownRight 2 3 2 3 2" xfId="142"/>
    <cellStyle name="ErrorDropDownRight 2 3 2 3 3" xfId="142"/>
    <cellStyle name="ErrorDropDownRight 2 3 2 3 4" xfId="142"/>
    <cellStyle name="ErrorDropDownRight 2 3 2 4" xfId="142"/>
    <cellStyle name="ErrorDropDownRight 2 3 2 5" xfId="142"/>
    <cellStyle name="ErrorDropDownRight 2 3 2 6" xfId="142"/>
    <cellStyle name="ErrorDropDownRight 2 3 2 7" xfId="142"/>
    <cellStyle name="ErrorDropDownRight 2 3 2 8" xfId="142"/>
    <cellStyle name="ErrorDropDownRight 2 3 3" xfId="142"/>
    <cellStyle name="ErrorDropDownRight 2 3 3 2" xfId="142"/>
    <cellStyle name="ErrorDropDownRight 2 3 3 2 2" xfId="142"/>
    <cellStyle name="ErrorDropDownRight 2 3 3 2 3" xfId="142"/>
    <cellStyle name="ErrorDropDownRight 2 3 3 2 4" xfId="142"/>
    <cellStyle name="ErrorDropDownRight 2 3 3 2 5" xfId="142"/>
    <cellStyle name="ErrorDropDownRight 2 3 3 3" xfId="142"/>
    <cellStyle name="ErrorDropDownRight 2 3 3 3 2" xfId="142"/>
    <cellStyle name="ErrorDropDownRight 2 3 3 3 3" xfId="142"/>
    <cellStyle name="ErrorDropDownRight 2 3 3 3 4" xfId="142"/>
    <cellStyle name="ErrorDropDownRight 2 3 3 4" xfId="142"/>
    <cellStyle name="ErrorDropDownRight 2 3 3 5" xfId="142"/>
    <cellStyle name="ErrorDropDownRight 2 3 3 6" xfId="142"/>
    <cellStyle name="ErrorDropDownRight 2 3 3 7" xfId="142"/>
    <cellStyle name="ErrorDropDownRight 2 3 3 8" xfId="142"/>
    <cellStyle name="ErrorDropDownRight 2 3 4" xfId="142"/>
    <cellStyle name="ErrorDropDownRight 2 3 4 2" xfId="142"/>
    <cellStyle name="ErrorDropDownRight 2 3 4 2 2" xfId="142"/>
    <cellStyle name="ErrorDropDownRight 2 3 4 2 3" xfId="142"/>
    <cellStyle name="ErrorDropDownRight 2 3 4 2 4" xfId="142"/>
    <cellStyle name="ErrorDropDownRight 2 3 4 2 5" xfId="142"/>
    <cellStyle name="ErrorDropDownRight 2 3 4 3" xfId="142"/>
    <cellStyle name="ErrorDropDownRight 2 3 4 3 2" xfId="142"/>
    <cellStyle name="ErrorDropDownRight 2 3 4 3 3" xfId="142"/>
    <cellStyle name="ErrorDropDownRight 2 3 4 3 4" xfId="142"/>
    <cellStyle name="ErrorDropDownRight 2 3 4 4" xfId="142"/>
    <cellStyle name="ErrorDropDownRight 2 3 4 5" xfId="142"/>
    <cellStyle name="ErrorDropDownRight 2 3 4 6" xfId="142"/>
    <cellStyle name="ErrorDropDownRight 2 3 4 7" xfId="142"/>
    <cellStyle name="ErrorDropDownRight 2 3 4 8" xfId="142"/>
    <cellStyle name="ErrorDropDownRight 2 3 5" xfId="142"/>
    <cellStyle name="ErrorDropDownRight 2 3 5 2" xfId="142"/>
    <cellStyle name="ErrorDropDownRight 2 3 5 2 2" xfId="142"/>
    <cellStyle name="ErrorDropDownRight 2 3 5 2 3" xfId="142"/>
    <cellStyle name="ErrorDropDownRight 2 3 5 2 4" xfId="142"/>
    <cellStyle name="ErrorDropDownRight 2 3 5 2 5" xfId="142"/>
    <cellStyle name="ErrorDropDownRight 2 3 5 3" xfId="142"/>
    <cellStyle name="ErrorDropDownRight 2 3 5 3 2" xfId="142"/>
    <cellStyle name="ErrorDropDownRight 2 3 5 3 3" xfId="142"/>
    <cellStyle name="ErrorDropDownRight 2 3 5 3 4" xfId="142"/>
    <cellStyle name="ErrorDropDownRight 2 3 5 4" xfId="142"/>
    <cellStyle name="ErrorDropDownRight 2 3 5 5" xfId="142"/>
    <cellStyle name="ErrorDropDownRight 2 3 5 6" xfId="142"/>
    <cellStyle name="ErrorDropDownRight 2 3 5 7" xfId="142"/>
    <cellStyle name="ErrorDropDownRight 2 3 5 8" xfId="142"/>
    <cellStyle name="ErrorDropDownRight 2 3 6" xfId="142"/>
    <cellStyle name="ErrorDropDownRight 2 3 6 2" xfId="142"/>
    <cellStyle name="ErrorDropDownRight 2 3 6 3" xfId="142"/>
    <cellStyle name="ErrorDropDownRight 2 3 6 4" xfId="142"/>
    <cellStyle name="ErrorDropDownRight 2 3 6 5" xfId="142"/>
    <cellStyle name="ErrorDropDownRight 2 3 7" xfId="142"/>
    <cellStyle name="ErrorDropDownRight 2 3 7 2" xfId="142"/>
    <cellStyle name="ErrorDropDownRight 2 3 7 3" xfId="142"/>
    <cellStyle name="ErrorDropDownRight 2 3 7 4" xfId="142"/>
    <cellStyle name="ErrorDropDownRight 2 3 8" xfId="142"/>
    <cellStyle name="ErrorDropDownRight 2 3 9" xfId="142"/>
    <cellStyle name="ErrorDropDownRight 2 4" xfId="142"/>
    <cellStyle name="ErrorDropDownRight 2 4 2" xfId="142"/>
    <cellStyle name="ErrorDropDownRight 2 4 2 2" xfId="142"/>
    <cellStyle name="ErrorDropDownRight 2 4 2 3" xfId="142"/>
    <cellStyle name="ErrorDropDownRight 2 4 2 4" xfId="142"/>
    <cellStyle name="ErrorDropDownRight 2 4 2 5" xfId="142"/>
    <cellStyle name="ErrorDropDownRight 2 4 3" xfId="142"/>
    <cellStyle name="ErrorDropDownRight 2 4 3 2" xfId="142"/>
    <cellStyle name="ErrorDropDownRight 2 4 3 3" xfId="142"/>
    <cellStyle name="ErrorDropDownRight 2 4 3 4" xfId="142"/>
    <cellStyle name="ErrorDropDownRight 2 4 4" xfId="142"/>
    <cellStyle name="ErrorDropDownRight 2 4 5" xfId="142"/>
    <cellStyle name="ErrorDropDownRight 2 4 6" xfId="142"/>
    <cellStyle name="ErrorDropDownRight 2 4 7" xfId="142"/>
    <cellStyle name="ErrorDropDownRight 2 4 8" xfId="142"/>
    <cellStyle name="ErrorDropDownRight 2 5" xfId="142"/>
    <cellStyle name="ErrorDropDownRight 2 5 2" xfId="142"/>
    <cellStyle name="ErrorDropDownRight 2 5 2 2" xfId="142"/>
    <cellStyle name="ErrorDropDownRight 2 5 2 3" xfId="142"/>
    <cellStyle name="ErrorDropDownRight 2 5 2 4" xfId="142"/>
    <cellStyle name="ErrorDropDownRight 2 5 2 5" xfId="142"/>
    <cellStyle name="ErrorDropDownRight 2 5 3" xfId="142"/>
    <cellStyle name="ErrorDropDownRight 2 5 3 2" xfId="142"/>
    <cellStyle name="ErrorDropDownRight 2 5 3 3" xfId="142"/>
    <cellStyle name="ErrorDropDownRight 2 5 3 4" xfId="142"/>
    <cellStyle name="ErrorDropDownRight 2 5 4" xfId="142"/>
    <cellStyle name="ErrorDropDownRight 2 5 5" xfId="142"/>
    <cellStyle name="ErrorDropDownRight 2 5 6" xfId="142"/>
    <cellStyle name="ErrorDropDownRight 2 5 7" xfId="142"/>
    <cellStyle name="ErrorDropDownRight 2 5 8" xfId="142"/>
    <cellStyle name="ErrorDropDownRight 2 6" xfId="142"/>
    <cellStyle name="ErrorDropDownRight 2 6 2" xfId="142"/>
    <cellStyle name="ErrorDropDownRight 2 6 2 2" xfId="142"/>
    <cellStyle name="ErrorDropDownRight 2 6 2 3" xfId="142"/>
    <cellStyle name="ErrorDropDownRight 2 6 2 4" xfId="142"/>
    <cellStyle name="ErrorDropDownRight 2 6 2 5" xfId="142"/>
    <cellStyle name="ErrorDropDownRight 2 6 3" xfId="142"/>
    <cellStyle name="ErrorDropDownRight 2 6 3 2" xfId="142"/>
    <cellStyle name="ErrorDropDownRight 2 6 3 3" xfId="142"/>
    <cellStyle name="ErrorDropDownRight 2 6 3 4" xfId="142"/>
    <cellStyle name="ErrorDropDownRight 2 6 4" xfId="142"/>
    <cellStyle name="ErrorDropDownRight 2 6 5" xfId="142"/>
    <cellStyle name="ErrorDropDownRight 2 6 6" xfId="142"/>
    <cellStyle name="ErrorDropDownRight 2 6 7" xfId="142"/>
    <cellStyle name="ErrorDropDownRight 2 6 8" xfId="142"/>
    <cellStyle name="ErrorDropDownRight 2 7" xfId="142"/>
    <cellStyle name="ErrorDropDownRight 2 7 2" xfId="142"/>
    <cellStyle name="ErrorDropDownRight 2 7 2 2" xfId="142"/>
    <cellStyle name="ErrorDropDownRight 2 7 2 3" xfId="142"/>
    <cellStyle name="ErrorDropDownRight 2 7 2 4" xfId="142"/>
    <cellStyle name="ErrorDropDownRight 2 7 2 5" xfId="142"/>
    <cellStyle name="ErrorDropDownRight 2 7 3" xfId="142"/>
    <cellStyle name="ErrorDropDownRight 2 7 3 2" xfId="142"/>
    <cellStyle name="ErrorDropDownRight 2 7 3 3" xfId="142"/>
    <cellStyle name="ErrorDropDownRight 2 7 3 4" xfId="142"/>
    <cellStyle name="ErrorDropDownRight 2 7 4" xfId="142"/>
    <cellStyle name="ErrorDropDownRight 2 7 5" xfId="142"/>
    <cellStyle name="ErrorDropDownRight 2 7 6" xfId="142"/>
    <cellStyle name="ErrorDropDownRight 2 7 7" xfId="142"/>
    <cellStyle name="ErrorDropDownRight 2 7 8" xfId="142"/>
    <cellStyle name="ErrorDropDownRight 2 8" xfId="142"/>
    <cellStyle name="ErrorDropDownRight 2 8 2" xfId="142"/>
    <cellStyle name="ErrorDropDownRight 2 8 3" xfId="142"/>
    <cellStyle name="ErrorDropDownRight 2 8 4" xfId="142"/>
    <cellStyle name="ErrorDropDownRight 2 8 5" xfId="142"/>
    <cellStyle name="ErrorDropDownRight 2 9" xfId="142"/>
    <cellStyle name="ErrorDropDownRight 2 9 2" xfId="142"/>
    <cellStyle name="ErrorDropDownRight 2 9 3" xfId="142"/>
    <cellStyle name="ErrorDropDownRight 2 9 4" xfId="142"/>
    <cellStyle name="ErrorDropDownRight 3" xfId="142"/>
    <cellStyle name="ErrorDropDownRight 3 10" xfId="142"/>
    <cellStyle name="ErrorDropDownRight 3 11" xfId="142"/>
    <cellStyle name="ErrorDropDownRight 3 12" xfId="142"/>
    <cellStyle name="ErrorDropDownRight 3 13" xfId="142"/>
    <cellStyle name="ErrorDropDownRight 3 14" xfId="142"/>
    <cellStyle name="ErrorDropDownRight 3 2" xfId="142"/>
    <cellStyle name="ErrorDropDownRight 3 2 10" xfId="142"/>
    <cellStyle name="ErrorDropDownRight 3 2 11" xfId="142"/>
    <cellStyle name="ErrorDropDownRight 3 2 12" xfId="142"/>
    <cellStyle name="ErrorDropDownRight 3 2 2" xfId="142"/>
    <cellStyle name="ErrorDropDownRight 3 2 2 2" xfId="142"/>
    <cellStyle name="ErrorDropDownRight 3 2 2 2 2" xfId="142"/>
    <cellStyle name="ErrorDropDownRight 3 2 2 2 3" xfId="142"/>
    <cellStyle name="ErrorDropDownRight 3 2 2 2 4" xfId="142"/>
    <cellStyle name="ErrorDropDownRight 3 2 2 2 5" xfId="142"/>
    <cellStyle name="ErrorDropDownRight 3 2 2 3" xfId="142"/>
    <cellStyle name="ErrorDropDownRight 3 2 2 3 2" xfId="142"/>
    <cellStyle name="ErrorDropDownRight 3 2 2 3 3" xfId="142"/>
    <cellStyle name="ErrorDropDownRight 3 2 2 3 4" xfId="142"/>
    <cellStyle name="ErrorDropDownRight 3 2 2 4" xfId="142"/>
    <cellStyle name="ErrorDropDownRight 3 2 2 5" xfId="142"/>
    <cellStyle name="ErrorDropDownRight 3 2 2 6" xfId="142"/>
    <cellStyle name="ErrorDropDownRight 3 2 2 7" xfId="142"/>
    <cellStyle name="ErrorDropDownRight 3 2 2 8" xfId="142"/>
    <cellStyle name="ErrorDropDownRight 3 2 3" xfId="142"/>
    <cellStyle name="ErrorDropDownRight 3 2 3 2" xfId="142"/>
    <cellStyle name="ErrorDropDownRight 3 2 3 2 2" xfId="142"/>
    <cellStyle name="ErrorDropDownRight 3 2 3 2 3" xfId="142"/>
    <cellStyle name="ErrorDropDownRight 3 2 3 2 4" xfId="142"/>
    <cellStyle name="ErrorDropDownRight 3 2 3 2 5" xfId="142"/>
    <cellStyle name="ErrorDropDownRight 3 2 3 3" xfId="142"/>
    <cellStyle name="ErrorDropDownRight 3 2 3 3 2" xfId="142"/>
    <cellStyle name="ErrorDropDownRight 3 2 3 3 3" xfId="142"/>
    <cellStyle name="ErrorDropDownRight 3 2 3 3 4" xfId="142"/>
    <cellStyle name="ErrorDropDownRight 3 2 3 4" xfId="142"/>
    <cellStyle name="ErrorDropDownRight 3 2 3 5" xfId="142"/>
    <cellStyle name="ErrorDropDownRight 3 2 3 6" xfId="142"/>
    <cellStyle name="ErrorDropDownRight 3 2 3 7" xfId="142"/>
    <cellStyle name="ErrorDropDownRight 3 2 3 8" xfId="142"/>
    <cellStyle name="ErrorDropDownRight 3 2 4" xfId="142"/>
    <cellStyle name="ErrorDropDownRight 3 2 4 2" xfId="142"/>
    <cellStyle name="ErrorDropDownRight 3 2 4 2 2" xfId="142"/>
    <cellStyle name="ErrorDropDownRight 3 2 4 2 3" xfId="142"/>
    <cellStyle name="ErrorDropDownRight 3 2 4 2 4" xfId="142"/>
    <cellStyle name="ErrorDropDownRight 3 2 4 2 5" xfId="142"/>
    <cellStyle name="ErrorDropDownRight 3 2 4 3" xfId="142"/>
    <cellStyle name="ErrorDropDownRight 3 2 4 3 2" xfId="142"/>
    <cellStyle name="ErrorDropDownRight 3 2 4 3 3" xfId="142"/>
    <cellStyle name="ErrorDropDownRight 3 2 4 3 4" xfId="142"/>
    <cellStyle name="ErrorDropDownRight 3 2 4 4" xfId="142"/>
    <cellStyle name="ErrorDropDownRight 3 2 4 5" xfId="142"/>
    <cellStyle name="ErrorDropDownRight 3 2 4 6" xfId="142"/>
    <cellStyle name="ErrorDropDownRight 3 2 4 7" xfId="142"/>
    <cellStyle name="ErrorDropDownRight 3 2 4 8" xfId="142"/>
    <cellStyle name="ErrorDropDownRight 3 2 5" xfId="142"/>
    <cellStyle name="ErrorDropDownRight 3 2 5 2" xfId="142"/>
    <cellStyle name="ErrorDropDownRight 3 2 5 2 2" xfId="142"/>
    <cellStyle name="ErrorDropDownRight 3 2 5 2 3" xfId="142"/>
    <cellStyle name="ErrorDropDownRight 3 2 5 2 4" xfId="142"/>
    <cellStyle name="ErrorDropDownRight 3 2 5 2 5" xfId="142"/>
    <cellStyle name="ErrorDropDownRight 3 2 5 3" xfId="142"/>
    <cellStyle name="ErrorDropDownRight 3 2 5 3 2" xfId="142"/>
    <cellStyle name="ErrorDropDownRight 3 2 5 3 3" xfId="142"/>
    <cellStyle name="ErrorDropDownRight 3 2 5 3 4" xfId="142"/>
    <cellStyle name="ErrorDropDownRight 3 2 5 4" xfId="142"/>
    <cellStyle name="ErrorDropDownRight 3 2 5 5" xfId="142"/>
    <cellStyle name="ErrorDropDownRight 3 2 5 6" xfId="142"/>
    <cellStyle name="ErrorDropDownRight 3 2 5 7" xfId="142"/>
    <cellStyle name="ErrorDropDownRight 3 2 5 8" xfId="142"/>
    <cellStyle name="ErrorDropDownRight 3 2 6" xfId="142"/>
    <cellStyle name="ErrorDropDownRight 3 2 6 2" xfId="142"/>
    <cellStyle name="ErrorDropDownRight 3 2 6 3" xfId="142"/>
    <cellStyle name="ErrorDropDownRight 3 2 6 4" xfId="142"/>
    <cellStyle name="ErrorDropDownRight 3 2 6 5" xfId="142"/>
    <cellStyle name="ErrorDropDownRight 3 2 7" xfId="142"/>
    <cellStyle name="ErrorDropDownRight 3 2 7 2" xfId="142"/>
    <cellStyle name="ErrorDropDownRight 3 2 7 3" xfId="142"/>
    <cellStyle name="ErrorDropDownRight 3 2 7 4" xfId="142"/>
    <cellStyle name="ErrorDropDownRight 3 2 8" xfId="142"/>
    <cellStyle name="ErrorDropDownRight 3 2 9" xfId="142"/>
    <cellStyle name="ErrorDropDownRight 3 3" xfId="142"/>
    <cellStyle name="ErrorDropDownRight 3 3 10" xfId="142"/>
    <cellStyle name="ErrorDropDownRight 3 3 11" xfId="142"/>
    <cellStyle name="ErrorDropDownRight 3 3 12" xfId="142"/>
    <cellStyle name="ErrorDropDownRight 3 3 2" xfId="142"/>
    <cellStyle name="ErrorDropDownRight 3 3 2 2" xfId="142"/>
    <cellStyle name="ErrorDropDownRight 3 3 2 2 2" xfId="142"/>
    <cellStyle name="ErrorDropDownRight 3 3 2 2 3" xfId="142"/>
    <cellStyle name="ErrorDropDownRight 3 3 2 2 4" xfId="142"/>
    <cellStyle name="ErrorDropDownRight 3 3 2 2 5" xfId="142"/>
    <cellStyle name="ErrorDropDownRight 3 3 2 3" xfId="142"/>
    <cellStyle name="ErrorDropDownRight 3 3 2 3 2" xfId="142"/>
    <cellStyle name="ErrorDropDownRight 3 3 2 3 3" xfId="142"/>
    <cellStyle name="ErrorDropDownRight 3 3 2 3 4" xfId="142"/>
    <cellStyle name="ErrorDropDownRight 3 3 2 4" xfId="142"/>
    <cellStyle name="ErrorDropDownRight 3 3 2 5" xfId="142"/>
    <cellStyle name="ErrorDropDownRight 3 3 2 6" xfId="142"/>
    <cellStyle name="ErrorDropDownRight 3 3 2 7" xfId="142"/>
    <cellStyle name="ErrorDropDownRight 3 3 2 8" xfId="142"/>
    <cellStyle name="ErrorDropDownRight 3 3 3" xfId="142"/>
    <cellStyle name="ErrorDropDownRight 3 3 3 2" xfId="142"/>
    <cellStyle name="ErrorDropDownRight 3 3 3 2 2" xfId="142"/>
    <cellStyle name="ErrorDropDownRight 3 3 3 2 3" xfId="142"/>
    <cellStyle name="ErrorDropDownRight 3 3 3 2 4" xfId="142"/>
    <cellStyle name="ErrorDropDownRight 3 3 3 2 5" xfId="142"/>
    <cellStyle name="ErrorDropDownRight 3 3 3 3" xfId="142"/>
    <cellStyle name="ErrorDropDownRight 3 3 3 3 2" xfId="142"/>
    <cellStyle name="ErrorDropDownRight 3 3 3 3 3" xfId="142"/>
    <cellStyle name="ErrorDropDownRight 3 3 3 3 4" xfId="142"/>
    <cellStyle name="ErrorDropDownRight 3 3 3 4" xfId="142"/>
    <cellStyle name="ErrorDropDownRight 3 3 3 5" xfId="142"/>
    <cellStyle name="ErrorDropDownRight 3 3 3 6" xfId="142"/>
    <cellStyle name="ErrorDropDownRight 3 3 3 7" xfId="142"/>
    <cellStyle name="ErrorDropDownRight 3 3 3 8" xfId="142"/>
    <cellStyle name="ErrorDropDownRight 3 3 4" xfId="142"/>
    <cellStyle name="ErrorDropDownRight 3 3 4 2" xfId="142"/>
    <cellStyle name="ErrorDropDownRight 3 3 4 2 2" xfId="142"/>
    <cellStyle name="ErrorDropDownRight 3 3 4 2 3" xfId="142"/>
    <cellStyle name="ErrorDropDownRight 3 3 4 2 4" xfId="142"/>
    <cellStyle name="ErrorDropDownRight 3 3 4 2 5" xfId="142"/>
    <cellStyle name="ErrorDropDownRight 3 3 4 3" xfId="142"/>
    <cellStyle name="ErrorDropDownRight 3 3 4 3 2" xfId="142"/>
    <cellStyle name="ErrorDropDownRight 3 3 4 3 3" xfId="142"/>
    <cellStyle name="ErrorDropDownRight 3 3 4 3 4" xfId="142"/>
    <cellStyle name="ErrorDropDownRight 3 3 4 4" xfId="142"/>
    <cellStyle name="ErrorDropDownRight 3 3 4 5" xfId="142"/>
    <cellStyle name="ErrorDropDownRight 3 3 4 6" xfId="142"/>
    <cellStyle name="ErrorDropDownRight 3 3 4 7" xfId="142"/>
    <cellStyle name="ErrorDropDownRight 3 3 4 8" xfId="142"/>
    <cellStyle name="ErrorDropDownRight 3 3 5" xfId="142"/>
    <cellStyle name="ErrorDropDownRight 3 3 5 2" xfId="142"/>
    <cellStyle name="ErrorDropDownRight 3 3 5 2 2" xfId="142"/>
    <cellStyle name="ErrorDropDownRight 3 3 5 2 3" xfId="142"/>
    <cellStyle name="ErrorDropDownRight 3 3 5 2 4" xfId="142"/>
    <cellStyle name="ErrorDropDownRight 3 3 5 2 5" xfId="142"/>
    <cellStyle name="ErrorDropDownRight 3 3 5 3" xfId="142"/>
    <cellStyle name="ErrorDropDownRight 3 3 5 3 2" xfId="142"/>
    <cellStyle name="ErrorDropDownRight 3 3 5 3 3" xfId="142"/>
    <cellStyle name="ErrorDropDownRight 3 3 5 3 4" xfId="142"/>
    <cellStyle name="ErrorDropDownRight 3 3 5 4" xfId="142"/>
    <cellStyle name="ErrorDropDownRight 3 3 5 5" xfId="142"/>
    <cellStyle name="ErrorDropDownRight 3 3 5 6" xfId="142"/>
    <cellStyle name="ErrorDropDownRight 3 3 5 7" xfId="142"/>
    <cellStyle name="ErrorDropDownRight 3 3 5 8" xfId="142"/>
    <cellStyle name="ErrorDropDownRight 3 3 6" xfId="142"/>
    <cellStyle name="ErrorDropDownRight 3 3 6 2" xfId="142"/>
    <cellStyle name="ErrorDropDownRight 3 3 6 3" xfId="142"/>
    <cellStyle name="ErrorDropDownRight 3 3 6 4" xfId="142"/>
    <cellStyle name="ErrorDropDownRight 3 3 6 5" xfId="142"/>
    <cellStyle name="ErrorDropDownRight 3 3 7" xfId="142"/>
    <cellStyle name="ErrorDropDownRight 3 3 7 2" xfId="142"/>
    <cellStyle name="ErrorDropDownRight 3 3 7 3" xfId="142"/>
    <cellStyle name="ErrorDropDownRight 3 3 7 4" xfId="142"/>
    <cellStyle name="ErrorDropDownRight 3 3 8" xfId="142"/>
    <cellStyle name="ErrorDropDownRight 3 3 9" xfId="142"/>
    <cellStyle name="ErrorDropDownRight 3 4" xfId="142"/>
    <cellStyle name="ErrorDropDownRight 3 4 2" xfId="142"/>
    <cellStyle name="ErrorDropDownRight 3 4 2 2" xfId="142"/>
    <cellStyle name="ErrorDropDownRight 3 4 2 3" xfId="142"/>
    <cellStyle name="ErrorDropDownRight 3 4 2 4" xfId="142"/>
    <cellStyle name="ErrorDropDownRight 3 4 2 5" xfId="142"/>
    <cellStyle name="ErrorDropDownRight 3 4 3" xfId="142"/>
    <cellStyle name="ErrorDropDownRight 3 4 3 2" xfId="142"/>
    <cellStyle name="ErrorDropDownRight 3 4 3 3" xfId="142"/>
    <cellStyle name="ErrorDropDownRight 3 4 3 4" xfId="142"/>
    <cellStyle name="ErrorDropDownRight 3 4 4" xfId="142"/>
    <cellStyle name="ErrorDropDownRight 3 4 5" xfId="142"/>
    <cellStyle name="ErrorDropDownRight 3 4 6" xfId="142"/>
    <cellStyle name="ErrorDropDownRight 3 4 7" xfId="142"/>
    <cellStyle name="ErrorDropDownRight 3 4 8" xfId="142"/>
    <cellStyle name="ErrorDropDownRight 3 5" xfId="142"/>
    <cellStyle name="ErrorDropDownRight 3 5 2" xfId="142"/>
    <cellStyle name="ErrorDropDownRight 3 5 2 2" xfId="142"/>
    <cellStyle name="ErrorDropDownRight 3 5 2 3" xfId="142"/>
    <cellStyle name="ErrorDropDownRight 3 5 2 4" xfId="142"/>
    <cellStyle name="ErrorDropDownRight 3 5 2 5" xfId="142"/>
    <cellStyle name="ErrorDropDownRight 3 5 3" xfId="142"/>
    <cellStyle name="ErrorDropDownRight 3 5 3 2" xfId="142"/>
    <cellStyle name="ErrorDropDownRight 3 5 3 3" xfId="142"/>
    <cellStyle name="ErrorDropDownRight 3 5 3 4" xfId="142"/>
    <cellStyle name="ErrorDropDownRight 3 5 4" xfId="142"/>
    <cellStyle name="ErrorDropDownRight 3 5 5" xfId="142"/>
    <cellStyle name="ErrorDropDownRight 3 5 6" xfId="142"/>
    <cellStyle name="ErrorDropDownRight 3 5 7" xfId="142"/>
    <cellStyle name="ErrorDropDownRight 3 5 8" xfId="142"/>
    <cellStyle name="ErrorDropDownRight 3 6" xfId="142"/>
    <cellStyle name="ErrorDropDownRight 3 6 2" xfId="142"/>
    <cellStyle name="ErrorDropDownRight 3 6 2 2" xfId="142"/>
    <cellStyle name="ErrorDropDownRight 3 6 2 3" xfId="142"/>
    <cellStyle name="ErrorDropDownRight 3 6 2 4" xfId="142"/>
    <cellStyle name="ErrorDropDownRight 3 6 2 5" xfId="142"/>
    <cellStyle name="ErrorDropDownRight 3 6 3" xfId="142"/>
    <cellStyle name="ErrorDropDownRight 3 6 3 2" xfId="142"/>
    <cellStyle name="ErrorDropDownRight 3 6 3 3" xfId="142"/>
    <cellStyle name="ErrorDropDownRight 3 6 3 4" xfId="142"/>
    <cellStyle name="ErrorDropDownRight 3 6 4" xfId="142"/>
    <cellStyle name="ErrorDropDownRight 3 6 5" xfId="142"/>
    <cellStyle name="ErrorDropDownRight 3 6 6" xfId="142"/>
    <cellStyle name="ErrorDropDownRight 3 6 7" xfId="142"/>
    <cellStyle name="ErrorDropDownRight 3 6 8" xfId="142"/>
    <cellStyle name="ErrorDropDownRight 3 7" xfId="142"/>
    <cellStyle name="ErrorDropDownRight 3 7 2" xfId="142"/>
    <cellStyle name="ErrorDropDownRight 3 7 2 2" xfId="142"/>
    <cellStyle name="ErrorDropDownRight 3 7 2 3" xfId="142"/>
    <cellStyle name="ErrorDropDownRight 3 7 2 4" xfId="142"/>
    <cellStyle name="ErrorDropDownRight 3 7 2 5" xfId="142"/>
    <cellStyle name="ErrorDropDownRight 3 7 3" xfId="142"/>
    <cellStyle name="ErrorDropDownRight 3 7 3 2" xfId="142"/>
    <cellStyle name="ErrorDropDownRight 3 7 3 3" xfId="142"/>
    <cellStyle name="ErrorDropDownRight 3 7 3 4" xfId="142"/>
    <cellStyle name="ErrorDropDownRight 3 7 4" xfId="142"/>
    <cellStyle name="ErrorDropDownRight 3 7 5" xfId="142"/>
    <cellStyle name="ErrorDropDownRight 3 7 6" xfId="142"/>
    <cellStyle name="ErrorDropDownRight 3 7 7" xfId="142"/>
    <cellStyle name="ErrorDropDownRight 3 7 8" xfId="142"/>
    <cellStyle name="ErrorDropDownRight 3 8" xfId="142"/>
    <cellStyle name="ErrorDropDownRight 3 8 2" xfId="142"/>
    <cellStyle name="ErrorDropDownRight 3 8 3" xfId="142"/>
    <cellStyle name="ErrorDropDownRight 3 8 4" xfId="142"/>
    <cellStyle name="ErrorDropDownRight 3 8 5" xfId="142"/>
    <cellStyle name="ErrorDropDownRight 3 9" xfId="142"/>
    <cellStyle name="ErrorDropDownRight 3 9 2" xfId="142"/>
    <cellStyle name="ErrorDropDownRight 3 9 3" xfId="142"/>
    <cellStyle name="ErrorDropDownRight 3 9 4" xfId="142"/>
    <cellStyle name="ErrorDropDownRight 4" xfId="142"/>
    <cellStyle name="ErrorDropDownRight 4 2" xfId="142"/>
    <cellStyle name="ErrorDropDownRight 4 2 2" xfId="142"/>
    <cellStyle name="ErrorDropDownRight 4 2 2 2" xfId="142"/>
    <cellStyle name="ErrorDropDownRight 4 2 2 3" xfId="142"/>
    <cellStyle name="ErrorDropDownRight 4 2 2 4" xfId="142"/>
    <cellStyle name="ErrorDropDownRight 4 2 2 5" xfId="142"/>
    <cellStyle name="ErrorDropDownRight 4 2 3" xfId="142"/>
    <cellStyle name="ErrorDropDownRight 4 2 3 2" xfId="142"/>
    <cellStyle name="ErrorDropDownRight 4 2 3 3" xfId="142"/>
    <cellStyle name="ErrorDropDownRight 4 2 3 4" xfId="142"/>
    <cellStyle name="ErrorDropDownRight 4 2 4" xfId="142"/>
    <cellStyle name="ErrorDropDownRight 4 2 5" xfId="142"/>
    <cellStyle name="ErrorDropDownRight 4 2 6" xfId="142"/>
    <cellStyle name="ErrorDropDownRight 4 2 7" xfId="142"/>
    <cellStyle name="ErrorDropDownRight 4 2 8" xfId="142"/>
    <cellStyle name="ErrorDropDownRight 4 3" xfId="142"/>
    <cellStyle name="ErrorDropDownRight 4 3 2" xfId="142"/>
    <cellStyle name="ErrorDropDownRight 4 3 2 2" xfId="142"/>
    <cellStyle name="ErrorDropDownRight 4 3 2 3" xfId="142"/>
    <cellStyle name="ErrorDropDownRight 4 3 2 4" xfId="142"/>
    <cellStyle name="ErrorDropDownRight 4 3 2 5" xfId="142"/>
    <cellStyle name="ErrorDropDownRight 4 3 3" xfId="142"/>
    <cellStyle name="ErrorDropDownRight 4 3 3 2" xfId="142"/>
    <cellStyle name="ErrorDropDownRight 4 3 3 3" xfId="142"/>
    <cellStyle name="ErrorDropDownRight 4 3 3 4" xfId="142"/>
    <cellStyle name="ErrorDropDownRight 4 3 4" xfId="142"/>
    <cellStyle name="ErrorDropDownRight 4 3 5" xfId="142"/>
    <cellStyle name="ErrorDropDownRight 4 3 6" xfId="142"/>
    <cellStyle name="ErrorDropDownRight 4 3 7" xfId="142"/>
    <cellStyle name="ErrorDropDownRight 4 4" xfId="142"/>
    <cellStyle name="ErrorDropDownRight 4 4 2" xfId="142"/>
    <cellStyle name="ErrorDropDownRight 4 4 3" xfId="142"/>
    <cellStyle name="ErrorDropDownRight 4 4 4" xfId="142"/>
    <cellStyle name="ErrorDropDownRight 4 4 5" xfId="142"/>
    <cellStyle name="ErrorDropDownRight 4 5" xfId="142"/>
    <cellStyle name="ErrorDropDownRight 4 5 2" xfId="142"/>
    <cellStyle name="ErrorDropDownRight 4 5 3" xfId="142"/>
    <cellStyle name="ErrorDropDownRight 4 5 4" xfId="142"/>
    <cellStyle name="ErrorDropDownRight 4 6" xfId="142"/>
    <cellStyle name="ErrorDropDownRight 4 7" xfId="142"/>
    <cellStyle name="ErrorDropDownRight 4 8" xfId="142"/>
    <cellStyle name="ErrorDropDownRight 4 9" xfId="142"/>
    <cellStyle name="ErrorDropDownRight 5" xfId="142"/>
    <cellStyle name="ErrorDropDownRight 5 2" xfId="142"/>
    <cellStyle name="ErrorDropDownRight 5 2 2" xfId="142"/>
    <cellStyle name="ErrorDropDownRight 5 2 3" xfId="142"/>
    <cellStyle name="ErrorDropDownRight 5 2 4" xfId="142"/>
    <cellStyle name="ErrorDropDownRight 5 2 5" xfId="142"/>
    <cellStyle name="ErrorDropDownRight 5 3" xfId="142"/>
    <cellStyle name="ErrorDropDownRight 5 3 2" xfId="142"/>
    <cellStyle name="ErrorDropDownRight 5 3 3" xfId="142"/>
    <cellStyle name="ErrorDropDownRight 5 3 4" xfId="142"/>
    <cellStyle name="ErrorDropDownRight 5 4" xfId="142"/>
    <cellStyle name="ErrorDropDownRight 5 5" xfId="142"/>
    <cellStyle name="ErrorDropDownRight 5 6" xfId="142"/>
    <cellStyle name="ErrorDropDownRight 5 7" xfId="142"/>
    <cellStyle name="ErrorDropDownRight 5 8" xfId="142"/>
    <cellStyle name="ErrorDropDownRight 6" xfId="142"/>
    <cellStyle name="ErrorDropDownRight 6 2" xfId="142"/>
    <cellStyle name="ErrorDropDownRight 6 3" xfId="142"/>
    <cellStyle name="ErrorDropDownRight 6 4" xfId="142"/>
    <cellStyle name="ErrorDropDownRight 6 5" xfId="142"/>
    <cellStyle name="ErrorDropDownRight 7" xfId="142"/>
    <cellStyle name="ErrorDropDownRight 8" xfId="142"/>
    <cellStyle name="ErrorNumberTB,C" xfId="143"/>
    <cellStyle name="ErrorNumberTB,C 2" xfId="143"/>
    <cellStyle name="ErrorNumberTB,C 2 10" xfId="143"/>
    <cellStyle name="ErrorNumberTB,C 2 11" xfId="143"/>
    <cellStyle name="ErrorNumberTB,C 2 12" xfId="143"/>
    <cellStyle name="ErrorNumberTB,C 2 13" xfId="143"/>
    <cellStyle name="ErrorNumberTB,C 2 14" xfId="143"/>
    <cellStyle name="ErrorNumberTB,C 2 2" xfId="143"/>
    <cellStyle name="ErrorNumberTB,C 2 2 10" xfId="143"/>
    <cellStyle name="ErrorNumberTB,C 2 2 11" xfId="143"/>
    <cellStyle name="ErrorNumberTB,C 2 2 12" xfId="143"/>
    <cellStyle name="ErrorNumberTB,C 2 2 13" xfId="143"/>
    <cellStyle name="ErrorNumberTB,C 2 2 14" xfId="143"/>
    <cellStyle name="ErrorNumberTB,C 2 2 2" xfId="143"/>
    <cellStyle name="ErrorNumberTB,C 2 2 2 10" xfId="143"/>
    <cellStyle name="ErrorNumberTB,C 2 2 2 11" xfId="143"/>
    <cellStyle name="ErrorNumberTB,C 2 2 2 12" xfId="143"/>
    <cellStyle name="ErrorNumberTB,C 2 2 2 2" xfId="143"/>
    <cellStyle name="ErrorNumberTB,C 2 2 2 2 2" xfId="143"/>
    <cellStyle name="ErrorNumberTB,C 2 2 2 2 2 2" xfId="143"/>
    <cellStyle name="ErrorNumberTB,C 2 2 2 2 2 3" xfId="143"/>
    <cellStyle name="ErrorNumberTB,C 2 2 2 2 2 4" xfId="143"/>
    <cellStyle name="ErrorNumberTB,C 2 2 2 2 2 5" xfId="143"/>
    <cellStyle name="ErrorNumberTB,C 2 2 2 2 3" xfId="143"/>
    <cellStyle name="ErrorNumberTB,C 2 2 2 2 3 2" xfId="143"/>
    <cellStyle name="ErrorNumberTB,C 2 2 2 2 3 3" xfId="143"/>
    <cellStyle name="ErrorNumberTB,C 2 2 2 2 3 4" xfId="143"/>
    <cellStyle name="ErrorNumberTB,C 2 2 2 2 4" xfId="143"/>
    <cellStyle name="ErrorNumberTB,C 2 2 2 2 5" xfId="143"/>
    <cellStyle name="ErrorNumberTB,C 2 2 2 2 6" xfId="143"/>
    <cellStyle name="ErrorNumberTB,C 2 2 2 2 7" xfId="143"/>
    <cellStyle name="ErrorNumberTB,C 2 2 2 2 8" xfId="143"/>
    <cellStyle name="ErrorNumberTB,C 2 2 2 3" xfId="143"/>
    <cellStyle name="ErrorNumberTB,C 2 2 2 3 2" xfId="143"/>
    <cellStyle name="ErrorNumberTB,C 2 2 2 3 2 2" xfId="143"/>
    <cellStyle name="ErrorNumberTB,C 2 2 2 3 2 3" xfId="143"/>
    <cellStyle name="ErrorNumberTB,C 2 2 2 3 2 4" xfId="143"/>
    <cellStyle name="ErrorNumberTB,C 2 2 2 3 2 5" xfId="143"/>
    <cellStyle name="ErrorNumberTB,C 2 2 2 3 3" xfId="143"/>
    <cellStyle name="ErrorNumberTB,C 2 2 2 3 3 2" xfId="143"/>
    <cellStyle name="ErrorNumberTB,C 2 2 2 3 3 3" xfId="143"/>
    <cellStyle name="ErrorNumberTB,C 2 2 2 3 3 4" xfId="143"/>
    <cellStyle name="ErrorNumberTB,C 2 2 2 3 4" xfId="143"/>
    <cellStyle name="ErrorNumberTB,C 2 2 2 3 5" xfId="143"/>
    <cellStyle name="ErrorNumberTB,C 2 2 2 3 6" xfId="143"/>
    <cellStyle name="ErrorNumberTB,C 2 2 2 3 7" xfId="143"/>
    <cellStyle name="ErrorNumberTB,C 2 2 2 3 8" xfId="143"/>
    <cellStyle name="ErrorNumberTB,C 2 2 2 4" xfId="143"/>
    <cellStyle name="ErrorNumberTB,C 2 2 2 4 2" xfId="143"/>
    <cellStyle name="ErrorNumberTB,C 2 2 2 4 2 2" xfId="143"/>
    <cellStyle name="ErrorNumberTB,C 2 2 2 4 2 3" xfId="143"/>
    <cellStyle name="ErrorNumberTB,C 2 2 2 4 2 4" xfId="143"/>
    <cellStyle name="ErrorNumberTB,C 2 2 2 4 2 5" xfId="143"/>
    <cellStyle name="ErrorNumberTB,C 2 2 2 4 3" xfId="143"/>
    <cellStyle name="ErrorNumberTB,C 2 2 2 4 3 2" xfId="143"/>
    <cellStyle name="ErrorNumberTB,C 2 2 2 4 3 3" xfId="143"/>
    <cellStyle name="ErrorNumberTB,C 2 2 2 4 3 4" xfId="143"/>
    <cellStyle name="ErrorNumberTB,C 2 2 2 4 4" xfId="143"/>
    <cellStyle name="ErrorNumberTB,C 2 2 2 4 5" xfId="143"/>
    <cellStyle name="ErrorNumberTB,C 2 2 2 4 6" xfId="143"/>
    <cellStyle name="ErrorNumberTB,C 2 2 2 4 7" xfId="143"/>
    <cellStyle name="ErrorNumberTB,C 2 2 2 4 8" xfId="143"/>
    <cellStyle name="ErrorNumberTB,C 2 2 2 5" xfId="143"/>
    <cellStyle name="ErrorNumberTB,C 2 2 2 5 2" xfId="143"/>
    <cellStyle name="ErrorNumberTB,C 2 2 2 5 2 2" xfId="143"/>
    <cellStyle name="ErrorNumberTB,C 2 2 2 5 2 3" xfId="143"/>
    <cellStyle name="ErrorNumberTB,C 2 2 2 5 2 4" xfId="143"/>
    <cellStyle name="ErrorNumberTB,C 2 2 2 5 2 5" xfId="143"/>
    <cellStyle name="ErrorNumberTB,C 2 2 2 5 3" xfId="143"/>
    <cellStyle name="ErrorNumberTB,C 2 2 2 5 3 2" xfId="143"/>
    <cellStyle name="ErrorNumberTB,C 2 2 2 5 3 3" xfId="143"/>
    <cellStyle name="ErrorNumberTB,C 2 2 2 5 3 4" xfId="143"/>
    <cellStyle name="ErrorNumberTB,C 2 2 2 5 4" xfId="143"/>
    <cellStyle name="ErrorNumberTB,C 2 2 2 5 5" xfId="143"/>
    <cellStyle name="ErrorNumberTB,C 2 2 2 5 6" xfId="143"/>
    <cellStyle name="ErrorNumberTB,C 2 2 2 5 7" xfId="143"/>
    <cellStyle name="ErrorNumberTB,C 2 2 2 5 8" xfId="143"/>
    <cellStyle name="ErrorNumberTB,C 2 2 2 6" xfId="143"/>
    <cellStyle name="ErrorNumberTB,C 2 2 2 6 2" xfId="143"/>
    <cellStyle name="ErrorNumberTB,C 2 2 2 6 3" xfId="143"/>
    <cellStyle name="ErrorNumberTB,C 2 2 2 6 4" xfId="143"/>
    <cellStyle name="ErrorNumberTB,C 2 2 2 6 5" xfId="143"/>
    <cellStyle name="ErrorNumberTB,C 2 2 2 7" xfId="143"/>
    <cellStyle name="ErrorNumberTB,C 2 2 2 7 2" xfId="143"/>
    <cellStyle name="ErrorNumberTB,C 2 2 2 7 3" xfId="143"/>
    <cellStyle name="ErrorNumberTB,C 2 2 2 7 4" xfId="143"/>
    <cellStyle name="ErrorNumberTB,C 2 2 2 8" xfId="143"/>
    <cellStyle name="ErrorNumberTB,C 2 2 2 9" xfId="143"/>
    <cellStyle name="ErrorNumberTB,C 2 2 3" xfId="143"/>
    <cellStyle name="ErrorNumberTB,C 2 2 3 10" xfId="143"/>
    <cellStyle name="ErrorNumberTB,C 2 2 3 11" xfId="143"/>
    <cellStyle name="ErrorNumberTB,C 2 2 3 12" xfId="143"/>
    <cellStyle name="ErrorNumberTB,C 2 2 3 2" xfId="143"/>
    <cellStyle name="ErrorNumberTB,C 2 2 3 2 2" xfId="143"/>
    <cellStyle name="ErrorNumberTB,C 2 2 3 2 2 2" xfId="143"/>
    <cellStyle name="ErrorNumberTB,C 2 2 3 2 2 3" xfId="143"/>
    <cellStyle name="ErrorNumberTB,C 2 2 3 2 2 4" xfId="143"/>
    <cellStyle name="ErrorNumberTB,C 2 2 3 2 2 5" xfId="143"/>
    <cellStyle name="ErrorNumberTB,C 2 2 3 2 3" xfId="143"/>
    <cellStyle name="ErrorNumberTB,C 2 2 3 2 3 2" xfId="143"/>
    <cellStyle name="ErrorNumberTB,C 2 2 3 2 3 3" xfId="143"/>
    <cellStyle name="ErrorNumberTB,C 2 2 3 2 3 4" xfId="143"/>
    <cellStyle name="ErrorNumberTB,C 2 2 3 2 4" xfId="143"/>
    <cellStyle name="ErrorNumberTB,C 2 2 3 2 5" xfId="143"/>
    <cellStyle name="ErrorNumberTB,C 2 2 3 2 6" xfId="143"/>
    <cellStyle name="ErrorNumberTB,C 2 2 3 2 7" xfId="143"/>
    <cellStyle name="ErrorNumberTB,C 2 2 3 2 8" xfId="143"/>
    <cellStyle name="ErrorNumberTB,C 2 2 3 3" xfId="143"/>
    <cellStyle name="ErrorNumberTB,C 2 2 3 3 2" xfId="143"/>
    <cellStyle name="ErrorNumberTB,C 2 2 3 3 2 2" xfId="143"/>
    <cellStyle name="ErrorNumberTB,C 2 2 3 3 2 3" xfId="143"/>
    <cellStyle name="ErrorNumberTB,C 2 2 3 3 2 4" xfId="143"/>
    <cellStyle name="ErrorNumberTB,C 2 2 3 3 2 5" xfId="143"/>
    <cellStyle name="ErrorNumberTB,C 2 2 3 3 3" xfId="143"/>
    <cellStyle name="ErrorNumberTB,C 2 2 3 3 3 2" xfId="143"/>
    <cellStyle name="ErrorNumberTB,C 2 2 3 3 3 3" xfId="143"/>
    <cellStyle name="ErrorNumberTB,C 2 2 3 3 3 4" xfId="143"/>
    <cellStyle name="ErrorNumberTB,C 2 2 3 3 4" xfId="143"/>
    <cellStyle name="ErrorNumberTB,C 2 2 3 3 5" xfId="143"/>
    <cellStyle name="ErrorNumberTB,C 2 2 3 3 6" xfId="143"/>
    <cellStyle name="ErrorNumberTB,C 2 2 3 3 7" xfId="143"/>
    <cellStyle name="ErrorNumberTB,C 2 2 3 3 8" xfId="143"/>
    <cellStyle name="ErrorNumberTB,C 2 2 3 4" xfId="143"/>
    <cellStyle name="ErrorNumberTB,C 2 2 3 4 2" xfId="143"/>
    <cellStyle name="ErrorNumberTB,C 2 2 3 4 2 2" xfId="143"/>
    <cellStyle name="ErrorNumberTB,C 2 2 3 4 2 3" xfId="143"/>
    <cellStyle name="ErrorNumberTB,C 2 2 3 4 2 4" xfId="143"/>
    <cellStyle name="ErrorNumberTB,C 2 2 3 4 2 5" xfId="143"/>
    <cellStyle name="ErrorNumberTB,C 2 2 3 4 3" xfId="143"/>
    <cellStyle name="ErrorNumberTB,C 2 2 3 4 3 2" xfId="143"/>
    <cellStyle name="ErrorNumberTB,C 2 2 3 4 3 3" xfId="143"/>
    <cellStyle name="ErrorNumberTB,C 2 2 3 4 3 4" xfId="143"/>
    <cellStyle name="ErrorNumberTB,C 2 2 3 4 4" xfId="143"/>
    <cellStyle name="ErrorNumberTB,C 2 2 3 4 5" xfId="143"/>
    <cellStyle name="ErrorNumberTB,C 2 2 3 4 6" xfId="143"/>
    <cellStyle name="ErrorNumberTB,C 2 2 3 4 7" xfId="143"/>
    <cellStyle name="ErrorNumberTB,C 2 2 3 4 8" xfId="143"/>
    <cellStyle name="ErrorNumberTB,C 2 2 3 5" xfId="143"/>
    <cellStyle name="ErrorNumberTB,C 2 2 3 5 2" xfId="143"/>
    <cellStyle name="ErrorNumberTB,C 2 2 3 5 2 2" xfId="143"/>
    <cellStyle name="ErrorNumberTB,C 2 2 3 5 2 3" xfId="143"/>
    <cellStyle name="ErrorNumberTB,C 2 2 3 5 2 4" xfId="143"/>
    <cellStyle name="ErrorNumberTB,C 2 2 3 5 2 5" xfId="143"/>
    <cellStyle name="ErrorNumberTB,C 2 2 3 5 3" xfId="143"/>
    <cellStyle name="ErrorNumberTB,C 2 2 3 5 3 2" xfId="143"/>
    <cellStyle name="ErrorNumberTB,C 2 2 3 5 3 3" xfId="143"/>
    <cellStyle name="ErrorNumberTB,C 2 2 3 5 3 4" xfId="143"/>
    <cellStyle name="ErrorNumberTB,C 2 2 3 5 4" xfId="143"/>
    <cellStyle name="ErrorNumberTB,C 2 2 3 5 5" xfId="143"/>
    <cellStyle name="ErrorNumberTB,C 2 2 3 5 6" xfId="143"/>
    <cellStyle name="ErrorNumberTB,C 2 2 3 5 7" xfId="143"/>
    <cellStyle name="ErrorNumberTB,C 2 2 3 5 8" xfId="143"/>
    <cellStyle name="ErrorNumberTB,C 2 2 3 6" xfId="143"/>
    <cellStyle name="ErrorNumberTB,C 2 2 3 6 2" xfId="143"/>
    <cellStyle name="ErrorNumberTB,C 2 2 3 6 3" xfId="143"/>
    <cellStyle name="ErrorNumberTB,C 2 2 3 6 4" xfId="143"/>
    <cellStyle name="ErrorNumberTB,C 2 2 3 6 5" xfId="143"/>
    <cellStyle name="ErrorNumberTB,C 2 2 3 7" xfId="143"/>
    <cellStyle name="ErrorNumberTB,C 2 2 3 7 2" xfId="143"/>
    <cellStyle name="ErrorNumberTB,C 2 2 3 7 3" xfId="143"/>
    <cellStyle name="ErrorNumberTB,C 2 2 3 7 4" xfId="143"/>
    <cellStyle name="ErrorNumberTB,C 2 2 3 8" xfId="143"/>
    <cellStyle name="ErrorNumberTB,C 2 2 3 9" xfId="143"/>
    <cellStyle name="ErrorNumberTB,C 2 2 4" xfId="143"/>
    <cellStyle name="ErrorNumberTB,C 2 2 4 2" xfId="143"/>
    <cellStyle name="ErrorNumberTB,C 2 2 4 2 2" xfId="143"/>
    <cellStyle name="ErrorNumberTB,C 2 2 4 2 3" xfId="143"/>
    <cellStyle name="ErrorNumberTB,C 2 2 4 2 4" xfId="143"/>
    <cellStyle name="ErrorNumberTB,C 2 2 4 2 5" xfId="143"/>
    <cellStyle name="ErrorNumberTB,C 2 2 4 3" xfId="143"/>
    <cellStyle name="ErrorNumberTB,C 2 2 4 3 2" xfId="143"/>
    <cellStyle name="ErrorNumberTB,C 2 2 4 3 3" xfId="143"/>
    <cellStyle name="ErrorNumberTB,C 2 2 4 3 4" xfId="143"/>
    <cellStyle name="ErrorNumberTB,C 2 2 4 4" xfId="143"/>
    <cellStyle name="ErrorNumberTB,C 2 2 4 5" xfId="143"/>
    <cellStyle name="ErrorNumberTB,C 2 2 4 6" xfId="143"/>
    <cellStyle name="ErrorNumberTB,C 2 2 4 7" xfId="143"/>
    <cellStyle name="ErrorNumberTB,C 2 2 4 8" xfId="143"/>
    <cellStyle name="ErrorNumberTB,C 2 2 5" xfId="143"/>
    <cellStyle name="ErrorNumberTB,C 2 2 5 2" xfId="143"/>
    <cellStyle name="ErrorNumberTB,C 2 2 5 2 2" xfId="143"/>
    <cellStyle name="ErrorNumberTB,C 2 2 5 2 3" xfId="143"/>
    <cellStyle name="ErrorNumberTB,C 2 2 5 2 4" xfId="143"/>
    <cellStyle name="ErrorNumberTB,C 2 2 5 2 5" xfId="143"/>
    <cellStyle name="ErrorNumberTB,C 2 2 5 3" xfId="143"/>
    <cellStyle name="ErrorNumberTB,C 2 2 5 3 2" xfId="143"/>
    <cellStyle name="ErrorNumberTB,C 2 2 5 3 3" xfId="143"/>
    <cellStyle name="ErrorNumberTB,C 2 2 5 3 4" xfId="143"/>
    <cellStyle name="ErrorNumberTB,C 2 2 5 4" xfId="143"/>
    <cellStyle name="ErrorNumberTB,C 2 2 5 5" xfId="143"/>
    <cellStyle name="ErrorNumberTB,C 2 2 5 6" xfId="143"/>
    <cellStyle name="ErrorNumberTB,C 2 2 5 7" xfId="143"/>
    <cellStyle name="ErrorNumberTB,C 2 2 5 8" xfId="143"/>
    <cellStyle name="ErrorNumberTB,C 2 2 6" xfId="143"/>
    <cellStyle name="ErrorNumberTB,C 2 2 6 2" xfId="143"/>
    <cellStyle name="ErrorNumberTB,C 2 2 6 2 2" xfId="143"/>
    <cellStyle name="ErrorNumberTB,C 2 2 6 2 3" xfId="143"/>
    <cellStyle name="ErrorNumberTB,C 2 2 6 2 4" xfId="143"/>
    <cellStyle name="ErrorNumberTB,C 2 2 6 2 5" xfId="143"/>
    <cellStyle name="ErrorNumberTB,C 2 2 6 3" xfId="143"/>
    <cellStyle name="ErrorNumberTB,C 2 2 6 3 2" xfId="143"/>
    <cellStyle name="ErrorNumberTB,C 2 2 6 3 3" xfId="143"/>
    <cellStyle name="ErrorNumberTB,C 2 2 6 3 4" xfId="143"/>
    <cellStyle name="ErrorNumberTB,C 2 2 6 4" xfId="143"/>
    <cellStyle name="ErrorNumberTB,C 2 2 6 5" xfId="143"/>
    <cellStyle name="ErrorNumberTB,C 2 2 6 6" xfId="143"/>
    <cellStyle name="ErrorNumberTB,C 2 2 6 7" xfId="143"/>
    <cellStyle name="ErrorNumberTB,C 2 2 6 8" xfId="143"/>
    <cellStyle name="ErrorNumberTB,C 2 2 7" xfId="143"/>
    <cellStyle name="ErrorNumberTB,C 2 2 7 2" xfId="143"/>
    <cellStyle name="ErrorNumberTB,C 2 2 7 2 2" xfId="143"/>
    <cellStyle name="ErrorNumberTB,C 2 2 7 2 3" xfId="143"/>
    <cellStyle name="ErrorNumberTB,C 2 2 7 2 4" xfId="143"/>
    <cellStyle name="ErrorNumberTB,C 2 2 7 2 5" xfId="143"/>
    <cellStyle name="ErrorNumberTB,C 2 2 7 3" xfId="143"/>
    <cellStyle name="ErrorNumberTB,C 2 2 7 3 2" xfId="143"/>
    <cellStyle name="ErrorNumberTB,C 2 2 7 3 3" xfId="143"/>
    <cellStyle name="ErrorNumberTB,C 2 2 7 3 4" xfId="143"/>
    <cellStyle name="ErrorNumberTB,C 2 2 7 4" xfId="143"/>
    <cellStyle name="ErrorNumberTB,C 2 2 7 5" xfId="143"/>
    <cellStyle name="ErrorNumberTB,C 2 2 7 6" xfId="143"/>
    <cellStyle name="ErrorNumberTB,C 2 2 7 7" xfId="143"/>
    <cellStyle name="ErrorNumberTB,C 2 2 7 8" xfId="143"/>
    <cellStyle name="ErrorNumberTB,C 2 2 8" xfId="143"/>
    <cellStyle name="ErrorNumberTB,C 2 2 8 2" xfId="143"/>
    <cellStyle name="ErrorNumberTB,C 2 2 8 3" xfId="143"/>
    <cellStyle name="ErrorNumberTB,C 2 2 8 4" xfId="143"/>
    <cellStyle name="ErrorNumberTB,C 2 2 8 5" xfId="143"/>
    <cellStyle name="ErrorNumberTB,C 2 2 9" xfId="143"/>
    <cellStyle name="ErrorNumberTB,C 2 2 9 2" xfId="143"/>
    <cellStyle name="ErrorNumberTB,C 2 2 9 3" xfId="143"/>
    <cellStyle name="ErrorNumberTB,C 2 2 9 4" xfId="143"/>
    <cellStyle name="ErrorNumberTB,C 2 3" xfId="143"/>
    <cellStyle name="ErrorNumberTB,C 2 3 10" xfId="143"/>
    <cellStyle name="ErrorNumberTB,C 2 3 11" xfId="143"/>
    <cellStyle name="ErrorNumberTB,C 2 3 12" xfId="143"/>
    <cellStyle name="ErrorNumberTB,C 2 3 2" xfId="143"/>
    <cellStyle name="ErrorNumberTB,C 2 3 2 2" xfId="143"/>
    <cellStyle name="ErrorNumberTB,C 2 3 2 2 2" xfId="143"/>
    <cellStyle name="ErrorNumberTB,C 2 3 2 2 3" xfId="143"/>
    <cellStyle name="ErrorNumberTB,C 2 3 2 2 4" xfId="143"/>
    <cellStyle name="ErrorNumberTB,C 2 3 2 2 5" xfId="143"/>
    <cellStyle name="ErrorNumberTB,C 2 3 2 3" xfId="143"/>
    <cellStyle name="ErrorNumberTB,C 2 3 2 3 2" xfId="143"/>
    <cellStyle name="ErrorNumberTB,C 2 3 2 3 3" xfId="143"/>
    <cellStyle name="ErrorNumberTB,C 2 3 2 3 4" xfId="143"/>
    <cellStyle name="ErrorNumberTB,C 2 3 2 4" xfId="143"/>
    <cellStyle name="ErrorNumberTB,C 2 3 2 5" xfId="143"/>
    <cellStyle name="ErrorNumberTB,C 2 3 2 6" xfId="143"/>
    <cellStyle name="ErrorNumberTB,C 2 3 2 7" xfId="143"/>
    <cellStyle name="ErrorNumberTB,C 2 3 2 8" xfId="143"/>
    <cellStyle name="ErrorNumberTB,C 2 3 3" xfId="143"/>
    <cellStyle name="ErrorNumberTB,C 2 3 3 2" xfId="143"/>
    <cellStyle name="ErrorNumberTB,C 2 3 3 2 2" xfId="143"/>
    <cellStyle name="ErrorNumberTB,C 2 3 3 2 3" xfId="143"/>
    <cellStyle name="ErrorNumberTB,C 2 3 3 2 4" xfId="143"/>
    <cellStyle name="ErrorNumberTB,C 2 3 3 2 5" xfId="143"/>
    <cellStyle name="ErrorNumberTB,C 2 3 3 3" xfId="143"/>
    <cellStyle name="ErrorNumberTB,C 2 3 3 3 2" xfId="143"/>
    <cellStyle name="ErrorNumberTB,C 2 3 3 3 3" xfId="143"/>
    <cellStyle name="ErrorNumberTB,C 2 3 3 3 4" xfId="143"/>
    <cellStyle name="ErrorNumberTB,C 2 3 3 4" xfId="143"/>
    <cellStyle name="ErrorNumberTB,C 2 3 3 5" xfId="143"/>
    <cellStyle name="ErrorNumberTB,C 2 3 3 6" xfId="143"/>
    <cellStyle name="ErrorNumberTB,C 2 3 3 7" xfId="143"/>
    <cellStyle name="ErrorNumberTB,C 2 3 3 8" xfId="143"/>
    <cellStyle name="ErrorNumberTB,C 2 3 4" xfId="143"/>
    <cellStyle name="ErrorNumberTB,C 2 3 4 2" xfId="143"/>
    <cellStyle name="ErrorNumberTB,C 2 3 4 2 2" xfId="143"/>
    <cellStyle name="ErrorNumberTB,C 2 3 4 2 3" xfId="143"/>
    <cellStyle name="ErrorNumberTB,C 2 3 4 2 4" xfId="143"/>
    <cellStyle name="ErrorNumberTB,C 2 3 4 2 5" xfId="143"/>
    <cellStyle name="ErrorNumberTB,C 2 3 4 3" xfId="143"/>
    <cellStyle name="ErrorNumberTB,C 2 3 4 3 2" xfId="143"/>
    <cellStyle name="ErrorNumberTB,C 2 3 4 3 3" xfId="143"/>
    <cellStyle name="ErrorNumberTB,C 2 3 4 3 4" xfId="143"/>
    <cellStyle name="ErrorNumberTB,C 2 3 4 4" xfId="143"/>
    <cellStyle name="ErrorNumberTB,C 2 3 4 5" xfId="143"/>
    <cellStyle name="ErrorNumberTB,C 2 3 4 6" xfId="143"/>
    <cellStyle name="ErrorNumberTB,C 2 3 4 7" xfId="143"/>
    <cellStyle name="ErrorNumberTB,C 2 3 4 8" xfId="143"/>
    <cellStyle name="ErrorNumberTB,C 2 3 5" xfId="143"/>
    <cellStyle name="ErrorNumberTB,C 2 3 5 2" xfId="143"/>
    <cellStyle name="ErrorNumberTB,C 2 3 5 2 2" xfId="143"/>
    <cellStyle name="ErrorNumberTB,C 2 3 5 2 3" xfId="143"/>
    <cellStyle name="ErrorNumberTB,C 2 3 5 2 4" xfId="143"/>
    <cellStyle name="ErrorNumberTB,C 2 3 5 2 5" xfId="143"/>
    <cellStyle name="ErrorNumberTB,C 2 3 5 3" xfId="143"/>
    <cellStyle name="ErrorNumberTB,C 2 3 5 3 2" xfId="143"/>
    <cellStyle name="ErrorNumberTB,C 2 3 5 3 3" xfId="143"/>
    <cellStyle name="ErrorNumberTB,C 2 3 5 3 4" xfId="143"/>
    <cellStyle name="ErrorNumberTB,C 2 3 5 4" xfId="143"/>
    <cellStyle name="ErrorNumberTB,C 2 3 5 5" xfId="143"/>
    <cellStyle name="ErrorNumberTB,C 2 3 5 6" xfId="143"/>
    <cellStyle name="ErrorNumberTB,C 2 3 5 7" xfId="143"/>
    <cellStyle name="ErrorNumberTB,C 2 3 5 8" xfId="143"/>
    <cellStyle name="ErrorNumberTB,C 2 3 6" xfId="143"/>
    <cellStyle name="ErrorNumberTB,C 2 3 6 2" xfId="143"/>
    <cellStyle name="ErrorNumberTB,C 2 3 6 3" xfId="143"/>
    <cellStyle name="ErrorNumberTB,C 2 3 6 4" xfId="143"/>
    <cellStyle name="ErrorNumberTB,C 2 3 6 5" xfId="143"/>
    <cellStyle name="ErrorNumberTB,C 2 3 7" xfId="143"/>
    <cellStyle name="ErrorNumberTB,C 2 3 7 2" xfId="143"/>
    <cellStyle name="ErrorNumberTB,C 2 3 7 3" xfId="143"/>
    <cellStyle name="ErrorNumberTB,C 2 3 7 4" xfId="143"/>
    <cellStyle name="ErrorNumberTB,C 2 3 8" xfId="143"/>
    <cellStyle name="ErrorNumberTB,C 2 3 9" xfId="143"/>
    <cellStyle name="ErrorNumberTB,C 2 4" xfId="143"/>
    <cellStyle name="ErrorNumberTB,C 2 4 2" xfId="143"/>
    <cellStyle name="ErrorNumberTB,C 2 4 2 2" xfId="143"/>
    <cellStyle name="ErrorNumberTB,C 2 4 2 3" xfId="143"/>
    <cellStyle name="ErrorNumberTB,C 2 4 2 4" xfId="143"/>
    <cellStyle name="ErrorNumberTB,C 2 4 2 5" xfId="143"/>
    <cellStyle name="ErrorNumberTB,C 2 4 3" xfId="143"/>
    <cellStyle name="ErrorNumberTB,C 2 4 3 2" xfId="143"/>
    <cellStyle name="ErrorNumberTB,C 2 4 3 3" xfId="143"/>
    <cellStyle name="ErrorNumberTB,C 2 4 3 4" xfId="143"/>
    <cellStyle name="ErrorNumberTB,C 2 4 4" xfId="143"/>
    <cellStyle name="ErrorNumberTB,C 2 4 5" xfId="143"/>
    <cellStyle name="ErrorNumberTB,C 2 4 6" xfId="143"/>
    <cellStyle name="ErrorNumberTB,C 2 4 7" xfId="143"/>
    <cellStyle name="ErrorNumberTB,C 2 4 8" xfId="143"/>
    <cellStyle name="ErrorNumberTB,C 2 5" xfId="143"/>
    <cellStyle name="ErrorNumberTB,C 2 5 2" xfId="143"/>
    <cellStyle name="ErrorNumberTB,C 2 5 2 2" xfId="143"/>
    <cellStyle name="ErrorNumberTB,C 2 5 2 3" xfId="143"/>
    <cellStyle name="ErrorNumberTB,C 2 5 2 4" xfId="143"/>
    <cellStyle name="ErrorNumberTB,C 2 5 2 5" xfId="143"/>
    <cellStyle name="ErrorNumberTB,C 2 5 3" xfId="143"/>
    <cellStyle name="ErrorNumberTB,C 2 5 3 2" xfId="143"/>
    <cellStyle name="ErrorNumberTB,C 2 5 3 3" xfId="143"/>
    <cellStyle name="ErrorNumberTB,C 2 5 3 4" xfId="143"/>
    <cellStyle name="ErrorNumberTB,C 2 5 4" xfId="143"/>
    <cellStyle name="ErrorNumberTB,C 2 5 5" xfId="143"/>
    <cellStyle name="ErrorNumberTB,C 2 5 6" xfId="143"/>
    <cellStyle name="ErrorNumberTB,C 2 5 7" xfId="143"/>
    <cellStyle name="ErrorNumberTB,C 2 5 8" xfId="143"/>
    <cellStyle name="ErrorNumberTB,C 2 6" xfId="143"/>
    <cellStyle name="ErrorNumberTB,C 2 6 2" xfId="143"/>
    <cellStyle name="ErrorNumberTB,C 2 6 2 2" xfId="143"/>
    <cellStyle name="ErrorNumberTB,C 2 6 2 3" xfId="143"/>
    <cellStyle name="ErrorNumberTB,C 2 6 2 4" xfId="143"/>
    <cellStyle name="ErrorNumberTB,C 2 6 2 5" xfId="143"/>
    <cellStyle name="ErrorNumberTB,C 2 6 3" xfId="143"/>
    <cellStyle name="ErrorNumberTB,C 2 6 3 2" xfId="143"/>
    <cellStyle name="ErrorNumberTB,C 2 6 3 3" xfId="143"/>
    <cellStyle name="ErrorNumberTB,C 2 6 3 4" xfId="143"/>
    <cellStyle name="ErrorNumberTB,C 2 6 4" xfId="143"/>
    <cellStyle name="ErrorNumberTB,C 2 6 5" xfId="143"/>
    <cellStyle name="ErrorNumberTB,C 2 6 6" xfId="143"/>
    <cellStyle name="ErrorNumberTB,C 2 6 7" xfId="143"/>
    <cellStyle name="ErrorNumberTB,C 2 6 8" xfId="143"/>
    <cellStyle name="ErrorNumberTB,C 2 7" xfId="143"/>
    <cellStyle name="ErrorNumberTB,C 2 7 2" xfId="143"/>
    <cellStyle name="ErrorNumberTB,C 2 7 2 2" xfId="143"/>
    <cellStyle name="ErrorNumberTB,C 2 7 2 3" xfId="143"/>
    <cellStyle name="ErrorNumberTB,C 2 7 2 4" xfId="143"/>
    <cellStyle name="ErrorNumberTB,C 2 7 2 5" xfId="143"/>
    <cellStyle name="ErrorNumberTB,C 2 7 3" xfId="143"/>
    <cellStyle name="ErrorNumberTB,C 2 7 3 2" xfId="143"/>
    <cellStyle name="ErrorNumberTB,C 2 7 3 3" xfId="143"/>
    <cellStyle name="ErrorNumberTB,C 2 7 3 4" xfId="143"/>
    <cellStyle name="ErrorNumberTB,C 2 7 4" xfId="143"/>
    <cellStyle name="ErrorNumberTB,C 2 7 5" xfId="143"/>
    <cellStyle name="ErrorNumberTB,C 2 7 6" xfId="143"/>
    <cellStyle name="ErrorNumberTB,C 2 7 7" xfId="143"/>
    <cellStyle name="ErrorNumberTB,C 2 7 8" xfId="143"/>
    <cellStyle name="ErrorNumberTB,C 2 8" xfId="143"/>
    <cellStyle name="ErrorNumberTB,C 2 8 2" xfId="143"/>
    <cellStyle name="ErrorNumberTB,C 2 8 3" xfId="143"/>
    <cellStyle name="ErrorNumberTB,C 2 8 4" xfId="143"/>
    <cellStyle name="ErrorNumberTB,C 2 8 5" xfId="143"/>
    <cellStyle name="ErrorNumberTB,C 2 9" xfId="143"/>
    <cellStyle name="ErrorNumberTB,C 2 9 2" xfId="143"/>
    <cellStyle name="ErrorNumberTB,C 2 9 3" xfId="143"/>
    <cellStyle name="ErrorNumberTB,C 2 9 4" xfId="143"/>
    <cellStyle name="ErrorNumberTB,C 3" xfId="143"/>
    <cellStyle name="ErrorNumberTB,C 3 10" xfId="143"/>
    <cellStyle name="ErrorNumberTB,C 3 11" xfId="143"/>
    <cellStyle name="ErrorNumberTB,C 3 12" xfId="143"/>
    <cellStyle name="ErrorNumberTB,C 3 13" xfId="143"/>
    <cellStyle name="ErrorNumberTB,C 3 14" xfId="143"/>
    <cellStyle name="ErrorNumberTB,C 3 2" xfId="143"/>
    <cellStyle name="ErrorNumberTB,C 3 2 10" xfId="143"/>
    <cellStyle name="ErrorNumberTB,C 3 2 11" xfId="143"/>
    <cellStyle name="ErrorNumberTB,C 3 2 12" xfId="143"/>
    <cellStyle name="ErrorNumberTB,C 3 2 2" xfId="143"/>
    <cellStyle name="ErrorNumberTB,C 3 2 2 2" xfId="143"/>
    <cellStyle name="ErrorNumberTB,C 3 2 2 2 2" xfId="143"/>
    <cellStyle name="ErrorNumberTB,C 3 2 2 2 3" xfId="143"/>
    <cellStyle name="ErrorNumberTB,C 3 2 2 2 4" xfId="143"/>
    <cellStyle name="ErrorNumberTB,C 3 2 2 2 5" xfId="143"/>
    <cellStyle name="ErrorNumberTB,C 3 2 2 3" xfId="143"/>
    <cellStyle name="ErrorNumberTB,C 3 2 2 3 2" xfId="143"/>
    <cellStyle name="ErrorNumberTB,C 3 2 2 3 3" xfId="143"/>
    <cellStyle name="ErrorNumberTB,C 3 2 2 3 4" xfId="143"/>
    <cellStyle name="ErrorNumberTB,C 3 2 2 4" xfId="143"/>
    <cellStyle name="ErrorNumberTB,C 3 2 2 5" xfId="143"/>
    <cellStyle name="ErrorNumberTB,C 3 2 2 6" xfId="143"/>
    <cellStyle name="ErrorNumberTB,C 3 2 2 7" xfId="143"/>
    <cellStyle name="ErrorNumberTB,C 3 2 2 8" xfId="143"/>
    <cellStyle name="ErrorNumberTB,C 3 2 3" xfId="143"/>
    <cellStyle name="ErrorNumberTB,C 3 2 3 2" xfId="143"/>
    <cellStyle name="ErrorNumberTB,C 3 2 3 2 2" xfId="143"/>
    <cellStyle name="ErrorNumberTB,C 3 2 3 2 3" xfId="143"/>
    <cellStyle name="ErrorNumberTB,C 3 2 3 2 4" xfId="143"/>
    <cellStyle name="ErrorNumberTB,C 3 2 3 2 5" xfId="143"/>
    <cellStyle name="ErrorNumberTB,C 3 2 3 3" xfId="143"/>
    <cellStyle name="ErrorNumberTB,C 3 2 3 3 2" xfId="143"/>
    <cellStyle name="ErrorNumberTB,C 3 2 3 3 3" xfId="143"/>
    <cellStyle name="ErrorNumberTB,C 3 2 3 3 4" xfId="143"/>
    <cellStyle name="ErrorNumberTB,C 3 2 3 4" xfId="143"/>
    <cellStyle name="ErrorNumberTB,C 3 2 3 5" xfId="143"/>
    <cellStyle name="ErrorNumberTB,C 3 2 3 6" xfId="143"/>
    <cellStyle name="ErrorNumberTB,C 3 2 3 7" xfId="143"/>
    <cellStyle name="ErrorNumberTB,C 3 2 3 8" xfId="143"/>
    <cellStyle name="ErrorNumberTB,C 3 2 4" xfId="143"/>
    <cellStyle name="ErrorNumberTB,C 3 2 4 2" xfId="143"/>
    <cellStyle name="ErrorNumberTB,C 3 2 4 2 2" xfId="143"/>
    <cellStyle name="ErrorNumberTB,C 3 2 4 2 3" xfId="143"/>
    <cellStyle name="ErrorNumberTB,C 3 2 4 2 4" xfId="143"/>
    <cellStyle name="ErrorNumberTB,C 3 2 4 2 5" xfId="143"/>
    <cellStyle name="ErrorNumberTB,C 3 2 4 3" xfId="143"/>
    <cellStyle name="ErrorNumberTB,C 3 2 4 3 2" xfId="143"/>
    <cellStyle name="ErrorNumberTB,C 3 2 4 3 3" xfId="143"/>
    <cellStyle name="ErrorNumberTB,C 3 2 4 3 4" xfId="143"/>
    <cellStyle name="ErrorNumberTB,C 3 2 4 4" xfId="143"/>
    <cellStyle name="ErrorNumberTB,C 3 2 4 5" xfId="143"/>
    <cellStyle name="ErrorNumberTB,C 3 2 4 6" xfId="143"/>
    <cellStyle name="ErrorNumberTB,C 3 2 4 7" xfId="143"/>
    <cellStyle name="ErrorNumberTB,C 3 2 4 8" xfId="143"/>
    <cellStyle name="ErrorNumberTB,C 3 2 5" xfId="143"/>
    <cellStyle name="ErrorNumberTB,C 3 2 5 2" xfId="143"/>
    <cellStyle name="ErrorNumberTB,C 3 2 5 2 2" xfId="143"/>
    <cellStyle name="ErrorNumberTB,C 3 2 5 2 3" xfId="143"/>
    <cellStyle name="ErrorNumberTB,C 3 2 5 2 4" xfId="143"/>
    <cellStyle name="ErrorNumberTB,C 3 2 5 2 5" xfId="143"/>
    <cellStyle name="ErrorNumberTB,C 3 2 5 3" xfId="143"/>
    <cellStyle name="ErrorNumberTB,C 3 2 5 3 2" xfId="143"/>
    <cellStyle name="ErrorNumberTB,C 3 2 5 3 3" xfId="143"/>
    <cellStyle name="ErrorNumberTB,C 3 2 5 3 4" xfId="143"/>
    <cellStyle name="ErrorNumberTB,C 3 2 5 4" xfId="143"/>
    <cellStyle name="ErrorNumberTB,C 3 2 5 5" xfId="143"/>
    <cellStyle name="ErrorNumberTB,C 3 2 5 6" xfId="143"/>
    <cellStyle name="ErrorNumberTB,C 3 2 5 7" xfId="143"/>
    <cellStyle name="ErrorNumberTB,C 3 2 5 8" xfId="143"/>
    <cellStyle name="ErrorNumberTB,C 3 2 6" xfId="143"/>
    <cellStyle name="ErrorNumberTB,C 3 2 6 2" xfId="143"/>
    <cellStyle name="ErrorNumberTB,C 3 2 6 3" xfId="143"/>
    <cellStyle name="ErrorNumberTB,C 3 2 6 4" xfId="143"/>
    <cellStyle name="ErrorNumberTB,C 3 2 6 5" xfId="143"/>
    <cellStyle name="ErrorNumberTB,C 3 2 7" xfId="143"/>
    <cellStyle name="ErrorNumberTB,C 3 2 7 2" xfId="143"/>
    <cellStyle name="ErrorNumberTB,C 3 2 7 3" xfId="143"/>
    <cellStyle name="ErrorNumberTB,C 3 2 7 4" xfId="143"/>
    <cellStyle name="ErrorNumberTB,C 3 2 8" xfId="143"/>
    <cellStyle name="ErrorNumberTB,C 3 2 9" xfId="143"/>
    <cellStyle name="ErrorNumberTB,C 3 3" xfId="143"/>
    <cellStyle name="ErrorNumberTB,C 3 3 10" xfId="143"/>
    <cellStyle name="ErrorNumberTB,C 3 3 11" xfId="143"/>
    <cellStyle name="ErrorNumberTB,C 3 3 12" xfId="143"/>
    <cellStyle name="ErrorNumberTB,C 3 3 2" xfId="143"/>
    <cellStyle name="ErrorNumberTB,C 3 3 2 2" xfId="143"/>
    <cellStyle name="ErrorNumberTB,C 3 3 2 2 2" xfId="143"/>
    <cellStyle name="ErrorNumberTB,C 3 3 2 2 3" xfId="143"/>
    <cellStyle name="ErrorNumberTB,C 3 3 2 2 4" xfId="143"/>
    <cellStyle name="ErrorNumberTB,C 3 3 2 2 5" xfId="143"/>
    <cellStyle name="ErrorNumberTB,C 3 3 2 3" xfId="143"/>
    <cellStyle name="ErrorNumberTB,C 3 3 2 3 2" xfId="143"/>
    <cellStyle name="ErrorNumberTB,C 3 3 2 3 3" xfId="143"/>
    <cellStyle name="ErrorNumberTB,C 3 3 2 3 4" xfId="143"/>
    <cellStyle name="ErrorNumberTB,C 3 3 2 4" xfId="143"/>
    <cellStyle name="ErrorNumberTB,C 3 3 2 5" xfId="143"/>
    <cellStyle name="ErrorNumberTB,C 3 3 2 6" xfId="143"/>
    <cellStyle name="ErrorNumberTB,C 3 3 2 7" xfId="143"/>
    <cellStyle name="ErrorNumberTB,C 3 3 2 8" xfId="143"/>
    <cellStyle name="ErrorNumberTB,C 3 3 3" xfId="143"/>
    <cellStyle name="ErrorNumberTB,C 3 3 3 2" xfId="143"/>
    <cellStyle name="ErrorNumberTB,C 3 3 3 2 2" xfId="143"/>
    <cellStyle name="ErrorNumberTB,C 3 3 3 2 3" xfId="143"/>
    <cellStyle name="ErrorNumberTB,C 3 3 3 2 4" xfId="143"/>
    <cellStyle name="ErrorNumberTB,C 3 3 3 2 5" xfId="143"/>
    <cellStyle name="ErrorNumberTB,C 3 3 3 3" xfId="143"/>
    <cellStyle name="ErrorNumberTB,C 3 3 3 3 2" xfId="143"/>
    <cellStyle name="ErrorNumberTB,C 3 3 3 3 3" xfId="143"/>
    <cellStyle name="ErrorNumberTB,C 3 3 3 3 4" xfId="143"/>
    <cellStyle name="ErrorNumberTB,C 3 3 3 4" xfId="143"/>
    <cellStyle name="ErrorNumberTB,C 3 3 3 5" xfId="143"/>
    <cellStyle name="ErrorNumberTB,C 3 3 3 6" xfId="143"/>
    <cellStyle name="ErrorNumberTB,C 3 3 3 7" xfId="143"/>
    <cellStyle name="ErrorNumberTB,C 3 3 3 8" xfId="143"/>
    <cellStyle name="ErrorNumberTB,C 3 3 4" xfId="143"/>
    <cellStyle name="ErrorNumberTB,C 3 3 4 2" xfId="143"/>
    <cellStyle name="ErrorNumberTB,C 3 3 4 2 2" xfId="143"/>
    <cellStyle name="ErrorNumberTB,C 3 3 4 2 3" xfId="143"/>
    <cellStyle name="ErrorNumberTB,C 3 3 4 2 4" xfId="143"/>
    <cellStyle name="ErrorNumberTB,C 3 3 4 2 5" xfId="143"/>
    <cellStyle name="ErrorNumberTB,C 3 3 4 3" xfId="143"/>
    <cellStyle name="ErrorNumberTB,C 3 3 4 3 2" xfId="143"/>
    <cellStyle name="ErrorNumberTB,C 3 3 4 3 3" xfId="143"/>
    <cellStyle name="ErrorNumberTB,C 3 3 4 3 4" xfId="143"/>
    <cellStyle name="ErrorNumberTB,C 3 3 4 4" xfId="143"/>
    <cellStyle name="ErrorNumberTB,C 3 3 4 5" xfId="143"/>
    <cellStyle name="ErrorNumberTB,C 3 3 4 6" xfId="143"/>
    <cellStyle name="ErrorNumberTB,C 3 3 4 7" xfId="143"/>
    <cellStyle name="ErrorNumberTB,C 3 3 4 8" xfId="143"/>
    <cellStyle name="ErrorNumberTB,C 3 3 5" xfId="143"/>
    <cellStyle name="ErrorNumberTB,C 3 3 5 2" xfId="143"/>
    <cellStyle name="ErrorNumberTB,C 3 3 5 2 2" xfId="143"/>
    <cellStyle name="ErrorNumberTB,C 3 3 5 2 3" xfId="143"/>
    <cellStyle name="ErrorNumberTB,C 3 3 5 2 4" xfId="143"/>
    <cellStyle name="ErrorNumberTB,C 3 3 5 2 5" xfId="143"/>
    <cellStyle name="ErrorNumberTB,C 3 3 5 3" xfId="143"/>
    <cellStyle name="ErrorNumberTB,C 3 3 5 3 2" xfId="143"/>
    <cellStyle name="ErrorNumberTB,C 3 3 5 3 3" xfId="143"/>
    <cellStyle name="ErrorNumberTB,C 3 3 5 3 4" xfId="143"/>
    <cellStyle name="ErrorNumberTB,C 3 3 5 4" xfId="143"/>
    <cellStyle name="ErrorNumberTB,C 3 3 5 5" xfId="143"/>
    <cellStyle name="ErrorNumberTB,C 3 3 5 6" xfId="143"/>
    <cellStyle name="ErrorNumberTB,C 3 3 5 7" xfId="143"/>
    <cellStyle name="ErrorNumberTB,C 3 3 5 8" xfId="143"/>
    <cellStyle name="ErrorNumberTB,C 3 3 6" xfId="143"/>
    <cellStyle name="ErrorNumberTB,C 3 3 6 2" xfId="143"/>
    <cellStyle name="ErrorNumberTB,C 3 3 6 3" xfId="143"/>
    <cellStyle name="ErrorNumberTB,C 3 3 6 4" xfId="143"/>
    <cellStyle name="ErrorNumberTB,C 3 3 6 5" xfId="143"/>
    <cellStyle name="ErrorNumberTB,C 3 3 7" xfId="143"/>
    <cellStyle name="ErrorNumberTB,C 3 3 7 2" xfId="143"/>
    <cellStyle name="ErrorNumberTB,C 3 3 7 3" xfId="143"/>
    <cellStyle name="ErrorNumberTB,C 3 3 7 4" xfId="143"/>
    <cellStyle name="ErrorNumberTB,C 3 3 8" xfId="143"/>
    <cellStyle name="ErrorNumberTB,C 3 3 9" xfId="143"/>
    <cellStyle name="ErrorNumberTB,C 3 4" xfId="143"/>
    <cellStyle name="ErrorNumberTB,C 3 4 2" xfId="143"/>
    <cellStyle name="ErrorNumberTB,C 3 4 2 2" xfId="143"/>
    <cellStyle name="ErrorNumberTB,C 3 4 2 3" xfId="143"/>
    <cellStyle name="ErrorNumberTB,C 3 4 2 4" xfId="143"/>
    <cellStyle name="ErrorNumberTB,C 3 4 2 5" xfId="143"/>
    <cellStyle name="ErrorNumberTB,C 3 4 3" xfId="143"/>
    <cellStyle name="ErrorNumberTB,C 3 4 3 2" xfId="143"/>
    <cellStyle name="ErrorNumberTB,C 3 4 3 3" xfId="143"/>
    <cellStyle name="ErrorNumberTB,C 3 4 3 4" xfId="143"/>
    <cellStyle name="ErrorNumberTB,C 3 4 4" xfId="143"/>
    <cellStyle name="ErrorNumberTB,C 3 4 5" xfId="143"/>
    <cellStyle name="ErrorNumberTB,C 3 4 6" xfId="143"/>
    <cellStyle name="ErrorNumberTB,C 3 4 7" xfId="143"/>
    <cellStyle name="ErrorNumberTB,C 3 4 8" xfId="143"/>
    <cellStyle name="ErrorNumberTB,C 3 5" xfId="143"/>
    <cellStyle name="ErrorNumberTB,C 3 5 2" xfId="143"/>
    <cellStyle name="ErrorNumberTB,C 3 5 2 2" xfId="143"/>
    <cellStyle name="ErrorNumberTB,C 3 5 2 3" xfId="143"/>
    <cellStyle name="ErrorNumberTB,C 3 5 2 4" xfId="143"/>
    <cellStyle name="ErrorNumberTB,C 3 5 2 5" xfId="143"/>
    <cellStyle name="ErrorNumberTB,C 3 5 3" xfId="143"/>
    <cellStyle name="ErrorNumberTB,C 3 5 3 2" xfId="143"/>
    <cellStyle name="ErrorNumberTB,C 3 5 3 3" xfId="143"/>
    <cellStyle name="ErrorNumberTB,C 3 5 3 4" xfId="143"/>
    <cellStyle name="ErrorNumberTB,C 3 5 4" xfId="143"/>
    <cellStyle name="ErrorNumberTB,C 3 5 5" xfId="143"/>
    <cellStyle name="ErrorNumberTB,C 3 5 6" xfId="143"/>
    <cellStyle name="ErrorNumberTB,C 3 5 7" xfId="143"/>
    <cellStyle name="ErrorNumberTB,C 3 5 8" xfId="143"/>
    <cellStyle name="ErrorNumberTB,C 3 6" xfId="143"/>
    <cellStyle name="ErrorNumberTB,C 3 6 2" xfId="143"/>
    <cellStyle name="ErrorNumberTB,C 3 6 2 2" xfId="143"/>
    <cellStyle name="ErrorNumberTB,C 3 6 2 3" xfId="143"/>
    <cellStyle name="ErrorNumberTB,C 3 6 2 4" xfId="143"/>
    <cellStyle name="ErrorNumberTB,C 3 6 2 5" xfId="143"/>
    <cellStyle name="ErrorNumberTB,C 3 6 3" xfId="143"/>
    <cellStyle name="ErrorNumberTB,C 3 6 3 2" xfId="143"/>
    <cellStyle name="ErrorNumberTB,C 3 6 3 3" xfId="143"/>
    <cellStyle name="ErrorNumberTB,C 3 6 3 4" xfId="143"/>
    <cellStyle name="ErrorNumberTB,C 3 6 4" xfId="143"/>
    <cellStyle name="ErrorNumberTB,C 3 6 5" xfId="143"/>
    <cellStyle name="ErrorNumberTB,C 3 6 6" xfId="143"/>
    <cellStyle name="ErrorNumberTB,C 3 6 7" xfId="143"/>
    <cellStyle name="ErrorNumberTB,C 3 6 8" xfId="143"/>
    <cellStyle name="ErrorNumberTB,C 3 7" xfId="143"/>
    <cellStyle name="ErrorNumberTB,C 3 7 2" xfId="143"/>
    <cellStyle name="ErrorNumberTB,C 3 7 2 2" xfId="143"/>
    <cellStyle name="ErrorNumberTB,C 3 7 2 3" xfId="143"/>
    <cellStyle name="ErrorNumberTB,C 3 7 2 4" xfId="143"/>
    <cellStyle name="ErrorNumberTB,C 3 7 2 5" xfId="143"/>
    <cellStyle name="ErrorNumberTB,C 3 7 3" xfId="143"/>
    <cellStyle name="ErrorNumberTB,C 3 7 3 2" xfId="143"/>
    <cellStyle name="ErrorNumberTB,C 3 7 3 3" xfId="143"/>
    <cellStyle name="ErrorNumberTB,C 3 7 3 4" xfId="143"/>
    <cellStyle name="ErrorNumberTB,C 3 7 4" xfId="143"/>
    <cellStyle name="ErrorNumberTB,C 3 7 5" xfId="143"/>
    <cellStyle name="ErrorNumberTB,C 3 7 6" xfId="143"/>
    <cellStyle name="ErrorNumberTB,C 3 7 7" xfId="143"/>
    <cellStyle name="ErrorNumberTB,C 3 7 8" xfId="143"/>
    <cellStyle name="ErrorNumberTB,C 3 8" xfId="143"/>
    <cellStyle name="ErrorNumberTB,C 3 8 2" xfId="143"/>
    <cellStyle name="ErrorNumberTB,C 3 8 3" xfId="143"/>
    <cellStyle name="ErrorNumberTB,C 3 8 4" xfId="143"/>
    <cellStyle name="ErrorNumberTB,C 3 8 5" xfId="143"/>
    <cellStyle name="ErrorNumberTB,C 3 9" xfId="143"/>
    <cellStyle name="ErrorNumberTB,C 3 9 2" xfId="143"/>
    <cellStyle name="ErrorNumberTB,C 3 9 3" xfId="143"/>
    <cellStyle name="ErrorNumberTB,C 3 9 4" xfId="143"/>
    <cellStyle name="ErrorNumberTB,C 4" xfId="143"/>
    <cellStyle name="ErrorNumberTB,C 4 2" xfId="143"/>
    <cellStyle name="ErrorNumberTB,C 4 2 2" xfId="143"/>
    <cellStyle name="ErrorNumberTB,C 4 2 2 2" xfId="143"/>
    <cellStyle name="ErrorNumberTB,C 4 2 2 3" xfId="143"/>
    <cellStyle name="ErrorNumberTB,C 4 2 2 4" xfId="143"/>
    <cellStyle name="ErrorNumberTB,C 4 2 2 5" xfId="143"/>
    <cellStyle name="ErrorNumberTB,C 4 2 3" xfId="143"/>
    <cellStyle name="ErrorNumberTB,C 4 2 3 2" xfId="143"/>
    <cellStyle name="ErrorNumberTB,C 4 2 3 3" xfId="143"/>
    <cellStyle name="ErrorNumberTB,C 4 2 3 4" xfId="143"/>
    <cellStyle name="ErrorNumberTB,C 4 2 4" xfId="143"/>
    <cellStyle name="ErrorNumberTB,C 4 2 5" xfId="143"/>
    <cellStyle name="ErrorNumberTB,C 4 2 6" xfId="143"/>
    <cellStyle name="ErrorNumberTB,C 4 2 7" xfId="143"/>
    <cellStyle name="ErrorNumberTB,C 4 2 8" xfId="143"/>
    <cellStyle name="ErrorNumberTB,C 4 3" xfId="143"/>
    <cellStyle name="ErrorNumberTB,C 4 3 2" xfId="143"/>
    <cellStyle name="ErrorNumberTB,C 4 3 2 2" xfId="143"/>
    <cellStyle name="ErrorNumberTB,C 4 3 2 3" xfId="143"/>
    <cellStyle name="ErrorNumberTB,C 4 3 2 4" xfId="143"/>
    <cellStyle name="ErrorNumberTB,C 4 3 2 5" xfId="143"/>
    <cellStyle name="ErrorNumberTB,C 4 3 3" xfId="143"/>
    <cellStyle name="ErrorNumberTB,C 4 3 3 2" xfId="143"/>
    <cellStyle name="ErrorNumberTB,C 4 3 3 3" xfId="143"/>
    <cellStyle name="ErrorNumberTB,C 4 3 3 4" xfId="143"/>
    <cellStyle name="ErrorNumberTB,C 4 3 4" xfId="143"/>
    <cellStyle name="ErrorNumberTB,C 4 3 5" xfId="143"/>
    <cellStyle name="ErrorNumberTB,C 4 3 6" xfId="143"/>
    <cellStyle name="ErrorNumberTB,C 4 3 7" xfId="143"/>
    <cellStyle name="ErrorNumberTB,C 4 4" xfId="143"/>
    <cellStyle name="ErrorNumberTB,C 4 4 2" xfId="143"/>
    <cellStyle name="ErrorNumberTB,C 4 4 3" xfId="143"/>
    <cellStyle name="ErrorNumberTB,C 4 4 4" xfId="143"/>
    <cellStyle name="ErrorNumberTB,C 4 4 5" xfId="143"/>
    <cellStyle name="ErrorNumberTB,C 4 5" xfId="143"/>
    <cellStyle name="ErrorNumberTB,C 4 5 2" xfId="143"/>
    <cellStyle name="ErrorNumberTB,C 4 5 3" xfId="143"/>
    <cellStyle name="ErrorNumberTB,C 4 5 4" xfId="143"/>
    <cellStyle name="ErrorNumberTB,C 4 6" xfId="143"/>
    <cellStyle name="ErrorNumberTB,C 4 7" xfId="143"/>
    <cellStyle name="ErrorNumberTB,C 4 8" xfId="143"/>
    <cellStyle name="ErrorNumberTB,C 4 9" xfId="143"/>
    <cellStyle name="ErrorNumberTB,C 5" xfId="143"/>
    <cellStyle name="ErrorNumberTB,C 5 2" xfId="143"/>
    <cellStyle name="ErrorNumberTB,C 5 2 2" xfId="143"/>
    <cellStyle name="ErrorNumberTB,C 5 2 3" xfId="143"/>
    <cellStyle name="ErrorNumberTB,C 5 2 4" xfId="143"/>
    <cellStyle name="ErrorNumberTB,C 5 2 5" xfId="143"/>
    <cellStyle name="ErrorNumberTB,C 5 3" xfId="143"/>
    <cellStyle name="ErrorNumberTB,C 5 3 2" xfId="143"/>
    <cellStyle name="ErrorNumberTB,C 5 3 3" xfId="143"/>
    <cellStyle name="ErrorNumberTB,C 5 3 4" xfId="143"/>
    <cellStyle name="ErrorNumberTB,C 5 4" xfId="143"/>
    <cellStyle name="ErrorNumberTB,C 5 5" xfId="143"/>
    <cellStyle name="ErrorNumberTB,C 5 6" xfId="143"/>
    <cellStyle name="ErrorNumberTB,C 5 7" xfId="143"/>
    <cellStyle name="ErrorNumberTB,C 5 8" xfId="143"/>
    <cellStyle name="ErrorNumberTB,C 6" xfId="143"/>
    <cellStyle name="ErrorNumberTB,C 6 2" xfId="143"/>
    <cellStyle name="ErrorNumberTB,C 6 3" xfId="143"/>
    <cellStyle name="ErrorNumberTB,C 6 4" xfId="143"/>
    <cellStyle name="ErrorNumberTB,C 6 5" xfId="143"/>
    <cellStyle name="ErrorNumberTB,C 7" xfId="143"/>
    <cellStyle name="ErrorNumberTB,C 8" xfId="143"/>
    <cellStyle name="ErrorText-GCenterAlign" xfId="144"/>
    <cellStyle name="ErrorText-GCenterAlign 2" xfId="144"/>
    <cellStyle name="ErrorText-GCenterAlign 2 10" xfId="144"/>
    <cellStyle name="ErrorText-GCenterAlign 2 11" xfId="144"/>
    <cellStyle name="ErrorText-GCenterAlign 2 12" xfId="144"/>
    <cellStyle name="ErrorText-GCenterAlign 2 13" xfId="144"/>
    <cellStyle name="ErrorText-GCenterAlign 2 14" xfId="144"/>
    <cellStyle name="ErrorText-GCenterAlign 2 2" xfId="144"/>
    <cellStyle name="ErrorText-GCenterAlign 2 2 10" xfId="144"/>
    <cellStyle name="ErrorText-GCenterAlign 2 2 11" xfId="144"/>
    <cellStyle name="ErrorText-GCenterAlign 2 2 12" xfId="144"/>
    <cellStyle name="ErrorText-GCenterAlign 2 2 13" xfId="144"/>
    <cellStyle name="ErrorText-GCenterAlign 2 2 14" xfId="144"/>
    <cellStyle name="ErrorText-GCenterAlign 2 2 2" xfId="144"/>
    <cellStyle name="ErrorText-GCenterAlign 2 2 2 10" xfId="144"/>
    <cellStyle name="ErrorText-GCenterAlign 2 2 2 11" xfId="144"/>
    <cellStyle name="ErrorText-GCenterAlign 2 2 2 12" xfId="144"/>
    <cellStyle name="ErrorText-GCenterAlign 2 2 2 2" xfId="144"/>
    <cellStyle name="ErrorText-GCenterAlign 2 2 2 2 2" xfId="144"/>
    <cellStyle name="ErrorText-GCenterAlign 2 2 2 2 2 2" xfId="144"/>
    <cellStyle name="ErrorText-GCenterAlign 2 2 2 2 2 3" xfId="144"/>
    <cellStyle name="ErrorText-GCenterAlign 2 2 2 2 2 4" xfId="144"/>
    <cellStyle name="ErrorText-GCenterAlign 2 2 2 2 2 5" xfId="144"/>
    <cellStyle name="ErrorText-GCenterAlign 2 2 2 2 3" xfId="144"/>
    <cellStyle name="ErrorText-GCenterAlign 2 2 2 2 3 2" xfId="144"/>
    <cellStyle name="ErrorText-GCenterAlign 2 2 2 2 3 3" xfId="144"/>
    <cellStyle name="ErrorText-GCenterAlign 2 2 2 2 3 4" xfId="144"/>
    <cellStyle name="ErrorText-GCenterAlign 2 2 2 2 4" xfId="144"/>
    <cellStyle name="ErrorText-GCenterAlign 2 2 2 2 5" xfId="144"/>
    <cellStyle name="ErrorText-GCenterAlign 2 2 2 2 6" xfId="144"/>
    <cellStyle name="ErrorText-GCenterAlign 2 2 2 2 7" xfId="144"/>
    <cellStyle name="ErrorText-GCenterAlign 2 2 2 2 8" xfId="144"/>
    <cellStyle name="ErrorText-GCenterAlign 2 2 2 3" xfId="144"/>
    <cellStyle name="ErrorText-GCenterAlign 2 2 2 3 2" xfId="144"/>
    <cellStyle name="ErrorText-GCenterAlign 2 2 2 3 2 2" xfId="144"/>
    <cellStyle name="ErrorText-GCenterAlign 2 2 2 3 2 3" xfId="144"/>
    <cellStyle name="ErrorText-GCenterAlign 2 2 2 3 2 4" xfId="144"/>
    <cellStyle name="ErrorText-GCenterAlign 2 2 2 3 2 5" xfId="144"/>
    <cellStyle name="ErrorText-GCenterAlign 2 2 2 3 3" xfId="144"/>
    <cellStyle name="ErrorText-GCenterAlign 2 2 2 3 3 2" xfId="144"/>
    <cellStyle name="ErrorText-GCenterAlign 2 2 2 3 3 3" xfId="144"/>
    <cellStyle name="ErrorText-GCenterAlign 2 2 2 3 3 4" xfId="144"/>
    <cellStyle name="ErrorText-GCenterAlign 2 2 2 3 4" xfId="144"/>
    <cellStyle name="ErrorText-GCenterAlign 2 2 2 3 5" xfId="144"/>
    <cellStyle name="ErrorText-GCenterAlign 2 2 2 3 6" xfId="144"/>
    <cellStyle name="ErrorText-GCenterAlign 2 2 2 3 7" xfId="144"/>
    <cellStyle name="ErrorText-GCenterAlign 2 2 2 3 8" xfId="144"/>
    <cellStyle name="ErrorText-GCenterAlign 2 2 2 4" xfId="144"/>
    <cellStyle name="ErrorText-GCenterAlign 2 2 2 4 2" xfId="144"/>
    <cellStyle name="ErrorText-GCenterAlign 2 2 2 4 2 2" xfId="144"/>
    <cellStyle name="ErrorText-GCenterAlign 2 2 2 4 2 3" xfId="144"/>
    <cellStyle name="ErrorText-GCenterAlign 2 2 2 4 2 4" xfId="144"/>
    <cellStyle name="ErrorText-GCenterAlign 2 2 2 4 2 5" xfId="144"/>
    <cellStyle name="ErrorText-GCenterAlign 2 2 2 4 3" xfId="144"/>
    <cellStyle name="ErrorText-GCenterAlign 2 2 2 4 3 2" xfId="144"/>
    <cellStyle name="ErrorText-GCenterAlign 2 2 2 4 3 3" xfId="144"/>
    <cellStyle name="ErrorText-GCenterAlign 2 2 2 4 3 4" xfId="144"/>
    <cellStyle name="ErrorText-GCenterAlign 2 2 2 4 4" xfId="144"/>
    <cellStyle name="ErrorText-GCenterAlign 2 2 2 4 5" xfId="144"/>
    <cellStyle name="ErrorText-GCenterAlign 2 2 2 4 6" xfId="144"/>
    <cellStyle name="ErrorText-GCenterAlign 2 2 2 4 7" xfId="144"/>
    <cellStyle name="ErrorText-GCenterAlign 2 2 2 4 8" xfId="144"/>
    <cellStyle name="ErrorText-GCenterAlign 2 2 2 5" xfId="144"/>
    <cellStyle name="ErrorText-GCenterAlign 2 2 2 5 2" xfId="144"/>
    <cellStyle name="ErrorText-GCenterAlign 2 2 2 5 2 2" xfId="144"/>
    <cellStyle name="ErrorText-GCenterAlign 2 2 2 5 2 3" xfId="144"/>
    <cellStyle name="ErrorText-GCenterAlign 2 2 2 5 2 4" xfId="144"/>
    <cellStyle name="ErrorText-GCenterAlign 2 2 2 5 2 5" xfId="144"/>
    <cellStyle name="ErrorText-GCenterAlign 2 2 2 5 3" xfId="144"/>
    <cellStyle name="ErrorText-GCenterAlign 2 2 2 5 3 2" xfId="144"/>
    <cellStyle name="ErrorText-GCenterAlign 2 2 2 5 3 3" xfId="144"/>
    <cellStyle name="ErrorText-GCenterAlign 2 2 2 5 3 4" xfId="144"/>
    <cellStyle name="ErrorText-GCenterAlign 2 2 2 5 4" xfId="144"/>
    <cellStyle name="ErrorText-GCenterAlign 2 2 2 5 5" xfId="144"/>
    <cellStyle name="ErrorText-GCenterAlign 2 2 2 5 6" xfId="144"/>
    <cellStyle name="ErrorText-GCenterAlign 2 2 2 5 7" xfId="144"/>
    <cellStyle name="ErrorText-GCenterAlign 2 2 2 5 8" xfId="144"/>
    <cellStyle name="ErrorText-GCenterAlign 2 2 2 6" xfId="144"/>
    <cellStyle name="ErrorText-GCenterAlign 2 2 2 6 2" xfId="144"/>
    <cellStyle name="ErrorText-GCenterAlign 2 2 2 6 3" xfId="144"/>
    <cellStyle name="ErrorText-GCenterAlign 2 2 2 6 4" xfId="144"/>
    <cellStyle name="ErrorText-GCenterAlign 2 2 2 6 5" xfId="144"/>
    <cellStyle name="ErrorText-GCenterAlign 2 2 2 7" xfId="144"/>
    <cellStyle name="ErrorText-GCenterAlign 2 2 2 7 2" xfId="144"/>
    <cellStyle name="ErrorText-GCenterAlign 2 2 2 7 3" xfId="144"/>
    <cellStyle name="ErrorText-GCenterAlign 2 2 2 7 4" xfId="144"/>
    <cellStyle name="ErrorText-GCenterAlign 2 2 2 8" xfId="144"/>
    <cellStyle name="ErrorText-GCenterAlign 2 2 2 9" xfId="144"/>
    <cellStyle name="ErrorText-GCenterAlign 2 2 3" xfId="144"/>
    <cellStyle name="ErrorText-GCenterAlign 2 2 3 10" xfId="144"/>
    <cellStyle name="ErrorText-GCenterAlign 2 2 3 11" xfId="144"/>
    <cellStyle name="ErrorText-GCenterAlign 2 2 3 12" xfId="144"/>
    <cellStyle name="ErrorText-GCenterAlign 2 2 3 2" xfId="144"/>
    <cellStyle name="ErrorText-GCenterAlign 2 2 3 2 2" xfId="144"/>
    <cellStyle name="ErrorText-GCenterAlign 2 2 3 2 2 2" xfId="144"/>
    <cellStyle name="ErrorText-GCenterAlign 2 2 3 2 2 3" xfId="144"/>
    <cellStyle name="ErrorText-GCenterAlign 2 2 3 2 2 4" xfId="144"/>
    <cellStyle name="ErrorText-GCenterAlign 2 2 3 2 2 5" xfId="144"/>
    <cellStyle name="ErrorText-GCenterAlign 2 2 3 2 3" xfId="144"/>
    <cellStyle name="ErrorText-GCenterAlign 2 2 3 2 3 2" xfId="144"/>
    <cellStyle name="ErrorText-GCenterAlign 2 2 3 2 3 3" xfId="144"/>
    <cellStyle name="ErrorText-GCenterAlign 2 2 3 2 3 4" xfId="144"/>
    <cellStyle name="ErrorText-GCenterAlign 2 2 3 2 4" xfId="144"/>
    <cellStyle name="ErrorText-GCenterAlign 2 2 3 2 5" xfId="144"/>
    <cellStyle name="ErrorText-GCenterAlign 2 2 3 2 6" xfId="144"/>
    <cellStyle name="ErrorText-GCenterAlign 2 2 3 2 7" xfId="144"/>
    <cellStyle name="ErrorText-GCenterAlign 2 2 3 2 8" xfId="144"/>
    <cellStyle name="ErrorText-GCenterAlign 2 2 3 3" xfId="144"/>
    <cellStyle name="ErrorText-GCenterAlign 2 2 3 3 2" xfId="144"/>
    <cellStyle name="ErrorText-GCenterAlign 2 2 3 3 2 2" xfId="144"/>
    <cellStyle name="ErrorText-GCenterAlign 2 2 3 3 2 3" xfId="144"/>
    <cellStyle name="ErrorText-GCenterAlign 2 2 3 3 2 4" xfId="144"/>
    <cellStyle name="ErrorText-GCenterAlign 2 2 3 3 2 5" xfId="144"/>
    <cellStyle name="ErrorText-GCenterAlign 2 2 3 3 3" xfId="144"/>
    <cellStyle name="ErrorText-GCenterAlign 2 2 3 3 3 2" xfId="144"/>
    <cellStyle name="ErrorText-GCenterAlign 2 2 3 3 3 3" xfId="144"/>
    <cellStyle name="ErrorText-GCenterAlign 2 2 3 3 3 4" xfId="144"/>
    <cellStyle name="ErrorText-GCenterAlign 2 2 3 3 4" xfId="144"/>
    <cellStyle name="ErrorText-GCenterAlign 2 2 3 3 5" xfId="144"/>
    <cellStyle name="ErrorText-GCenterAlign 2 2 3 3 6" xfId="144"/>
    <cellStyle name="ErrorText-GCenterAlign 2 2 3 3 7" xfId="144"/>
    <cellStyle name="ErrorText-GCenterAlign 2 2 3 3 8" xfId="144"/>
    <cellStyle name="ErrorText-GCenterAlign 2 2 3 4" xfId="144"/>
    <cellStyle name="ErrorText-GCenterAlign 2 2 3 4 2" xfId="144"/>
    <cellStyle name="ErrorText-GCenterAlign 2 2 3 4 2 2" xfId="144"/>
    <cellStyle name="ErrorText-GCenterAlign 2 2 3 4 2 3" xfId="144"/>
    <cellStyle name="ErrorText-GCenterAlign 2 2 3 4 2 4" xfId="144"/>
    <cellStyle name="ErrorText-GCenterAlign 2 2 3 4 2 5" xfId="144"/>
    <cellStyle name="ErrorText-GCenterAlign 2 2 3 4 3" xfId="144"/>
    <cellStyle name="ErrorText-GCenterAlign 2 2 3 4 3 2" xfId="144"/>
    <cellStyle name="ErrorText-GCenterAlign 2 2 3 4 3 3" xfId="144"/>
    <cellStyle name="ErrorText-GCenterAlign 2 2 3 4 3 4" xfId="144"/>
    <cellStyle name="ErrorText-GCenterAlign 2 2 3 4 4" xfId="144"/>
    <cellStyle name="ErrorText-GCenterAlign 2 2 3 4 5" xfId="144"/>
    <cellStyle name="ErrorText-GCenterAlign 2 2 3 4 6" xfId="144"/>
    <cellStyle name="ErrorText-GCenterAlign 2 2 3 4 7" xfId="144"/>
    <cellStyle name="ErrorText-GCenterAlign 2 2 3 4 8" xfId="144"/>
    <cellStyle name="ErrorText-GCenterAlign 2 2 3 5" xfId="144"/>
    <cellStyle name="ErrorText-GCenterAlign 2 2 3 5 2" xfId="144"/>
    <cellStyle name="ErrorText-GCenterAlign 2 2 3 5 2 2" xfId="144"/>
    <cellStyle name="ErrorText-GCenterAlign 2 2 3 5 2 3" xfId="144"/>
    <cellStyle name="ErrorText-GCenterAlign 2 2 3 5 2 4" xfId="144"/>
    <cellStyle name="ErrorText-GCenterAlign 2 2 3 5 2 5" xfId="144"/>
    <cellStyle name="ErrorText-GCenterAlign 2 2 3 5 3" xfId="144"/>
    <cellStyle name="ErrorText-GCenterAlign 2 2 3 5 3 2" xfId="144"/>
    <cellStyle name="ErrorText-GCenterAlign 2 2 3 5 3 3" xfId="144"/>
    <cellStyle name="ErrorText-GCenterAlign 2 2 3 5 3 4" xfId="144"/>
    <cellStyle name="ErrorText-GCenterAlign 2 2 3 5 4" xfId="144"/>
    <cellStyle name="ErrorText-GCenterAlign 2 2 3 5 5" xfId="144"/>
    <cellStyle name="ErrorText-GCenterAlign 2 2 3 5 6" xfId="144"/>
    <cellStyle name="ErrorText-GCenterAlign 2 2 3 5 7" xfId="144"/>
    <cellStyle name="ErrorText-GCenterAlign 2 2 3 5 8" xfId="144"/>
    <cellStyle name="ErrorText-GCenterAlign 2 2 3 6" xfId="144"/>
    <cellStyle name="ErrorText-GCenterAlign 2 2 3 6 2" xfId="144"/>
    <cellStyle name="ErrorText-GCenterAlign 2 2 3 6 3" xfId="144"/>
    <cellStyle name="ErrorText-GCenterAlign 2 2 3 6 4" xfId="144"/>
    <cellStyle name="ErrorText-GCenterAlign 2 2 3 6 5" xfId="144"/>
    <cellStyle name="ErrorText-GCenterAlign 2 2 3 7" xfId="144"/>
    <cellStyle name="ErrorText-GCenterAlign 2 2 3 7 2" xfId="144"/>
    <cellStyle name="ErrorText-GCenterAlign 2 2 3 7 3" xfId="144"/>
    <cellStyle name="ErrorText-GCenterAlign 2 2 3 7 4" xfId="144"/>
    <cellStyle name="ErrorText-GCenterAlign 2 2 3 8" xfId="144"/>
    <cellStyle name="ErrorText-GCenterAlign 2 2 3 9" xfId="144"/>
    <cellStyle name="ErrorText-GCenterAlign 2 2 4" xfId="144"/>
    <cellStyle name="ErrorText-GCenterAlign 2 2 4 2" xfId="144"/>
    <cellStyle name="ErrorText-GCenterAlign 2 2 4 2 2" xfId="144"/>
    <cellStyle name="ErrorText-GCenterAlign 2 2 4 2 3" xfId="144"/>
    <cellStyle name="ErrorText-GCenterAlign 2 2 4 2 4" xfId="144"/>
    <cellStyle name="ErrorText-GCenterAlign 2 2 4 2 5" xfId="144"/>
    <cellStyle name="ErrorText-GCenterAlign 2 2 4 3" xfId="144"/>
    <cellStyle name="ErrorText-GCenterAlign 2 2 4 3 2" xfId="144"/>
    <cellStyle name="ErrorText-GCenterAlign 2 2 4 3 3" xfId="144"/>
    <cellStyle name="ErrorText-GCenterAlign 2 2 4 3 4" xfId="144"/>
    <cellStyle name="ErrorText-GCenterAlign 2 2 4 4" xfId="144"/>
    <cellStyle name="ErrorText-GCenterAlign 2 2 4 5" xfId="144"/>
    <cellStyle name="ErrorText-GCenterAlign 2 2 4 6" xfId="144"/>
    <cellStyle name="ErrorText-GCenterAlign 2 2 4 7" xfId="144"/>
    <cellStyle name="ErrorText-GCenterAlign 2 2 4 8" xfId="144"/>
    <cellStyle name="ErrorText-GCenterAlign 2 2 5" xfId="144"/>
    <cellStyle name="ErrorText-GCenterAlign 2 2 5 2" xfId="144"/>
    <cellStyle name="ErrorText-GCenterAlign 2 2 5 2 2" xfId="144"/>
    <cellStyle name="ErrorText-GCenterAlign 2 2 5 2 3" xfId="144"/>
    <cellStyle name="ErrorText-GCenterAlign 2 2 5 2 4" xfId="144"/>
    <cellStyle name="ErrorText-GCenterAlign 2 2 5 2 5" xfId="144"/>
    <cellStyle name="ErrorText-GCenterAlign 2 2 5 3" xfId="144"/>
    <cellStyle name="ErrorText-GCenterAlign 2 2 5 3 2" xfId="144"/>
    <cellStyle name="ErrorText-GCenterAlign 2 2 5 3 3" xfId="144"/>
    <cellStyle name="ErrorText-GCenterAlign 2 2 5 3 4" xfId="144"/>
    <cellStyle name="ErrorText-GCenterAlign 2 2 5 4" xfId="144"/>
    <cellStyle name="ErrorText-GCenterAlign 2 2 5 5" xfId="144"/>
    <cellStyle name="ErrorText-GCenterAlign 2 2 5 6" xfId="144"/>
    <cellStyle name="ErrorText-GCenterAlign 2 2 5 7" xfId="144"/>
    <cellStyle name="ErrorText-GCenterAlign 2 2 5 8" xfId="144"/>
    <cellStyle name="ErrorText-GCenterAlign 2 2 6" xfId="144"/>
    <cellStyle name="ErrorText-GCenterAlign 2 2 6 2" xfId="144"/>
    <cellStyle name="ErrorText-GCenterAlign 2 2 6 2 2" xfId="144"/>
    <cellStyle name="ErrorText-GCenterAlign 2 2 6 2 3" xfId="144"/>
    <cellStyle name="ErrorText-GCenterAlign 2 2 6 2 4" xfId="144"/>
    <cellStyle name="ErrorText-GCenterAlign 2 2 6 2 5" xfId="144"/>
    <cellStyle name="ErrorText-GCenterAlign 2 2 6 3" xfId="144"/>
    <cellStyle name="ErrorText-GCenterAlign 2 2 6 3 2" xfId="144"/>
    <cellStyle name="ErrorText-GCenterAlign 2 2 6 3 3" xfId="144"/>
    <cellStyle name="ErrorText-GCenterAlign 2 2 6 3 4" xfId="144"/>
    <cellStyle name="ErrorText-GCenterAlign 2 2 6 4" xfId="144"/>
    <cellStyle name="ErrorText-GCenterAlign 2 2 6 5" xfId="144"/>
    <cellStyle name="ErrorText-GCenterAlign 2 2 6 6" xfId="144"/>
    <cellStyle name="ErrorText-GCenterAlign 2 2 6 7" xfId="144"/>
    <cellStyle name="ErrorText-GCenterAlign 2 2 6 8" xfId="144"/>
    <cellStyle name="ErrorText-GCenterAlign 2 2 7" xfId="144"/>
    <cellStyle name="ErrorText-GCenterAlign 2 2 7 2" xfId="144"/>
    <cellStyle name="ErrorText-GCenterAlign 2 2 7 2 2" xfId="144"/>
    <cellStyle name="ErrorText-GCenterAlign 2 2 7 2 3" xfId="144"/>
    <cellStyle name="ErrorText-GCenterAlign 2 2 7 2 4" xfId="144"/>
    <cellStyle name="ErrorText-GCenterAlign 2 2 7 2 5" xfId="144"/>
    <cellStyle name="ErrorText-GCenterAlign 2 2 7 3" xfId="144"/>
    <cellStyle name="ErrorText-GCenterAlign 2 2 7 3 2" xfId="144"/>
    <cellStyle name="ErrorText-GCenterAlign 2 2 7 3 3" xfId="144"/>
    <cellStyle name="ErrorText-GCenterAlign 2 2 7 3 4" xfId="144"/>
    <cellStyle name="ErrorText-GCenterAlign 2 2 7 4" xfId="144"/>
    <cellStyle name="ErrorText-GCenterAlign 2 2 7 5" xfId="144"/>
    <cellStyle name="ErrorText-GCenterAlign 2 2 7 6" xfId="144"/>
    <cellStyle name="ErrorText-GCenterAlign 2 2 7 7" xfId="144"/>
    <cellStyle name="ErrorText-GCenterAlign 2 2 7 8" xfId="144"/>
    <cellStyle name="ErrorText-GCenterAlign 2 2 8" xfId="144"/>
    <cellStyle name="ErrorText-GCenterAlign 2 2 8 2" xfId="144"/>
    <cellStyle name="ErrorText-GCenterAlign 2 2 8 3" xfId="144"/>
    <cellStyle name="ErrorText-GCenterAlign 2 2 8 4" xfId="144"/>
    <cellStyle name="ErrorText-GCenterAlign 2 2 8 5" xfId="144"/>
    <cellStyle name="ErrorText-GCenterAlign 2 2 9" xfId="144"/>
    <cellStyle name="ErrorText-GCenterAlign 2 2 9 2" xfId="144"/>
    <cellStyle name="ErrorText-GCenterAlign 2 2 9 3" xfId="144"/>
    <cellStyle name="ErrorText-GCenterAlign 2 2 9 4" xfId="144"/>
    <cellStyle name="ErrorText-GCenterAlign 2 3" xfId="144"/>
    <cellStyle name="ErrorText-GCenterAlign 2 3 10" xfId="144"/>
    <cellStyle name="ErrorText-GCenterAlign 2 3 11" xfId="144"/>
    <cellStyle name="ErrorText-GCenterAlign 2 3 12" xfId="144"/>
    <cellStyle name="ErrorText-GCenterAlign 2 3 2" xfId="144"/>
    <cellStyle name="ErrorText-GCenterAlign 2 3 2 2" xfId="144"/>
    <cellStyle name="ErrorText-GCenterAlign 2 3 2 2 2" xfId="144"/>
    <cellStyle name="ErrorText-GCenterAlign 2 3 2 2 3" xfId="144"/>
    <cellStyle name="ErrorText-GCenterAlign 2 3 2 2 4" xfId="144"/>
    <cellStyle name="ErrorText-GCenterAlign 2 3 2 2 5" xfId="144"/>
    <cellStyle name="ErrorText-GCenterAlign 2 3 2 3" xfId="144"/>
    <cellStyle name="ErrorText-GCenterAlign 2 3 2 3 2" xfId="144"/>
    <cellStyle name="ErrorText-GCenterAlign 2 3 2 3 3" xfId="144"/>
    <cellStyle name="ErrorText-GCenterAlign 2 3 2 3 4" xfId="144"/>
    <cellStyle name="ErrorText-GCenterAlign 2 3 2 4" xfId="144"/>
    <cellStyle name="ErrorText-GCenterAlign 2 3 2 5" xfId="144"/>
    <cellStyle name="ErrorText-GCenterAlign 2 3 2 6" xfId="144"/>
    <cellStyle name="ErrorText-GCenterAlign 2 3 2 7" xfId="144"/>
    <cellStyle name="ErrorText-GCenterAlign 2 3 2 8" xfId="144"/>
    <cellStyle name="ErrorText-GCenterAlign 2 3 3" xfId="144"/>
    <cellStyle name="ErrorText-GCenterAlign 2 3 3 2" xfId="144"/>
    <cellStyle name="ErrorText-GCenterAlign 2 3 3 2 2" xfId="144"/>
    <cellStyle name="ErrorText-GCenterAlign 2 3 3 2 3" xfId="144"/>
    <cellStyle name="ErrorText-GCenterAlign 2 3 3 2 4" xfId="144"/>
    <cellStyle name="ErrorText-GCenterAlign 2 3 3 2 5" xfId="144"/>
    <cellStyle name="ErrorText-GCenterAlign 2 3 3 3" xfId="144"/>
    <cellStyle name="ErrorText-GCenterAlign 2 3 3 3 2" xfId="144"/>
    <cellStyle name="ErrorText-GCenterAlign 2 3 3 3 3" xfId="144"/>
    <cellStyle name="ErrorText-GCenterAlign 2 3 3 3 4" xfId="144"/>
    <cellStyle name="ErrorText-GCenterAlign 2 3 3 4" xfId="144"/>
    <cellStyle name="ErrorText-GCenterAlign 2 3 3 5" xfId="144"/>
    <cellStyle name="ErrorText-GCenterAlign 2 3 3 6" xfId="144"/>
    <cellStyle name="ErrorText-GCenterAlign 2 3 3 7" xfId="144"/>
    <cellStyle name="ErrorText-GCenterAlign 2 3 3 8" xfId="144"/>
    <cellStyle name="ErrorText-GCenterAlign 2 3 4" xfId="144"/>
    <cellStyle name="ErrorText-GCenterAlign 2 3 4 2" xfId="144"/>
    <cellStyle name="ErrorText-GCenterAlign 2 3 4 2 2" xfId="144"/>
    <cellStyle name="ErrorText-GCenterAlign 2 3 4 2 3" xfId="144"/>
    <cellStyle name="ErrorText-GCenterAlign 2 3 4 2 4" xfId="144"/>
    <cellStyle name="ErrorText-GCenterAlign 2 3 4 2 5" xfId="144"/>
    <cellStyle name="ErrorText-GCenterAlign 2 3 4 3" xfId="144"/>
    <cellStyle name="ErrorText-GCenterAlign 2 3 4 3 2" xfId="144"/>
    <cellStyle name="ErrorText-GCenterAlign 2 3 4 3 3" xfId="144"/>
    <cellStyle name="ErrorText-GCenterAlign 2 3 4 3 4" xfId="144"/>
    <cellStyle name="ErrorText-GCenterAlign 2 3 4 4" xfId="144"/>
    <cellStyle name="ErrorText-GCenterAlign 2 3 4 5" xfId="144"/>
    <cellStyle name="ErrorText-GCenterAlign 2 3 4 6" xfId="144"/>
    <cellStyle name="ErrorText-GCenterAlign 2 3 4 7" xfId="144"/>
    <cellStyle name="ErrorText-GCenterAlign 2 3 4 8" xfId="144"/>
    <cellStyle name="ErrorText-GCenterAlign 2 3 5" xfId="144"/>
    <cellStyle name="ErrorText-GCenterAlign 2 3 5 2" xfId="144"/>
    <cellStyle name="ErrorText-GCenterAlign 2 3 5 2 2" xfId="144"/>
    <cellStyle name="ErrorText-GCenterAlign 2 3 5 2 3" xfId="144"/>
    <cellStyle name="ErrorText-GCenterAlign 2 3 5 2 4" xfId="144"/>
    <cellStyle name="ErrorText-GCenterAlign 2 3 5 2 5" xfId="144"/>
    <cellStyle name="ErrorText-GCenterAlign 2 3 5 3" xfId="144"/>
    <cellStyle name="ErrorText-GCenterAlign 2 3 5 3 2" xfId="144"/>
    <cellStyle name="ErrorText-GCenterAlign 2 3 5 3 3" xfId="144"/>
    <cellStyle name="ErrorText-GCenterAlign 2 3 5 3 4" xfId="144"/>
    <cellStyle name="ErrorText-GCenterAlign 2 3 5 4" xfId="144"/>
    <cellStyle name="ErrorText-GCenterAlign 2 3 5 5" xfId="144"/>
    <cellStyle name="ErrorText-GCenterAlign 2 3 5 6" xfId="144"/>
    <cellStyle name="ErrorText-GCenterAlign 2 3 5 7" xfId="144"/>
    <cellStyle name="ErrorText-GCenterAlign 2 3 5 8" xfId="144"/>
    <cellStyle name="ErrorText-GCenterAlign 2 3 6" xfId="144"/>
    <cellStyle name="ErrorText-GCenterAlign 2 3 6 2" xfId="144"/>
    <cellStyle name="ErrorText-GCenterAlign 2 3 6 3" xfId="144"/>
    <cellStyle name="ErrorText-GCenterAlign 2 3 6 4" xfId="144"/>
    <cellStyle name="ErrorText-GCenterAlign 2 3 6 5" xfId="144"/>
    <cellStyle name="ErrorText-GCenterAlign 2 3 7" xfId="144"/>
    <cellStyle name="ErrorText-GCenterAlign 2 3 7 2" xfId="144"/>
    <cellStyle name="ErrorText-GCenterAlign 2 3 7 3" xfId="144"/>
    <cellStyle name="ErrorText-GCenterAlign 2 3 7 4" xfId="144"/>
    <cellStyle name="ErrorText-GCenterAlign 2 3 8" xfId="144"/>
    <cellStyle name="ErrorText-GCenterAlign 2 3 9" xfId="144"/>
    <cellStyle name="ErrorText-GCenterAlign 2 4" xfId="144"/>
    <cellStyle name="ErrorText-GCenterAlign 2 4 2" xfId="144"/>
    <cellStyle name="ErrorText-GCenterAlign 2 4 2 2" xfId="144"/>
    <cellStyle name="ErrorText-GCenterAlign 2 4 2 3" xfId="144"/>
    <cellStyle name="ErrorText-GCenterAlign 2 4 2 4" xfId="144"/>
    <cellStyle name="ErrorText-GCenterAlign 2 4 2 5" xfId="144"/>
    <cellStyle name="ErrorText-GCenterAlign 2 4 3" xfId="144"/>
    <cellStyle name="ErrorText-GCenterAlign 2 4 3 2" xfId="144"/>
    <cellStyle name="ErrorText-GCenterAlign 2 4 3 3" xfId="144"/>
    <cellStyle name="ErrorText-GCenterAlign 2 4 3 4" xfId="144"/>
    <cellStyle name="ErrorText-GCenterAlign 2 4 4" xfId="144"/>
    <cellStyle name="ErrorText-GCenterAlign 2 4 5" xfId="144"/>
    <cellStyle name="ErrorText-GCenterAlign 2 4 6" xfId="144"/>
    <cellStyle name="ErrorText-GCenterAlign 2 4 7" xfId="144"/>
    <cellStyle name="ErrorText-GCenterAlign 2 4 8" xfId="144"/>
    <cellStyle name="ErrorText-GCenterAlign 2 5" xfId="144"/>
    <cellStyle name="ErrorText-GCenterAlign 2 5 2" xfId="144"/>
    <cellStyle name="ErrorText-GCenterAlign 2 5 2 2" xfId="144"/>
    <cellStyle name="ErrorText-GCenterAlign 2 5 2 3" xfId="144"/>
    <cellStyle name="ErrorText-GCenterAlign 2 5 2 4" xfId="144"/>
    <cellStyle name="ErrorText-GCenterAlign 2 5 2 5" xfId="144"/>
    <cellStyle name="ErrorText-GCenterAlign 2 5 3" xfId="144"/>
    <cellStyle name="ErrorText-GCenterAlign 2 5 3 2" xfId="144"/>
    <cellStyle name="ErrorText-GCenterAlign 2 5 3 3" xfId="144"/>
    <cellStyle name="ErrorText-GCenterAlign 2 5 3 4" xfId="144"/>
    <cellStyle name="ErrorText-GCenterAlign 2 5 4" xfId="144"/>
    <cellStyle name="ErrorText-GCenterAlign 2 5 5" xfId="144"/>
    <cellStyle name="ErrorText-GCenterAlign 2 5 6" xfId="144"/>
    <cellStyle name="ErrorText-GCenterAlign 2 5 7" xfId="144"/>
    <cellStyle name="ErrorText-GCenterAlign 2 5 8" xfId="144"/>
    <cellStyle name="ErrorText-GCenterAlign 2 6" xfId="144"/>
    <cellStyle name="ErrorText-GCenterAlign 2 6 2" xfId="144"/>
    <cellStyle name="ErrorText-GCenterAlign 2 6 2 2" xfId="144"/>
    <cellStyle name="ErrorText-GCenterAlign 2 6 2 3" xfId="144"/>
    <cellStyle name="ErrorText-GCenterAlign 2 6 2 4" xfId="144"/>
    <cellStyle name="ErrorText-GCenterAlign 2 6 2 5" xfId="144"/>
    <cellStyle name="ErrorText-GCenterAlign 2 6 3" xfId="144"/>
    <cellStyle name="ErrorText-GCenterAlign 2 6 3 2" xfId="144"/>
    <cellStyle name="ErrorText-GCenterAlign 2 6 3 3" xfId="144"/>
    <cellStyle name="ErrorText-GCenterAlign 2 6 3 4" xfId="144"/>
    <cellStyle name="ErrorText-GCenterAlign 2 6 4" xfId="144"/>
    <cellStyle name="ErrorText-GCenterAlign 2 6 5" xfId="144"/>
    <cellStyle name="ErrorText-GCenterAlign 2 6 6" xfId="144"/>
    <cellStyle name="ErrorText-GCenterAlign 2 6 7" xfId="144"/>
    <cellStyle name="ErrorText-GCenterAlign 2 6 8" xfId="144"/>
    <cellStyle name="ErrorText-GCenterAlign 2 7" xfId="144"/>
    <cellStyle name="ErrorText-GCenterAlign 2 7 2" xfId="144"/>
    <cellStyle name="ErrorText-GCenterAlign 2 7 2 2" xfId="144"/>
    <cellStyle name="ErrorText-GCenterAlign 2 7 2 3" xfId="144"/>
    <cellStyle name="ErrorText-GCenterAlign 2 7 2 4" xfId="144"/>
    <cellStyle name="ErrorText-GCenterAlign 2 7 2 5" xfId="144"/>
    <cellStyle name="ErrorText-GCenterAlign 2 7 3" xfId="144"/>
    <cellStyle name="ErrorText-GCenterAlign 2 7 3 2" xfId="144"/>
    <cellStyle name="ErrorText-GCenterAlign 2 7 3 3" xfId="144"/>
    <cellStyle name="ErrorText-GCenterAlign 2 7 3 4" xfId="144"/>
    <cellStyle name="ErrorText-GCenterAlign 2 7 4" xfId="144"/>
    <cellStyle name="ErrorText-GCenterAlign 2 7 5" xfId="144"/>
    <cellStyle name="ErrorText-GCenterAlign 2 7 6" xfId="144"/>
    <cellStyle name="ErrorText-GCenterAlign 2 7 7" xfId="144"/>
    <cellStyle name="ErrorText-GCenterAlign 2 7 8" xfId="144"/>
    <cellStyle name="ErrorText-GCenterAlign 2 8" xfId="144"/>
    <cellStyle name="ErrorText-GCenterAlign 2 8 2" xfId="144"/>
    <cellStyle name="ErrorText-GCenterAlign 2 8 3" xfId="144"/>
    <cellStyle name="ErrorText-GCenterAlign 2 8 4" xfId="144"/>
    <cellStyle name="ErrorText-GCenterAlign 2 8 5" xfId="144"/>
    <cellStyle name="ErrorText-GCenterAlign 2 9" xfId="144"/>
    <cellStyle name="ErrorText-GCenterAlign 2 9 2" xfId="144"/>
    <cellStyle name="ErrorText-GCenterAlign 2 9 3" xfId="144"/>
    <cellStyle name="ErrorText-GCenterAlign 2 9 4" xfId="144"/>
    <cellStyle name="ErrorText-GCenterAlign 3" xfId="144"/>
    <cellStyle name="ErrorText-GCenterAlign 3 10" xfId="144"/>
    <cellStyle name="ErrorText-GCenterAlign 3 11" xfId="144"/>
    <cellStyle name="ErrorText-GCenterAlign 3 12" xfId="144"/>
    <cellStyle name="ErrorText-GCenterAlign 3 13" xfId="144"/>
    <cellStyle name="ErrorText-GCenterAlign 3 14" xfId="144"/>
    <cellStyle name="ErrorText-GCenterAlign 3 2" xfId="144"/>
    <cellStyle name="ErrorText-GCenterAlign 3 2 10" xfId="144"/>
    <cellStyle name="ErrorText-GCenterAlign 3 2 11" xfId="144"/>
    <cellStyle name="ErrorText-GCenterAlign 3 2 12" xfId="144"/>
    <cellStyle name="ErrorText-GCenterAlign 3 2 2" xfId="144"/>
    <cellStyle name="ErrorText-GCenterAlign 3 2 2 2" xfId="144"/>
    <cellStyle name="ErrorText-GCenterAlign 3 2 2 2 2" xfId="144"/>
    <cellStyle name="ErrorText-GCenterAlign 3 2 2 2 3" xfId="144"/>
    <cellStyle name="ErrorText-GCenterAlign 3 2 2 2 4" xfId="144"/>
    <cellStyle name="ErrorText-GCenterAlign 3 2 2 2 5" xfId="144"/>
    <cellStyle name="ErrorText-GCenterAlign 3 2 2 3" xfId="144"/>
    <cellStyle name="ErrorText-GCenterAlign 3 2 2 3 2" xfId="144"/>
    <cellStyle name="ErrorText-GCenterAlign 3 2 2 3 3" xfId="144"/>
    <cellStyle name="ErrorText-GCenterAlign 3 2 2 3 4" xfId="144"/>
    <cellStyle name="ErrorText-GCenterAlign 3 2 2 4" xfId="144"/>
    <cellStyle name="ErrorText-GCenterAlign 3 2 2 5" xfId="144"/>
    <cellStyle name="ErrorText-GCenterAlign 3 2 2 6" xfId="144"/>
    <cellStyle name="ErrorText-GCenterAlign 3 2 2 7" xfId="144"/>
    <cellStyle name="ErrorText-GCenterAlign 3 2 2 8" xfId="144"/>
    <cellStyle name="ErrorText-GCenterAlign 3 2 3" xfId="144"/>
    <cellStyle name="ErrorText-GCenterAlign 3 2 3 2" xfId="144"/>
    <cellStyle name="ErrorText-GCenterAlign 3 2 3 2 2" xfId="144"/>
    <cellStyle name="ErrorText-GCenterAlign 3 2 3 2 3" xfId="144"/>
    <cellStyle name="ErrorText-GCenterAlign 3 2 3 2 4" xfId="144"/>
    <cellStyle name="ErrorText-GCenterAlign 3 2 3 2 5" xfId="144"/>
    <cellStyle name="ErrorText-GCenterAlign 3 2 3 3" xfId="144"/>
    <cellStyle name="ErrorText-GCenterAlign 3 2 3 3 2" xfId="144"/>
    <cellStyle name="ErrorText-GCenterAlign 3 2 3 3 3" xfId="144"/>
    <cellStyle name="ErrorText-GCenterAlign 3 2 3 3 4" xfId="144"/>
    <cellStyle name="ErrorText-GCenterAlign 3 2 3 4" xfId="144"/>
    <cellStyle name="ErrorText-GCenterAlign 3 2 3 5" xfId="144"/>
    <cellStyle name="ErrorText-GCenterAlign 3 2 3 6" xfId="144"/>
    <cellStyle name="ErrorText-GCenterAlign 3 2 3 7" xfId="144"/>
    <cellStyle name="ErrorText-GCenterAlign 3 2 3 8" xfId="144"/>
    <cellStyle name="ErrorText-GCenterAlign 3 2 4" xfId="144"/>
    <cellStyle name="ErrorText-GCenterAlign 3 2 4 2" xfId="144"/>
    <cellStyle name="ErrorText-GCenterAlign 3 2 4 2 2" xfId="144"/>
    <cellStyle name="ErrorText-GCenterAlign 3 2 4 2 3" xfId="144"/>
    <cellStyle name="ErrorText-GCenterAlign 3 2 4 2 4" xfId="144"/>
    <cellStyle name="ErrorText-GCenterAlign 3 2 4 2 5" xfId="144"/>
    <cellStyle name="ErrorText-GCenterAlign 3 2 4 3" xfId="144"/>
    <cellStyle name="ErrorText-GCenterAlign 3 2 4 3 2" xfId="144"/>
    <cellStyle name="ErrorText-GCenterAlign 3 2 4 3 3" xfId="144"/>
    <cellStyle name="ErrorText-GCenterAlign 3 2 4 3 4" xfId="144"/>
    <cellStyle name="ErrorText-GCenterAlign 3 2 4 4" xfId="144"/>
    <cellStyle name="ErrorText-GCenterAlign 3 2 4 5" xfId="144"/>
    <cellStyle name="ErrorText-GCenterAlign 3 2 4 6" xfId="144"/>
    <cellStyle name="ErrorText-GCenterAlign 3 2 4 7" xfId="144"/>
    <cellStyle name="ErrorText-GCenterAlign 3 2 4 8" xfId="144"/>
    <cellStyle name="ErrorText-GCenterAlign 3 2 5" xfId="144"/>
    <cellStyle name="ErrorText-GCenterAlign 3 2 5 2" xfId="144"/>
    <cellStyle name="ErrorText-GCenterAlign 3 2 5 2 2" xfId="144"/>
    <cellStyle name="ErrorText-GCenterAlign 3 2 5 2 3" xfId="144"/>
    <cellStyle name="ErrorText-GCenterAlign 3 2 5 2 4" xfId="144"/>
    <cellStyle name="ErrorText-GCenterAlign 3 2 5 2 5" xfId="144"/>
    <cellStyle name="ErrorText-GCenterAlign 3 2 5 3" xfId="144"/>
    <cellStyle name="ErrorText-GCenterAlign 3 2 5 3 2" xfId="144"/>
    <cellStyle name="ErrorText-GCenterAlign 3 2 5 3 3" xfId="144"/>
    <cellStyle name="ErrorText-GCenterAlign 3 2 5 3 4" xfId="144"/>
    <cellStyle name="ErrorText-GCenterAlign 3 2 5 4" xfId="144"/>
    <cellStyle name="ErrorText-GCenterAlign 3 2 5 5" xfId="144"/>
    <cellStyle name="ErrorText-GCenterAlign 3 2 5 6" xfId="144"/>
    <cellStyle name="ErrorText-GCenterAlign 3 2 5 7" xfId="144"/>
    <cellStyle name="ErrorText-GCenterAlign 3 2 5 8" xfId="144"/>
    <cellStyle name="ErrorText-GCenterAlign 3 2 6" xfId="144"/>
    <cellStyle name="ErrorText-GCenterAlign 3 2 6 2" xfId="144"/>
    <cellStyle name="ErrorText-GCenterAlign 3 2 6 3" xfId="144"/>
    <cellStyle name="ErrorText-GCenterAlign 3 2 6 4" xfId="144"/>
    <cellStyle name="ErrorText-GCenterAlign 3 2 6 5" xfId="144"/>
    <cellStyle name="ErrorText-GCenterAlign 3 2 7" xfId="144"/>
    <cellStyle name="ErrorText-GCenterAlign 3 2 7 2" xfId="144"/>
    <cellStyle name="ErrorText-GCenterAlign 3 2 7 3" xfId="144"/>
    <cellStyle name="ErrorText-GCenterAlign 3 2 7 4" xfId="144"/>
    <cellStyle name="ErrorText-GCenterAlign 3 2 8" xfId="144"/>
    <cellStyle name="ErrorText-GCenterAlign 3 2 9" xfId="144"/>
    <cellStyle name="ErrorText-GCenterAlign 3 3" xfId="144"/>
    <cellStyle name="ErrorText-GCenterAlign 3 3 10" xfId="144"/>
    <cellStyle name="ErrorText-GCenterAlign 3 3 11" xfId="144"/>
    <cellStyle name="ErrorText-GCenterAlign 3 3 12" xfId="144"/>
    <cellStyle name="ErrorText-GCenterAlign 3 3 2" xfId="144"/>
    <cellStyle name="ErrorText-GCenterAlign 3 3 2 2" xfId="144"/>
    <cellStyle name="ErrorText-GCenterAlign 3 3 2 2 2" xfId="144"/>
    <cellStyle name="ErrorText-GCenterAlign 3 3 2 2 3" xfId="144"/>
    <cellStyle name="ErrorText-GCenterAlign 3 3 2 2 4" xfId="144"/>
    <cellStyle name="ErrorText-GCenterAlign 3 3 2 2 5" xfId="144"/>
    <cellStyle name="ErrorText-GCenterAlign 3 3 2 3" xfId="144"/>
    <cellStyle name="ErrorText-GCenterAlign 3 3 2 3 2" xfId="144"/>
    <cellStyle name="ErrorText-GCenterAlign 3 3 2 3 3" xfId="144"/>
    <cellStyle name="ErrorText-GCenterAlign 3 3 2 3 4" xfId="144"/>
    <cellStyle name="ErrorText-GCenterAlign 3 3 2 4" xfId="144"/>
    <cellStyle name="ErrorText-GCenterAlign 3 3 2 5" xfId="144"/>
    <cellStyle name="ErrorText-GCenterAlign 3 3 2 6" xfId="144"/>
    <cellStyle name="ErrorText-GCenterAlign 3 3 2 7" xfId="144"/>
    <cellStyle name="ErrorText-GCenterAlign 3 3 2 8" xfId="144"/>
    <cellStyle name="ErrorText-GCenterAlign 3 3 3" xfId="144"/>
    <cellStyle name="ErrorText-GCenterAlign 3 3 3 2" xfId="144"/>
    <cellStyle name="ErrorText-GCenterAlign 3 3 3 2 2" xfId="144"/>
    <cellStyle name="ErrorText-GCenterAlign 3 3 3 2 3" xfId="144"/>
    <cellStyle name="ErrorText-GCenterAlign 3 3 3 2 4" xfId="144"/>
    <cellStyle name="ErrorText-GCenterAlign 3 3 3 2 5" xfId="144"/>
    <cellStyle name="ErrorText-GCenterAlign 3 3 3 3" xfId="144"/>
    <cellStyle name="ErrorText-GCenterAlign 3 3 3 3 2" xfId="144"/>
    <cellStyle name="ErrorText-GCenterAlign 3 3 3 3 3" xfId="144"/>
    <cellStyle name="ErrorText-GCenterAlign 3 3 3 3 4" xfId="144"/>
    <cellStyle name="ErrorText-GCenterAlign 3 3 3 4" xfId="144"/>
    <cellStyle name="ErrorText-GCenterAlign 3 3 3 5" xfId="144"/>
    <cellStyle name="ErrorText-GCenterAlign 3 3 3 6" xfId="144"/>
    <cellStyle name="ErrorText-GCenterAlign 3 3 3 7" xfId="144"/>
    <cellStyle name="ErrorText-GCenterAlign 3 3 3 8" xfId="144"/>
    <cellStyle name="ErrorText-GCenterAlign 3 3 4" xfId="144"/>
    <cellStyle name="ErrorText-GCenterAlign 3 3 4 2" xfId="144"/>
    <cellStyle name="ErrorText-GCenterAlign 3 3 4 2 2" xfId="144"/>
    <cellStyle name="ErrorText-GCenterAlign 3 3 4 2 3" xfId="144"/>
    <cellStyle name="ErrorText-GCenterAlign 3 3 4 2 4" xfId="144"/>
    <cellStyle name="ErrorText-GCenterAlign 3 3 4 2 5" xfId="144"/>
    <cellStyle name="ErrorText-GCenterAlign 3 3 4 3" xfId="144"/>
    <cellStyle name="ErrorText-GCenterAlign 3 3 4 3 2" xfId="144"/>
    <cellStyle name="ErrorText-GCenterAlign 3 3 4 3 3" xfId="144"/>
    <cellStyle name="ErrorText-GCenterAlign 3 3 4 3 4" xfId="144"/>
    <cellStyle name="ErrorText-GCenterAlign 3 3 4 4" xfId="144"/>
    <cellStyle name="ErrorText-GCenterAlign 3 3 4 5" xfId="144"/>
    <cellStyle name="ErrorText-GCenterAlign 3 3 4 6" xfId="144"/>
    <cellStyle name="ErrorText-GCenterAlign 3 3 4 7" xfId="144"/>
    <cellStyle name="ErrorText-GCenterAlign 3 3 4 8" xfId="144"/>
    <cellStyle name="ErrorText-GCenterAlign 3 3 5" xfId="144"/>
    <cellStyle name="ErrorText-GCenterAlign 3 3 5 2" xfId="144"/>
    <cellStyle name="ErrorText-GCenterAlign 3 3 5 2 2" xfId="144"/>
    <cellStyle name="ErrorText-GCenterAlign 3 3 5 2 3" xfId="144"/>
    <cellStyle name="ErrorText-GCenterAlign 3 3 5 2 4" xfId="144"/>
    <cellStyle name="ErrorText-GCenterAlign 3 3 5 2 5" xfId="144"/>
    <cellStyle name="ErrorText-GCenterAlign 3 3 5 3" xfId="144"/>
    <cellStyle name="ErrorText-GCenterAlign 3 3 5 3 2" xfId="144"/>
    <cellStyle name="ErrorText-GCenterAlign 3 3 5 3 3" xfId="144"/>
    <cellStyle name="ErrorText-GCenterAlign 3 3 5 3 4" xfId="144"/>
    <cellStyle name="ErrorText-GCenterAlign 3 3 5 4" xfId="144"/>
    <cellStyle name="ErrorText-GCenterAlign 3 3 5 5" xfId="144"/>
    <cellStyle name="ErrorText-GCenterAlign 3 3 5 6" xfId="144"/>
    <cellStyle name="ErrorText-GCenterAlign 3 3 5 7" xfId="144"/>
    <cellStyle name="ErrorText-GCenterAlign 3 3 5 8" xfId="144"/>
    <cellStyle name="ErrorText-GCenterAlign 3 3 6" xfId="144"/>
    <cellStyle name="ErrorText-GCenterAlign 3 3 6 2" xfId="144"/>
    <cellStyle name="ErrorText-GCenterAlign 3 3 6 3" xfId="144"/>
    <cellStyle name="ErrorText-GCenterAlign 3 3 6 4" xfId="144"/>
    <cellStyle name="ErrorText-GCenterAlign 3 3 6 5" xfId="144"/>
    <cellStyle name="ErrorText-GCenterAlign 3 3 7" xfId="144"/>
    <cellStyle name="ErrorText-GCenterAlign 3 3 7 2" xfId="144"/>
    <cellStyle name="ErrorText-GCenterAlign 3 3 7 3" xfId="144"/>
    <cellStyle name="ErrorText-GCenterAlign 3 3 7 4" xfId="144"/>
    <cellStyle name="ErrorText-GCenterAlign 3 3 8" xfId="144"/>
    <cellStyle name="ErrorText-GCenterAlign 3 3 9" xfId="144"/>
    <cellStyle name="ErrorText-GCenterAlign 3 4" xfId="144"/>
    <cellStyle name="ErrorText-GCenterAlign 3 4 2" xfId="144"/>
    <cellStyle name="ErrorText-GCenterAlign 3 4 2 2" xfId="144"/>
    <cellStyle name="ErrorText-GCenterAlign 3 4 2 3" xfId="144"/>
    <cellStyle name="ErrorText-GCenterAlign 3 4 2 4" xfId="144"/>
    <cellStyle name="ErrorText-GCenterAlign 3 4 2 5" xfId="144"/>
    <cellStyle name="ErrorText-GCenterAlign 3 4 3" xfId="144"/>
    <cellStyle name="ErrorText-GCenterAlign 3 4 3 2" xfId="144"/>
    <cellStyle name="ErrorText-GCenterAlign 3 4 3 3" xfId="144"/>
    <cellStyle name="ErrorText-GCenterAlign 3 4 3 4" xfId="144"/>
    <cellStyle name="ErrorText-GCenterAlign 3 4 4" xfId="144"/>
    <cellStyle name="ErrorText-GCenterAlign 3 4 5" xfId="144"/>
    <cellStyle name="ErrorText-GCenterAlign 3 4 6" xfId="144"/>
    <cellStyle name="ErrorText-GCenterAlign 3 4 7" xfId="144"/>
    <cellStyle name="ErrorText-GCenterAlign 3 4 8" xfId="144"/>
    <cellStyle name="ErrorText-GCenterAlign 3 5" xfId="144"/>
    <cellStyle name="ErrorText-GCenterAlign 3 5 2" xfId="144"/>
    <cellStyle name="ErrorText-GCenterAlign 3 5 2 2" xfId="144"/>
    <cellStyle name="ErrorText-GCenterAlign 3 5 2 3" xfId="144"/>
    <cellStyle name="ErrorText-GCenterAlign 3 5 2 4" xfId="144"/>
    <cellStyle name="ErrorText-GCenterAlign 3 5 2 5" xfId="144"/>
    <cellStyle name="ErrorText-GCenterAlign 3 5 3" xfId="144"/>
    <cellStyle name="ErrorText-GCenterAlign 3 5 3 2" xfId="144"/>
    <cellStyle name="ErrorText-GCenterAlign 3 5 3 3" xfId="144"/>
    <cellStyle name="ErrorText-GCenterAlign 3 5 3 4" xfId="144"/>
    <cellStyle name="ErrorText-GCenterAlign 3 5 4" xfId="144"/>
    <cellStyle name="ErrorText-GCenterAlign 3 5 5" xfId="144"/>
    <cellStyle name="ErrorText-GCenterAlign 3 5 6" xfId="144"/>
    <cellStyle name="ErrorText-GCenterAlign 3 5 7" xfId="144"/>
    <cellStyle name="ErrorText-GCenterAlign 3 5 8" xfId="144"/>
    <cellStyle name="ErrorText-GCenterAlign 3 6" xfId="144"/>
    <cellStyle name="ErrorText-GCenterAlign 3 6 2" xfId="144"/>
    <cellStyle name="ErrorText-GCenterAlign 3 6 2 2" xfId="144"/>
    <cellStyle name="ErrorText-GCenterAlign 3 6 2 3" xfId="144"/>
    <cellStyle name="ErrorText-GCenterAlign 3 6 2 4" xfId="144"/>
    <cellStyle name="ErrorText-GCenterAlign 3 6 2 5" xfId="144"/>
    <cellStyle name="ErrorText-GCenterAlign 3 6 3" xfId="144"/>
    <cellStyle name="ErrorText-GCenterAlign 3 6 3 2" xfId="144"/>
    <cellStyle name="ErrorText-GCenterAlign 3 6 3 3" xfId="144"/>
    <cellStyle name="ErrorText-GCenterAlign 3 6 3 4" xfId="144"/>
    <cellStyle name="ErrorText-GCenterAlign 3 6 4" xfId="144"/>
    <cellStyle name="ErrorText-GCenterAlign 3 6 5" xfId="144"/>
    <cellStyle name="ErrorText-GCenterAlign 3 6 6" xfId="144"/>
    <cellStyle name="ErrorText-GCenterAlign 3 6 7" xfId="144"/>
    <cellStyle name="ErrorText-GCenterAlign 3 6 8" xfId="144"/>
    <cellStyle name="ErrorText-GCenterAlign 3 7" xfId="144"/>
    <cellStyle name="ErrorText-GCenterAlign 3 7 2" xfId="144"/>
    <cellStyle name="ErrorText-GCenterAlign 3 7 2 2" xfId="144"/>
    <cellStyle name="ErrorText-GCenterAlign 3 7 2 3" xfId="144"/>
    <cellStyle name="ErrorText-GCenterAlign 3 7 2 4" xfId="144"/>
    <cellStyle name="ErrorText-GCenterAlign 3 7 2 5" xfId="144"/>
    <cellStyle name="ErrorText-GCenterAlign 3 7 3" xfId="144"/>
    <cellStyle name="ErrorText-GCenterAlign 3 7 3 2" xfId="144"/>
    <cellStyle name="ErrorText-GCenterAlign 3 7 3 3" xfId="144"/>
    <cellStyle name="ErrorText-GCenterAlign 3 7 3 4" xfId="144"/>
    <cellStyle name="ErrorText-GCenterAlign 3 7 4" xfId="144"/>
    <cellStyle name="ErrorText-GCenterAlign 3 7 5" xfId="144"/>
    <cellStyle name="ErrorText-GCenterAlign 3 7 6" xfId="144"/>
    <cellStyle name="ErrorText-GCenterAlign 3 7 7" xfId="144"/>
    <cellStyle name="ErrorText-GCenterAlign 3 7 8" xfId="144"/>
    <cellStyle name="ErrorText-GCenterAlign 3 8" xfId="144"/>
    <cellStyle name="ErrorText-GCenterAlign 3 8 2" xfId="144"/>
    <cellStyle name="ErrorText-GCenterAlign 3 8 3" xfId="144"/>
    <cellStyle name="ErrorText-GCenterAlign 3 8 4" xfId="144"/>
    <cellStyle name="ErrorText-GCenterAlign 3 8 5" xfId="144"/>
    <cellStyle name="ErrorText-GCenterAlign 3 9" xfId="144"/>
    <cellStyle name="ErrorText-GCenterAlign 3 9 2" xfId="144"/>
    <cellStyle name="ErrorText-GCenterAlign 3 9 3" xfId="144"/>
    <cellStyle name="ErrorText-GCenterAlign 3 9 4" xfId="144"/>
    <cellStyle name="ErrorText-GCenterAlign 4" xfId="144"/>
    <cellStyle name="ErrorText-GCenterAlign 4 2" xfId="144"/>
    <cellStyle name="ErrorText-GCenterAlign 4 2 2" xfId="144"/>
    <cellStyle name="ErrorText-GCenterAlign 4 2 2 2" xfId="144"/>
    <cellStyle name="ErrorText-GCenterAlign 4 2 2 3" xfId="144"/>
    <cellStyle name="ErrorText-GCenterAlign 4 2 2 4" xfId="144"/>
    <cellStyle name="ErrorText-GCenterAlign 4 2 2 5" xfId="144"/>
    <cellStyle name="ErrorText-GCenterAlign 4 2 3" xfId="144"/>
    <cellStyle name="ErrorText-GCenterAlign 4 2 3 2" xfId="144"/>
    <cellStyle name="ErrorText-GCenterAlign 4 2 3 3" xfId="144"/>
    <cellStyle name="ErrorText-GCenterAlign 4 2 3 4" xfId="144"/>
    <cellStyle name="ErrorText-GCenterAlign 4 2 4" xfId="144"/>
    <cellStyle name="ErrorText-GCenterAlign 4 2 5" xfId="144"/>
    <cellStyle name="ErrorText-GCenterAlign 4 2 6" xfId="144"/>
    <cellStyle name="ErrorText-GCenterAlign 4 2 7" xfId="144"/>
    <cellStyle name="ErrorText-GCenterAlign 4 2 8" xfId="144"/>
    <cellStyle name="ErrorText-GCenterAlign 4 3" xfId="144"/>
    <cellStyle name="ErrorText-GCenterAlign 4 3 2" xfId="144"/>
    <cellStyle name="ErrorText-GCenterAlign 4 3 2 2" xfId="144"/>
    <cellStyle name="ErrorText-GCenterAlign 4 3 2 3" xfId="144"/>
    <cellStyle name="ErrorText-GCenterAlign 4 3 2 4" xfId="144"/>
    <cellStyle name="ErrorText-GCenterAlign 4 3 2 5" xfId="144"/>
    <cellStyle name="ErrorText-GCenterAlign 4 3 3" xfId="144"/>
    <cellStyle name="ErrorText-GCenterAlign 4 3 3 2" xfId="144"/>
    <cellStyle name="ErrorText-GCenterAlign 4 3 3 3" xfId="144"/>
    <cellStyle name="ErrorText-GCenterAlign 4 3 3 4" xfId="144"/>
    <cellStyle name="ErrorText-GCenterAlign 4 3 4" xfId="144"/>
    <cellStyle name="ErrorText-GCenterAlign 4 3 5" xfId="144"/>
    <cellStyle name="ErrorText-GCenterAlign 4 3 6" xfId="144"/>
    <cellStyle name="ErrorText-GCenterAlign 4 3 7" xfId="144"/>
    <cellStyle name="ErrorText-GCenterAlign 4 4" xfId="144"/>
    <cellStyle name="ErrorText-GCenterAlign 4 4 2" xfId="144"/>
    <cellStyle name="ErrorText-GCenterAlign 4 4 3" xfId="144"/>
    <cellStyle name="ErrorText-GCenterAlign 4 4 4" xfId="144"/>
    <cellStyle name="ErrorText-GCenterAlign 4 4 5" xfId="144"/>
    <cellStyle name="ErrorText-GCenterAlign 4 5" xfId="144"/>
    <cellStyle name="ErrorText-GCenterAlign 4 5 2" xfId="144"/>
    <cellStyle name="ErrorText-GCenterAlign 4 5 3" xfId="144"/>
    <cellStyle name="ErrorText-GCenterAlign 4 5 4" xfId="144"/>
    <cellStyle name="ErrorText-GCenterAlign 4 6" xfId="144"/>
    <cellStyle name="ErrorText-GCenterAlign 4 7" xfId="144"/>
    <cellStyle name="ErrorText-GCenterAlign 4 8" xfId="144"/>
    <cellStyle name="ErrorText-GCenterAlign 4 9" xfId="144"/>
    <cellStyle name="ErrorText-GCenterAlign 5" xfId="144"/>
    <cellStyle name="ErrorText-GCenterAlign 5 2" xfId="144"/>
    <cellStyle name="ErrorText-GCenterAlign 5 2 2" xfId="144"/>
    <cellStyle name="ErrorText-GCenterAlign 5 2 3" xfId="144"/>
    <cellStyle name="ErrorText-GCenterAlign 5 2 4" xfId="144"/>
    <cellStyle name="ErrorText-GCenterAlign 5 2 5" xfId="144"/>
    <cellStyle name="ErrorText-GCenterAlign 5 3" xfId="144"/>
    <cellStyle name="ErrorText-GCenterAlign 5 3 2" xfId="144"/>
    <cellStyle name="ErrorText-GCenterAlign 5 3 3" xfId="144"/>
    <cellStyle name="ErrorText-GCenterAlign 5 3 4" xfId="144"/>
    <cellStyle name="ErrorText-GCenterAlign 5 4" xfId="144"/>
    <cellStyle name="ErrorText-GCenterAlign 5 5" xfId="144"/>
    <cellStyle name="ErrorText-GCenterAlign 5 6" xfId="144"/>
    <cellStyle name="ErrorText-GCenterAlign 5 7" xfId="144"/>
    <cellStyle name="ErrorText-GCenterAlign 5 8" xfId="144"/>
    <cellStyle name="ErrorText-GCenterAlign 6" xfId="144"/>
    <cellStyle name="ErrorText-GCenterAlign 6 2" xfId="144"/>
    <cellStyle name="ErrorText-GCenterAlign 6 3" xfId="144"/>
    <cellStyle name="ErrorText-GCenterAlign 6 4" xfId="144"/>
    <cellStyle name="ErrorText-GCenterAlign 6 5" xfId="144"/>
    <cellStyle name="ErrorText-GCenterAlign 7" xfId="144"/>
    <cellStyle name="ErrorText-GCenterAlign 8" xfId="144"/>
    <cellStyle name="EvenBodyShade" xfId="145"/>
    <cellStyle name="Explanatory Text" xfId="146" builtinId="53"/>
    <cellStyle name="Explanatory Text 2" xfId="147"/>
    <cellStyle name="Fixed" xfId="148"/>
    <cellStyle name="FreddieMac" xfId="149"/>
    <cellStyle name="Good" xfId="150" builtinId="26"/>
    <cellStyle name="Good 2" xfId="151"/>
    <cellStyle name="Grey" xfId="152"/>
    <cellStyle name="GroupHeader12" xfId="153"/>
    <cellStyle name="Head2" xfId="154"/>
    <cellStyle name="Header" xfId="155"/>
    <cellStyle name="Header 2" xfId="155"/>
    <cellStyle name="Header 2 2" xfId="155"/>
    <cellStyle name="Header 3" xfId="155"/>
    <cellStyle name="Header 3 2" xfId="155"/>
    <cellStyle name="Header 4" xfId="155"/>
    <cellStyle name="Header 4 2" xfId="155"/>
    <cellStyle name="Header 5" xfId="155"/>
    <cellStyle name="Header-Date1" xfId="156"/>
    <cellStyle name="Header-Time" xfId="157"/>
    <cellStyle name="Header1" xfId="158"/>
    <cellStyle name="Header1 2" xfId="158"/>
    <cellStyle name="Header1 2 10" xfId="158"/>
    <cellStyle name="Header1 2 10 2" xfId="158"/>
    <cellStyle name="Header1 2 10 2 2" xfId="158"/>
    <cellStyle name="Header1 2 10 2 3" xfId="158"/>
    <cellStyle name="Header1 2 10 2 4" xfId="158"/>
    <cellStyle name="Header1 2 10 2 5" xfId="158"/>
    <cellStyle name="Header1 2 10 3" xfId="158"/>
    <cellStyle name="Header1 2 10 3 2" xfId="158"/>
    <cellStyle name="Header1 2 10 3 3" xfId="158"/>
    <cellStyle name="Header1 2 10 3 4" xfId="158"/>
    <cellStyle name="Header1 2 10 4" xfId="158"/>
    <cellStyle name="Header1 2 10 5" xfId="158"/>
    <cellStyle name="Header1 2 10 6" xfId="158"/>
    <cellStyle name="Header1 2 10 7" xfId="158"/>
    <cellStyle name="Header1 2 11" xfId="158"/>
    <cellStyle name="Header1 2 11 2" xfId="158"/>
    <cellStyle name="Header1 2 11 2 2" xfId="158"/>
    <cellStyle name="Header1 2 11 2 3" xfId="158"/>
    <cellStyle name="Header1 2 11 2 4" xfId="158"/>
    <cellStyle name="Header1 2 11 3" xfId="158"/>
    <cellStyle name="Header1 2 11 4" xfId="158"/>
    <cellStyle name="Header1 2 11 5" xfId="158"/>
    <cellStyle name="Header1 2 11 6" xfId="158"/>
    <cellStyle name="Header1 2 11 7" xfId="158"/>
    <cellStyle name="Header1 2 12" xfId="158"/>
    <cellStyle name="Header1 2 12 2" xfId="158"/>
    <cellStyle name="Header1 2 12 3" xfId="158"/>
    <cellStyle name="Header1 2 12 4" xfId="158"/>
    <cellStyle name="Header1 2 13" xfId="158"/>
    <cellStyle name="Header1 2 14" xfId="158"/>
    <cellStyle name="Header1 2 15" xfId="158"/>
    <cellStyle name="Header1 2 16" xfId="158"/>
    <cellStyle name="Header1 2 2" xfId="158"/>
    <cellStyle name="Header1 2 2 10" xfId="158"/>
    <cellStyle name="Header1 2 2 10 2" xfId="158"/>
    <cellStyle name="Header1 2 2 10 2 2" xfId="158"/>
    <cellStyle name="Header1 2 2 10 2 3" xfId="158"/>
    <cellStyle name="Header1 2 2 10 2 4" xfId="158"/>
    <cellStyle name="Header1 2 2 10 3" xfId="158"/>
    <cellStyle name="Header1 2 2 10 4" xfId="158"/>
    <cellStyle name="Header1 2 2 10 5" xfId="158"/>
    <cellStyle name="Header1 2 2 10 6" xfId="158"/>
    <cellStyle name="Header1 2 2 10 7" xfId="158"/>
    <cellStyle name="Header1 2 2 11" xfId="158"/>
    <cellStyle name="Header1 2 2 11 2" xfId="158"/>
    <cellStyle name="Header1 2 2 11 3" xfId="158"/>
    <cellStyle name="Header1 2 2 11 4" xfId="158"/>
    <cellStyle name="Header1 2 2 12" xfId="158"/>
    <cellStyle name="Header1 2 2 13" xfId="158"/>
    <cellStyle name="Header1 2 2 14" xfId="158"/>
    <cellStyle name="Header1 2 2 15" xfId="158"/>
    <cellStyle name="Header1 2 2 2" xfId="158"/>
    <cellStyle name="Header1 2 2 2 10" xfId="158"/>
    <cellStyle name="Header1 2 2 2 11" xfId="158"/>
    <cellStyle name="Header1 2 2 2 2" xfId="158"/>
    <cellStyle name="Header1 2 2 2 2 2" xfId="158"/>
    <cellStyle name="Header1 2 2 2 2 2 2" xfId="158"/>
    <cellStyle name="Header1 2 2 2 2 2 2 2" xfId="158"/>
    <cellStyle name="Header1 2 2 2 2 2 2 3" xfId="158"/>
    <cellStyle name="Header1 2 2 2 2 2 2 4" xfId="158"/>
    <cellStyle name="Header1 2 2 2 2 2 2 5" xfId="158"/>
    <cellStyle name="Header1 2 2 2 2 2 3" xfId="158"/>
    <cellStyle name="Header1 2 2 2 2 2 3 2" xfId="158"/>
    <cellStyle name="Header1 2 2 2 2 2 3 3" xfId="158"/>
    <cellStyle name="Header1 2 2 2 2 2 3 4" xfId="158"/>
    <cellStyle name="Header1 2 2 2 2 2 4" xfId="158"/>
    <cellStyle name="Header1 2 2 2 2 2 5" xfId="158"/>
    <cellStyle name="Header1 2 2 2 2 2 6" xfId="158"/>
    <cellStyle name="Header1 2 2 2 2 2 7" xfId="158"/>
    <cellStyle name="Header1 2 2 2 2 2 8" xfId="158"/>
    <cellStyle name="Header1 2 2 2 2 3" xfId="158"/>
    <cellStyle name="Header1 2 2 2 2 3 2" xfId="158"/>
    <cellStyle name="Header1 2 2 2 2 3 2 2" xfId="158"/>
    <cellStyle name="Header1 2 2 2 2 3 2 3" xfId="158"/>
    <cellStyle name="Header1 2 2 2 2 3 2 4" xfId="158"/>
    <cellStyle name="Header1 2 2 2 2 3 2 5" xfId="158"/>
    <cellStyle name="Header1 2 2 2 2 3 3" xfId="158"/>
    <cellStyle name="Header1 2 2 2 2 3 3 2" xfId="158"/>
    <cellStyle name="Header1 2 2 2 2 3 3 3" xfId="158"/>
    <cellStyle name="Header1 2 2 2 2 3 3 4" xfId="158"/>
    <cellStyle name="Header1 2 2 2 2 3 4" xfId="158"/>
    <cellStyle name="Header1 2 2 2 2 3 5" xfId="158"/>
    <cellStyle name="Header1 2 2 2 2 3 6" xfId="158"/>
    <cellStyle name="Header1 2 2 2 2 3 7" xfId="158"/>
    <cellStyle name="Header1 2 2 2 2 4" xfId="158"/>
    <cellStyle name="Header1 2 2 2 2 4 2" xfId="158"/>
    <cellStyle name="Header1 2 2 2 2 4 2 2" xfId="158"/>
    <cellStyle name="Header1 2 2 2 2 4 2 3" xfId="158"/>
    <cellStyle name="Header1 2 2 2 2 4 2 4" xfId="158"/>
    <cellStyle name="Header1 2 2 2 2 4 3" xfId="158"/>
    <cellStyle name="Header1 2 2 2 2 4 4" xfId="158"/>
    <cellStyle name="Header1 2 2 2 2 4 5" xfId="158"/>
    <cellStyle name="Header1 2 2 2 2 4 6" xfId="158"/>
    <cellStyle name="Header1 2 2 2 2 4 7" xfId="158"/>
    <cellStyle name="Header1 2 2 2 2 5" xfId="158"/>
    <cellStyle name="Header1 2 2 2 2 5 2" xfId="158"/>
    <cellStyle name="Header1 2 2 2 2 5 3" xfId="158"/>
    <cellStyle name="Header1 2 2 2 2 5 4" xfId="158"/>
    <cellStyle name="Header1 2 2 2 2 6" xfId="158"/>
    <cellStyle name="Header1 2 2 2 2 7" xfId="158"/>
    <cellStyle name="Header1 2 2 2 2 8" xfId="158"/>
    <cellStyle name="Header1 2 2 2 2 9" xfId="158"/>
    <cellStyle name="Header1 2 2 2 3" xfId="158"/>
    <cellStyle name="Header1 2 2 2 3 2" xfId="158"/>
    <cellStyle name="Header1 2 2 2 3 2 2" xfId="158"/>
    <cellStyle name="Header1 2 2 2 3 2 3" xfId="158"/>
    <cellStyle name="Header1 2 2 2 3 2 4" xfId="158"/>
    <cellStyle name="Header1 2 2 2 3 3" xfId="158"/>
    <cellStyle name="Header1 2 2 2 3 4" xfId="158"/>
    <cellStyle name="Header1 2 2 2 3 5" xfId="158"/>
    <cellStyle name="Header1 2 2 2 3 6" xfId="158"/>
    <cellStyle name="Header1 2 2 2 3 7" xfId="158"/>
    <cellStyle name="Header1 2 2 2 4" xfId="158"/>
    <cellStyle name="Header1 2 2 2 4 2" xfId="158"/>
    <cellStyle name="Header1 2 2 2 4 2 2" xfId="158"/>
    <cellStyle name="Header1 2 2 2 4 2 3" xfId="158"/>
    <cellStyle name="Header1 2 2 2 4 2 4" xfId="158"/>
    <cellStyle name="Header1 2 2 2 4 2 5" xfId="158"/>
    <cellStyle name="Header1 2 2 2 4 3" xfId="158"/>
    <cellStyle name="Header1 2 2 2 4 3 2" xfId="158"/>
    <cellStyle name="Header1 2 2 2 4 3 3" xfId="158"/>
    <cellStyle name="Header1 2 2 2 4 3 4" xfId="158"/>
    <cellStyle name="Header1 2 2 2 4 4" xfId="158"/>
    <cellStyle name="Header1 2 2 2 4 5" xfId="158"/>
    <cellStyle name="Header1 2 2 2 4 6" xfId="158"/>
    <cellStyle name="Header1 2 2 2 4 7" xfId="158"/>
    <cellStyle name="Header1 2 2 2 4 8" xfId="158"/>
    <cellStyle name="Header1 2 2 2 5" xfId="158"/>
    <cellStyle name="Header1 2 2 2 5 2" xfId="158"/>
    <cellStyle name="Header1 2 2 2 5 2 2" xfId="158"/>
    <cellStyle name="Header1 2 2 2 5 2 3" xfId="158"/>
    <cellStyle name="Header1 2 2 2 5 2 4" xfId="158"/>
    <cellStyle name="Header1 2 2 2 5 2 5" xfId="158"/>
    <cellStyle name="Header1 2 2 2 5 3" xfId="158"/>
    <cellStyle name="Header1 2 2 2 5 3 2" xfId="158"/>
    <cellStyle name="Header1 2 2 2 5 3 3" xfId="158"/>
    <cellStyle name="Header1 2 2 2 5 3 4" xfId="158"/>
    <cellStyle name="Header1 2 2 2 5 4" xfId="158"/>
    <cellStyle name="Header1 2 2 2 5 5" xfId="158"/>
    <cellStyle name="Header1 2 2 2 5 6" xfId="158"/>
    <cellStyle name="Header1 2 2 2 5 7" xfId="158"/>
    <cellStyle name="Header1 2 2 2 6" xfId="158"/>
    <cellStyle name="Header1 2 2 2 6 2" xfId="158"/>
    <cellStyle name="Header1 2 2 2 6 2 2" xfId="158"/>
    <cellStyle name="Header1 2 2 2 6 2 3" xfId="158"/>
    <cellStyle name="Header1 2 2 2 6 2 4" xfId="158"/>
    <cellStyle name="Header1 2 2 2 6 3" xfId="158"/>
    <cellStyle name="Header1 2 2 2 6 4" xfId="158"/>
    <cellStyle name="Header1 2 2 2 6 5" xfId="158"/>
    <cellStyle name="Header1 2 2 2 6 6" xfId="158"/>
    <cellStyle name="Header1 2 2 2 6 7" xfId="158"/>
    <cellStyle name="Header1 2 2 2 7" xfId="158"/>
    <cellStyle name="Header1 2 2 2 7 2" xfId="158"/>
    <cellStyle name="Header1 2 2 2 7 3" xfId="158"/>
    <cellStyle name="Header1 2 2 2 7 4" xfId="158"/>
    <cellStyle name="Header1 2 2 2 8" xfId="158"/>
    <cellStyle name="Header1 2 2 2 9" xfId="158"/>
    <cellStyle name="Header1 2 2 3" xfId="158"/>
    <cellStyle name="Header1 2 2 3 10" xfId="158"/>
    <cellStyle name="Header1 2 2 3 11" xfId="158"/>
    <cellStyle name="Header1 2 2 3 2" xfId="158"/>
    <cellStyle name="Header1 2 2 3 2 2" xfId="158"/>
    <cellStyle name="Header1 2 2 3 2 2 2" xfId="158"/>
    <cellStyle name="Header1 2 2 3 2 2 2 2" xfId="158"/>
    <cellStyle name="Header1 2 2 3 2 2 2 3" xfId="158"/>
    <cellStyle name="Header1 2 2 3 2 2 2 4" xfId="158"/>
    <cellStyle name="Header1 2 2 3 2 2 2 5" xfId="158"/>
    <cellStyle name="Header1 2 2 3 2 2 3" xfId="158"/>
    <cellStyle name="Header1 2 2 3 2 2 3 2" xfId="158"/>
    <cellStyle name="Header1 2 2 3 2 2 3 3" xfId="158"/>
    <cellStyle name="Header1 2 2 3 2 2 3 4" xfId="158"/>
    <cellStyle name="Header1 2 2 3 2 2 4" xfId="158"/>
    <cellStyle name="Header1 2 2 3 2 2 5" xfId="158"/>
    <cellStyle name="Header1 2 2 3 2 2 6" xfId="158"/>
    <cellStyle name="Header1 2 2 3 2 2 7" xfId="158"/>
    <cellStyle name="Header1 2 2 3 2 2 8" xfId="158"/>
    <cellStyle name="Header1 2 2 3 2 3" xfId="158"/>
    <cellStyle name="Header1 2 2 3 2 3 2" xfId="158"/>
    <cellStyle name="Header1 2 2 3 2 3 2 2" xfId="158"/>
    <cellStyle name="Header1 2 2 3 2 3 2 3" xfId="158"/>
    <cellStyle name="Header1 2 2 3 2 3 2 4" xfId="158"/>
    <cellStyle name="Header1 2 2 3 2 3 2 5" xfId="158"/>
    <cellStyle name="Header1 2 2 3 2 3 3" xfId="158"/>
    <cellStyle name="Header1 2 2 3 2 3 3 2" xfId="158"/>
    <cellStyle name="Header1 2 2 3 2 3 3 3" xfId="158"/>
    <cellStyle name="Header1 2 2 3 2 3 3 4" xfId="158"/>
    <cellStyle name="Header1 2 2 3 2 3 4" xfId="158"/>
    <cellStyle name="Header1 2 2 3 2 3 5" xfId="158"/>
    <cellStyle name="Header1 2 2 3 2 3 6" xfId="158"/>
    <cellStyle name="Header1 2 2 3 2 3 7" xfId="158"/>
    <cellStyle name="Header1 2 2 3 2 4" xfId="158"/>
    <cellStyle name="Header1 2 2 3 2 4 2" xfId="158"/>
    <cellStyle name="Header1 2 2 3 2 4 2 2" xfId="158"/>
    <cellStyle name="Header1 2 2 3 2 4 2 3" xfId="158"/>
    <cellStyle name="Header1 2 2 3 2 4 2 4" xfId="158"/>
    <cellStyle name="Header1 2 2 3 2 4 3" xfId="158"/>
    <cellStyle name="Header1 2 2 3 2 4 4" xfId="158"/>
    <cellStyle name="Header1 2 2 3 2 4 5" xfId="158"/>
    <cellStyle name="Header1 2 2 3 2 4 6" xfId="158"/>
    <cellStyle name="Header1 2 2 3 2 4 7" xfId="158"/>
    <cellStyle name="Header1 2 2 3 2 5" xfId="158"/>
    <cellStyle name="Header1 2 2 3 2 5 2" xfId="158"/>
    <cellStyle name="Header1 2 2 3 2 5 3" xfId="158"/>
    <cellStyle name="Header1 2 2 3 2 5 4" xfId="158"/>
    <cellStyle name="Header1 2 2 3 2 6" xfId="158"/>
    <cellStyle name="Header1 2 2 3 2 7" xfId="158"/>
    <cellStyle name="Header1 2 2 3 2 8" xfId="158"/>
    <cellStyle name="Header1 2 2 3 2 9" xfId="158"/>
    <cellStyle name="Header1 2 2 3 3" xfId="158"/>
    <cellStyle name="Header1 2 2 3 3 2" xfId="158"/>
    <cellStyle name="Header1 2 2 3 3 2 2" xfId="158"/>
    <cellStyle name="Header1 2 2 3 3 2 3" xfId="158"/>
    <cellStyle name="Header1 2 2 3 3 2 4" xfId="158"/>
    <cellStyle name="Header1 2 2 3 3 3" xfId="158"/>
    <cellStyle name="Header1 2 2 3 3 4" xfId="158"/>
    <cellStyle name="Header1 2 2 3 3 5" xfId="158"/>
    <cellStyle name="Header1 2 2 3 3 6" xfId="158"/>
    <cellStyle name="Header1 2 2 3 3 7" xfId="158"/>
    <cellStyle name="Header1 2 2 3 4" xfId="158"/>
    <cellStyle name="Header1 2 2 3 4 2" xfId="158"/>
    <cellStyle name="Header1 2 2 3 4 2 2" xfId="158"/>
    <cellStyle name="Header1 2 2 3 4 2 3" xfId="158"/>
    <cellStyle name="Header1 2 2 3 4 2 4" xfId="158"/>
    <cellStyle name="Header1 2 2 3 4 2 5" xfId="158"/>
    <cellStyle name="Header1 2 2 3 4 3" xfId="158"/>
    <cellStyle name="Header1 2 2 3 4 3 2" xfId="158"/>
    <cellStyle name="Header1 2 2 3 4 3 3" xfId="158"/>
    <cellStyle name="Header1 2 2 3 4 3 4" xfId="158"/>
    <cellStyle name="Header1 2 2 3 4 4" xfId="158"/>
    <cellStyle name="Header1 2 2 3 4 5" xfId="158"/>
    <cellStyle name="Header1 2 2 3 4 6" xfId="158"/>
    <cellStyle name="Header1 2 2 3 4 7" xfId="158"/>
    <cellStyle name="Header1 2 2 3 4 8" xfId="158"/>
    <cellStyle name="Header1 2 2 3 5" xfId="158"/>
    <cellStyle name="Header1 2 2 3 5 2" xfId="158"/>
    <cellStyle name="Header1 2 2 3 5 2 2" xfId="158"/>
    <cellStyle name="Header1 2 2 3 5 2 3" xfId="158"/>
    <cellStyle name="Header1 2 2 3 5 2 4" xfId="158"/>
    <cellStyle name="Header1 2 2 3 5 2 5" xfId="158"/>
    <cellStyle name="Header1 2 2 3 5 3" xfId="158"/>
    <cellStyle name="Header1 2 2 3 5 3 2" xfId="158"/>
    <cellStyle name="Header1 2 2 3 5 3 3" xfId="158"/>
    <cellStyle name="Header1 2 2 3 5 3 4" xfId="158"/>
    <cellStyle name="Header1 2 2 3 5 4" xfId="158"/>
    <cellStyle name="Header1 2 2 3 5 5" xfId="158"/>
    <cellStyle name="Header1 2 2 3 5 6" xfId="158"/>
    <cellStyle name="Header1 2 2 3 5 7" xfId="158"/>
    <cellStyle name="Header1 2 2 3 6" xfId="158"/>
    <cellStyle name="Header1 2 2 3 6 2" xfId="158"/>
    <cellStyle name="Header1 2 2 3 6 2 2" xfId="158"/>
    <cellStyle name="Header1 2 2 3 6 2 3" xfId="158"/>
    <cellStyle name="Header1 2 2 3 6 2 4" xfId="158"/>
    <cellStyle name="Header1 2 2 3 6 3" xfId="158"/>
    <cellStyle name="Header1 2 2 3 6 4" xfId="158"/>
    <cellStyle name="Header1 2 2 3 6 5" xfId="158"/>
    <cellStyle name="Header1 2 2 3 6 6" xfId="158"/>
    <cellStyle name="Header1 2 2 3 6 7" xfId="158"/>
    <cellStyle name="Header1 2 2 3 7" xfId="158"/>
    <cellStyle name="Header1 2 2 3 7 2" xfId="158"/>
    <cellStyle name="Header1 2 2 3 7 3" xfId="158"/>
    <cellStyle name="Header1 2 2 3 7 4" xfId="158"/>
    <cellStyle name="Header1 2 2 3 8" xfId="158"/>
    <cellStyle name="Header1 2 2 3 9" xfId="158"/>
    <cellStyle name="Header1 2 2 4" xfId="158"/>
    <cellStyle name="Header1 2 2 4 10" xfId="158"/>
    <cellStyle name="Header1 2 2 4 11" xfId="158"/>
    <cellStyle name="Header1 2 2 4 2" xfId="158"/>
    <cellStyle name="Header1 2 2 4 2 2" xfId="158"/>
    <cellStyle name="Header1 2 2 4 2 2 2" xfId="158"/>
    <cellStyle name="Header1 2 2 4 2 2 2 2" xfId="158"/>
    <cellStyle name="Header1 2 2 4 2 2 2 3" xfId="158"/>
    <cellStyle name="Header1 2 2 4 2 2 2 4" xfId="158"/>
    <cellStyle name="Header1 2 2 4 2 2 2 5" xfId="158"/>
    <cellStyle name="Header1 2 2 4 2 2 3" xfId="158"/>
    <cellStyle name="Header1 2 2 4 2 2 3 2" xfId="158"/>
    <cellStyle name="Header1 2 2 4 2 2 3 3" xfId="158"/>
    <cellStyle name="Header1 2 2 4 2 2 3 4" xfId="158"/>
    <cellStyle name="Header1 2 2 4 2 2 4" xfId="158"/>
    <cellStyle name="Header1 2 2 4 2 2 5" xfId="158"/>
    <cellStyle name="Header1 2 2 4 2 2 6" xfId="158"/>
    <cellStyle name="Header1 2 2 4 2 2 7" xfId="158"/>
    <cellStyle name="Header1 2 2 4 2 2 8" xfId="158"/>
    <cellStyle name="Header1 2 2 4 2 3" xfId="158"/>
    <cellStyle name="Header1 2 2 4 2 3 2" xfId="158"/>
    <cellStyle name="Header1 2 2 4 2 3 2 2" xfId="158"/>
    <cellStyle name="Header1 2 2 4 2 3 2 3" xfId="158"/>
    <cellStyle name="Header1 2 2 4 2 3 2 4" xfId="158"/>
    <cellStyle name="Header1 2 2 4 2 3 2 5" xfId="158"/>
    <cellStyle name="Header1 2 2 4 2 3 3" xfId="158"/>
    <cellStyle name="Header1 2 2 4 2 3 3 2" xfId="158"/>
    <cellStyle name="Header1 2 2 4 2 3 3 3" xfId="158"/>
    <cellStyle name="Header1 2 2 4 2 3 3 4" xfId="158"/>
    <cellStyle name="Header1 2 2 4 2 3 4" xfId="158"/>
    <cellStyle name="Header1 2 2 4 2 3 5" xfId="158"/>
    <cellStyle name="Header1 2 2 4 2 3 6" xfId="158"/>
    <cellStyle name="Header1 2 2 4 2 3 7" xfId="158"/>
    <cellStyle name="Header1 2 2 4 2 4" xfId="158"/>
    <cellStyle name="Header1 2 2 4 2 4 2" xfId="158"/>
    <cellStyle name="Header1 2 2 4 2 4 2 2" xfId="158"/>
    <cellStyle name="Header1 2 2 4 2 4 2 3" xfId="158"/>
    <cellStyle name="Header1 2 2 4 2 4 2 4" xfId="158"/>
    <cellStyle name="Header1 2 2 4 2 4 3" xfId="158"/>
    <cellStyle name="Header1 2 2 4 2 4 4" xfId="158"/>
    <cellStyle name="Header1 2 2 4 2 4 5" xfId="158"/>
    <cellStyle name="Header1 2 2 4 2 4 6" xfId="158"/>
    <cellStyle name="Header1 2 2 4 2 4 7" xfId="158"/>
    <cellStyle name="Header1 2 2 4 2 5" xfId="158"/>
    <cellStyle name="Header1 2 2 4 2 5 2" xfId="158"/>
    <cellStyle name="Header1 2 2 4 2 5 3" xfId="158"/>
    <cellStyle name="Header1 2 2 4 2 5 4" xfId="158"/>
    <cellStyle name="Header1 2 2 4 2 6" xfId="158"/>
    <cellStyle name="Header1 2 2 4 2 7" xfId="158"/>
    <cellStyle name="Header1 2 2 4 2 8" xfId="158"/>
    <cellStyle name="Header1 2 2 4 2 9" xfId="158"/>
    <cellStyle name="Header1 2 2 4 3" xfId="158"/>
    <cellStyle name="Header1 2 2 4 3 2" xfId="158"/>
    <cellStyle name="Header1 2 2 4 3 2 2" xfId="158"/>
    <cellStyle name="Header1 2 2 4 3 2 3" xfId="158"/>
    <cellStyle name="Header1 2 2 4 3 2 4" xfId="158"/>
    <cellStyle name="Header1 2 2 4 3 3" xfId="158"/>
    <cellStyle name="Header1 2 2 4 3 4" xfId="158"/>
    <cellStyle name="Header1 2 2 4 3 5" xfId="158"/>
    <cellStyle name="Header1 2 2 4 3 6" xfId="158"/>
    <cellStyle name="Header1 2 2 4 3 7" xfId="158"/>
    <cellStyle name="Header1 2 2 4 4" xfId="158"/>
    <cellStyle name="Header1 2 2 4 4 2" xfId="158"/>
    <cellStyle name="Header1 2 2 4 4 2 2" xfId="158"/>
    <cellStyle name="Header1 2 2 4 4 2 3" xfId="158"/>
    <cellStyle name="Header1 2 2 4 4 2 4" xfId="158"/>
    <cellStyle name="Header1 2 2 4 4 2 5" xfId="158"/>
    <cellStyle name="Header1 2 2 4 4 3" xfId="158"/>
    <cellStyle name="Header1 2 2 4 4 3 2" xfId="158"/>
    <cellStyle name="Header1 2 2 4 4 3 3" xfId="158"/>
    <cellStyle name="Header1 2 2 4 4 3 4" xfId="158"/>
    <cellStyle name="Header1 2 2 4 4 4" xfId="158"/>
    <cellStyle name="Header1 2 2 4 4 5" xfId="158"/>
    <cellStyle name="Header1 2 2 4 4 6" xfId="158"/>
    <cellStyle name="Header1 2 2 4 4 7" xfId="158"/>
    <cellStyle name="Header1 2 2 4 4 8" xfId="158"/>
    <cellStyle name="Header1 2 2 4 5" xfId="158"/>
    <cellStyle name="Header1 2 2 4 5 2" xfId="158"/>
    <cellStyle name="Header1 2 2 4 5 2 2" xfId="158"/>
    <cellStyle name="Header1 2 2 4 5 2 3" xfId="158"/>
    <cellStyle name="Header1 2 2 4 5 2 4" xfId="158"/>
    <cellStyle name="Header1 2 2 4 5 2 5" xfId="158"/>
    <cellStyle name="Header1 2 2 4 5 3" xfId="158"/>
    <cellStyle name="Header1 2 2 4 5 3 2" xfId="158"/>
    <cellStyle name="Header1 2 2 4 5 3 3" xfId="158"/>
    <cellStyle name="Header1 2 2 4 5 3 4" xfId="158"/>
    <cellStyle name="Header1 2 2 4 5 4" xfId="158"/>
    <cellStyle name="Header1 2 2 4 5 5" xfId="158"/>
    <cellStyle name="Header1 2 2 4 5 6" xfId="158"/>
    <cellStyle name="Header1 2 2 4 5 7" xfId="158"/>
    <cellStyle name="Header1 2 2 4 6" xfId="158"/>
    <cellStyle name="Header1 2 2 4 6 2" xfId="158"/>
    <cellStyle name="Header1 2 2 4 6 2 2" xfId="158"/>
    <cellStyle name="Header1 2 2 4 6 2 3" xfId="158"/>
    <cellStyle name="Header1 2 2 4 6 2 4" xfId="158"/>
    <cellStyle name="Header1 2 2 4 6 3" xfId="158"/>
    <cellStyle name="Header1 2 2 4 6 4" xfId="158"/>
    <cellStyle name="Header1 2 2 4 6 5" xfId="158"/>
    <cellStyle name="Header1 2 2 4 6 6" xfId="158"/>
    <cellStyle name="Header1 2 2 4 6 7" xfId="158"/>
    <cellStyle name="Header1 2 2 4 7" xfId="158"/>
    <cellStyle name="Header1 2 2 4 7 2" xfId="158"/>
    <cellStyle name="Header1 2 2 4 7 3" xfId="158"/>
    <cellStyle name="Header1 2 2 4 7 4" xfId="158"/>
    <cellStyle name="Header1 2 2 4 8" xfId="158"/>
    <cellStyle name="Header1 2 2 4 9" xfId="158"/>
    <cellStyle name="Header1 2 2 5" xfId="158"/>
    <cellStyle name="Header1 2 2 5 2" xfId="158"/>
    <cellStyle name="Header1 2 2 5 2 2" xfId="158"/>
    <cellStyle name="Header1 2 2 5 2 2 2" xfId="158"/>
    <cellStyle name="Header1 2 2 5 2 2 3" xfId="158"/>
    <cellStyle name="Header1 2 2 5 2 2 4" xfId="158"/>
    <cellStyle name="Header1 2 2 5 2 2 5" xfId="158"/>
    <cellStyle name="Header1 2 2 5 2 3" xfId="158"/>
    <cellStyle name="Header1 2 2 5 2 3 2" xfId="158"/>
    <cellStyle name="Header1 2 2 5 2 3 3" xfId="158"/>
    <cellStyle name="Header1 2 2 5 2 3 4" xfId="158"/>
    <cellStyle name="Header1 2 2 5 2 4" xfId="158"/>
    <cellStyle name="Header1 2 2 5 2 5" xfId="158"/>
    <cellStyle name="Header1 2 2 5 2 6" xfId="158"/>
    <cellStyle name="Header1 2 2 5 2 7" xfId="158"/>
    <cellStyle name="Header1 2 2 5 2 8" xfId="158"/>
    <cellStyle name="Header1 2 2 5 3" xfId="158"/>
    <cellStyle name="Header1 2 2 5 3 2" xfId="158"/>
    <cellStyle name="Header1 2 2 5 3 2 2" xfId="158"/>
    <cellStyle name="Header1 2 2 5 3 2 3" xfId="158"/>
    <cellStyle name="Header1 2 2 5 3 2 4" xfId="158"/>
    <cellStyle name="Header1 2 2 5 3 2 5" xfId="158"/>
    <cellStyle name="Header1 2 2 5 3 3" xfId="158"/>
    <cellStyle name="Header1 2 2 5 3 3 2" xfId="158"/>
    <cellStyle name="Header1 2 2 5 3 3 3" xfId="158"/>
    <cellStyle name="Header1 2 2 5 3 3 4" xfId="158"/>
    <cellStyle name="Header1 2 2 5 3 4" xfId="158"/>
    <cellStyle name="Header1 2 2 5 3 5" xfId="158"/>
    <cellStyle name="Header1 2 2 5 3 6" xfId="158"/>
    <cellStyle name="Header1 2 2 5 3 7" xfId="158"/>
    <cellStyle name="Header1 2 2 5 4" xfId="158"/>
    <cellStyle name="Header1 2 2 5 4 2" xfId="158"/>
    <cellStyle name="Header1 2 2 5 4 2 2" xfId="158"/>
    <cellStyle name="Header1 2 2 5 4 2 3" xfId="158"/>
    <cellStyle name="Header1 2 2 5 4 2 4" xfId="158"/>
    <cellStyle name="Header1 2 2 5 4 3" xfId="158"/>
    <cellStyle name="Header1 2 2 5 4 4" xfId="158"/>
    <cellStyle name="Header1 2 2 5 4 5" xfId="158"/>
    <cellStyle name="Header1 2 2 5 4 6" xfId="158"/>
    <cellStyle name="Header1 2 2 5 4 7" xfId="158"/>
    <cellStyle name="Header1 2 2 5 5" xfId="158"/>
    <cellStyle name="Header1 2 2 5 5 2" xfId="158"/>
    <cellStyle name="Header1 2 2 5 5 3" xfId="158"/>
    <cellStyle name="Header1 2 2 5 5 4" xfId="158"/>
    <cellStyle name="Header1 2 2 5 6" xfId="158"/>
    <cellStyle name="Header1 2 2 5 7" xfId="158"/>
    <cellStyle name="Header1 2 2 5 8" xfId="158"/>
    <cellStyle name="Header1 2 2 5 9" xfId="158"/>
    <cellStyle name="Header1 2 2 6" xfId="158"/>
    <cellStyle name="Header1 2 2 6 2" xfId="158"/>
    <cellStyle name="Header1 2 2 6 2 2" xfId="158"/>
    <cellStyle name="Header1 2 2 6 2 3" xfId="158"/>
    <cellStyle name="Header1 2 2 6 2 4" xfId="158"/>
    <cellStyle name="Header1 2 2 6 3" xfId="158"/>
    <cellStyle name="Header1 2 2 6 4" xfId="158"/>
    <cellStyle name="Header1 2 2 6 5" xfId="158"/>
    <cellStyle name="Header1 2 2 6 6" xfId="158"/>
    <cellStyle name="Header1 2 2 6 7" xfId="158"/>
    <cellStyle name="Header1 2 2 7" xfId="158"/>
    <cellStyle name="Header1 2 2 7 2" xfId="158"/>
    <cellStyle name="Header1 2 2 7 2 2" xfId="158"/>
    <cellStyle name="Header1 2 2 7 2 3" xfId="158"/>
    <cellStyle name="Header1 2 2 7 2 4" xfId="158"/>
    <cellStyle name="Header1 2 2 7 3" xfId="158"/>
    <cellStyle name="Header1 2 2 7 4" xfId="158"/>
    <cellStyle name="Header1 2 2 7 5" xfId="158"/>
    <cellStyle name="Header1 2 2 7 6" xfId="158"/>
    <cellStyle name="Header1 2 2 7 7" xfId="158"/>
    <cellStyle name="Header1 2 2 8" xfId="158"/>
    <cellStyle name="Header1 2 2 8 2" xfId="158"/>
    <cellStyle name="Header1 2 2 8 2 2" xfId="158"/>
    <cellStyle name="Header1 2 2 8 2 3" xfId="158"/>
    <cellStyle name="Header1 2 2 8 2 4" xfId="158"/>
    <cellStyle name="Header1 2 2 8 2 5" xfId="158"/>
    <cellStyle name="Header1 2 2 8 3" xfId="158"/>
    <cellStyle name="Header1 2 2 8 3 2" xfId="158"/>
    <cellStyle name="Header1 2 2 8 3 3" xfId="158"/>
    <cellStyle name="Header1 2 2 8 3 4" xfId="158"/>
    <cellStyle name="Header1 2 2 8 4" xfId="158"/>
    <cellStyle name="Header1 2 2 8 5" xfId="158"/>
    <cellStyle name="Header1 2 2 8 6" xfId="158"/>
    <cellStyle name="Header1 2 2 8 7" xfId="158"/>
    <cellStyle name="Header1 2 2 8 8" xfId="158"/>
    <cellStyle name="Header1 2 2 9" xfId="158"/>
    <cellStyle name="Header1 2 2 9 2" xfId="158"/>
    <cellStyle name="Header1 2 2 9 2 2" xfId="158"/>
    <cellStyle name="Header1 2 2 9 2 3" xfId="158"/>
    <cellStyle name="Header1 2 2 9 2 4" xfId="158"/>
    <cellStyle name="Header1 2 2 9 2 5" xfId="158"/>
    <cellStyle name="Header1 2 2 9 3" xfId="158"/>
    <cellStyle name="Header1 2 2 9 3 2" xfId="158"/>
    <cellStyle name="Header1 2 2 9 3 3" xfId="158"/>
    <cellStyle name="Header1 2 2 9 3 4" xfId="158"/>
    <cellStyle name="Header1 2 2 9 4" xfId="158"/>
    <cellStyle name="Header1 2 2 9 5" xfId="158"/>
    <cellStyle name="Header1 2 2 9 6" xfId="158"/>
    <cellStyle name="Header1 2 2 9 7" xfId="158"/>
    <cellStyle name="Header1 2 3" xfId="158"/>
    <cellStyle name="Header1 2 3 10" xfId="158"/>
    <cellStyle name="Header1 2 3 11" xfId="158"/>
    <cellStyle name="Header1 2 3 2" xfId="158"/>
    <cellStyle name="Header1 2 3 2 2" xfId="158"/>
    <cellStyle name="Header1 2 3 2 2 2" xfId="158"/>
    <cellStyle name="Header1 2 3 2 2 2 2" xfId="158"/>
    <cellStyle name="Header1 2 3 2 2 2 3" xfId="158"/>
    <cellStyle name="Header1 2 3 2 2 2 4" xfId="158"/>
    <cellStyle name="Header1 2 3 2 2 2 5" xfId="158"/>
    <cellStyle name="Header1 2 3 2 2 3" xfId="158"/>
    <cellStyle name="Header1 2 3 2 2 3 2" xfId="158"/>
    <cellStyle name="Header1 2 3 2 2 3 3" xfId="158"/>
    <cellStyle name="Header1 2 3 2 2 3 4" xfId="158"/>
    <cellStyle name="Header1 2 3 2 2 4" xfId="158"/>
    <cellStyle name="Header1 2 3 2 2 5" xfId="158"/>
    <cellStyle name="Header1 2 3 2 2 6" xfId="158"/>
    <cellStyle name="Header1 2 3 2 2 7" xfId="158"/>
    <cellStyle name="Header1 2 3 2 2 8" xfId="158"/>
    <cellStyle name="Header1 2 3 2 3" xfId="158"/>
    <cellStyle name="Header1 2 3 2 3 2" xfId="158"/>
    <cellStyle name="Header1 2 3 2 3 2 2" xfId="158"/>
    <cellStyle name="Header1 2 3 2 3 2 3" xfId="158"/>
    <cellStyle name="Header1 2 3 2 3 2 4" xfId="158"/>
    <cellStyle name="Header1 2 3 2 3 2 5" xfId="158"/>
    <cellStyle name="Header1 2 3 2 3 3" xfId="158"/>
    <cellStyle name="Header1 2 3 2 3 3 2" xfId="158"/>
    <cellStyle name="Header1 2 3 2 3 3 3" xfId="158"/>
    <cellStyle name="Header1 2 3 2 3 3 4" xfId="158"/>
    <cellStyle name="Header1 2 3 2 3 4" xfId="158"/>
    <cellStyle name="Header1 2 3 2 3 5" xfId="158"/>
    <cellStyle name="Header1 2 3 2 3 6" xfId="158"/>
    <cellStyle name="Header1 2 3 2 3 7" xfId="158"/>
    <cellStyle name="Header1 2 3 2 4" xfId="158"/>
    <cellStyle name="Header1 2 3 2 4 2" xfId="158"/>
    <cellStyle name="Header1 2 3 2 4 2 2" xfId="158"/>
    <cellStyle name="Header1 2 3 2 4 2 3" xfId="158"/>
    <cellStyle name="Header1 2 3 2 4 2 4" xfId="158"/>
    <cellStyle name="Header1 2 3 2 4 3" xfId="158"/>
    <cellStyle name="Header1 2 3 2 4 4" xfId="158"/>
    <cellStyle name="Header1 2 3 2 4 5" xfId="158"/>
    <cellStyle name="Header1 2 3 2 4 6" xfId="158"/>
    <cellStyle name="Header1 2 3 2 4 7" xfId="158"/>
    <cellStyle name="Header1 2 3 2 5" xfId="158"/>
    <cellStyle name="Header1 2 3 2 5 2" xfId="158"/>
    <cellStyle name="Header1 2 3 2 5 3" xfId="158"/>
    <cellStyle name="Header1 2 3 2 5 4" xfId="158"/>
    <cellStyle name="Header1 2 3 2 6" xfId="158"/>
    <cellStyle name="Header1 2 3 2 7" xfId="158"/>
    <cellStyle name="Header1 2 3 2 8" xfId="158"/>
    <cellStyle name="Header1 2 3 2 9" xfId="158"/>
    <cellStyle name="Header1 2 3 3" xfId="158"/>
    <cellStyle name="Header1 2 3 3 2" xfId="158"/>
    <cellStyle name="Header1 2 3 3 2 2" xfId="158"/>
    <cellStyle name="Header1 2 3 3 2 3" xfId="158"/>
    <cellStyle name="Header1 2 3 3 2 4" xfId="158"/>
    <cellStyle name="Header1 2 3 3 3" xfId="158"/>
    <cellStyle name="Header1 2 3 3 4" xfId="158"/>
    <cellStyle name="Header1 2 3 3 5" xfId="158"/>
    <cellStyle name="Header1 2 3 3 6" xfId="158"/>
    <cellStyle name="Header1 2 3 3 7" xfId="158"/>
    <cellStyle name="Header1 2 3 4" xfId="158"/>
    <cellStyle name="Header1 2 3 4 2" xfId="158"/>
    <cellStyle name="Header1 2 3 4 2 2" xfId="158"/>
    <cellStyle name="Header1 2 3 4 2 3" xfId="158"/>
    <cellStyle name="Header1 2 3 4 2 4" xfId="158"/>
    <cellStyle name="Header1 2 3 4 2 5" xfId="158"/>
    <cellStyle name="Header1 2 3 4 3" xfId="158"/>
    <cellStyle name="Header1 2 3 4 3 2" xfId="158"/>
    <cellStyle name="Header1 2 3 4 3 3" xfId="158"/>
    <cellStyle name="Header1 2 3 4 3 4" xfId="158"/>
    <cellStyle name="Header1 2 3 4 4" xfId="158"/>
    <cellStyle name="Header1 2 3 4 5" xfId="158"/>
    <cellStyle name="Header1 2 3 4 6" xfId="158"/>
    <cellStyle name="Header1 2 3 4 7" xfId="158"/>
    <cellStyle name="Header1 2 3 4 8" xfId="158"/>
    <cellStyle name="Header1 2 3 5" xfId="158"/>
    <cellStyle name="Header1 2 3 5 2" xfId="158"/>
    <cellStyle name="Header1 2 3 5 2 2" xfId="158"/>
    <cellStyle name="Header1 2 3 5 2 3" xfId="158"/>
    <cellStyle name="Header1 2 3 5 2 4" xfId="158"/>
    <cellStyle name="Header1 2 3 5 2 5" xfId="158"/>
    <cellStyle name="Header1 2 3 5 3" xfId="158"/>
    <cellStyle name="Header1 2 3 5 3 2" xfId="158"/>
    <cellStyle name="Header1 2 3 5 3 3" xfId="158"/>
    <cellStyle name="Header1 2 3 5 3 4" xfId="158"/>
    <cellStyle name="Header1 2 3 5 4" xfId="158"/>
    <cellStyle name="Header1 2 3 5 5" xfId="158"/>
    <cellStyle name="Header1 2 3 5 6" xfId="158"/>
    <cellStyle name="Header1 2 3 5 7" xfId="158"/>
    <cellStyle name="Header1 2 3 6" xfId="158"/>
    <cellStyle name="Header1 2 3 6 2" xfId="158"/>
    <cellStyle name="Header1 2 3 6 2 2" xfId="158"/>
    <cellStyle name="Header1 2 3 6 2 3" xfId="158"/>
    <cellStyle name="Header1 2 3 6 2 4" xfId="158"/>
    <cellStyle name="Header1 2 3 6 3" xfId="158"/>
    <cellStyle name="Header1 2 3 6 4" xfId="158"/>
    <cellStyle name="Header1 2 3 6 5" xfId="158"/>
    <cellStyle name="Header1 2 3 6 6" xfId="158"/>
    <cellStyle name="Header1 2 3 6 7" xfId="158"/>
    <cellStyle name="Header1 2 3 7" xfId="158"/>
    <cellStyle name="Header1 2 3 7 2" xfId="158"/>
    <cellStyle name="Header1 2 3 7 3" xfId="158"/>
    <cellStyle name="Header1 2 3 7 4" xfId="158"/>
    <cellStyle name="Header1 2 3 8" xfId="158"/>
    <cellStyle name="Header1 2 3 9" xfId="158"/>
    <cellStyle name="Header1 2 4" xfId="158"/>
    <cellStyle name="Header1 2 4 10" xfId="158"/>
    <cellStyle name="Header1 2 4 11" xfId="158"/>
    <cellStyle name="Header1 2 4 2" xfId="158"/>
    <cellStyle name="Header1 2 4 2 2" xfId="158"/>
    <cellStyle name="Header1 2 4 2 2 2" xfId="158"/>
    <cellStyle name="Header1 2 4 2 2 2 2" xfId="158"/>
    <cellStyle name="Header1 2 4 2 2 2 3" xfId="158"/>
    <cellStyle name="Header1 2 4 2 2 2 4" xfId="158"/>
    <cellStyle name="Header1 2 4 2 2 2 5" xfId="158"/>
    <cellStyle name="Header1 2 4 2 2 3" xfId="158"/>
    <cellStyle name="Header1 2 4 2 2 3 2" xfId="158"/>
    <cellStyle name="Header1 2 4 2 2 3 3" xfId="158"/>
    <cellStyle name="Header1 2 4 2 2 3 4" xfId="158"/>
    <cellStyle name="Header1 2 4 2 2 4" xfId="158"/>
    <cellStyle name="Header1 2 4 2 2 5" xfId="158"/>
    <cellStyle name="Header1 2 4 2 2 6" xfId="158"/>
    <cellStyle name="Header1 2 4 2 2 7" xfId="158"/>
    <cellStyle name="Header1 2 4 2 2 8" xfId="158"/>
    <cellStyle name="Header1 2 4 2 3" xfId="158"/>
    <cellStyle name="Header1 2 4 2 3 2" xfId="158"/>
    <cellStyle name="Header1 2 4 2 3 2 2" xfId="158"/>
    <cellStyle name="Header1 2 4 2 3 2 3" xfId="158"/>
    <cellStyle name="Header1 2 4 2 3 2 4" xfId="158"/>
    <cellStyle name="Header1 2 4 2 3 2 5" xfId="158"/>
    <cellStyle name="Header1 2 4 2 3 3" xfId="158"/>
    <cellStyle name="Header1 2 4 2 3 3 2" xfId="158"/>
    <cellStyle name="Header1 2 4 2 3 3 3" xfId="158"/>
    <cellStyle name="Header1 2 4 2 3 3 4" xfId="158"/>
    <cellStyle name="Header1 2 4 2 3 4" xfId="158"/>
    <cellStyle name="Header1 2 4 2 3 5" xfId="158"/>
    <cellStyle name="Header1 2 4 2 3 6" xfId="158"/>
    <cellStyle name="Header1 2 4 2 3 7" xfId="158"/>
    <cellStyle name="Header1 2 4 2 4" xfId="158"/>
    <cellStyle name="Header1 2 4 2 4 2" xfId="158"/>
    <cellStyle name="Header1 2 4 2 4 2 2" xfId="158"/>
    <cellStyle name="Header1 2 4 2 4 2 3" xfId="158"/>
    <cellStyle name="Header1 2 4 2 4 2 4" xfId="158"/>
    <cellStyle name="Header1 2 4 2 4 3" xfId="158"/>
    <cellStyle name="Header1 2 4 2 4 4" xfId="158"/>
    <cellStyle name="Header1 2 4 2 4 5" xfId="158"/>
    <cellStyle name="Header1 2 4 2 4 6" xfId="158"/>
    <cellStyle name="Header1 2 4 2 4 7" xfId="158"/>
    <cellStyle name="Header1 2 4 2 5" xfId="158"/>
    <cellStyle name="Header1 2 4 2 5 2" xfId="158"/>
    <cellStyle name="Header1 2 4 2 5 3" xfId="158"/>
    <cellStyle name="Header1 2 4 2 5 4" xfId="158"/>
    <cellStyle name="Header1 2 4 2 6" xfId="158"/>
    <cellStyle name="Header1 2 4 2 7" xfId="158"/>
    <cellStyle name="Header1 2 4 2 8" xfId="158"/>
    <cellStyle name="Header1 2 4 2 9" xfId="158"/>
    <cellStyle name="Header1 2 4 3" xfId="158"/>
    <cellStyle name="Header1 2 4 3 2" xfId="158"/>
    <cellStyle name="Header1 2 4 3 2 2" xfId="158"/>
    <cellStyle name="Header1 2 4 3 2 3" xfId="158"/>
    <cellStyle name="Header1 2 4 3 2 4" xfId="158"/>
    <cellStyle name="Header1 2 4 3 3" xfId="158"/>
    <cellStyle name="Header1 2 4 3 4" xfId="158"/>
    <cellStyle name="Header1 2 4 3 5" xfId="158"/>
    <cellStyle name="Header1 2 4 3 6" xfId="158"/>
    <cellStyle name="Header1 2 4 3 7" xfId="158"/>
    <cellStyle name="Header1 2 4 4" xfId="158"/>
    <cellStyle name="Header1 2 4 4 2" xfId="158"/>
    <cellStyle name="Header1 2 4 4 2 2" xfId="158"/>
    <cellStyle name="Header1 2 4 4 2 3" xfId="158"/>
    <cellStyle name="Header1 2 4 4 2 4" xfId="158"/>
    <cellStyle name="Header1 2 4 4 2 5" xfId="158"/>
    <cellStyle name="Header1 2 4 4 3" xfId="158"/>
    <cellStyle name="Header1 2 4 4 3 2" xfId="158"/>
    <cellStyle name="Header1 2 4 4 3 3" xfId="158"/>
    <cellStyle name="Header1 2 4 4 3 4" xfId="158"/>
    <cellStyle name="Header1 2 4 4 4" xfId="158"/>
    <cellStyle name="Header1 2 4 4 5" xfId="158"/>
    <cellStyle name="Header1 2 4 4 6" xfId="158"/>
    <cellStyle name="Header1 2 4 4 7" xfId="158"/>
    <cellStyle name="Header1 2 4 4 8" xfId="158"/>
    <cellStyle name="Header1 2 4 5" xfId="158"/>
    <cellStyle name="Header1 2 4 5 2" xfId="158"/>
    <cellStyle name="Header1 2 4 5 2 2" xfId="158"/>
    <cellStyle name="Header1 2 4 5 2 3" xfId="158"/>
    <cellStyle name="Header1 2 4 5 2 4" xfId="158"/>
    <cellStyle name="Header1 2 4 5 2 5" xfId="158"/>
    <cellStyle name="Header1 2 4 5 3" xfId="158"/>
    <cellStyle name="Header1 2 4 5 3 2" xfId="158"/>
    <cellStyle name="Header1 2 4 5 3 3" xfId="158"/>
    <cellStyle name="Header1 2 4 5 3 4" xfId="158"/>
    <cellStyle name="Header1 2 4 5 4" xfId="158"/>
    <cellStyle name="Header1 2 4 5 5" xfId="158"/>
    <cellStyle name="Header1 2 4 5 6" xfId="158"/>
    <cellStyle name="Header1 2 4 5 7" xfId="158"/>
    <cellStyle name="Header1 2 4 6" xfId="158"/>
    <cellStyle name="Header1 2 4 6 2" xfId="158"/>
    <cellStyle name="Header1 2 4 6 2 2" xfId="158"/>
    <cellStyle name="Header1 2 4 6 2 3" xfId="158"/>
    <cellStyle name="Header1 2 4 6 2 4" xfId="158"/>
    <cellStyle name="Header1 2 4 6 3" xfId="158"/>
    <cellStyle name="Header1 2 4 6 4" xfId="158"/>
    <cellStyle name="Header1 2 4 6 5" xfId="158"/>
    <cellStyle name="Header1 2 4 6 6" xfId="158"/>
    <cellStyle name="Header1 2 4 6 7" xfId="158"/>
    <cellStyle name="Header1 2 4 7" xfId="158"/>
    <cellStyle name="Header1 2 4 7 2" xfId="158"/>
    <cellStyle name="Header1 2 4 7 3" xfId="158"/>
    <cellStyle name="Header1 2 4 7 4" xfId="158"/>
    <cellStyle name="Header1 2 4 8" xfId="158"/>
    <cellStyle name="Header1 2 4 9" xfId="158"/>
    <cellStyle name="Header1 2 5" xfId="158"/>
    <cellStyle name="Header1 2 5 10" xfId="158"/>
    <cellStyle name="Header1 2 5 11" xfId="158"/>
    <cellStyle name="Header1 2 5 2" xfId="158"/>
    <cellStyle name="Header1 2 5 2 2" xfId="158"/>
    <cellStyle name="Header1 2 5 2 2 2" xfId="158"/>
    <cellStyle name="Header1 2 5 2 2 2 2" xfId="158"/>
    <cellStyle name="Header1 2 5 2 2 2 3" xfId="158"/>
    <cellStyle name="Header1 2 5 2 2 2 4" xfId="158"/>
    <cellStyle name="Header1 2 5 2 2 2 5" xfId="158"/>
    <cellStyle name="Header1 2 5 2 2 3" xfId="158"/>
    <cellStyle name="Header1 2 5 2 2 3 2" xfId="158"/>
    <cellStyle name="Header1 2 5 2 2 3 3" xfId="158"/>
    <cellStyle name="Header1 2 5 2 2 3 4" xfId="158"/>
    <cellStyle name="Header1 2 5 2 2 4" xfId="158"/>
    <cellStyle name="Header1 2 5 2 2 5" xfId="158"/>
    <cellStyle name="Header1 2 5 2 2 6" xfId="158"/>
    <cellStyle name="Header1 2 5 2 2 7" xfId="158"/>
    <cellStyle name="Header1 2 5 2 2 8" xfId="158"/>
    <cellStyle name="Header1 2 5 2 3" xfId="158"/>
    <cellStyle name="Header1 2 5 2 3 2" xfId="158"/>
    <cellStyle name="Header1 2 5 2 3 2 2" xfId="158"/>
    <cellStyle name="Header1 2 5 2 3 2 3" xfId="158"/>
    <cellStyle name="Header1 2 5 2 3 2 4" xfId="158"/>
    <cellStyle name="Header1 2 5 2 3 2 5" xfId="158"/>
    <cellStyle name="Header1 2 5 2 3 3" xfId="158"/>
    <cellStyle name="Header1 2 5 2 3 3 2" xfId="158"/>
    <cellStyle name="Header1 2 5 2 3 3 3" xfId="158"/>
    <cellStyle name="Header1 2 5 2 3 3 4" xfId="158"/>
    <cellStyle name="Header1 2 5 2 3 4" xfId="158"/>
    <cellStyle name="Header1 2 5 2 3 5" xfId="158"/>
    <cellStyle name="Header1 2 5 2 3 6" xfId="158"/>
    <cellStyle name="Header1 2 5 2 3 7" xfId="158"/>
    <cellStyle name="Header1 2 5 2 4" xfId="158"/>
    <cellStyle name="Header1 2 5 2 4 2" xfId="158"/>
    <cellStyle name="Header1 2 5 2 4 2 2" xfId="158"/>
    <cellStyle name="Header1 2 5 2 4 2 3" xfId="158"/>
    <cellStyle name="Header1 2 5 2 4 2 4" xfId="158"/>
    <cellStyle name="Header1 2 5 2 4 3" xfId="158"/>
    <cellStyle name="Header1 2 5 2 4 4" xfId="158"/>
    <cellStyle name="Header1 2 5 2 4 5" xfId="158"/>
    <cellStyle name="Header1 2 5 2 4 6" xfId="158"/>
    <cellStyle name="Header1 2 5 2 4 7" xfId="158"/>
    <cellStyle name="Header1 2 5 2 5" xfId="158"/>
    <cellStyle name="Header1 2 5 2 5 2" xfId="158"/>
    <cellStyle name="Header1 2 5 2 5 3" xfId="158"/>
    <cellStyle name="Header1 2 5 2 5 4" xfId="158"/>
    <cellStyle name="Header1 2 5 2 6" xfId="158"/>
    <cellStyle name="Header1 2 5 2 7" xfId="158"/>
    <cellStyle name="Header1 2 5 2 8" xfId="158"/>
    <cellStyle name="Header1 2 5 2 9" xfId="158"/>
    <cellStyle name="Header1 2 5 3" xfId="158"/>
    <cellStyle name="Header1 2 5 3 2" xfId="158"/>
    <cellStyle name="Header1 2 5 3 2 2" xfId="158"/>
    <cellStyle name="Header1 2 5 3 2 3" xfId="158"/>
    <cellStyle name="Header1 2 5 3 2 4" xfId="158"/>
    <cellStyle name="Header1 2 5 3 3" xfId="158"/>
    <cellStyle name="Header1 2 5 3 4" xfId="158"/>
    <cellStyle name="Header1 2 5 3 5" xfId="158"/>
    <cellStyle name="Header1 2 5 3 6" xfId="158"/>
    <cellStyle name="Header1 2 5 3 7" xfId="158"/>
    <cellStyle name="Header1 2 5 4" xfId="158"/>
    <cellStyle name="Header1 2 5 4 2" xfId="158"/>
    <cellStyle name="Header1 2 5 4 2 2" xfId="158"/>
    <cellStyle name="Header1 2 5 4 2 3" xfId="158"/>
    <cellStyle name="Header1 2 5 4 2 4" xfId="158"/>
    <cellStyle name="Header1 2 5 4 2 5" xfId="158"/>
    <cellStyle name="Header1 2 5 4 3" xfId="158"/>
    <cellStyle name="Header1 2 5 4 3 2" xfId="158"/>
    <cellStyle name="Header1 2 5 4 3 3" xfId="158"/>
    <cellStyle name="Header1 2 5 4 3 4" xfId="158"/>
    <cellStyle name="Header1 2 5 4 4" xfId="158"/>
    <cellStyle name="Header1 2 5 4 5" xfId="158"/>
    <cellStyle name="Header1 2 5 4 6" xfId="158"/>
    <cellStyle name="Header1 2 5 4 7" xfId="158"/>
    <cellStyle name="Header1 2 5 4 8" xfId="158"/>
    <cellStyle name="Header1 2 5 5" xfId="158"/>
    <cellStyle name="Header1 2 5 5 2" xfId="158"/>
    <cellStyle name="Header1 2 5 5 2 2" xfId="158"/>
    <cellStyle name="Header1 2 5 5 2 3" xfId="158"/>
    <cellStyle name="Header1 2 5 5 2 4" xfId="158"/>
    <cellStyle name="Header1 2 5 5 2 5" xfId="158"/>
    <cellStyle name="Header1 2 5 5 3" xfId="158"/>
    <cellStyle name="Header1 2 5 5 3 2" xfId="158"/>
    <cellStyle name="Header1 2 5 5 3 3" xfId="158"/>
    <cellStyle name="Header1 2 5 5 3 4" xfId="158"/>
    <cellStyle name="Header1 2 5 5 4" xfId="158"/>
    <cellStyle name="Header1 2 5 5 5" xfId="158"/>
    <cellStyle name="Header1 2 5 5 6" xfId="158"/>
    <cellStyle name="Header1 2 5 5 7" xfId="158"/>
    <cellStyle name="Header1 2 5 6" xfId="158"/>
    <cellStyle name="Header1 2 5 6 2" xfId="158"/>
    <cellStyle name="Header1 2 5 6 2 2" xfId="158"/>
    <cellStyle name="Header1 2 5 6 2 3" xfId="158"/>
    <cellStyle name="Header1 2 5 6 2 4" xfId="158"/>
    <cellStyle name="Header1 2 5 6 3" xfId="158"/>
    <cellStyle name="Header1 2 5 6 4" xfId="158"/>
    <cellStyle name="Header1 2 5 6 5" xfId="158"/>
    <cellStyle name="Header1 2 5 6 6" xfId="158"/>
    <cellStyle name="Header1 2 5 6 7" xfId="158"/>
    <cellStyle name="Header1 2 5 7" xfId="158"/>
    <cellStyle name="Header1 2 5 7 2" xfId="158"/>
    <cellStyle name="Header1 2 5 7 3" xfId="158"/>
    <cellStyle name="Header1 2 5 7 4" xfId="158"/>
    <cellStyle name="Header1 2 5 8" xfId="158"/>
    <cellStyle name="Header1 2 5 9" xfId="158"/>
    <cellStyle name="Header1 2 6" xfId="158"/>
    <cellStyle name="Header1 2 6 2" xfId="158"/>
    <cellStyle name="Header1 2 6 2 2" xfId="158"/>
    <cellStyle name="Header1 2 6 2 2 2" xfId="158"/>
    <cellStyle name="Header1 2 6 2 2 3" xfId="158"/>
    <cellStyle name="Header1 2 6 2 2 4" xfId="158"/>
    <cellStyle name="Header1 2 6 2 2 5" xfId="158"/>
    <cellStyle name="Header1 2 6 2 3" xfId="158"/>
    <cellStyle name="Header1 2 6 2 3 2" xfId="158"/>
    <cellStyle name="Header1 2 6 2 3 3" xfId="158"/>
    <cellStyle name="Header1 2 6 2 3 4" xfId="158"/>
    <cellStyle name="Header1 2 6 2 4" xfId="158"/>
    <cellStyle name="Header1 2 6 2 5" xfId="158"/>
    <cellStyle name="Header1 2 6 2 6" xfId="158"/>
    <cellStyle name="Header1 2 6 2 7" xfId="158"/>
    <cellStyle name="Header1 2 6 2 8" xfId="158"/>
    <cellStyle name="Header1 2 6 3" xfId="158"/>
    <cellStyle name="Header1 2 6 3 2" xfId="158"/>
    <cellStyle name="Header1 2 6 3 2 2" xfId="158"/>
    <cellStyle name="Header1 2 6 3 2 3" xfId="158"/>
    <cellStyle name="Header1 2 6 3 2 4" xfId="158"/>
    <cellStyle name="Header1 2 6 3 2 5" xfId="158"/>
    <cellStyle name="Header1 2 6 3 3" xfId="158"/>
    <cellStyle name="Header1 2 6 3 3 2" xfId="158"/>
    <cellStyle name="Header1 2 6 3 3 3" xfId="158"/>
    <cellStyle name="Header1 2 6 3 3 4" xfId="158"/>
    <cellStyle name="Header1 2 6 3 4" xfId="158"/>
    <cellStyle name="Header1 2 6 3 5" xfId="158"/>
    <cellStyle name="Header1 2 6 3 6" xfId="158"/>
    <cellStyle name="Header1 2 6 3 7" xfId="158"/>
    <cellStyle name="Header1 2 6 4" xfId="158"/>
    <cellStyle name="Header1 2 6 4 2" xfId="158"/>
    <cellStyle name="Header1 2 6 4 2 2" xfId="158"/>
    <cellStyle name="Header1 2 6 4 2 3" xfId="158"/>
    <cellStyle name="Header1 2 6 4 2 4" xfId="158"/>
    <cellStyle name="Header1 2 6 4 3" xfId="158"/>
    <cellStyle name="Header1 2 6 4 4" xfId="158"/>
    <cellStyle name="Header1 2 6 4 5" xfId="158"/>
    <cellStyle name="Header1 2 6 4 6" xfId="158"/>
    <cellStyle name="Header1 2 6 4 7" xfId="158"/>
    <cellStyle name="Header1 2 6 5" xfId="158"/>
    <cellStyle name="Header1 2 6 5 2" xfId="158"/>
    <cellStyle name="Header1 2 6 5 3" xfId="158"/>
    <cellStyle name="Header1 2 6 5 4" xfId="158"/>
    <cellStyle name="Header1 2 6 6" xfId="158"/>
    <cellStyle name="Header1 2 6 7" xfId="158"/>
    <cellStyle name="Header1 2 6 8" xfId="158"/>
    <cellStyle name="Header1 2 6 9" xfId="158"/>
    <cellStyle name="Header1 2 7" xfId="158"/>
    <cellStyle name="Header1 2 7 2" xfId="158"/>
    <cellStyle name="Header1 2 7 2 2" xfId="158"/>
    <cellStyle name="Header1 2 7 2 3" xfId="158"/>
    <cellStyle name="Header1 2 7 2 4" xfId="158"/>
    <cellStyle name="Header1 2 7 3" xfId="158"/>
    <cellStyle name="Header1 2 7 4" xfId="158"/>
    <cellStyle name="Header1 2 7 5" xfId="158"/>
    <cellStyle name="Header1 2 7 6" xfId="158"/>
    <cellStyle name="Header1 2 7 7" xfId="158"/>
    <cellStyle name="Header1 2 8" xfId="158"/>
    <cellStyle name="Header1 2 8 2" xfId="158"/>
    <cellStyle name="Header1 2 8 2 2" xfId="158"/>
    <cellStyle name="Header1 2 8 2 3" xfId="158"/>
    <cellStyle name="Header1 2 8 2 4" xfId="158"/>
    <cellStyle name="Header1 2 8 3" xfId="158"/>
    <cellStyle name="Header1 2 8 4" xfId="158"/>
    <cellStyle name="Header1 2 8 5" xfId="158"/>
    <cellStyle name="Header1 2 8 6" xfId="158"/>
    <cellStyle name="Header1 2 8 7" xfId="158"/>
    <cellStyle name="Header1 2 9" xfId="158"/>
    <cellStyle name="Header1 2 9 2" xfId="158"/>
    <cellStyle name="Header1 2 9 2 2" xfId="158"/>
    <cellStyle name="Header1 2 9 2 3" xfId="158"/>
    <cellStyle name="Header1 2 9 2 4" xfId="158"/>
    <cellStyle name="Header1 2 9 2 5" xfId="158"/>
    <cellStyle name="Header1 2 9 3" xfId="158"/>
    <cellStyle name="Header1 2 9 3 2" xfId="158"/>
    <cellStyle name="Header1 2 9 3 3" xfId="158"/>
    <cellStyle name="Header1 2 9 3 4" xfId="158"/>
    <cellStyle name="Header1 2 9 4" xfId="158"/>
    <cellStyle name="Header1 2 9 5" xfId="158"/>
    <cellStyle name="Header1 2 9 6" xfId="158"/>
    <cellStyle name="Header1 2 9 7" xfId="158"/>
    <cellStyle name="Header1 2 9 8" xfId="158"/>
    <cellStyle name="Header1 3" xfId="158"/>
    <cellStyle name="Header1 3 10" xfId="158"/>
    <cellStyle name="Header1 3 10 2" xfId="158"/>
    <cellStyle name="Header1 3 10 2 2" xfId="158"/>
    <cellStyle name="Header1 3 10 2 3" xfId="158"/>
    <cellStyle name="Header1 3 10 2 4" xfId="158"/>
    <cellStyle name="Header1 3 10 2 5" xfId="158"/>
    <cellStyle name="Header1 3 10 3" xfId="158"/>
    <cellStyle name="Header1 3 10 3 2" xfId="158"/>
    <cellStyle name="Header1 3 10 3 3" xfId="158"/>
    <cellStyle name="Header1 3 10 3 4" xfId="158"/>
    <cellStyle name="Header1 3 10 4" xfId="158"/>
    <cellStyle name="Header1 3 10 5" xfId="158"/>
    <cellStyle name="Header1 3 10 6" xfId="158"/>
    <cellStyle name="Header1 3 10 7" xfId="158"/>
    <cellStyle name="Header1 3 10 8" xfId="158"/>
    <cellStyle name="Header1 3 11" xfId="158"/>
    <cellStyle name="Header1 3 11 2" xfId="158"/>
    <cellStyle name="Header1 3 11 2 2" xfId="158"/>
    <cellStyle name="Header1 3 11 2 3" xfId="158"/>
    <cellStyle name="Header1 3 11 2 4" xfId="158"/>
    <cellStyle name="Header1 3 11 2 5" xfId="158"/>
    <cellStyle name="Header1 3 11 3" xfId="158"/>
    <cellStyle name="Header1 3 11 3 2" xfId="158"/>
    <cellStyle name="Header1 3 11 3 3" xfId="158"/>
    <cellStyle name="Header1 3 11 3 4" xfId="158"/>
    <cellStyle name="Header1 3 11 4" xfId="158"/>
    <cellStyle name="Header1 3 11 5" xfId="158"/>
    <cellStyle name="Header1 3 11 6" xfId="158"/>
    <cellStyle name="Header1 3 11 7" xfId="158"/>
    <cellStyle name="Header1 3 12" xfId="158"/>
    <cellStyle name="Header1 3 12 2" xfId="158"/>
    <cellStyle name="Header1 3 12 2 2" xfId="158"/>
    <cellStyle name="Header1 3 12 2 3" xfId="158"/>
    <cellStyle name="Header1 3 12 2 4" xfId="158"/>
    <cellStyle name="Header1 3 12 3" xfId="158"/>
    <cellStyle name="Header1 3 12 4" xfId="158"/>
    <cellStyle name="Header1 3 12 5" xfId="158"/>
    <cellStyle name="Header1 3 12 6" xfId="158"/>
    <cellStyle name="Header1 3 12 7" xfId="158"/>
    <cellStyle name="Header1 3 13" xfId="158"/>
    <cellStyle name="Header1 3 13 2" xfId="158"/>
    <cellStyle name="Header1 3 13 3" xfId="158"/>
    <cellStyle name="Header1 3 13 4" xfId="158"/>
    <cellStyle name="Header1 3 14" xfId="158"/>
    <cellStyle name="Header1 3 15" xfId="158"/>
    <cellStyle name="Header1 3 16" xfId="158"/>
    <cellStyle name="Header1 3 17" xfId="158"/>
    <cellStyle name="Header1 3 2" xfId="158"/>
    <cellStyle name="Header1 3 2 10" xfId="158"/>
    <cellStyle name="Header1 3 2 10 2" xfId="158"/>
    <cellStyle name="Header1 3 2 10 2 2" xfId="158"/>
    <cellStyle name="Header1 3 2 10 2 3" xfId="158"/>
    <cellStyle name="Header1 3 2 10 2 4" xfId="158"/>
    <cellStyle name="Header1 3 2 10 3" xfId="158"/>
    <cellStyle name="Header1 3 2 10 4" xfId="158"/>
    <cellStyle name="Header1 3 2 10 5" xfId="158"/>
    <cellStyle name="Header1 3 2 10 6" xfId="158"/>
    <cellStyle name="Header1 3 2 10 7" xfId="158"/>
    <cellStyle name="Header1 3 2 11" xfId="158"/>
    <cellStyle name="Header1 3 2 11 2" xfId="158"/>
    <cellStyle name="Header1 3 2 11 3" xfId="158"/>
    <cellStyle name="Header1 3 2 11 4" xfId="158"/>
    <cellStyle name="Header1 3 2 12" xfId="158"/>
    <cellStyle name="Header1 3 2 13" xfId="158"/>
    <cellStyle name="Header1 3 2 14" xfId="158"/>
    <cellStyle name="Header1 3 2 15" xfId="158"/>
    <cellStyle name="Header1 3 2 2" xfId="158"/>
    <cellStyle name="Header1 3 2 2 10" xfId="158"/>
    <cellStyle name="Header1 3 2 2 11" xfId="158"/>
    <cellStyle name="Header1 3 2 2 2" xfId="158"/>
    <cellStyle name="Header1 3 2 2 2 2" xfId="158"/>
    <cellStyle name="Header1 3 2 2 2 2 2" xfId="158"/>
    <cellStyle name="Header1 3 2 2 2 2 2 2" xfId="158"/>
    <cellStyle name="Header1 3 2 2 2 2 2 3" xfId="158"/>
    <cellStyle name="Header1 3 2 2 2 2 2 4" xfId="158"/>
    <cellStyle name="Header1 3 2 2 2 2 2 5" xfId="158"/>
    <cellStyle name="Header1 3 2 2 2 2 3" xfId="158"/>
    <cellStyle name="Header1 3 2 2 2 2 3 2" xfId="158"/>
    <cellStyle name="Header1 3 2 2 2 2 3 3" xfId="158"/>
    <cellStyle name="Header1 3 2 2 2 2 3 4" xfId="158"/>
    <cellStyle name="Header1 3 2 2 2 2 4" xfId="158"/>
    <cellStyle name="Header1 3 2 2 2 2 5" xfId="158"/>
    <cellStyle name="Header1 3 2 2 2 2 6" xfId="158"/>
    <cellStyle name="Header1 3 2 2 2 2 7" xfId="158"/>
    <cellStyle name="Header1 3 2 2 2 2 8" xfId="158"/>
    <cellStyle name="Header1 3 2 2 2 3" xfId="158"/>
    <cellStyle name="Header1 3 2 2 2 3 2" xfId="158"/>
    <cellStyle name="Header1 3 2 2 2 3 2 2" xfId="158"/>
    <cellStyle name="Header1 3 2 2 2 3 2 3" xfId="158"/>
    <cellStyle name="Header1 3 2 2 2 3 2 4" xfId="158"/>
    <cellStyle name="Header1 3 2 2 2 3 2 5" xfId="158"/>
    <cellStyle name="Header1 3 2 2 2 3 3" xfId="158"/>
    <cellStyle name="Header1 3 2 2 2 3 3 2" xfId="158"/>
    <cellStyle name="Header1 3 2 2 2 3 3 3" xfId="158"/>
    <cellStyle name="Header1 3 2 2 2 3 3 4" xfId="158"/>
    <cellStyle name="Header1 3 2 2 2 3 4" xfId="158"/>
    <cellStyle name="Header1 3 2 2 2 3 5" xfId="158"/>
    <cellStyle name="Header1 3 2 2 2 3 6" xfId="158"/>
    <cellStyle name="Header1 3 2 2 2 3 7" xfId="158"/>
    <cellStyle name="Header1 3 2 2 2 4" xfId="158"/>
    <cellStyle name="Header1 3 2 2 2 4 2" xfId="158"/>
    <cellStyle name="Header1 3 2 2 2 4 2 2" xfId="158"/>
    <cellStyle name="Header1 3 2 2 2 4 2 3" xfId="158"/>
    <cellStyle name="Header1 3 2 2 2 4 2 4" xfId="158"/>
    <cellStyle name="Header1 3 2 2 2 4 3" xfId="158"/>
    <cellStyle name="Header1 3 2 2 2 4 4" xfId="158"/>
    <cellStyle name="Header1 3 2 2 2 4 5" xfId="158"/>
    <cellStyle name="Header1 3 2 2 2 4 6" xfId="158"/>
    <cellStyle name="Header1 3 2 2 2 4 7" xfId="158"/>
    <cellStyle name="Header1 3 2 2 2 5" xfId="158"/>
    <cellStyle name="Header1 3 2 2 2 5 2" xfId="158"/>
    <cellStyle name="Header1 3 2 2 2 5 3" xfId="158"/>
    <cellStyle name="Header1 3 2 2 2 5 4" xfId="158"/>
    <cellStyle name="Header1 3 2 2 2 6" xfId="158"/>
    <cellStyle name="Header1 3 2 2 2 7" xfId="158"/>
    <cellStyle name="Header1 3 2 2 2 8" xfId="158"/>
    <cellStyle name="Header1 3 2 2 2 9" xfId="158"/>
    <cellStyle name="Header1 3 2 2 3" xfId="158"/>
    <cellStyle name="Header1 3 2 2 3 2" xfId="158"/>
    <cellStyle name="Header1 3 2 2 3 2 2" xfId="158"/>
    <cellStyle name="Header1 3 2 2 3 2 3" xfId="158"/>
    <cellStyle name="Header1 3 2 2 3 2 4" xfId="158"/>
    <cellStyle name="Header1 3 2 2 3 3" xfId="158"/>
    <cellStyle name="Header1 3 2 2 3 4" xfId="158"/>
    <cellStyle name="Header1 3 2 2 3 5" xfId="158"/>
    <cellStyle name="Header1 3 2 2 3 6" xfId="158"/>
    <cellStyle name="Header1 3 2 2 3 7" xfId="158"/>
    <cellStyle name="Header1 3 2 2 4" xfId="158"/>
    <cellStyle name="Header1 3 2 2 4 2" xfId="158"/>
    <cellStyle name="Header1 3 2 2 4 2 2" xfId="158"/>
    <cellStyle name="Header1 3 2 2 4 2 3" xfId="158"/>
    <cellStyle name="Header1 3 2 2 4 2 4" xfId="158"/>
    <cellStyle name="Header1 3 2 2 4 2 5" xfId="158"/>
    <cellStyle name="Header1 3 2 2 4 3" xfId="158"/>
    <cellStyle name="Header1 3 2 2 4 3 2" xfId="158"/>
    <cellStyle name="Header1 3 2 2 4 3 3" xfId="158"/>
    <cellStyle name="Header1 3 2 2 4 3 4" xfId="158"/>
    <cellStyle name="Header1 3 2 2 4 4" xfId="158"/>
    <cellStyle name="Header1 3 2 2 4 5" xfId="158"/>
    <cellStyle name="Header1 3 2 2 4 6" xfId="158"/>
    <cellStyle name="Header1 3 2 2 4 7" xfId="158"/>
    <cellStyle name="Header1 3 2 2 4 8" xfId="158"/>
    <cellStyle name="Header1 3 2 2 5" xfId="158"/>
    <cellStyle name="Header1 3 2 2 5 2" xfId="158"/>
    <cellStyle name="Header1 3 2 2 5 2 2" xfId="158"/>
    <cellStyle name="Header1 3 2 2 5 2 3" xfId="158"/>
    <cellStyle name="Header1 3 2 2 5 2 4" xfId="158"/>
    <cellStyle name="Header1 3 2 2 5 2 5" xfId="158"/>
    <cellStyle name="Header1 3 2 2 5 3" xfId="158"/>
    <cellStyle name="Header1 3 2 2 5 3 2" xfId="158"/>
    <cellStyle name="Header1 3 2 2 5 3 3" xfId="158"/>
    <cellStyle name="Header1 3 2 2 5 3 4" xfId="158"/>
    <cellStyle name="Header1 3 2 2 5 4" xfId="158"/>
    <cellStyle name="Header1 3 2 2 5 5" xfId="158"/>
    <cellStyle name="Header1 3 2 2 5 6" xfId="158"/>
    <cellStyle name="Header1 3 2 2 5 7" xfId="158"/>
    <cellStyle name="Header1 3 2 2 6" xfId="158"/>
    <cellStyle name="Header1 3 2 2 6 2" xfId="158"/>
    <cellStyle name="Header1 3 2 2 6 2 2" xfId="158"/>
    <cellStyle name="Header1 3 2 2 6 2 3" xfId="158"/>
    <cellStyle name="Header1 3 2 2 6 2 4" xfId="158"/>
    <cellStyle name="Header1 3 2 2 6 3" xfId="158"/>
    <cellStyle name="Header1 3 2 2 6 4" xfId="158"/>
    <cellStyle name="Header1 3 2 2 6 5" xfId="158"/>
    <cellStyle name="Header1 3 2 2 6 6" xfId="158"/>
    <cellStyle name="Header1 3 2 2 6 7" xfId="158"/>
    <cellStyle name="Header1 3 2 2 7" xfId="158"/>
    <cellStyle name="Header1 3 2 2 7 2" xfId="158"/>
    <cellStyle name="Header1 3 2 2 7 3" xfId="158"/>
    <cellStyle name="Header1 3 2 2 7 4" xfId="158"/>
    <cellStyle name="Header1 3 2 2 8" xfId="158"/>
    <cellStyle name="Header1 3 2 2 9" xfId="158"/>
    <cellStyle name="Header1 3 2 3" xfId="158"/>
    <cellStyle name="Header1 3 2 3 10" xfId="158"/>
    <cellStyle name="Header1 3 2 3 11" xfId="158"/>
    <cellStyle name="Header1 3 2 3 2" xfId="158"/>
    <cellStyle name="Header1 3 2 3 2 2" xfId="158"/>
    <cellStyle name="Header1 3 2 3 2 2 2" xfId="158"/>
    <cellStyle name="Header1 3 2 3 2 2 2 2" xfId="158"/>
    <cellStyle name="Header1 3 2 3 2 2 2 3" xfId="158"/>
    <cellStyle name="Header1 3 2 3 2 2 2 4" xfId="158"/>
    <cellStyle name="Header1 3 2 3 2 2 2 5" xfId="158"/>
    <cellStyle name="Header1 3 2 3 2 2 3" xfId="158"/>
    <cellStyle name="Header1 3 2 3 2 2 3 2" xfId="158"/>
    <cellStyle name="Header1 3 2 3 2 2 3 3" xfId="158"/>
    <cellStyle name="Header1 3 2 3 2 2 3 4" xfId="158"/>
    <cellStyle name="Header1 3 2 3 2 2 4" xfId="158"/>
    <cellStyle name="Header1 3 2 3 2 2 5" xfId="158"/>
    <cellStyle name="Header1 3 2 3 2 2 6" xfId="158"/>
    <cellStyle name="Header1 3 2 3 2 2 7" xfId="158"/>
    <cellStyle name="Header1 3 2 3 2 2 8" xfId="158"/>
    <cellStyle name="Header1 3 2 3 2 3" xfId="158"/>
    <cellStyle name="Header1 3 2 3 2 3 2" xfId="158"/>
    <cellStyle name="Header1 3 2 3 2 3 2 2" xfId="158"/>
    <cellStyle name="Header1 3 2 3 2 3 2 3" xfId="158"/>
    <cellStyle name="Header1 3 2 3 2 3 2 4" xfId="158"/>
    <cellStyle name="Header1 3 2 3 2 3 2 5" xfId="158"/>
    <cellStyle name="Header1 3 2 3 2 3 3" xfId="158"/>
    <cellStyle name="Header1 3 2 3 2 3 3 2" xfId="158"/>
    <cellStyle name="Header1 3 2 3 2 3 3 3" xfId="158"/>
    <cellStyle name="Header1 3 2 3 2 3 3 4" xfId="158"/>
    <cellStyle name="Header1 3 2 3 2 3 4" xfId="158"/>
    <cellStyle name="Header1 3 2 3 2 3 5" xfId="158"/>
    <cellStyle name="Header1 3 2 3 2 3 6" xfId="158"/>
    <cellStyle name="Header1 3 2 3 2 3 7" xfId="158"/>
    <cellStyle name="Header1 3 2 3 2 4" xfId="158"/>
    <cellStyle name="Header1 3 2 3 2 4 2" xfId="158"/>
    <cellStyle name="Header1 3 2 3 2 4 2 2" xfId="158"/>
    <cellStyle name="Header1 3 2 3 2 4 2 3" xfId="158"/>
    <cellStyle name="Header1 3 2 3 2 4 2 4" xfId="158"/>
    <cellStyle name="Header1 3 2 3 2 4 3" xfId="158"/>
    <cellStyle name="Header1 3 2 3 2 4 4" xfId="158"/>
    <cellStyle name="Header1 3 2 3 2 4 5" xfId="158"/>
    <cellStyle name="Header1 3 2 3 2 4 6" xfId="158"/>
    <cellStyle name="Header1 3 2 3 2 4 7" xfId="158"/>
    <cellStyle name="Header1 3 2 3 2 5" xfId="158"/>
    <cellStyle name="Header1 3 2 3 2 5 2" xfId="158"/>
    <cellStyle name="Header1 3 2 3 2 5 3" xfId="158"/>
    <cellStyle name="Header1 3 2 3 2 5 4" xfId="158"/>
    <cellStyle name="Header1 3 2 3 2 6" xfId="158"/>
    <cellStyle name="Header1 3 2 3 2 7" xfId="158"/>
    <cellStyle name="Header1 3 2 3 2 8" xfId="158"/>
    <cellStyle name="Header1 3 2 3 2 9" xfId="158"/>
    <cellStyle name="Header1 3 2 3 3" xfId="158"/>
    <cellStyle name="Header1 3 2 3 3 2" xfId="158"/>
    <cellStyle name="Header1 3 2 3 3 2 2" xfId="158"/>
    <cellStyle name="Header1 3 2 3 3 2 3" xfId="158"/>
    <cellStyle name="Header1 3 2 3 3 2 4" xfId="158"/>
    <cellStyle name="Header1 3 2 3 3 3" xfId="158"/>
    <cellStyle name="Header1 3 2 3 3 4" xfId="158"/>
    <cellStyle name="Header1 3 2 3 3 5" xfId="158"/>
    <cellStyle name="Header1 3 2 3 3 6" xfId="158"/>
    <cellStyle name="Header1 3 2 3 3 7" xfId="158"/>
    <cellStyle name="Header1 3 2 3 4" xfId="158"/>
    <cellStyle name="Header1 3 2 3 4 2" xfId="158"/>
    <cellStyle name="Header1 3 2 3 4 2 2" xfId="158"/>
    <cellStyle name="Header1 3 2 3 4 2 3" xfId="158"/>
    <cellStyle name="Header1 3 2 3 4 2 4" xfId="158"/>
    <cellStyle name="Header1 3 2 3 4 2 5" xfId="158"/>
    <cellStyle name="Header1 3 2 3 4 3" xfId="158"/>
    <cellStyle name="Header1 3 2 3 4 3 2" xfId="158"/>
    <cellStyle name="Header1 3 2 3 4 3 3" xfId="158"/>
    <cellStyle name="Header1 3 2 3 4 3 4" xfId="158"/>
    <cellStyle name="Header1 3 2 3 4 4" xfId="158"/>
    <cellStyle name="Header1 3 2 3 4 5" xfId="158"/>
    <cellStyle name="Header1 3 2 3 4 6" xfId="158"/>
    <cellStyle name="Header1 3 2 3 4 7" xfId="158"/>
    <cellStyle name="Header1 3 2 3 4 8" xfId="158"/>
    <cellStyle name="Header1 3 2 3 5" xfId="158"/>
    <cellStyle name="Header1 3 2 3 5 2" xfId="158"/>
    <cellStyle name="Header1 3 2 3 5 2 2" xfId="158"/>
    <cellStyle name="Header1 3 2 3 5 2 3" xfId="158"/>
    <cellStyle name="Header1 3 2 3 5 2 4" xfId="158"/>
    <cellStyle name="Header1 3 2 3 5 2 5" xfId="158"/>
    <cellStyle name="Header1 3 2 3 5 3" xfId="158"/>
    <cellStyle name="Header1 3 2 3 5 3 2" xfId="158"/>
    <cellStyle name="Header1 3 2 3 5 3 3" xfId="158"/>
    <cellStyle name="Header1 3 2 3 5 3 4" xfId="158"/>
    <cellStyle name="Header1 3 2 3 5 4" xfId="158"/>
    <cellStyle name="Header1 3 2 3 5 5" xfId="158"/>
    <cellStyle name="Header1 3 2 3 5 6" xfId="158"/>
    <cellStyle name="Header1 3 2 3 5 7" xfId="158"/>
    <cellStyle name="Header1 3 2 3 6" xfId="158"/>
    <cellStyle name="Header1 3 2 3 6 2" xfId="158"/>
    <cellStyle name="Header1 3 2 3 6 2 2" xfId="158"/>
    <cellStyle name="Header1 3 2 3 6 2 3" xfId="158"/>
    <cellStyle name="Header1 3 2 3 6 2 4" xfId="158"/>
    <cellStyle name="Header1 3 2 3 6 3" xfId="158"/>
    <cellStyle name="Header1 3 2 3 6 4" xfId="158"/>
    <cellStyle name="Header1 3 2 3 6 5" xfId="158"/>
    <cellStyle name="Header1 3 2 3 6 6" xfId="158"/>
    <cellStyle name="Header1 3 2 3 6 7" xfId="158"/>
    <cellStyle name="Header1 3 2 3 7" xfId="158"/>
    <cellStyle name="Header1 3 2 3 7 2" xfId="158"/>
    <cellStyle name="Header1 3 2 3 7 3" xfId="158"/>
    <cellStyle name="Header1 3 2 3 7 4" xfId="158"/>
    <cellStyle name="Header1 3 2 3 8" xfId="158"/>
    <cellStyle name="Header1 3 2 3 9" xfId="158"/>
    <cellStyle name="Header1 3 2 4" xfId="158"/>
    <cellStyle name="Header1 3 2 4 10" xfId="158"/>
    <cellStyle name="Header1 3 2 4 11" xfId="158"/>
    <cellStyle name="Header1 3 2 4 2" xfId="158"/>
    <cellStyle name="Header1 3 2 4 2 2" xfId="158"/>
    <cellStyle name="Header1 3 2 4 2 2 2" xfId="158"/>
    <cellStyle name="Header1 3 2 4 2 2 2 2" xfId="158"/>
    <cellStyle name="Header1 3 2 4 2 2 2 3" xfId="158"/>
    <cellStyle name="Header1 3 2 4 2 2 2 4" xfId="158"/>
    <cellStyle name="Header1 3 2 4 2 2 2 5" xfId="158"/>
    <cellStyle name="Header1 3 2 4 2 2 3" xfId="158"/>
    <cellStyle name="Header1 3 2 4 2 2 3 2" xfId="158"/>
    <cellStyle name="Header1 3 2 4 2 2 3 3" xfId="158"/>
    <cellStyle name="Header1 3 2 4 2 2 3 4" xfId="158"/>
    <cellStyle name="Header1 3 2 4 2 2 4" xfId="158"/>
    <cellStyle name="Header1 3 2 4 2 2 5" xfId="158"/>
    <cellStyle name="Header1 3 2 4 2 2 6" xfId="158"/>
    <cellStyle name="Header1 3 2 4 2 2 7" xfId="158"/>
    <cellStyle name="Header1 3 2 4 2 2 8" xfId="158"/>
    <cellStyle name="Header1 3 2 4 2 3" xfId="158"/>
    <cellStyle name="Header1 3 2 4 2 3 2" xfId="158"/>
    <cellStyle name="Header1 3 2 4 2 3 2 2" xfId="158"/>
    <cellStyle name="Header1 3 2 4 2 3 2 3" xfId="158"/>
    <cellStyle name="Header1 3 2 4 2 3 2 4" xfId="158"/>
    <cellStyle name="Header1 3 2 4 2 3 2 5" xfId="158"/>
    <cellStyle name="Header1 3 2 4 2 3 3" xfId="158"/>
    <cellStyle name="Header1 3 2 4 2 3 3 2" xfId="158"/>
    <cellStyle name="Header1 3 2 4 2 3 3 3" xfId="158"/>
    <cellStyle name="Header1 3 2 4 2 3 3 4" xfId="158"/>
    <cellStyle name="Header1 3 2 4 2 3 4" xfId="158"/>
    <cellStyle name="Header1 3 2 4 2 3 5" xfId="158"/>
    <cellStyle name="Header1 3 2 4 2 3 6" xfId="158"/>
    <cellStyle name="Header1 3 2 4 2 3 7" xfId="158"/>
    <cellStyle name="Header1 3 2 4 2 4" xfId="158"/>
    <cellStyle name="Header1 3 2 4 2 4 2" xfId="158"/>
    <cellStyle name="Header1 3 2 4 2 4 2 2" xfId="158"/>
    <cellStyle name="Header1 3 2 4 2 4 2 3" xfId="158"/>
    <cellStyle name="Header1 3 2 4 2 4 2 4" xfId="158"/>
    <cellStyle name="Header1 3 2 4 2 4 3" xfId="158"/>
    <cellStyle name="Header1 3 2 4 2 4 4" xfId="158"/>
    <cellStyle name="Header1 3 2 4 2 4 5" xfId="158"/>
    <cellStyle name="Header1 3 2 4 2 4 6" xfId="158"/>
    <cellStyle name="Header1 3 2 4 2 4 7" xfId="158"/>
    <cellStyle name="Header1 3 2 4 2 5" xfId="158"/>
    <cellStyle name="Header1 3 2 4 2 5 2" xfId="158"/>
    <cellStyle name="Header1 3 2 4 2 5 3" xfId="158"/>
    <cellStyle name="Header1 3 2 4 2 5 4" xfId="158"/>
    <cellStyle name="Header1 3 2 4 2 6" xfId="158"/>
    <cellStyle name="Header1 3 2 4 2 7" xfId="158"/>
    <cellStyle name="Header1 3 2 4 2 8" xfId="158"/>
    <cellStyle name="Header1 3 2 4 2 9" xfId="158"/>
    <cellStyle name="Header1 3 2 4 3" xfId="158"/>
    <cellStyle name="Header1 3 2 4 3 2" xfId="158"/>
    <cellStyle name="Header1 3 2 4 3 2 2" xfId="158"/>
    <cellStyle name="Header1 3 2 4 3 2 3" xfId="158"/>
    <cellStyle name="Header1 3 2 4 3 2 4" xfId="158"/>
    <cellStyle name="Header1 3 2 4 3 3" xfId="158"/>
    <cellStyle name="Header1 3 2 4 3 4" xfId="158"/>
    <cellStyle name="Header1 3 2 4 3 5" xfId="158"/>
    <cellStyle name="Header1 3 2 4 3 6" xfId="158"/>
    <cellStyle name="Header1 3 2 4 3 7" xfId="158"/>
    <cellStyle name="Header1 3 2 4 4" xfId="158"/>
    <cellStyle name="Header1 3 2 4 4 2" xfId="158"/>
    <cellStyle name="Header1 3 2 4 4 2 2" xfId="158"/>
    <cellStyle name="Header1 3 2 4 4 2 3" xfId="158"/>
    <cellStyle name="Header1 3 2 4 4 2 4" xfId="158"/>
    <cellStyle name="Header1 3 2 4 4 2 5" xfId="158"/>
    <cellStyle name="Header1 3 2 4 4 3" xfId="158"/>
    <cellStyle name="Header1 3 2 4 4 3 2" xfId="158"/>
    <cellStyle name="Header1 3 2 4 4 3 3" xfId="158"/>
    <cellStyle name="Header1 3 2 4 4 3 4" xfId="158"/>
    <cellStyle name="Header1 3 2 4 4 4" xfId="158"/>
    <cellStyle name="Header1 3 2 4 4 5" xfId="158"/>
    <cellStyle name="Header1 3 2 4 4 6" xfId="158"/>
    <cellStyle name="Header1 3 2 4 4 7" xfId="158"/>
    <cellStyle name="Header1 3 2 4 4 8" xfId="158"/>
    <cellStyle name="Header1 3 2 4 5" xfId="158"/>
    <cellStyle name="Header1 3 2 4 5 2" xfId="158"/>
    <cellStyle name="Header1 3 2 4 5 2 2" xfId="158"/>
    <cellStyle name="Header1 3 2 4 5 2 3" xfId="158"/>
    <cellStyle name="Header1 3 2 4 5 2 4" xfId="158"/>
    <cellStyle name="Header1 3 2 4 5 2 5" xfId="158"/>
    <cellStyle name="Header1 3 2 4 5 3" xfId="158"/>
    <cellStyle name="Header1 3 2 4 5 3 2" xfId="158"/>
    <cellStyle name="Header1 3 2 4 5 3 3" xfId="158"/>
    <cellStyle name="Header1 3 2 4 5 3 4" xfId="158"/>
    <cellStyle name="Header1 3 2 4 5 4" xfId="158"/>
    <cellStyle name="Header1 3 2 4 5 5" xfId="158"/>
    <cellStyle name="Header1 3 2 4 5 6" xfId="158"/>
    <cellStyle name="Header1 3 2 4 5 7" xfId="158"/>
    <cellStyle name="Header1 3 2 4 6" xfId="158"/>
    <cellStyle name="Header1 3 2 4 6 2" xfId="158"/>
    <cellStyle name="Header1 3 2 4 6 2 2" xfId="158"/>
    <cellStyle name="Header1 3 2 4 6 2 3" xfId="158"/>
    <cellStyle name="Header1 3 2 4 6 2 4" xfId="158"/>
    <cellStyle name="Header1 3 2 4 6 3" xfId="158"/>
    <cellStyle name="Header1 3 2 4 6 4" xfId="158"/>
    <cellStyle name="Header1 3 2 4 6 5" xfId="158"/>
    <cellStyle name="Header1 3 2 4 6 6" xfId="158"/>
    <cellStyle name="Header1 3 2 4 6 7" xfId="158"/>
    <cellStyle name="Header1 3 2 4 7" xfId="158"/>
    <cellStyle name="Header1 3 2 4 7 2" xfId="158"/>
    <cellStyle name="Header1 3 2 4 7 3" xfId="158"/>
    <cellStyle name="Header1 3 2 4 7 4" xfId="158"/>
    <cellStyle name="Header1 3 2 4 8" xfId="158"/>
    <cellStyle name="Header1 3 2 4 9" xfId="158"/>
    <cellStyle name="Header1 3 2 5" xfId="158"/>
    <cellStyle name="Header1 3 2 5 2" xfId="158"/>
    <cellStyle name="Header1 3 2 5 2 2" xfId="158"/>
    <cellStyle name="Header1 3 2 5 2 2 2" xfId="158"/>
    <cellStyle name="Header1 3 2 5 2 2 3" xfId="158"/>
    <cellStyle name="Header1 3 2 5 2 2 4" xfId="158"/>
    <cellStyle name="Header1 3 2 5 2 2 5" xfId="158"/>
    <cellStyle name="Header1 3 2 5 2 3" xfId="158"/>
    <cellStyle name="Header1 3 2 5 2 3 2" xfId="158"/>
    <cellStyle name="Header1 3 2 5 2 3 3" xfId="158"/>
    <cellStyle name="Header1 3 2 5 2 3 4" xfId="158"/>
    <cellStyle name="Header1 3 2 5 2 4" xfId="158"/>
    <cellStyle name="Header1 3 2 5 2 5" xfId="158"/>
    <cellStyle name="Header1 3 2 5 2 6" xfId="158"/>
    <cellStyle name="Header1 3 2 5 2 7" xfId="158"/>
    <cellStyle name="Header1 3 2 5 2 8" xfId="158"/>
    <cellStyle name="Header1 3 2 5 3" xfId="158"/>
    <cellStyle name="Header1 3 2 5 3 2" xfId="158"/>
    <cellStyle name="Header1 3 2 5 3 2 2" xfId="158"/>
    <cellStyle name="Header1 3 2 5 3 2 3" xfId="158"/>
    <cellStyle name="Header1 3 2 5 3 2 4" xfId="158"/>
    <cellStyle name="Header1 3 2 5 3 2 5" xfId="158"/>
    <cellStyle name="Header1 3 2 5 3 3" xfId="158"/>
    <cellStyle name="Header1 3 2 5 3 3 2" xfId="158"/>
    <cellStyle name="Header1 3 2 5 3 3 3" xfId="158"/>
    <cellStyle name="Header1 3 2 5 3 3 4" xfId="158"/>
    <cellStyle name="Header1 3 2 5 3 4" xfId="158"/>
    <cellStyle name="Header1 3 2 5 3 5" xfId="158"/>
    <cellStyle name="Header1 3 2 5 3 6" xfId="158"/>
    <cellStyle name="Header1 3 2 5 3 7" xfId="158"/>
    <cellStyle name="Header1 3 2 5 4" xfId="158"/>
    <cellStyle name="Header1 3 2 5 4 2" xfId="158"/>
    <cellStyle name="Header1 3 2 5 4 2 2" xfId="158"/>
    <cellStyle name="Header1 3 2 5 4 2 3" xfId="158"/>
    <cellStyle name="Header1 3 2 5 4 2 4" xfId="158"/>
    <cellStyle name="Header1 3 2 5 4 3" xfId="158"/>
    <cellStyle name="Header1 3 2 5 4 4" xfId="158"/>
    <cellStyle name="Header1 3 2 5 4 5" xfId="158"/>
    <cellStyle name="Header1 3 2 5 4 6" xfId="158"/>
    <cellStyle name="Header1 3 2 5 4 7" xfId="158"/>
    <cellStyle name="Header1 3 2 5 5" xfId="158"/>
    <cellStyle name="Header1 3 2 5 5 2" xfId="158"/>
    <cellStyle name="Header1 3 2 5 5 3" xfId="158"/>
    <cellStyle name="Header1 3 2 5 5 4" xfId="158"/>
    <cellStyle name="Header1 3 2 5 6" xfId="158"/>
    <cellStyle name="Header1 3 2 5 7" xfId="158"/>
    <cellStyle name="Header1 3 2 5 8" xfId="158"/>
    <cellStyle name="Header1 3 2 5 9" xfId="158"/>
    <cellStyle name="Header1 3 2 6" xfId="158"/>
    <cellStyle name="Header1 3 2 6 2" xfId="158"/>
    <cellStyle name="Header1 3 2 6 2 2" xfId="158"/>
    <cellStyle name="Header1 3 2 6 2 3" xfId="158"/>
    <cellStyle name="Header1 3 2 6 2 4" xfId="158"/>
    <cellStyle name="Header1 3 2 6 3" xfId="158"/>
    <cellStyle name="Header1 3 2 6 4" xfId="158"/>
    <cellStyle name="Header1 3 2 6 5" xfId="158"/>
    <cellStyle name="Header1 3 2 6 6" xfId="158"/>
    <cellStyle name="Header1 3 2 6 7" xfId="158"/>
    <cellStyle name="Header1 3 2 7" xfId="158"/>
    <cellStyle name="Header1 3 2 7 2" xfId="158"/>
    <cellStyle name="Header1 3 2 7 2 2" xfId="158"/>
    <cellStyle name="Header1 3 2 7 2 3" xfId="158"/>
    <cellStyle name="Header1 3 2 7 2 4" xfId="158"/>
    <cellStyle name="Header1 3 2 7 3" xfId="158"/>
    <cellStyle name="Header1 3 2 7 4" xfId="158"/>
    <cellStyle name="Header1 3 2 7 5" xfId="158"/>
    <cellStyle name="Header1 3 2 7 6" xfId="158"/>
    <cellStyle name="Header1 3 2 7 7" xfId="158"/>
    <cellStyle name="Header1 3 2 8" xfId="158"/>
    <cellStyle name="Header1 3 2 8 2" xfId="158"/>
    <cellStyle name="Header1 3 2 8 2 2" xfId="158"/>
    <cellStyle name="Header1 3 2 8 2 3" xfId="158"/>
    <cellStyle name="Header1 3 2 8 2 4" xfId="158"/>
    <cellStyle name="Header1 3 2 8 2 5" xfId="158"/>
    <cellStyle name="Header1 3 2 8 3" xfId="158"/>
    <cellStyle name="Header1 3 2 8 3 2" xfId="158"/>
    <cellStyle name="Header1 3 2 8 3 3" xfId="158"/>
    <cellStyle name="Header1 3 2 8 3 4" xfId="158"/>
    <cellStyle name="Header1 3 2 8 4" xfId="158"/>
    <cellStyle name="Header1 3 2 8 5" xfId="158"/>
    <cellStyle name="Header1 3 2 8 6" xfId="158"/>
    <cellStyle name="Header1 3 2 8 7" xfId="158"/>
    <cellStyle name="Header1 3 2 8 8" xfId="158"/>
    <cellStyle name="Header1 3 2 9" xfId="158"/>
    <cellStyle name="Header1 3 2 9 2" xfId="158"/>
    <cellStyle name="Header1 3 2 9 2 2" xfId="158"/>
    <cellStyle name="Header1 3 2 9 2 3" xfId="158"/>
    <cellStyle name="Header1 3 2 9 2 4" xfId="158"/>
    <cellStyle name="Header1 3 2 9 2 5" xfId="158"/>
    <cellStyle name="Header1 3 2 9 3" xfId="158"/>
    <cellStyle name="Header1 3 2 9 3 2" xfId="158"/>
    <cellStyle name="Header1 3 2 9 3 3" xfId="158"/>
    <cellStyle name="Header1 3 2 9 3 4" xfId="158"/>
    <cellStyle name="Header1 3 2 9 4" xfId="158"/>
    <cellStyle name="Header1 3 2 9 5" xfId="158"/>
    <cellStyle name="Header1 3 2 9 6" xfId="158"/>
    <cellStyle name="Header1 3 2 9 7" xfId="158"/>
    <cellStyle name="Header1 3 3" xfId="158"/>
    <cellStyle name="Header1 3 3 10" xfId="158"/>
    <cellStyle name="Header1 3 3 10 2" xfId="158"/>
    <cellStyle name="Header1 3 3 10 2 2" xfId="158"/>
    <cellStyle name="Header1 3 3 10 2 3" xfId="158"/>
    <cellStyle name="Header1 3 3 10 2 4" xfId="158"/>
    <cellStyle name="Header1 3 3 10 3" xfId="158"/>
    <cellStyle name="Header1 3 3 10 4" xfId="158"/>
    <cellStyle name="Header1 3 3 10 5" xfId="158"/>
    <cellStyle name="Header1 3 3 10 6" xfId="158"/>
    <cellStyle name="Header1 3 3 10 7" xfId="158"/>
    <cellStyle name="Header1 3 3 11" xfId="158"/>
    <cellStyle name="Header1 3 3 11 2" xfId="158"/>
    <cellStyle name="Header1 3 3 11 3" xfId="158"/>
    <cellStyle name="Header1 3 3 11 4" xfId="158"/>
    <cellStyle name="Header1 3 3 12" xfId="158"/>
    <cellStyle name="Header1 3 3 13" xfId="158"/>
    <cellStyle name="Header1 3 3 14" xfId="158"/>
    <cellStyle name="Header1 3 3 15" xfId="158"/>
    <cellStyle name="Header1 3 3 2" xfId="158"/>
    <cellStyle name="Header1 3 3 2 10" xfId="158"/>
    <cellStyle name="Header1 3 3 2 11" xfId="158"/>
    <cellStyle name="Header1 3 3 2 2" xfId="158"/>
    <cellStyle name="Header1 3 3 2 2 2" xfId="158"/>
    <cellStyle name="Header1 3 3 2 2 2 2" xfId="158"/>
    <cellStyle name="Header1 3 3 2 2 2 2 2" xfId="158"/>
    <cellStyle name="Header1 3 3 2 2 2 2 3" xfId="158"/>
    <cellStyle name="Header1 3 3 2 2 2 2 4" xfId="158"/>
    <cellStyle name="Header1 3 3 2 2 2 2 5" xfId="158"/>
    <cellStyle name="Header1 3 3 2 2 2 3" xfId="158"/>
    <cellStyle name="Header1 3 3 2 2 2 3 2" xfId="158"/>
    <cellStyle name="Header1 3 3 2 2 2 3 3" xfId="158"/>
    <cellStyle name="Header1 3 3 2 2 2 3 4" xfId="158"/>
    <cellStyle name="Header1 3 3 2 2 2 4" xfId="158"/>
    <cellStyle name="Header1 3 3 2 2 2 5" xfId="158"/>
    <cellStyle name="Header1 3 3 2 2 2 6" xfId="158"/>
    <cellStyle name="Header1 3 3 2 2 2 7" xfId="158"/>
    <cellStyle name="Header1 3 3 2 2 2 8" xfId="158"/>
    <cellStyle name="Header1 3 3 2 2 3" xfId="158"/>
    <cellStyle name="Header1 3 3 2 2 3 2" xfId="158"/>
    <cellStyle name="Header1 3 3 2 2 3 2 2" xfId="158"/>
    <cellStyle name="Header1 3 3 2 2 3 2 3" xfId="158"/>
    <cellStyle name="Header1 3 3 2 2 3 2 4" xfId="158"/>
    <cellStyle name="Header1 3 3 2 2 3 2 5" xfId="158"/>
    <cellStyle name="Header1 3 3 2 2 3 3" xfId="158"/>
    <cellStyle name="Header1 3 3 2 2 3 3 2" xfId="158"/>
    <cellStyle name="Header1 3 3 2 2 3 3 3" xfId="158"/>
    <cellStyle name="Header1 3 3 2 2 3 3 4" xfId="158"/>
    <cellStyle name="Header1 3 3 2 2 3 4" xfId="158"/>
    <cellStyle name="Header1 3 3 2 2 3 5" xfId="158"/>
    <cellStyle name="Header1 3 3 2 2 3 6" xfId="158"/>
    <cellStyle name="Header1 3 3 2 2 3 7" xfId="158"/>
    <cellStyle name="Header1 3 3 2 2 4" xfId="158"/>
    <cellStyle name="Header1 3 3 2 2 4 2" xfId="158"/>
    <cellStyle name="Header1 3 3 2 2 4 2 2" xfId="158"/>
    <cellStyle name="Header1 3 3 2 2 4 2 3" xfId="158"/>
    <cellStyle name="Header1 3 3 2 2 4 2 4" xfId="158"/>
    <cellStyle name="Header1 3 3 2 2 4 3" xfId="158"/>
    <cellStyle name="Header1 3 3 2 2 4 4" xfId="158"/>
    <cellStyle name="Header1 3 3 2 2 4 5" xfId="158"/>
    <cellStyle name="Header1 3 3 2 2 4 6" xfId="158"/>
    <cellStyle name="Header1 3 3 2 2 4 7" xfId="158"/>
    <cellStyle name="Header1 3 3 2 2 5" xfId="158"/>
    <cellStyle name="Header1 3 3 2 2 5 2" xfId="158"/>
    <cellStyle name="Header1 3 3 2 2 5 3" xfId="158"/>
    <cellStyle name="Header1 3 3 2 2 5 4" xfId="158"/>
    <cellStyle name="Header1 3 3 2 2 6" xfId="158"/>
    <cellStyle name="Header1 3 3 2 2 7" xfId="158"/>
    <cellStyle name="Header1 3 3 2 2 8" xfId="158"/>
    <cellStyle name="Header1 3 3 2 2 9" xfId="158"/>
    <cellStyle name="Header1 3 3 2 3" xfId="158"/>
    <cellStyle name="Header1 3 3 2 3 2" xfId="158"/>
    <cellStyle name="Header1 3 3 2 3 2 2" xfId="158"/>
    <cellStyle name="Header1 3 3 2 3 2 3" xfId="158"/>
    <cellStyle name="Header1 3 3 2 3 2 4" xfId="158"/>
    <cellStyle name="Header1 3 3 2 3 3" xfId="158"/>
    <cellStyle name="Header1 3 3 2 3 4" xfId="158"/>
    <cellStyle name="Header1 3 3 2 3 5" xfId="158"/>
    <cellStyle name="Header1 3 3 2 3 6" xfId="158"/>
    <cellStyle name="Header1 3 3 2 3 7" xfId="158"/>
    <cellStyle name="Header1 3 3 2 4" xfId="158"/>
    <cellStyle name="Header1 3 3 2 4 2" xfId="158"/>
    <cellStyle name="Header1 3 3 2 4 2 2" xfId="158"/>
    <cellStyle name="Header1 3 3 2 4 2 3" xfId="158"/>
    <cellStyle name="Header1 3 3 2 4 2 4" xfId="158"/>
    <cellStyle name="Header1 3 3 2 4 2 5" xfId="158"/>
    <cellStyle name="Header1 3 3 2 4 3" xfId="158"/>
    <cellStyle name="Header1 3 3 2 4 3 2" xfId="158"/>
    <cellStyle name="Header1 3 3 2 4 3 3" xfId="158"/>
    <cellStyle name="Header1 3 3 2 4 3 4" xfId="158"/>
    <cellStyle name="Header1 3 3 2 4 4" xfId="158"/>
    <cellStyle name="Header1 3 3 2 4 5" xfId="158"/>
    <cellStyle name="Header1 3 3 2 4 6" xfId="158"/>
    <cellStyle name="Header1 3 3 2 4 7" xfId="158"/>
    <cellStyle name="Header1 3 3 2 4 8" xfId="158"/>
    <cellStyle name="Header1 3 3 2 5" xfId="158"/>
    <cellStyle name="Header1 3 3 2 5 2" xfId="158"/>
    <cellStyle name="Header1 3 3 2 5 2 2" xfId="158"/>
    <cellStyle name="Header1 3 3 2 5 2 3" xfId="158"/>
    <cellStyle name="Header1 3 3 2 5 2 4" xfId="158"/>
    <cellStyle name="Header1 3 3 2 5 2 5" xfId="158"/>
    <cellStyle name="Header1 3 3 2 5 3" xfId="158"/>
    <cellStyle name="Header1 3 3 2 5 3 2" xfId="158"/>
    <cellStyle name="Header1 3 3 2 5 3 3" xfId="158"/>
    <cellStyle name="Header1 3 3 2 5 3 4" xfId="158"/>
    <cellStyle name="Header1 3 3 2 5 4" xfId="158"/>
    <cellStyle name="Header1 3 3 2 5 5" xfId="158"/>
    <cellStyle name="Header1 3 3 2 5 6" xfId="158"/>
    <cellStyle name="Header1 3 3 2 5 7" xfId="158"/>
    <cellStyle name="Header1 3 3 2 6" xfId="158"/>
    <cellStyle name="Header1 3 3 2 6 2" xfId="158"/>
    <cellStyle name="Header1 3 3 2 6 2 2" xfId="158"/>
    <cellStyle name="Header1 3 3 2 6 2 3" xfId="158"/>
    <cellStyle name="Header1 3 3 2 6 2 4" xfId="158"/>
    <cellStyle name="Header1 3 3 2 6 3" xfId="158"/>
    <cellStyle name="Header1 3 3 2 6 4" xfId="158"/>
    <cellStyle name="Header1 3 3 2 6 5" xfId="158"/>
    <cellStyle name="Header1 3 3 2 6 6" xfId="158"/>
    <cellStyle name="Header1 3 3 2 6 7" xfId="158"/>
    <cellStyle name="Header1 3 3 2 7" xfId="158"/>
    <cellStyle name="Header1 3 3 2 7 2" xfId="158"/>
    <cellStyle name="Header1 3 3 2 7 3" xfId="158"/>
    <cellStyle name="Header1 3 3 2 7 4" xfId="158"/>
    <cellStyle name="Header1 3 3 2 8" xfId="158"/>
    <cellStyle name="Header1 3 3 2 9" xfId="158"/>
    <cellStyle name="Header1 3 3 3" xfId="158"/>
    <cellStyle name="Header1 3 3 3 10" xfId="158"/>
    <cellStyle name="Header1 3 3 3 11" xfId="158"/>
    <cellStyle name="Header1 3 3 3 2" xfId="158"/>
    <cellStyle name="Header1 3 3 3 2 2" xfId="158"/>
    <cellStyle name="Header1 3 3 3 2 2 2" xfId="158"/>
    <cellStyle name="Header1 3 3 3 2 2 2 2" xfId="158"/>
    <cellStyle name="Header1 3 3 3 2 2 2 3" xfId="158"/>
    <cellStyle name="Header1 3 3 3 2 2 2 4" xfId="158"/>
    <cellStyle name="Header1 3 3 3 2 2 2 5" xfId="158"/>
    <cellStyle name="Header1 3 3 3 2 2 3" xfId="158"/>
    <cellStyle name="Header1 3 3 3 2 2 3 2" xfId="158"/>
    <cellStyle name="Header1 3 3 3 2 2 3 3" xfId="158"/>
    <cellStyle name="Header1 3 3 3 2 2 3 4" xfId="158"/>
    <cellStyle name="Header1 3 3 3 2 2 4" xfId="158"/>
    <cellStyle name="Header1 3 3 3 2 2 5" xfId="158"/>
    <cellStyle name="Header1 3 3 3 2 2 6" xfId="158"/>
    <cellStyle name="Header1 3 3 3 2 2 7" xfId="158"/>
    <cellStyle name="Header1 3 3 3 2 2 8" xfId="158"/>
    <cellStyle name="Header1 3 3 3 2 3" xfId="158"/>
    <cellStyle name="Header1 3 3 3 2 3 2" xfId="158"/>
    <cellStyle name="Header1 3 3 3 2 3 2 2" xfId="158"/>
    <cellStyle name="Header1 3 3 3 2 3 2 3" xfId="158"/>
    <cellStyle name="Header1 3 3 3 2 3 2 4" xfId="158"/>
    <cellStyle name="Header1 3 3 3 2 3 2 5" xfId="158"/>
    <cellStyle name="Header1 3 3 3 2 3 3" xfId="158"/>
    <cellStyle name="Header1 3 3 3 2 3 3 2" xfId="158"/>
    <cellStyle name="Header1 3 3 3 2 3 3 3" xfId="158"/>
    <cellStyle name="Header1 3 3 3 2 3 3 4" xfId="158"/>
    <cellStyle name="Header1 3 3 3 2 3 4" xfId="158"/>
    <cellStyle name="Header1 3 3 3 2 3 5" xfId="158"/>
    <cellStyle name="Header1 3 3 3 2 3 6" xfId="158"/>
    <cellStyle name="Header1 3 3 3 2 3 7" xfId="158"/>
    <cellStyle name="Header1 3 3 3 2 4" xfId="158"/>
    <cellStyle name="Header1 3 3 3 2 4 2" xfId="158"/>
    <cellStyle name="Header1 3 3 3 2 4 2 2" xfId="158"/>
    <cellStyle name="Header1 3 3 3 2 4 2 3" xfId="158"/>
    <cellStyle name="Header1 3 3 3 2 4 2 4" xfId="158"/>
    <cellStyle name="Header1 3 3 3 2 4 3" xfId="158"/>
    <cellStyle name="Header1 3 3 3 2 4 4" xfId="158"/>
    <cellStyle name="Header1 3 3 3 2 4 5" xfId="158"/>
    <cellStyle name="Header1 3 3 3 2 4 6" xfId="158"/>
    <cellStyle name="Header1 3 3 3 2 4 7" xfId="158"/>
    <cellStyle name="Header1 3 3 3 2 5" xfId="158"/>
    <cellStyle name="Header1 3 3 3 2 5 2" xfId="158"/>
    <cellStyle name="Header1 3 3 3 2 5 3" xfId="158"/>
    <cellStyle name="Header1 3 3 3 2 5 4" xfId="158"/>
    <cellStyle name="Header1 3 3 3 2 6" xfId="158"/>
    <cellStyle name="Header1 3 3 3 2 7" xfId="158"/>
    <cellStyle name="Header1 3 3 3 2 8" xfId="158"/>
    <cellStyle name="Header1 3 3 3 2 9" xfId="158"/>
    <cellStyle name="Header1 3 3 3 3" xfId="158"/>
    <cellStyle name="Header1 3 3 3 3 2" xfId="158"/>
    <cellStyle name="Header1 3 3 3 3 2 2" xfId="158"/>
    <cellStyle name="Header1 3 3 3 3 2 3" xfId="158"/>
    <cellStyle name="Header1 3 3 3 3 2 4" xfId="158"/>
    <cellStyle name="Header1 3 3 3 3 3" xfId="158"/>
    <cellStyle name="Header1 3 3 3 3 4" xfId="158"/>
    <cellStyle name="Header1 3 3 3 3 5" xfId="158"/>
    <cellStyle name="Header1 3 3 3 3 6" xfId="158"/>
    <cellStyle name="Header1 3 3 3 3 7" xfId="158"/>
    <cellStyle name="Header1 3 3 3 4" xfId="158"/>
    <cellStyle name="Header1 3 3 3 4 2" xfId="158"/>
    <cellStyle name="Header1 3 3 3 4 2 2" xfId="158"/>
    <cellStyle name="Header1 3 3 3 4 2 3" xfId="158"/>
    <cellStyle name="Header1 3 3 3 4 2 4" xfId="158"/>
    <cellStyle name="Header1 3 3 3 4 2 5" xfId="158"/>
    <cellStyle name="Header1 3 3 3 4 3" xfId="158"/>
    <cellStyle name="Header1 3 3 3 4 3 2" xfId="158"/>
    <cellStyle name="Header1 3 3 3 4 3 3" xfId="158"/>
    <cellStyle name="Header1 3 3 3 4 3 4" xfId="158"/>
    <cellStyle name="Header1 3 3 3 4 4" xfId="158"/>
    <cellStyle name="Header1 3 3 3 4 5" xfId="158"/>
    <cellStyle name="Header1 3 3 3 4 6" xfId="158"/>
    <cellStyle name="Header1 3 3 3 4 7" xfId="158"/>
    <cellStyle name="Header1 3 3 3 4 8" xfId="158"/>
    <cellStyle name="Header1 3 3 3 5" xfId="158"/>
    <cellStyle name="Header1 3 3 3 5 2" xfId="158"/>
    <cellStyle name="Header1 3 3 3 5 2 2" xfId="158"/>
    <cellStyle name="Header1 3 3 3 5 2 3" xfId="158"/>
    <cellStyle name="Header1 3 3 3 5 2 4" xfId="158"/>
    <cellStyle name="Header1 3 3 3 5 2 5" xfId="158"/>
    <cellStyle name="Header1 3 3 3 5 3" xfId="158"/>
    <cellStyle name="Header1 3 3 3 5 3 2" xfId="158"/>
    <cellStyle name="Header1 3 3 3 5 3 3" xfId="158"/>
    <cellStyle name="Header1 3 3 3 5 3 4" xfId="158"/>
    <cellStyle name="Header1 3 3 3 5 4" xfId="158"/>
    <cellStyle name="Header1 3 3 3 5 5" xfId="158"/>
    <cellStyle name="Header1 3 3 3 5 6" xfId="158"/>
    <cellStyle name="Header1 3 3 3 5 7" xfId="158"/>
    <cellStyle name="Header1 3 3 3 6" xfId="158"/>
    <cellStyle name="Header1 3 3 3 6 2" xfId="158"/>
    <cellStyle name="Header1 3 3 3 6 2 2" xfId="158"/>
    <cellStyle name="Header1 3 3 3 6 2 3" xfId="158"/>
    <cellStyle name="Header1 3 3 3 6 2 4" xfId="158"/>
    <cellStyle name="Header1 3 3 3 6 3" xfId="158"/>
    <cellStyle name="Header1 3 3 3 6 4" xfId="158"/>
    <cellStyle name="Header1 3 3 3 6 5" xfId="158"/>
    <cellStyle name="Header1 3 3 3 6 6" xfId="158"/>
    <cellStyle name="Header1 3 3 3 6 7" xfId="158"/>
    <cellStyle name="Header1 3 3 3 7" xfId="158"/>
    <cellStyle name="Header1 3 3 3 7 2" xfId="158"/>
    <cellStyle name="Header1 3 3 3 7 3" xfId="158"/>
    <cellStyle name="Header1 3 3 3 7 4" xfId="158"/>
    <cellStyle name="Header1 3 3 3 8" xfId="158"/>
    <cellStyle name="Header1 3 3 3 9" xfId="158"/>
    <cellStyle name="Header1 3 3 4" xfId="158"/>
    <cellStyle name="Header1 3 3 4 10" xfId="158"/>
    <cellStyle name="Header1 3 3 4 11" xfId="158"/>
    <cellStyle name="Header1 3 3 4 2" xfId="158"/>
    <cellStyle name="Header1 3 3 4 2 2" xfId="158"/>
    <cellStyle name="Header1 3 3 4 2 2 2" xfId="158"/>
    <cellStyle name="Header1 3 3 4 2 2 2 2" xfId="158"/>
    <cellStyle name="Header1 3 3 4 2 2 2 3" xfId="158"/>
    <cellStyle name="Header1 3 3 4 2 2 2 4" xfId="158"/>
    <cellStyle name="Header1 3 3 4 2 2 2 5" xfId="158"/>
    <cellStyle name="Header1 3 3 4 2 2 3" xfId="158"/>
    <cellStyle name="Header1 3 3 4 2 2 3 2" xfId="158"/>
    <cellStyle name="Header1 3 3 4 2 2 3 3" xfId="158"/>
    <cellStyle name="Header1 3 3 4 2 2 3 4" xfId="158"/>
    <cellStyle name="Header1 3 3 4 2 2 4" xfId="158"/>
    <cellStyle name="Header1 3 3 4 2 2 5" xfId="158"/>
    <cellStyle name="Header1 3 3 4 2 2 6" xfId="158"/>
    <cellStyle name="Header1 3 3 4 2 2 7" xfId="158"/>
    <cellStyle name="Header1 3 3 4 2 2 8" xfId="158"/>
    <cellStyle name="Header1 3 3 4 2 3" xfId="158"/>
    <cellStyle name="Header1 3 3 4 2 3 2" xfId="158"/>
    <cellStyle name="Header1 3 3 4 2 3 2 2" xfId="158"/>
    <cellStyle name="Header1 3 3 4 2 3 2 3" xfId="158"/>
    <cellStyle name="Header1 3 3 4 2 3 2 4" xfId="158"/>
    <cellStyle name="Header1 3 3 4 2 3 2 5" xfId="158"/>
    <cellStyle name="Header1 3 3 4 2 3 3" xfId="158"/>
    <cellStyle name="Header1 3 3 4 2 3 3 2" xfId="158"/>
    <cellStyle name="Header1 3 3 4 2 3 3 3" xfId="158"/>
    <cellStyle name="Header1 3 3 4 2 3 3 4" xfId="158"/>
    <cellStyle name="Header1 3 3 4 2 3 4" xfId="158"/>
    <cellStyle name="Header1 3 3 4 2 3 5" xfId="158"/>
    <cellStyle name="Header1 3 3 4 2 3 6" xfId="158"/>
    <cellStyle name="Header1 3 3 4 2 3 7" xfId="158"/>
    <cellStyle name="Header1 3 3 4 2 4" xfId="158"/>
    <cellStyle name="Header1 3 3 4 2 4 2" xfId="158"/>
    <cellStyle name="Header1 3 3 4 2 4 2 2" xfId="158"/>
    <cellStyle name="Header1 3 3 4 2 4 2 3" xfId="158"/>
    <cellStyle name="Header1 3 3 4 2 4 2 4" xfId="158"/>
    <cellStyle name="Header1 3 3 4 2 4 3" xfId="158"/>
    <cellStyle name="Header1 3 3 4 2 4 4" xfId="158"/>
    <cellStyle name="Header1 3 3 4 2 4 5" xfId="158"/>
    <cellStyle name="Header1 3 3 4 2 4 6" xfId="158"/>
    <cellStyle name="Header1 3 3 4 2 4 7" xfId="158"/>
    <cellStyle name="Header1 3 3 4 2 5" xfId="158"/>
    <cellStyle name="Header1 3 3 4 2 5 2" xfId="158"/>
    <cellStyle name="Header1 3 3 4 2 5 3" xfId="158"/>
    <cellStyle name="Header1 3 3 4 2 5 4" xfId="158"/>
    <cellStyle name="Header1 3 3 4 2 6" xfId="158"/>
    <cellStyle name="Header1 3 3 4 2 7" xfId="158"/>
    <cellStyle name="Header1 3 3 4 2 8" xfId="158"/>
    <cellStyle name="Header1 3 3 4 2 9" xfId="158"/>
    <cellStyle name="Header1 3 3 4 3" xfId="158"/>
    <cellStyle name="Header1 3 3 4 3 2" xfId="158"/>
    <cellStyle name="Header1 3 3 4 3 2 2" xfId="158"/>
    <cellStyle name="Header1 3 3 4 3 2 3" xfId="158"/>
    <cellStyle name="Header1 3 3 4 3 2 4" xfId="158"/>
    <cellStyle name="Header1 3 3 4 3 3" xfId="158"/>
    <cellStyle name="Header1 3 3 4 3 4" xfId="158"/>
    <cellStyle name="Header1 3 3 4 3 5" xfId="158"/>
    <cellStyle name="Header1 3 3 4 3 6" xfId="158"/>
    <cellStyle name="Header1 3 3 4 3 7" xfId="158"/>
    <cellStyle name="Header1 3 3 4 4" xfId="158"/>
    <cellStyle name="Header1 3 3 4 4 2" xfId="158"/>
    <cellStyle name="Header1 3 3 4 4 2 2" xfId="158"/>
    <cellStyle name="Header1 3 3 4 4 2 3" xfId="158"/>
    <cellStyle name="Header1 3 3 4 4 2 4" xfId="158"/>
    <cellStyle name="Header1 3 3 4 4 2 5" xfId="158"/>
    <cellStyle name="Header1 3 3 4 4 3" xfId="158"/>
    <cellStyle name="Header1 3 3 4 4 3 2" xfId="158"/>
    <cellStyle name="Header1 3 3 4 4 3 3" xfId="158"/>
    <cellStyle name="Header1 3 3 4 4 3 4" xfId="158"/>
    <cellStyle name="Header1 3 3 4 4 4" xfId="158"/>
    <cellStyle name="Header1 3 3 4 4 5" xfId="158"/>
    <cellStyle name="Header1 3 3 4 4 6" xfId="158"/>
    <cellStyle name="Header1 3 3 4 4 7" xfId="158"/>
    <cellStyle name="Header1 3 3 4 4 8" xfId="158"/>
    <cellStyle name="Header1 3 3 4 5" xfId="158"/>
    <cellStyle name="Header1 3 3 4 5 2" xfId="158"/>
    <cellStyle name="Header1 3 3 4 5 2 2" xfId="158"/>
    <cellStyle name="Header1 3 3 4 5 2 3" xfId="158"/>
    <cellStyle name="Header1 3 3 4 5 2 4" xfId="158"/>
    <cellStyle name="Header1 3 3 4 5 2 5" xfId="158"/>
    <cellStyle name="Header1 3 3 4 5 3" xfId="158"/>
    <cellStyle name="Header1 3 3 4 5 3 2" xfId="158"/>
    <cellStyle name="Header1 3 3 4 5 3 3" xfId="158"/>
    <cellStyle name="Header1 3 3 4 5 3 4" xfId="158"/>
    <cellStyle name="Header1 3 3 4 5 4" xfId="158"/>
    <cellStyle name="Header1 3 3 4 5 5" xfId="158"/>
    <cellStyle name="Header1 3 3 4 5 6" xfId="158"/>
    <cellStyle name="Header1 3 3 4 5 7" xfId="158"/>
    <cellStyle name="Header1 3 3 4 6" xfId="158"/>
    <cellStyle name="Header1 3 3 4 6 2" xfId="158"/>
    <cellStyle name="Header1 3 3 4 6 2 2" xfId="158"/>
    <cellStyle name="Header1 3 3 4 6 2 3" xfId="158"/>
    <cellStyle name="Header1 3 3 4 6 2 4" xfId="158"/>
    <cellStyle name="Header1 3 3 4 6 3" xfId="158"/>
    <cellStyle name="Header1 3 3 4 6 4" xfId="158"/>
    <cellStyle name="Header1 3 3 4 6 5" xfId="158"/>
    <cellStyle name="Header1 3 3 4 6 6" xfId="158"/>
    <cellStyle name="Header1 3 3 4 6 7" xfId="158"/>
    <cellStyle name="Header1 3 3 4 7" xfId="158"/>
    <cellStyle name="Header1 3 3 4 7 2" xfId="158"/>
    <cellStyle name="Header1 3 3 4 7 3" xfId="158"/>
    <cellStyle name="Header1 3 3 4 7 4" xfId="158"/>
    <cellStyle name="Header1 3 3 4 8" xfId="158"/>
    <cellStyle name="Header1 3 3 4 9" xfId="158"/>
    <cellStyle name="Header1 3 3 5" xfId="158"/>
    <cellStyle name="Header1 3 3 5 2" xfId="158"/>
    <cellStyle name="Header1 3 3 5 2 2" xfId="158"/>
    <cellStyle name="Header1 3 3 5 2 2 2" xfId="158"/>
    <cellStyle name="Header1 3 3 5 2 2 3" xfId="158"/>
    <cellStyle name="Header1 3 3 5 2 2 4" xfId="158"/>
    <cellStyle name="Header1 3 3 5 2 2 5" xfId="158"/>
    <cellStyle name="Header1 3 3 5 2 3" xfId="158"/>
    <cellStyle name="Header1 3 3 5 2 3 2" xfId="158"/>
    <cellStyle name="Header1 3 3 5 2 3 3" xfId="158"/>
    <cellStyle name="Header1 3 3 5 2 3 4" xfId="158"/>
    <cellStyle name="Header1 3 3 5 2 4" xfId="158"/>
    <cellStyle name="Header1 3 3 5 2 5" xfId="158"/>
    <cellStyle name="Header1 3 3 5 2 6" xfId="158"/>
    <cellStyle name="Header1 3 3 5 2 7" xfId="158"/>
    <cellStyle name="Header1 3 3 5 2 8" xfId="158"/>
    <cellStyle name="Header1 3 3 5 3" xfId="158"/>
    <cellStyle name="Header1 3 3 5 3 2" xfId="158"/>
    <cellStyle name="Header1 3 3 5 3 2 2" xfId="158"/>
    <cellStyle name="Header1 3 3 5 3 2 3" xfId="158"/>
    <cellStyle name="Header1 3 3 5 3 2 4" xfId="158"/>
    <cellStyle name="Header1 3 3 5 3 2 5" xfId="158"/>
    <cellStyle name="Header1 3 3 5 3 3" xfId="158"/>
    <cellStyle name="Header1 3 3 5 3 3 2" xfId="158"/>
    <cellStyle name="Header1 3 3 5 3 3 3" xfId="158"/>
    <cellStyle name="Header1 3 3 5 3 3 4" xfId="158"/>
    <cellStyle name="Header1 3 3 5 3 4" xfId="158"/>
    <cellStyle name="Header1 3 3 5 3 5" xfId="158"/>
    <cellStyle name="Header1 3 3 5 3 6" xfId="158"/>
    <cellStyle name="Header1 3 3 5 3 7" xfId="158"/>
    <cellStyle name="Header1 3 3 5 4" xfId="158"/>
    <cellStyle name="Header1 3 3 5 4 2" xfId="158"/>
    <cellStyle name="Header1 3 3 5 4 2 2" xfId="158"/>
    <cellStyle name="Header1 3 3 5 4 2 3" xfId="158"/>
    <cellStyle name="Header1 3 3 5 4 2 4" xfId="158"/>
    <cellStyle name="Header1 3 3 5 4 3" xfId="158"/>
    <cellStyle name="Header1 3 3 5 4 4" xfId="158"/>
    <cellStyle name="Header1 3 3 5 4 5" xfId="158"/>
    <cellStyle name="Header1 3 3 5 4 6" xfId="158"/>
    <cellStyle name="Header1 3 3 5 4 7" xfId="158"/>
    <cellStyle name="Header1 3 3 5 5" xfId="158"/>
    <cellStyle name="Header1 3 3 5 5 2" xfId="158"/>
    <cellStyle name="Header1 3 3 5 5 3" xfId="158"/>
    <cellStyle name="Header1 3 3 5 5 4" xfId="158"/>
    <cellStyle name="Header1 3 3 5 6" xfId="158"/>
    <cellStyle name="Header1 3 3 5 7" xfId="158"/>
    <cellStyle name="Header1 3 3 5 8" xfId="158"/>
    <cellStyle name="Header1 3 3 5 9" xfId="158"/>
    <cellStyle name="Header1 3 3 6" xfId="158"/>
    <cellStyle name="Header1 3 3 6 2" xfId="158"/>
    <cellStyle name="Header1 3 3 6 2 2" xfId="158"/>
    <cellStyle name="Header1 3 3 6 2 3" xfId="158"/>
    <cellStyle name="Header1 3 3 6 2 4" xfId="158"/>
    <cellStyle name="Header1 3 3 6 3" xfId="158"/>
    <cellStyle name="Header1 3 3 6 4" xfId="158"/>
    <cellStyle name="Header1 3 3 6 5" xfId="158"/>
    <cellStyle name="Header1 3 3 6 6" xfId="158"/>
    <cellStyle name="Header1 3 3 6 7" xfId="158"/>
    <cellStyle name="Header1 3 3 7" xfId="158"/>
    <cellStyle name="Header1 3 3 7 2" xfId="158"/>
    <cellStyle name="Header1 3 3 7 2 2" xfId="158"/>
    <cellStyle name="Header1 3 3 7 2 3" xfId="158"/>
    <cellStyle name="Header1 3 3 7 2 4" xfId="158"/>
    <cellStyle name="Header1 3 3 7 3" xfId="158"/>
    <cellStyle name="Header1 3 3 7 4" xfId="158"/>
    <cellStyle name="Header1 3 3 7 5" xfId="158"/>
    <cellStyle name="Header1 3 3 7 6" xfId="158"/>
    <cellStyle name="Header1 3 3 7 7" xfId="158"/>
    <cellStyle name="Header1 3 3 8" xfId="158"/>
    <cellStyle name="Header1 3 3 8 2" xfId="158"/>
    <cellStyle name="Header1 3 3 8 2 2" xfId="158"/>
    <cellStyle name="Header1 3 3 8 2 3" xfId="158"/>
    <cellStyle name="Header1 3 3 8 2 4" xfId="158"/>
    <cellStyle name="Header1 3 3 8 2 5" xfId="158"/>
    <cellStyle name="Header1 3 3 8 3" xfId="158"/>
    <cellStyle name="Header1 3 3 8 3 2" xfId="158"/>
    <cellStyle name="Header1 3 3 8 3 3" xfId="158"/>
    <cellStyle name="Header1 3 3 8 3 4" xfId="158"/>
    <cellStyle name="Header1 3 3 8 4" xfId="158"/>
    <cellStyle name="Header1 3 3 8 5" xfId="158"/>
    <cellStyle name="Header1 3 3 8 6" xfId="158"/>
    <cellStyle name="Header1 3 3 8 7" xfId="158"/>
    <cellStyle name="Header1 3 3 8 8" xfId="158"/>
    <cellStyle name="Header1 3 3 9" xfId="158"/>
    <cellStyle name="Header1 3 3 9 2" xfId="158"/>
    <cellStyle name="Header1 3 3 9 2 2" xfId="158"/>
    <cellStyle name="Header1 3 3 9 2 3" xfId="158"/>
    <cellStyle name="Header1 3 3 9 2 4" xfId="158"/>
    <cellStyle name="Header1 3 3 9 2 5" xfId="158"/>
    <cellStyle name="Header1 3 3 9 3" xfId="158"/>
    <cellStyle name="Header1 3 3 9 3 2" xfId="158"/>
    <cellStyle name="Header1 3 3 9 3 3" xfId="158"/>
    <cellStyle name="Header1 3 3 9 3 4" xfId="158"/>
    <cellStyle name="Header1 3 3 9 4" xfId="158"/>
    <cellStyle name="Header1 3 3 9 5" xfId="158"/>
    <cellStyle name="Header1 3 3 9 6" xfId="158"/>
    <cellStyle name="Header1 3 3 9 7" xfId="158"/>
    <cellStyle name="Header1 3 4" xfId="158"/>
    <cellStyle name="Header1 3 4 10" xfId="158"/>
    <cellStyle name="Header1 3 4 11" xfId="158"/>
    <cellStyle name="Header1 3 4 2" xfId="158"/>
    <cellStyle name="Header1 3 4 2 2" xfId="158"/>
    <cellStyle name="Header1 3 4 2 2 2" xfId="158"/>
    <cellStyle name="Header1 3 4 2 2 2 2" xfId="158"/>
    <cellStyle name="Header1 3 4 2 2 2 3" xfId="158"/>
    <cellStyle name="Header1 3 4 2 2 2 4" xfId="158"/>
    <cellStyle name="Header1 3 4 2 2 2 5" xfId="158"/>
    <cellStyle name="Header1 3 4 2 2 3" xfId="158"/>
    <cellStyle name="Header1 3 4 2 2 3 2" xfId="158"/>
    <cellStyle name="Header1 3 4 2 2 3 3" xfId="158"/>
    <cellStyle name="Header1 3 4 2 2 3 4" xfId="158"/>
    <cellStyle name="Header1 3 4 2 2 4" xfId="158"/>
    <cellStyle name="Header1 3 4 2 2 5" xfId="158"/>
    <cellStyle name="Header1 3 4 2 2 6" xfId="158"/>
    <cellStyle name="Header1 3 4 2 2 7" xfId="158"/>
    <cellStyle name="Header1 3 4 2 2 8" xfId="158"/>
    <cellStyle name="Header1 3 4 2 3" xfId="158"/>
    <cellStyle name="Header1 3 4 2 3 2" xfId="158"/>
    <cellStyle name="Header1 3 4 2 3 2 2" xfId="158"/>
    <cellStyle name="Header1 3 4 2 3 2 3" xfId="158"/>
    <cellStyle name="Header1 3 4 2 3 2 4" xfId="158"/>
    <cellStyle name="Header1 3 4 2 3 2 5" xfId="158"/>
    <cellStyle name="Header1 3 4 2 3 3" xfId="158"/>
    <cellStyle name="Header1 3 4 2 3 3 2" xfId="158"/>
    <cellStyle name="Header1 3 4 2 3 3 3" xfId="158"/>
    <cellStyle name="Header1 3 4 2 3 3 4" xfId="158"/>
    <cellStyle name="Header1 3 4 2 3 4" xfId="158"/>
    <cellStyle name="Header1 3 4 2 3 5" xfId="158"/>
    <cellStyle name="Header1 3 4 2 3 6" xfId="158"/>
    <cellStyle name="Header1 3 4 2 3 7" xfId="158"/>
    <cellStyle name="Header1 3 4 2 4" xfId="158"/>
    <cellStyle name="Header1 3 4 2 4 2" xfId="158"/>
    <cellStyle name="Header1 3 4 2 4 2 2" xfId="158"/>
    <cellStyle name="Header1 3 4 2 4 2 3" xfId="158"/>
    <cellStyle name="Header1 3 4 2 4 2 4" xfId="158"/>
    <cellStyle name="Header1 3 4 2 4 3" xfId="158"/>
    <cellStyle name="Header1 3 4 2 4 4" xfId="158"/>
    <cellStyle name="Header1 3 4 2 4 5" xfId="158"/>
    <cellStyle name="Header1 3 4 2 4 6" xfId="158"/>
    <cellStyle name="Header1 3 4 2 4 7" xfId="158"/>
    <cellStyle name="Header1 3 4 2 5" xfId="158"/>
    <cellStyle name="Header1 3 4 2 5 2" xfId="158"/>
    <cellStyle name="Header1 3 4 2 5 3" xfId="158"/>
    <cellStyle name="Header1 3 4 2 5 4" xfId="158"/>
    <cellStyle name="Header1 3 4 2 6" xfId="158"/>
    <cellStyle name="Header1 3 4 2 7" xfId="158"/>
    <cellStyle name="Header1 3 4 2 8" xfId="158"/>
    <cellStyle name="Header1 3 4 2 9" xfId="158"/>
    <cellStyle name="Header1 3 4 3" xfId="158"/>
    <cellStyle name="Header1 3 4 3 2" xfId="158"/>
    <cellStyle name="Header1 3 4 3 2 2" xfId="158"/>
    <cellStyle name="Header1 3 4 3 2 3" xfId="158"/>
    <cellStyle name="Header1 3 4 3 2 4" xfId="158"/>
    <cellStyle name="Header1 3 4 3 3" xfId="158"/>
    <cellStyle name="Header1 3 4 3 4" xfId="158"/>
    <cellStyle name="Header1 3 4 3 5" xfId="158"/>
    <cellStyle name="Header1 3 4 3 6" xfId="158"/>
    <cellStyle name="Header1 3 4 3 7" xfId="158"/>
    <cellStyle name="Header1 3 4 4" xfId="158"/>
    <cellStyle name="Header1 3 4 4 2" xfId="158"/>
    <cellStyle name="Header1 3 4 4 2 2" xfId="158"/>
    <cellStyle name="Header1 3 4 4 2 3" xfId="158"/>
    <cellStyle name="Header1 3 4 4 2 4" xfId="158"/>
    <cellStyle name="Header1 3 4 4 2 5" xfId="158"/>
    <cellStyle name="Header1 3 4 4 3" xfId="158"/>
    <cellStyle name="Header1 3 4 4 3 2" xfId="158"/>
    <cellStyle name="Header1 3 4 4 3 3" xfId="158"/>
    <cellStyle name="Header1 3 4 4 3 4" xfId="158"/>
    <cellStyle name="Header1 3 4 4 4" xfId="158"/>
    <cellStyle name="Header1 3 4 4 5" xfId="158"/>
    <cellStyle name="Header1 3 4 4 6" xfId="158"/>
    <cellStyle name="Header1 3 4 4 7" xfId="158"/>
    <cellStyle name="Header1 3 4 4 8" xfId="158"/>
    <cellStyle name="Header1 3 4 5" xfId="158"/>
    <cellStyle name="Header1 3 4 5 2" xfId="158"/>
    <cellStyle name="Header1 3 4 5 2 2" xfId="158"/>
    <cellStyle name="Header1 3 4 5 2 3" xfId="158"/>
    <cellStyle name="Header1 3 4 5 2 4" xfId="158"/>
    <cellStyle name="Header1 3 4 5 2 5" xfId="158"/>
    <cellStyle name="Header1 3 4 5 3" xfId="158"/>
    <cellStyle name="Header1 3 4 5 3 2" xfId="158"/>
    <cellStyle name="Header1 3 4 5 3 3" xfId="158"/>
    <cellStyle name="Header1 3 4 5 3 4" xfId="158"/>
    <cellStyle name="Header1 3 4 5 4" xfId="158"/>
    <cellStyle name="Header1 3 4 5 5" xfId="158"/>
    <cellStyle name="Header1 3 4 5 6" xfId="158"/>
    <cellStyle name="Header1 3 4 5 7" xfId="158"/>
    <cellStyle name="Header1 3 4 6" xfId="158"/>
    <cellStyle name="Header1 3 4 6 2" xfId="158"/>
    <cellStyle name="Header1 3 4 6 2 2" xfId="158"/>
    <cellStyle name="Header1 3 4 6 2 3" xfId="158"/>
    <cellStyle name="Header1 3 4 6 2 4" xfId="158"/>
    <cellStyle name="Header1 3 4 6 3" xfId="158"/>
    <cellStyle name="Header1 3 4 6 4" xfId="158"/>
    <cellStyle name="Header1 3 4 6 5" xfId="158"/>
    <cellStyle name="Header1 3 4 6 6" xfId="158"/>
    <cellStyle name="Header1 3 4 6 7" xfId="158"/>
    <cellStyle name="Header1 3 4 7" xfId="158"/>
    <cellStyle name="Header1 3 4 7 2" xfId="158"/>
    <cellStyle name="Header1 3 4 7 3" xfId="158"/>
    <cellStyle name="Header1 3 4 7 4" xfId="158"/>
    <cellStyle name="Header1 3 4 8" xfId="158"/>
    <cellStyle name="Header1 3 4 9" xfId="158"/>
    <cellStyle name="Header1 3 5" xfId="158"/>
    <cellStyle name="Header1 3 5 10" xfId="158"/>
    <cellStyle name="Header1 3 5 11" xfId="158"/>
    <cellStyle name="Header1 3 5 2" xfId="158"/>
    <cellStyle name="Header1 3 5 2 2" xfId="158"/>
    <cellStyle name="Header1 3 5 2 2 2" xfId="158"/>
    <cellStyle name="Header1 3 5 2 2 2 2" xfId="158"/>
    <cellStyle name="Header1 3 5 2 2 2 3" xfId="158"/>
    <cellStyle name="Header1 3 5 2 2 2 4" xfId="158"/>
    <cellStyle name="Header1 3 5 2 2 2 5" xfId="158"/>
    <cellStyle name="Header1 3 5 2 2 3" xfId="158"/>
    <cellStyle name="Header1 3 5 2 2 3 2" xfId="158"/>
    <cellStyle name="Header1 3 5 2 2 3 3" xfId="158"/>
    <cellStyle name="Header1 3 5 2 2 3 4" xfId="158"/>
    <cellStyle name="Header1 3 5 2 2 4" xfId="158"/>
    <cellStyle name="Header1 3 5 2 2 5" xfId="158"/>
    <cellStyle name="Header1 3 5 2 2 6" xfId="158"/>
    <cellStyle name="Header1 3 5 2 2 7" xfId="158"/>
    <cellStyle name="Header1 3 5 2 2 8" xfId="158"/>
    <cellStyle name="Header1 3 5 2 3" xfId="158"/>
    <cellStyle name="Header1 3 5 2 3 2" xfId="158"/>
    <cellStyle name="Header1 3 5 2 3 2 2" xfId="158"/>
    <cellStyle name="Header1 3 5 2 3 2 3" xfId="158"/>
    <cellStyle name="Header1 3 5 2 3 2 4" xfId="158"/>
    <cellStyle name="Header1 3 5 2 3 2 5" xfId="158"/>
    <cellStyle name="Header1 3 5 2 3 3" xfId="158"/>
    <cellStyle name="Header1 3 5 2 3 3 2" xfId="158"/>
    <cellStyle name="Header1 3 5 2 3 3 3" xfId="158"/>
    <cellStyle name="Header1 3 5 2 3 3 4" xfId="158"/>
    <cellStyle name="Header1 3 5 2 3 4" xfId="158"/>
    <cellStyle name="Header1 3 5 2 3 5" xfId="158"/>
    <cellStyle name="Header1 3 5 2 3 6" xfId="158"/>
    <cellStyle name="Header1 3 5 2 3 7" xfId="158"/>
    <cellStyle name="Header1 3 5 2 4" xfId="158"/>
    <cellStyle name="Header1 3 5 2 4 2" xfId="158"/>
    <cellStyle name="Header1 3 5 2 4 2 2" xfId="158"/>
    <cellStyle name="Header1 3 5 2 4 2 3" xfId="158"/>
    <cellStyle name="Header1 3 5 2 4 2 4" xfId="158"/>
    <cellStyle name="Header1 3 5 2 4 3" xfId="158"/>
    <cellStyle name="Header1 3 5 2 4 4" xfId="158"/>
    <cellStyle name="Header1 3 5 2 4 5" xfId="158"/>
    <cellStyle name="Header1 3 5 2 4 6" xfId="158"/>
    <cellStyle name="Header1 3 5 2 4 7" xfId="158"/>
    <cellStyle name="Header1 3 5 2 5" xfId="158"/>
    <cellStyle name="Header1 3 5 2 5 2" xfId="158"/>
    <cellStyle name="Header1 3 5 2 5 3" xfId="158"/>
    <cellStyle name="Header1 3 5 2 5 4" xfId="158"/>
    <cellStyle name="Header1 3 5 2 6" xfId="158"/>
    <cellStyle name="Header1 3 5 2 7" xfId="158"/>
    <cellStyle name="Header1 3 5 2 8" xfId="158"/>
    <cellStyle name="Header1 3 5 2 9" xfId="158"/>
    <cellStyle name="Header1 3 5 3" xfId="158"/>
    <cellStyle name="Header1 3 5 3 2" xfId="158"/>
    <cellStyle name="Header1 3 5 3 2 2" xfId="158"/>
    <cellStyle name="Header1 3 5 3 2 3" xfId="158"/>
    <cellStyle name="Header1 3 5 3 2 4" xfId="158"/>
    <cellStyle name="Header1 3 5 3 3" xfId="158"/>
    <cellStyle name="Header1 3 5 3 4" xfId="158"/>
    <cellStyle name="Header1 3 5 3 5" xfId="158"/>
    <cellStyle name="Header1 3 5 3 6" xfId="158"/>
    <cellStyle name="Header1 3 5 3 7" xfId="158"/>
    <cellStyle name="Header1 3 5 4" xfId="158"/>
    <cellStyle name="Header1 3 5 4 2" xfId="158"/>
    <cellStyle name="Header1 3 5 4 2 2" xfId="158"/>
    <cellStyle name="Header1 3 5 4 2 3" xfId="158"/>
    <cellStyle name="Header1 3 5 4 2 4" xfId="158"/>
    <cellStyle name="Header1 3 5 4 2 5" xfId="158"/>
    <cellStyle name="Header1 3 5 4 3" xfId="158"/>
    <cellStyle name="Header1 3 5 4 3 2" xfId="158"/>
    <cellStyle name="Header1 3 5 4 3 3" xfId="158"/>
    <cellStyle name="Header1 3 5 4 3 4" xfId="158"/>
    <cellStyle name="Header1 3 5 4 4" xfId="158"/>
    <cellStyle name="Header1 3 5 4 5" xfId="158"/>
    <cellStyle name="Header1 3 5 4 6" xfId="158"/>
    <cellStyle name="Header1 3 5 4 7" xfId="158"/>
    <cellStyle name="Header1 3 5 4 8" xfId="158"/>
    <cellStyle name="Header1 3 5 5" xfId="158"/>
    <cellStyle name="Header1 3 5 5 2" xfId="158"/>
    <cellStyle name="Header1 3 5 5 2 2" xfId="158"/>
    <cellStyle name="Header1 3 5 5 2 3" xfId="158"/>
    <cellStyle name="Header1 3 5 5 2 4" xfId="158"/>
    <cellStyle name="Header1 3 5 5 2 5" xfId="158"/>
    <cellStyle name="Header1 3 5 5 3" xfId="158"/>
    <cellStyle name="Header1 3 5 5 3 2" xfId="158"/>
    <cellStyle name="Header1 3 5 5 3 3" xfId="158"/>
    <cellStyle name="Header1 3 5 5 3 4" xfId="158"/>
    <cellStyle name="Header1 3 5 5 4" xfId="158"/>
    <cellStyle name="Header1 3 5 5 5" xfId="158"/>
    <cellStyle name="Header1 3 5 5 6" xfId="158"/>
    <cellStyle name="Header1 3 5 5 7" xfId="158"/>
    <cellStyle name="Header1 3 5 6" xfId="158"/>
    <cellStyle name="Header1 3 5 6 2" xfId="158"/>
    <cellStyle name="Header1 3 5 6 2 2" xfId="158"/>
    <cellStyle name="Header1 3 5 6 2 3" xfId="158"/>
    <cellStyle name="Header1 3 5 6 2 4" xfId="158"/>
    <cellStyle name="Header1 3 5 6 3" xfId="158"/>
    <cellStyle name="Header1 3 5 6 4" xfId="158"/>
    <cellStyle name="Header1 3 5 6 5" xfId="158"/>
    <cellStyle name="Header1 3 5 6 6" xfId="158"/>
    <cellStyle name="Header1 3 5 6 7" xfId="158"/>
    <cellStyle name="Header1 3 5 7" xfId="158"/>
    <cellStyle name="Header1 3 5 7 2" xfId="158"/>
    <cellStyle name="Header1 3 5 7 3" xfId="158"/>
    <cellStyle name="Header1 3 5 7 4" xfId="158"/>
    <cellStyle name="Header1 3 5 8" xfId="158"/>
    <cellStyle name="Header1 3 5 9" xfId="158"/>
    <cellStyle name="Header1 3 6" xfId="158"/>
    <cellStyle name="Header1 3 6 10" xfId="158"/>
    <cellStyle name="Header1 3 6 11" xfId="158"/>
    <cellStyle name="Header1 3 6 2" xfId="158"/>
    <cellStyle name="Header1 3 6 2 2" xfId="158"/>
    <cellStyle name="Header1 3 6 2 2 2" xfId="158"/>
    <cellStyle name="Header1 3 6 2 2 2 2" xfId="158"/>
    <cellStyle name="Header1 3 6 2 2 2 3" xfId="158"/>
    <cellStyle name="Header1 3 6 2 2 2 4" xfId="158"/>
    <cellStyle name="Header1 3 6 2 2 2 5" xfId="158"/>
    <cellStyle name="Header1 3 6 2 2 3" xfId="158"/>
    <cellStyle name="Header1 3 6 2 2 3 2" xfId="158"/>
    <cellStyle name="Header1 3 6 2 2 3 3" xfId="158"/>
    <cellStyle name="Header1 3 6 2 2 3 4" xfId="158"/>
    <cellStyle name="Header1 3 6 2 2 4" xfId="158"/>
    <cellStyle name="Header1 3 6 2 2 5" xfId="158"/>
    <cellStyle name="Header1 3 6 2 2 6" xfId="158"/>
    <cellStyle name="Header1 3 6 2 2 7" xfId="158"/>
    <cellStyle name="Header1 3 6 2 2 8" xfId="158"/>
    <cellStyle name="Header1 3 6 2 3" xfId="158"/>
    <cellStyle name="Header1 3 6 2 3 2" xfId="158"/>
    <cellStyle name="Header1 3 6 2 3 2 2" xfId="158"/>
    <cellStyle name="Header1 3 6 2 3 2 3" xfId="158"/>
    <cellStyle name="Header1 3 6 2 3 2 4" xfId="158"/>
    <cellStyle name="Header1 3 6 2 3 2 5" xfId="158"/>
    <cellStyle name="Header1 3 6 2 3 3" xfId="158"/>
    <cellStyle name="Header1 3 6 2 3 3 2" xfId="158"/>
    <cellStyle name="Header1 3 6 2 3 3 3" xfId="158"/>
    <cellStyle name="Header1 3 6 2 3 3 4" xfId="158"/>
    <cellStyle name="Header1 3 6 2 3 4" xfId="158"/>
    <cellStyle name="Header1 3 6 2 3 5" xfId="158"/>
    <cellStyle name="Header1 3 6 2 3 6" xfId="158"/>
    <cellStyle name="Header1 3 6 2 3 7" xfId="158"/>
    <cellStyle name="Header1 3 6 2 4" xfId="158"/>
    <cellStyle name="Header1 3 6 2 4 2" xfId="158"/>
    <cellStyle name="Header1 3 6 2 4 2 2" xfId="158"/>
    <cellStyle name="Header1 3 6 2 4 2 3" xfId="158"/>
    <cellStyle name="Header1 3 6 2 4 2 4" xfId="158"/>
    <cellStyle name="Header1 3 6 2 4 3" xfId="158"/>
    <cellStyle name="Header1 3 6 2 4 4" xfId="158"/>
    <cellStyle name="Header1 3 6 2 4 5" xfId="158"/>
    <cellStyle name="Header1 3 6 2 4 6" xfId="158"/>
    <cellStyle name="Header1 3 6 2 4 7" xfId="158"/>
    <cellStyle name="Header1 3 6 2 5" xfId="158"/>
    <cellStyle name="Header1 3 6 2 5 2" xfId="158"/>
    <cellStyle name="Header1 3 6 2 5 3" xfId="158"/>
    <cellStyle name="Header1 3 6 2 5 4" xfId="158"/>
    <cellStyle name="Header1 3 6 2 6" xfId="158"/>
    <cellStyle name="Header1 3 6 2 7" xfId="158"/>
    <cellStyle name="Header1 3 6 2 8" xfId="158"/>
    <cellStyle name="Header1 3 6 2 9" xfId="158"/>
    <cellStyle name="Header1 3 6 3" xfId="158"/>
    <cellStyle name="Header1 3 6 3 2" xfId="158"/>
    <cellStyle name="Header1 3 6 3 2 2" xfId="158"/>
    <cellStyle name="Header1 3 6 3 2 3" xfId="158"/>
    <cellStyle name="Header1 3 6 3 2 4" xfId="158"/>
    <cellStyle name="Header1 3 6 3 3" xfId="158"/>
    <cellStyle name="Header1 3 6 3 4" xfId="158"/>
    <cellStyle name="Header1 3 6 3 5" xfId="158"/>
    <cellStyle name="Header1 3 6 3 6" xfId="158"/>
    <cellStyle name="Header1 3 6 3 7" xfId="158"/>
    <cellStyle name="Header1 3 6 4" xfId="158"/>
    <cellStyle name="Header1 3 6 4 2" xfId="158"/>
    <cellStyle name="Header1 3 6 4 2 2" xfId="158"/>
    <cellStyle name="Header1 3 6 4 2 3" xfId="158"/>
    <cellStyle name="Header1 3 6 4 2 4" xfId="158"/>
    <cellStyle name="Header1 3 6 4 2 5" xfId="158"/>
    <cellStyle name="Header1 3 6 4 3" xfId="158"/>
    <cellStyle name="Header1 3 6 4 3 2" xfId="158"/>
    <cellStyle name="Header1 3 6 4 3 3" xfId="158"/>
    <cellStyle name="Header1 3 6 4 3 4" xfId="158"/>
    <cellStyle name="Header1 3 6 4 4" xfId="158"/>
    <cellStyle name="Header1 3 6 4 5" xfId="158"/>
    <cellStyle name="Header1 3 6 4 6" xfId="158"/>
    <cellStyle name="Header1 3 6 4 7" xfId="158"/>
    <cellStyle name="Header1 3 6 4 8" xfId="158"/>
    <cellStyle name="Header1 3 6 5" xfId="158"/>
    <cellStyle name="Header1 3 6 5 2" xfId="158"/>
    <cellStyle name="Header1 3 6 5 2 2" xfId="158"/>
    <cellStyle name="Header1 3 6 5 2 3" xfId="158"/>
    <cellStyle name="Header1 3 6 5 2 4" xfId="158"/>
    <cellStyle name="Header1 3 6 5 2 5" xfId="158"/>
    <cellStyle name="Header1 3 6 5 3" xfId="158"/>
    <cellStyle name="Header1 3 6 5 3 2" xfId="158"/>
    <cellStyle name="Header1 3 6 5 3 3" xfId="158"/>
    <cellStyle name="Header1 3 6 5 3 4" xfId="158"/>
    <cellStyle name="Header1 3 6 5 4" xfId="158"/>
    <cellStyle name="Header1 3 6 5 5" xfId="158"/>
    <cellStyle name="Header1 3 6 5 6" xfId="158"/>
    <cellStyle name="Header1 3 6 5 7" xfId="158"/>
    <cellStyle name="Header1 3 6 6" xfId="158"/>
    <cellStyle name="Header1 3 6 6 2" xfId="158"/>
    <cellStyle name="Header1 3 6 6 2 2" xfId="158"/>
    <cellStyle name="Header1 3 6 6 2 3" xfId="158"/>
    <cellStyle name="Header1 3 6 6 2 4" xfId="158"/>
    <cellStyle name="Header1 3 6 6 3" xfId="158"/>
    <cellStyle name="Header1 3 6 6 4" xfId="158"/>
    <cellStyle name="Header1 3 6 6 5" xfId="158"/>
    <cellStyle name="Header1 3 6 6 6" xfId="158"/>
    <cellStyle name="Header1 3 6 6 7" xfId="158"/>
    <cellStyle name="Header1 3 6 7" xfId="158"/>
    <cellStyle name="Header1 3 6 7 2" xfId="158"/>
    <cellStyle name="Header1 3 6 7 3" xfId="158"/>
    <cellStyle name="Header1 3 6 7 4" xfId="158"/>
    <cellStyle name="Header1 3 6 8" xfId="158"/>
    <cellStyle name="Header1 3 6 9" xfId="158"/>
    <cellStyle name="Header1 3 7" xfId="158"/>
    <cellStyle name="Header1 3 7 2" xfId="158"/>
    <cellStyle name="Header1 3 7 2 2" xfId="158"/>
    <cellStyle name="Header1 3 7 2 2 2" xfId="158"/>
    <cellStyle name="Header1 3 7 2 2 3" xfId="158"/>
    <cellStyle name="Header1 3 7 2 2 4" xfId="158"/>
    <cellStyle name="Header1 3 7 2 2 5" xfId="158"/>
    <cellStyle name="Header1 3 7 2 3" xfId="158"/>
    <cellStyle name="Header1 3 7 2 3 2" xfId="158"/>
    <cellStyle name="Header1 3 7 2 3 3" xfId="158"/>
    <cellStyle name="Header1 3 7 2 3 4" xfId="158"/>
    <cellStyle name="Header1 3 7 2 4" xfId="158"/>
    <cellStyle name="Header1 3 7 2 5" xfId="158"/>
    <cellStyle name="Header1 3 7 2 6" xfId="158"/>
    <cellStyle name="Header1 3 7 2 7" xfId="158"/>
    <cellStyle name="Header1 3 7 2 8" xfId="158"/>
    <cellStyle name="Header1 3 7 3" xfId="158"/>
    <cellStyle name="Header1 3 7 3 2" xfId="158"/>
    <cellStyle name="Header1 3 7 3 2 2" xfId="158"/>
    <cellStyle name="Header1 3 7 3 2 3" xfId="158"/>
    <cellStyle name="Header1 3 7 3 2 4" xfId="158"/>
    <cellStyle name="Header1 3 7 3 2 5" xfId="158"/>
    <cellStyle name="Header1 3 7 3 3" xfId="158"/>
    <cellStyle name="Header1 3 7 3 3 2" xfId="158"/>
    <cellStyle name="Header1 3 7 3 3 3" xfId="158"/>
    <cellStyle name="Header1 3 7 3 3 4" xfId="158"/>
    <cellStyle name="Header1 3 7 3 4" xfId="158"/>
    <cellStyle name="Header1 3 7 3 5" xfId="158"/>
    <cellStyle name="Header1 3 7 3 6" xfId="158"/>
    <cellStyle name="Header1 3 7 3 7" xfId="158"/>
    <cellStyle name="Header1 3 7 4" xfId="158"/>
    <cellStyle name="Header1 3 7 4 2" xfId="158"/>
    <cellStyle name="Header1 3 7 4 2 2" xfId="158"/>
    <cellStyle name="Header1 3 7 4 2 3" xfId="158"/>
    <cellStyle name="Header1 3 7 4 2 4" xfId="158"/>
    <cellStyle name="Header1 3 7 4 3" xfId="158"/>
    <cellStyle name="Header1 3 7 4 4" xfId="158"/>
    <cellStyle name="Header1 3 7 4 5" xfId="158"/>
    <cellStyle name="Header1 3 7 4 6" xfId="158"/>
    <cellStyle name="Header1 3 7 4 7" xfId="158"/>
    <cellStyle name="Header1 3 7 5" xfId="158"/>
    <cellStyle name="Header1 3 7 5 2" xfId="158"/>
    <cellStyle name="Header1 3 7 5 3" xfId="158"/>
    <cellStyle name="Header1 3 7 5 4" xfId="158"/>
    <cellStyle name="Header1 3 7 6" xfId="158"/>
    <cellStyle name="Header1 3 7 7" xfId="158"/>
    <cellStyle name="Header1 3 7 8" xfId="158"/>
    <cellStyle name="Header1 3 7 9" xfId="158"/>
    <cellStyle name="Header1 3 8" xfId="158"/>
    <cellStyle name="Header1 3 8 2" xfId="158"/>
    <cellStyle name="Header1 3 8 2 2" xfId="158"/>
    <cellStyle name="Header1 3 8 2 3" xfId="158"/>
    <cellStyle name="Header1 3 8 2 4" xfId="158"/>
    <cellStyle name="Header1 3 8 3" xfId="158"/>
    <cellStyle name="Header1 3 8 4" xfId="158"/>
    <cellStyle name="Header1 3 8 5" xfId="158"/>
    <cellStyle name="Header1 3 8 6" xfId="158"/>
    <cellStyle name="Header1 3 8 7" xfId="158"/>
    <cellStyle name="Header1 3 9" xfId="158"/>
    <cellStyle name="Header1 3 9 2" xfId="158"/>
    <cellStyle name="Header1 3 9 2 2" xfId="158"/>
    <cellStyle name="Header1 3 9 2 3" xfId="158"/>
    <cellStyle name="Header1 3 9 2 4" xfId="158"/>
    <cellStyle name="Header1 3 9 3" xfId="158"/>
    <cellStyle name="Header1 3 9 4" xfId="158"/>
    <cellStyle name="Header1 3 9 5" xfId="158"/>
    <cellStyle name="Header1 3 9 6" xfId="158"/>
    <cellStyle name="Header1 3 9 7" xfId="158"/>
    <cellStyle name="Header1 4" xfId="158"/>
    <cellStyle name="Header1 4 10" xfId="158"/>
    <cellStyle name="Header1 4 10 2" xfId="158"/>
    <cellStyle name="Header1 4 10 2 2" xfId="158"/>
    <cellStyle name="Header1 4 10 2 3" xfId="158"/>
    <cellStyle name="Header1 4 10 2 4" xfId="158"/>
    <cellStyle name="Header1 4 10 3" xfId="158"/>
    <cellStyle name="Header1 4 10 4" xfId="158"/>
    <cellStyle name="Header1 4 10 5" xfId="158"/>
    <cellStyle name="Header1 4 10 6" xfId="158"/>
    <cellStyle name="Header1 4 10 7" xfId="158"/>
    <cellStyle name="Header1 4 11" xfId="158"/>
    <cellStyle name="Header1 4 11 2" xfId="158"/>
    <cellStyle name="Header1 4 11 3" xfId="158"/>
    <cellStyle name="Header1 4 11 4" xfId="158"/>
    <cellStyle name="Header1 4 12" xfId="158"/>
    <cellStyle name="Header1 4 13" xfId="158"/>
    <cellStyle name="Header1 4 14" xfId="158"/>
    <cellStyle name="Header1 4 15" xfId="158"/>
    <cellStyle name="Header1 4 2" xfId="158"/>
    <cellStyle name="Header1 4 2 10" xfId="158"/>
    <cellStyle name="Header1 4 2 11" xfId="158"/>
    <cellStyle name="Header1 4 2 2" xfId="158"/>
    <cellStyle name="Header1 4 2 2 2" xfId="158"/>
    <cellStyle name="Header1 4 2 2 2 2" xfId="158"/>
    <cellStyle name="Header1 4 2 2 2 2 2" xfId="158"/>
    <cellStyle name="Header1 4 2 2 2 2 3" xfId="158"/>
    <cellStyle name="Header1 4 2 2 2 2 4" xfId="158"/>
    <cellStyle name="Header1 4 2 2 2 2 5" xfId="158"/>
    <cellStyle name="Header1 4 2 2 2 3" xfId="158"/>
    <cellStyle name="Header1 4 2 2 2 3 2" xfId="158"/>
    <cellStyle name="Header1 4 2 2 2 3 3" xfId="158"/>
    <cellStyle name="Header1 4 2 2 2 3 4" xfId="158"/>
    <cellStyle name="Header1 4 2 2 2 4" xfId="158"/>
    <cellStyle name="Header1 4 2 2 2 5" xfId="158"/>
    <cellStyle name="Header1 4 2 2 2 6" xfId="158"/>
    <cellStyle name="Header1 4 2 2 2 7" xfId="158"/>
    <cellStyle name="Header1 4 2 2 2 8" xfId="158"/>
    <cellStyle name="Header1 4 2 2 3" xfId="158"/>
    <cellStyle name="Header1 4 2 2 3 2" xfId="158"/>
    <cellStyle name="Header1 4 2 2 3 2 2" xfId="158"/>
    <cellStyle name="Header1 4 2 2 3 2 3" xfId="158"/>
    <cellStyle name="Header1 4 2 2 3 2 4" xfId="158"/>
    <cellStyle name="Header1 4 2 2 3 2 5" xfId="158"/>
    <cellStyle name="Header1 4 2 2 3 3" xfId="158"/>
    <cellStyle name="Header1 4 2 2 3 3 2" xfId="158"/>
    <cellStyle name="Header1 4 2 2 3 3 3" xfId="158"/>
    <cellStyle name="Header1 4 2 2 3 3 4" xfId="158"/>
    <cellStyle name="Header1 4 2 2 3 4" xfId="158"/>
    <cellStyle name="Header1 4 2 2 3 5" xfId="158"/>
    <cellStyle name="Header1 4 2 2 3 6" xfId="158"/>
    <cellStyle name="Header1 4 2 2 3 7" xfId="158"/>
    <cellStyle name="Header1 4 2 2 4" xfId="158"/>
    <cellStyle name="Header1 4 2 2 4 2" xfId="158"/>
    <cellStyle name="Header1 4 2 2 4 2 2" xfId="158"/>
    <cellStyle name="Header1 4 2 2 4 2 3" xfId="158"/>
    <cellStyle name="Header1 4 2 2 4 2 4" xfId="158"/>
    <cellStyle name="Header1 4 2 2 4 3" xfId="158"/>
    <cellStyle name="Header1 4 2 2 4 4" xfId="158"/>
    <cellStyle name="Header1 4 2 2 4 5" xfId="158"/>
    <cellStyle name="Header1 4 2 2 4 6" xfId="158"/>
    <cellStyle name="Header1 4 2 2 4 7" xfId="158"/>
    <cellStyle name="Header1 4 2 2 5" xfId="158"/>
    <cellStyle name="Header1 4 2 2 5 2" xfId="158"/>
    <cellStyle name="Header1 4 2 2 5 3" xfId="158"/>
    <cellStyle name="Header1 4 2 2 5 4" xfId="158"/>
    <cellStyle name="Header1 4 2 2 6" xfId="158"/>
    <cellStyle name="Header1 4 2 2 7" xfId="158"/>
    <cellStyle name="Header1 4 2 2 8" xfId="158"/>
    <cellStyle name="Header1 4 2 2 9" xfId="158"/>
    <cellStyle name="Header1 4 2 3" xfId="158"/>
    <cellStyle name="Header1 4 2 3 2" xfId="158"/>
    <cellStyle name="Header1 4 2 3 2 2" xfId="158"/>
    <cellStyle name="Header1 4 2 3 2 3" xfId="158"/>
    <cellStyle name="Header1 4 2 3 2 4" xfId="158"/>
    <cellStyle name="Header1 4 2 3 3" xfId="158"/>
    <cellStyle name="Header1 4 2 3 4" xfId="158"/>
    <cellStyle name="Header1 4 2 3 5" xfId="158"/>
    <cellStyle name="Header1 4 2 3 6" xfId="158"/>
    <cellStyle name="Header1 4 2 3 7" xfId="158"/>
    <cellStyle name="Header1 4 2 4" xfId="158"/>
    <cellStyle name="Header1 4 2 4 2" xfId="158"/>
    <cellStyle name="Header1 4 2 4 2 2" xfId="158"/>
    <cellStyle name="Header1 4 2 4 2 3" xfId="158"/>
    <cellStyle name="Header1 4 2 4 2 4" xfId="158"/>
    <cellStyle name="Header1 4 2 4 2 5" xfId="158"/>
    <cellStyle name="Header1 4 2 4 3" xfId="158"/>
    <cellStyle name="Header1 4 2 4 3 2" xfId="158"/>
    <cellStyle name="Header1 4 2 4 3 3" xfId="158"/>
    <cellStyle name="Header1 4 2 4 3 4" xfId="158"/>
    <cellStyle name="Header1 4 2 4 4" xfId="158"/>
    <cellStyle name="Header1 4 2 4 5" xfId="158"/>
    <cellStyle name="Header1 4 2 4 6" xfId="158"/>
    <cellStyle name="Header1 4 2 4 7" xfId="158"/>
    <cellStyle name="Header1 4 2 4 8" xfId="158"/>
    <cellStyle name="Header1 4 2 5" xfId="158"/>
    <cellStyle name="Header1 4 2 5 2" xfId="158"/>
    <cellStyle name="Header1 4 2 5 2 2" xfId="158"/>
    <cellStyle name="Header1 4 2 5 2 3" xfId="158"/>
    <cellStyle name="Header1 4 2 5 2 4" xfId="158"/>
    <cellStyle name="Header1 4 2 5 2 5" xfId="158"/>
    <cellStyle name="Header1 4 2 5 3" xfId="158"/>
    <cellStyle name="Header1 4 2 5 3 2" xfId="158"/>
    <cellStyle name="Header1 4 2 5 3 3" xfId="158"/>
    <cellStyle name="Header1 4 2 5 3 4" xfId="158"/>
    <cellStyle name="Header1 4 2 5 4" xfId="158"/>
    <cellStyle name="Header1 4 2 5 5" xfId="158"/>
    <cellStyle name="Header1 4 2 5 6" xfId="158"/>
    <cellStyle name="Header1 4 2 5 7" xfId="158"/>
    <cellStyle name="Header1 4 2 6" xfId="158"/>
    <cellStyle name="Header1 4 2 6 2" xfId="158"/>
    <cellStyle name="Header1 4 2 6 2 2" xfId="158"/>
    <cellStyle name="Header1 4 2 6 2 3" xfId="158"/>
    <cellStyle name="Header1 4 2 6 2 4" xfId="158"/>
    <cellStyle name="Header1 4 2 6 3" xfId="158"/>
    <cellStyle name="Header1 4 2 6 4" xfId="158"/>
    <cellStyle name="Header1 4 2 6 5" xfId="158"/>
    <cellStyle name="Header1 4 2 6 6" xfId="158"/>
    <cellStyle name="Header1 4 2 6 7" xfId="158"/>
    <cellStyle name="Header1 4 2 7" xfId="158"/>
    <cellStyle name="Header1 4 2 7 2" xfId="158"/>
    <cellStyle name="Header1 4 2 7 3" xfId="158"/>
    <cellStyle name="Header1 4 2 7 4" xfId="158"/>
    <cellStyle name="Header1 4 2 8" xfId="158"/>
    <cellStyle name="Header1 4 2 9" xfId="158"/>
    <cellStyle name="Header1 4 3" xfId="158"/>
    <cellStyle name="Header1 4 3 10" xfId="158"/>
    <cellStyle name="Header1 4 3 11" xfId="158"/>
    <cellStyle name="Header1 4 3 2" xfId="158"/>
    <cellStyle name="Header1 4 3 2 2" xfId="158"/>
    <cellStyle name="Header1 4 3 2 2 2" xfId="158"/>
    <cellStyle name="Header1 4 3 2 2 2 2" xfId="158"/>
    <cellStyle name="Header1 4 3 2 2 2 3" xfId="158"/>
    <cellStyle name="Header1 4 3 2 2 2 4" xfId="158"/>
    <cellStyle name="Header1 4 3 2 2 2 5" xfId="158"/>
    <cellStyle name="Header1 4 3 2 2 3" xfId="158"/>
    <cellStyle name="Header1 4 3 2 2 3 2" xfId="158"/>
    <cellStyle name="Header1 4 3 2 2 3 3" xfId="158"/>
    <cellStyle name="Header1 4 3 2 2 3 4" xfId="158"/>
    <cellStyle name="Header1 4 3 2 2 4" xfId="158"/>
    <cellStyle name="Header1 4 3 2 2 5" xfId="158"/>
    <cellStyle name="Header1 4 3 2 2 6" xfId="158"/>
    <cellStyle name="Header1 4 3 2 2 7" xfId="158"/>
    <cellStyle name="Header1 4 3 2 2 8" xfId="158"/>
    <cellStyle name="Header1 4 3 2 3" xfId="158"/>
    <cellStyle name="Header1 4 3 2 3 2" xfId="158"/>
    <cellStyle name="Header1 4 3 2 3 2 2" xfId="158"/>
    <cellStyle name="Header1 4 3 2 3 2 3" xfId="158"/>
    <cellStyle name="Header1 4 3 2 3 2 4" xfId="158"/>
    <cellStyle name="Header1 4 3 2 3 2 5" xfId="158"/>
    <cellStyle name="Header1 4 3 2 3 3" xfId="158"/>
    <cellStyle name="Header1 4 3 2 3 3 2" xfId="158"/>
    <cellStyle name="Header1 4 3 2 3 3 3" xfId="158"/>
    <cellStyle name="Header1 4 3 2 3 3 4" xfId="158"/>
    <cellStyle name="Header1 4 3 2 3 4" xfId="158"/>
    <cellStyle name="Header1 4 3 2 3 5" xfId="158"/>
    <cellStyle name="Header1 4 3 2 3 6" xfId="158"/>
    <cellStyle name="Header1 4 3 2 3 7" xfId="158"/>
    <cellStyle name="Header1 4 3 2 4" xfId="158"/>
    <cellStyle name="Header1 4 3 2 4 2" xfId="158"/>
    <cellStyle name="Header1 4 3 2 4 2 2" xfId="158"/>
    <cellStyle name="Header1 4 3 2 4 2 3" xfId="158"/>
    <cellStyle name="Header1 4 3 2 4 2 4" xfId="158"/>
    <cellStyle name="Header1 4 3 2 4 3" xfId="158"/>
    <cellStyle name="Header1 4 3 2 4 4" xfId="158"/>
    <cellStyle name="Header1 4 3 2 4 5" xfId="158"/>
    <cellStyle name="Header1 4 3 2 4 6" xfId="158"/>
    <cellStyle name="Header1 4 3 2 4 7" xfId="158"/>
    <cellStyle name="Header1 4 3 2 5" xfId="158"/>
    <cellStyle name="Header1 4 3 2 5 2" xfId="158"/>
    <cellStyle name="Header1 4 3 2 5 3" xfId="158"/>
    <cellStyle name="Header1 4 3 2 5 4" xfId="158"/>
    <cellStyle name="Header1 4 3 2 6" xfId="158"/>
    <cellStyle name="Header1 4 3 2 7" xfId="158"/>
    <cellStyle name="Header1 4 3 2 8" xfId="158"/>
    <cellStyle name="Header1 4 3 2 9" xfId="158"/>
    <cellStyle name="Header1 4 3 3" xfId="158"/>
    <cellStyle name="Header1 4 3 3 2" xfId="158"/>
    <cellStyle name="Header1 4 3 3 2 2" xfId="158"/>
    <cellStyle name="Header1 4 3 3 2 3" xfId="158"/>
    <cellStyle name="Header1 4 3 3 2 4" xfId="158"/>
    <cellStyle name="Header1 4 3 3 3" xfId="158"/>
    <cellStyle name="Header1 4 3 3 4" xfId="158"/>
    <cellStyle name="Header1 4 3 3 5" xfId="158"/>
    <cellStyle name="Header1 4 3 3 6" xfId="158"/>
    <cellStyle name="Header1 4 3 3 7" xfId="158"/>
    <cellStyle name="Header1 4 3 4" xfId="158"/>
    <cellStyle name="Header1 4 3 4 2" xfId="158"/>
    <cellStyle name="Header1 4 3 4 2 2" xfId="158"/>
    <cellStyle name="Header1 4 3 4 2 3" xfId="158"/>
    <cellStyle name="Header1 4 3 4 2 4" xfId="158"/>
    <cellStyle name="Header1 4 3 4 2 5" xfId="158"/>
    <cellStyle name="Header1 4 3 4 3" xfId="158"/>
    <cellStyle name="Header1 4 3 4 3 2" xfId="158"/>
    <cellStyle name="Header1 4 3 4 3 3" xfId="158"/>
    <cellStyle name="Header1 4 3 4 3 4" xfId="158"/>
    <cellStyle name="Header1 4 3 4 4" xfId="158"/>
    <cellStyle name="Header1 4 3 4 5" xfId="158"/>
    <cellStyle name="Header1 4 3 4 6" xfId="158"/>
    <cellStyle name="Header1 4 3 4 7" xfId="158"/>
    <cellStyle name="Header1 4 3 4 8" xfId="158"/>
    <cellStyle name="Header1 4 3 5" xfId="158"/>
    <cellStyle name="Header1 4 3 5 2" xfId="158"/>
    <cellStyle name="Header1 4 3 5 2 2" xfId="158"/>
    <cellStyle name="Header1 4 3 5 2 3" xfId="158"/>
    <cellStyle name="Header1 4 3 5 2 4" xfId="158"/>
    <cellStyle name="Header1 4 3 5 2 5" xfId="158"/>
    <cellStyle name="Header1 4 3 5 3" xfId="158"/>
    <cellStyle name="Header1 4 3 5 3 2" xfId="158"/>
    <cellStyle name="Header1 4 3 5 3 3" xfId="158"/>
    <cellStyle name="Header1 4 3 5 3 4" xfId="158"/>
    <cellStyle name="Header1 4 3 5 4" xfId="158"/>
    <cellStyle name="Header1 4 3 5 5" xfId="158"/>
    <cellStyle name="Header1 4 3 5 6" xfId="158"/>
    <cellStyle name="Header1 4 3 5 7" xfId="158"/>
    <cellStyle name="Header1 4 3 6" xfId="158"/>
    <cellStyle name="Header1 4 3 6 2" xfId="158"/>
    <cellStyle name="Header1 4 3 6 2 2" xfId="158"/>
    <cellStyle name="Header1 4 3 6 2 3" xfId="158"/>
    <cellStyle name="Header1 4 3 6 2 4" xfId="158"/>
    <cellStyle name="Header1 4 3 6 3" xfId="158"/>
    <cellStyle name="Header1 4 3 6 4" xfId="158"/>
    <cellStyle name="Header1 4 3 6 5" xfId="158"/>
    <cellStyle name="Header1 4 3 6 6" xfId="158"/>
    <cellStyle name="Header1 4 3 6 7" xfId="158"/>
    <cellStyle name="Header1 4 3 7" xfId="158"/>
    <cellStyle name="Header1 4 3 7 2" xfId="158"/>
    <cellStyle name="Header1 4 3 7 3" xfId="158"/>
    <cellStyle name="Header1 4 3 7 4" xfId="158"/>
    <cellStyle name="Header1 4 3 8" xfId="158"/>
    <cellStyle name="Header1 4 3 9" xfId="158"/>
    <cellStyle name="Header1 4 4" xfId="158"/>
    <cellStyle name="Header1 4 4 10" xfId="158"/>
    <cellStyle name="Header1 4 4 11" xfId="158"/>
    <cellStyle name="Header1 4 4 2" xfId="158"/>
    <cellStyle name="Header1 4 4 2 2" xfId="158"/>
    <cellStyle name="Header1 4 4 2 2 2" xfId="158"/>
    <cellStyle name="Header1 4 4 2 2 2 2" xfId="158"/>
    <cellStyle name="Header1 4 4 2 2 2 3" xfId="158"/>
    <cellStyle name="Header1 4 4 2 2 2 4" xfId="158"/>
    <cellStyle name="Header1 4 4 2 2 2 5" xfId="158"/>
    <cellStyle name="Header1 4 4 2 2 3" xfId="158"/>
    <cellStyle name="Header1 4 4 2 2 3 2" xfId="158"/>
    <cellStyle name="Header1 4 4 2 2 3 3" xfId="158"/>
    <cellStyle name="Header1 4 4 2 2 3 4" xfId="158"/>
    <cellStyle name="Header1 4 4 2 2 4" xfId="158"/>
    <cellStyle name="Header1 4 4 2 2 5" xfId="158"/>
    <cellStyle name="Header1 4 4 2 2 6" xfId="158"/>
    <cellStyle name="Header1 4 4 2 2 7" xfId="158"/>
    <cellStyle name="Header1 4 4 2 2 8" xfId="158"/>
    <cellStyle name="Header1 4 4 2 3" xfId="158"/>
    <cellStyle name="Header1 4 4 2 3 2" xfId="158"/>
    <cellStyle name="Header1 4 4 2 3 2 2" xfId="158"/>
    <cellStyle name="Header1 4 4 2 3 2 3" xfId="158"/>
    <cellStyle name="Header1 4 4 2 3 2 4" xfId="158"/>
    <cellStyle name="Header1 4 4 2 3 2 5" xfId="158"/>
    <cellStyle name="Header1 4 4 2 3 3" xfId="158"/>
    <cellStyle name="Header1 4 4 2 3 3 2" xfId="158"/>
    <cellStyle name="Header1 4 4 2 3 3 3" xfId="158"/>
    <cellStyle name="Header1 4 4 2 3 3 4" xfId="158"/>
    <cellStyle name="Header1 4 4 2 3 4" xfId="158"/>
    <cellStyle name="Header1 4 4 2 3 5" xfId="158"/>
    <cellStyle name="Header1 4 4 2 3 6" xfId="158"/>
    <cellStyle name="Header1 4 4 2 3 7" xfId="158"/>
    <cellStyle name="Header1 4 4 2 4" xfId="158"/>
    <cellStyle name="Header1 4 4 2 4 2" xfId="158"/>
    <cellStyle name="Header1 4 4 2 4 2 2" xfId="158"/>
    <cellStyle name="Header1 4 4 2 4 2 3" xfId="158"/>
    <cellStyle name="Header1 4 4 2 4 2 4" xfId="158"/>
    <cellStyle name="Header1 4 4 2 4 3" xfId="158"/>
    <cellStyle name="Header1 4 4 2 4 4" xfId="158"/>
    <cellStyle name="Header1 4 4 2 4 5" xfId="158"/>
    <cellStyle name="Header1 4 4 2 4 6" xfId="158"/>
    <cellStyle name="Header1 4 4 2 4 7" xfId="158"/>
    <cellStyle name="Header1 4 4 2 5" xfId="158"/>
    <cellStyle name="Header1 4 4 2 5 2" xfId="158"/>
    <cellStyle name="Header1 4 4 2 5 3" xfId="158"/>
    <cellStyle name="Header1 4 4 2 5 4" xfId="158"/>
    <cellStyle name="Header1 4 4 2 6" xfId="158"/>
    <cellStyle name="Header1 4 4 2 7" xfId="158"/>
    <cellStyle name="Header1 4 4 2 8" xfId="158"/>
    <cellStyle name="Header1 4 4 2 9" xfId="158"/>
    <cellStyle name="Header1 4 4 3" xfId="158"/>
    <cellStyle name="Header1 4 4 3 2" xfId="158"/>
    <cellStyle name="Header1 4 4 3 2 2" xfId="158"/>
    <cellStyle name="Header1 4 4 3 2 3" xfId="158"/>
    <cellStyle name="Header1 4 4 3 2 4" xfId="158"/>
    <cellStyle name="Header1 4 4 3 3" xfId="158"/>
    <cellStyle name="Header1 4 4 3 4" xfId="158"/>
    <cellStyle name="Header1 4 4 3 5" xfId="158"/>
    <cellStyle name="Header1 4 4 3 6" xfId="158"/>
    <cellStyle name="Header1 4 4 3 7" xfId="158"/>
    <cellStyle name="Header1 4 4 4" xfId="158"/>
    <cellStyle name="Header1 4 4 4 2" xfId="158"/>
    <cellStyle name="Header1 4 4 4 2 2" xfId="158"/>
    <cellStyle name="Header1 4 4 4 2 3" xfId="158"/>
    <cellStyle name="Header1 4 4 4 2 4" xfId="158"/>
    <cellStyle name="Header1 4 4 4 2 5" xfId="158"/>
    <cellStyle name="Header1 4 4 4 3" xfId="158"/>
    <cellStyle name="Header1 4 4 4 3 2" xfId="158"/>
    <cellStyle name="Header1 4 4 4 3 3" xfId="158"/>
    <cellStyle name="Header1 4 4 4 3 4" xfId="158"/>
    <cellStyle name="Header1 4 4 4 4" xfId="158"/>
    <cellStyle name="Header1 4 4 4 5" xfId="158"/>
    <cellStyle name="Header1 4 4 4 6" xfId="158"/>
    <cellStyle name="Header1 4 4 4 7" xfId="158"/>
    <cellStyle name="Header1 4 4 4 8" xfId="158"/>
    <cellStyle name="Header1 4 4 5" xfId="158"/>
    <cellStyle name="Header1 4 4 5 2" xfId="158"/>
    <cellStyle name="Header1 4 4 5 2 2" xfId="158"/>
    <cellStyle name="Header1 4 4 5 2 3" xfId="158"/>
    <cellStyle name="Header1 4 4 5 2 4" xfId="158"/>
    <cellStyle name="Header1 4 4 5 2 5" xfId="158"/>
    <cellStyle name="Header1 4 4 5 3" xfId="158"/>
    <cellStyle name="Header1 4 4 5 3 2" xfId="158"/>
    <cellStyle name="Header1 4 4 5 3 3" xfId="158"/>
    <cellStyle name="Header1 4 4 5 3 4" xfId="158"/>
    <cellStyle name="Header1 4 4 5 4" xfId="158"/>
    <cellStyle name="Header1 4 4 5 5" xfId="158"/>
    <cellStyle name="Header1 4 4 5 6" xfId="158"/>
    <cellStyle name="Header1 4 4 5 7" xfId="158"/>
    <cellStyle name="Header1 4 4 6" xfId="158"/>
    <cellStyle name="Header1 4 4 6 2" xfId="158"/>
    <cellStyle name="Header1 4 4 6 2 2" xfId="158"/>
    <cellStyle name="Header1 4 4 6 2 3" xfId="158"/>
    <cellStyle name="Header1 4 4 6 2 4" xfId="158"/>
    <cellStyle name="Header1 4 4 6 3" xfId="158"/>
    <cellStyle name="Header1 4 4 6 4" xfId="158"/>
    <cellStyle name="Header1 4 4 6 5" xfId="158"/>
    <cellStyle name="Header1 4 4 6 6" xfId="158"/>
    <cellStyle name="Header1 4 4 6 7" xfId="158"/>
    <cellStyle name="Header1 4 4 7" xfId="158"/>
    <cellStyle name="Header1 4 4 7 2" xfId="158"/>
    <cellStyle name="Header1 4 4 7 3" xfId="158"/>
    <cellStyle name="Header1 4 4 7 4" xfId="158"/>
    <cellStyle name="Header1 4 4 8" xfId="158"/>
    <cellStyle name="Header1 4 4 9" xfId="158"/>
    <cellStyle name="Header1 4 5" xfId="158"/>
    <cellStyle name="Header1 4 5 2" xfId="158"/>
    <cellStyle name="Header1 4 5 2 2" xfId="158"/>
    <cellStyle name="Header1 4 5 2 2 2" xfId="158"/>
    <cellStyle name="Header1 4 5 2 2 3" xfId="158"/>
    <cellStyle name="Header1 4 5 2 2 4" xfId="158"/>
    <cellStyle name="Header1 4 5 2 2 5" xfId="158"/>
    <cellStyle name="Header1 4 5 2 3" xfId="158"/>
    <cellStyle name="Header1 4 5 2 3 2" xfId="158"/>
    <cellStyle name="Header1 4 5 2 3 3" xfId="158"/>
    <cellStyle name="Header1 4 5 2 3 4" xfId="158"/>
    <cellStyle name="Header1 4 5 2 4" xfId="158"/>
    <cellStyle name="Header1 4 5 2 5" xfId="158"/>
    <cellStyle name="Header1 4 5 2 6" xfId="158"/>
    <cellStyle name="Header1 4 5 2 7" xfId="158"/>
    <cellStyle name="Header1 4 5 2 8" xfId="158"/>
    <cellStyle name="Header1 4 5 3" xfId="158"/>
    <cellStyle name="Header1 4 5 3 2" xfId="158"/>
    <cellStyle name="Header1 4 5 3 2 2" xfId="158"/>
    <cellStyle name="Header1 4 5 3 2 3" xfId="158"/>
    <cellStyle name="Header1 4 5 3 2 4" xfId="158"/>
    <cellStyle name="Header1 4 5 3 2 5" xfId="158"/>
    <cellStyle name="Header1 4 5 3 3" xfId="158"/>
    <cellStyle name="Header1 4 5 3 3 2" xfId="158"/>
    <cellStyle name="Header1 4 5 3 3 3" xfId="158"/>
    <cellStyle name="Header1 4 5 3 3 4" xfId="158"/>
    <cellStyle name="Header1 4 5 3 4" xfId="158"/>
    <cellStyle name="Header1 4 5 3 5" xfId="158"/>
    <cellStyle name="Header1 4 5 3 6" xfId="158"/>
    <cellStyle name="Header1 4 5 3 7" xfId="158"/>
    <cellStyle name="Header1 4 5 4" xfId="158"/>
    <cellStyle name="Header1 4 5 4 2" xfId="158"/>
    <cellStyle name="Header1 4 5 4 2 2" xfId="158"/>
    <cellStyle name="Header1 4 5 4 2 3" xfId="158"/>
    <cellStyle name="Header1 4 5 4 2 4" xfId="158"/>
    <cellStyle name="Header1 4 5 4 3" xfId="158"/>
    <cellStyle name="Header1 4 5 4 4" xfId="158"/>
    <cellStyle name="Header1 4 5 4 5" xfId="158"/>
    <cellStyle name="Header1 4 5 4 6" xfId="158"/>
    <cellStyle name="Header1 4 5 4 7" xfId="158"/>
    <cellStyle name="Header1 4 5 5" xfId="158"/>
    <cellStyle name="Header1 4 5 5 2" xfId="158"/>
    <cellStyle name="Header1 4 5 5 3" xfId="158"/>
    <cellStyle name="Header1 4 5 5 4" xfId="158"/>
    <cellStyle name="Header1 4 5 6" xfId="158"/>
    <cellStyle name="Header1 4 5 7" xfId="158"/>
    <cellStyle name="Header1 4 5 8" xfId="158"/>
    <cellStyle name="Header1 4 5 9" xfId="158"/>
    <cellStyle name="Header1 4 6" xfId="158"/>
    <cellStyle name="Header1 4 6 2" xfId="158"/>
    <cellStyle name="Header1 4 6 2 2" xfId="158"/>
    <cellStyle name="Header1 4 6 2 3" xfId="158"/>
    <cellStyle name="Header1 4 6 2 4" xfId="158"/>
    <cellStyle name="Header1 4 6 3" xfId="158"/>
    <cellStyle name="Header1 4 6 4" xfId="158"/>
    <cellStyle name="Header1 4 6 5" xfId="158"/>
    <cellStyle name="Header1 4 6 6" xfId="158"/>
    <cellStyle name="Header1 4 6 7" xfId="158"/>
    <cellStyle name="Header1 4 7" xfId="158"/>
    <cellStyle name="Header1 4 7 2" xfId="158"/>
    <cellStyle name="Header1 4 7 2 2" xfId="158"/>
    <cellStyle name="Header1 4 7 2 3" xfId="158"/>
    <cellStyle name="Header1 4 7 2 4" xfId="158"/>
    <cellStyle name="Header1 4 7 3" xfId="158"/>
    <cellStyle name="Header1 4 7 4" xfId="158"/>
    <cellStyle name="Header1 4 7 5" xfId="158"/>
    <cellStyle name="Header1 4 7 6" xfId="158"/>
    <cellStyle name="Header1 4 7 7" xfId="158"/>
    <cellStyle name="Header1 4 8" xfId="158"/>
    <cellStyle name="Header1 4 8 2" xfId="158"/>
    <cellStyle name="Header1 4 8 2 2" xfId="158"/>
    <cellStyle name="Header1 4 8 2 3" xfId="158"/>
    <cellStyle name="Header1 4 8 2 4" xfId="158"/>
    <cellStyle name="Header1 4 8 2 5" xfId="158"/>
    <cellStyle name="Header1 4 8 3" xfId="158"/>
    <cellStyle name="Header1 4 8 3 2" xfId="158"/>
    <cellStyle name="Header1 4 8 3 3" xfId="158"/>
    <cellStyle name="Header1 4 8 3 4" xfId="158"/>
    <cellStyle name="Header1 4 8 4" xfId="158"/>
    <cellStyle name="Header1 4 8 5" xfId="158"/>
    <cellStyle name="Header1 4 8 6" xfId="158"/>
    <cellStyle name="Header1 4 8 7" xfId="158"/>
    <cellStyle name="Header1 4 8 8" xfId="158"/>
    <cellStyle name="Header1 4 9" xfId="158"/>
    <cellStyle name="Header1 4 9 2" xfId="158"/>
    <cellStyle name="Header1 4 9 2 2" xfId="158"/>
    <cellStyle name="Header1 4 9 2 3" xfId="158"/>
    <cellStyle name="Header1 4 9 2 4" xfId="158"/>
    <cellStyle name="Header1 4 9 2 5" xfId="158"/>
    <cellStyle name="Header1 4 9 3" xfId="158"/>
    <cellStyle name="Header1 4 9 3 2" xfId="158"/>
    <cellStyle name="Header1 4 9 3 3" xfId="158"/>
    <cellStyle name="Header1 4 9 3 4" xfId="158"/>
    <cellStyle name="Header1 4 9 4" xfId="158"/>
    <cellStyle name="Header1 4 9 5" xfId="158"/>
    <cellStyle name="Header1 4 9 6" xfId="158"/>
    <cellStyle name="Header1 4 9 7" xfId="158"/>
    <cellStyle name="Header1 5" xfId="158"/>
    <cellStyle name="Header1 5 10" xfId="158"/>
    <cellStyle name="Header1 5 11" xfId="158"/>
    <cellStyle name="Header1 5 2" xfId="158"/>
    <cellStyle name="Header1 5 2 2" xfId="158"/>
    <cellStyle name="Header1 5 2 2 2" xfId="158"/>
    <cellStyle name="Header1 5 2 2 2 2" xfId="158"/>
    <cellStyle name="Header1 5 2 2 2 3" xfId="158"/>
    <cellStyle name="Header1 5 2 2 2 4" xfId="158"/>
    <cellStyle name="Header1 5 2 2 2 5" xfId="158"/>
    <cellStyle name="Header1 5 2 2 3" xfId="158"/>
    <cellStyle name="Header1 5 2 2 3 2" xfId="158"/>
    <cellStyle name="Header1 5 2 2 3 3" xfId="158"/>
    <cellStyle name="Header1 5 2 2 3 4" xfId="158"/>
    <cellStyle name="Header1 5 2 2 4" xfId="158"/>
    <cellStyle name="Header1 5 2 2 5" xfId="158"/>
    <cellStyle name="Header1 5 2 2 6" xfId="158"/>
    <cellStyle name="Header1 5 2 2 7" xfId="158"/>
    <cellStyle name="Header1 5 2 2 8" xfId="158"/>
    <cellStyle name="Header1 5 2 3" xfId="158"/>
    <cellStyle name="Header1 5 2 3 2" xfId="158"/>
    <cellStyle name="Header1 5 2 3 2 2" xfId="158"/>
    <cellStyle name="Header1 5 2 3 2 3" xfId="158"/>
    <cellStyle name="Header1 5 2 3 2 4" xfId="158"/>
    <cellStyle name="Header1 5 2 3 2 5" xfId="158"/>
    <cellStyle name="Header1 5 2 3 3" xfId="158"/>
    <cellStyle name="Header1 5 2 3 3 2" xfId="158"/>
    <cellStyle name="Header1 5 2 3 3 3" xfId="158"/>
    <cellStyle name="Header1 5 2 3 3 4" xfId="158"/>
    <cellStyle name="Header1 5 2 3 4" xfId="158"/>
    <cellStyle name="Header1 5 2 3 5" xfId="158"/>
    <cellStyle name="Header1 5 2 3 6" xfId="158"/>
    <cellStyle name="Header1 5 2 3 7" xfId="158"/>
    <cellStyle name="Header1 5 2 4" xfId="158"/>
    <cellStyle name="Header1 5 2 4 2" xfId="158"/>
    <cellStyle name="Header1 5 2 4 2 2" xfId="158"/>
    <cellStyle name="Header1 5 2 4 2 3" xfId="158"/>
    <cellStyle name="Header1 5 2 4 2 4" xfId="158"/>
    <cellStyle name="Header1 5 2 4 3" xfId="158"/>
    <cellStyle name="Header1 5 2 4 4" xfId="158"/>
    <cellStyle name="Header1 5 2 4 5" xfId="158"/>
    <cellStyle name="Header1 5 2 4 6" xfId="158"/>
    <cellStyle name="Header1 5 2 4 7" xfId="158"/>
    <cellStyle name="Header1 5 2 5" xfId="158"/>
    <cellStyle name="Header1 5 2 5 2" xfId="158"/>
    <cellStyle name="Header1 5 2 5 3" xfId="158"/>
    <cellStyle name="Header1 5 2 5 4" xfId="158"/>
    <cellStyle name="Header1 5 2 6" xfId="158"/>
    <cellStyle name="Header1 5 2 7" xfId="158"/>
    <cellStyle name="Header1 5 2 8" xfId="158"/>
    <cellStyle name="Header1 5 2 9" xfId="158"/>
    <cellStyle name="Header1 5 3" xfId="158"/>
    <cellStyle name="Header1 5 3 2" xfId="158"/>
    <cellStyle name="Header1 5 3 2 2" xfId="158"/>
    <cellStyle name="Header1 5 3 2 3" xfId="158"/>
    <cellStyle name="Header1 5 3 2 4" xfId="158"/>
    <cellStyle name="Header1 5 3 3" xfId="158"/>
    <cellStyle name="Header1 5 3 4" xfId="158"/>
    <cellStyle name="Header1 5 3 5" xfId="158"/>
    <cellStyle name="Header1 5 3 6" xfId="158"/>
    <cellStyle name="Header1 5 3 7" xfId="158"/>
    <cellStyle name="Header1 5 4" xfId="158"/>
    <cellStyle name="Header1 5 4 2" xfId="158"/>
    <cellStyle name="Header1 5 4 2 2" xfId="158"/>
    <cellStyle name="Header1 5 4 2 3" xfId="158"/>
    <cellStyle name="Header1 5 4 2 4" xfId="158"/>
    <cellStyle name="Header1 5 4 2 5" xfId="158"/>
    <cellStyle name="Header1 5 4 3" xfId="158"/>
    <cellStyle name="Header1 5 4 3 2" xfId="158"/>
    <cellStyle name="Header1 5 4 3 3" xfId="158"/>
    <cellStyle name="Header1 5 4 3 4" xfId="158"/>
    <cellStyle name="Header1 5 4 4" xfId="158"/>
    <cellStyle name="Header1 5 4 5" xfId="158"/>
    <cellStyle name="Header1 5 4 6" xfId="158"/>
    <cellStyle name="Header1 5 4 7" xfId="158"/>
    <cellStyle name="Header1 5 4 8" xfId="158"/>
    <cellStyle name="Header1 5 5" xfId="158"/>
    <cellStyle name="Header1 5 5 2" xfId="158"/>
    <cellStyle name="Header1 5 5 2 2" xfId="158"/>
    <cellStyle name="Header1 5 5 2 3" xfId="158"/>
    <cellStyle name="Header1 5 5 2 4" xfId="158"/>
    <cellStyle name="Header1 5 5 2 5" xfId="158"/>
    <cellStyle name="Header1 5 5 3" xfId="158"/>
    <cellStyle name="Header1 5 5 3 2" xfId="158"/>
    <cellStyle name="Header1 5 5 3 3" xfId="158"/>
    <cellStyle name="Header1 5 5 3 4" xfId="158"/>
    <cellStyle name="Header1 5 5 4" xfId="158"/>
    <cellStyle name="Header1 5 5 5" xfId="158"/>
    <cellStyle name="Header1 5 5 6" xfId="158"/>
    <cellStyle name="Header1 5 5 7" xfId="158"/>
    <cellStyle name="Header1 5 6" xfId="158"/>
    <cellStyle name="Header1 5 6 2" xfId="158"/>
    <cellStyle name="Header1 5 6 2 2" xfId="158"/>
    <cellStyle name="Header1 5 6 2 3" xfId="158"/>
    <cellStyle name="Header1 5 6 2 4" xfId="158"/>
    <cellStyle name="Header1 5 6 3" xfId="158"/>
    <cellStyle name="Header1 5 6 4" xfId="158"/>
    <cellStyle name="Header1 5 6 5" xfId="158"/>
    <cellStyle name="Header1 5 6 6" xfId="158"/>
    <cellStyle name="Header1 5 6 7" xfId="158"/>
    <cellStyle name="Header1 5 7" xfId="158"/>
    <cellStyle name="Header1 5 7 2" xfId="158"/>
    <cellStyle name="Header1 5 7 3" xfId="158"/>
    <cellStyle name="Header1 5 7 4" xfId="158"/>
    <cellStyle name="Header1 5 8" xfId="158"/>
    <cellStyle name="Header1 5 9" xfId="158"/>
    <cellStyle name="Header1 6" xfId="158"/>
    <cellStyle name="Header1 7" xfId="158"/>
    <cellStyle name="Header11" xfId="159"/>
    <cellStyle name="Header11Center" xfId="160"/>
    <cellStyle name="Header11CenterB" xfId="161"/>
    <cellStyle name="Header11Left" xfId="162"/>
    <cellStyle name="Header11LeftB" xfId="163"/>
    <cellStyle name="Header11LeftWB" xfId="164"/>
    <cellStyle name="Header11Right" xfId="159"/>
    <cellStyle name="Header12CenterB" xfId="165"/>
    <cellStyle name="Header12LeftBold" xfId="166"/>
    <cellStyle name="Header1C,WoutBorder" xfId="167"/>
    <cellStyle name="Header1Center" xfId="168"/>
    <cellStyle name="Header1Center 2" xfId="168"/>
    <cellStyle name="Header1Center 2 10" xfId="168"/>
    <cellStyle name="Header1Center 2 11" xfId="168"/>
    <cellStyle name="Header1Center 2 12" xfId="168"/>
    <cellStyle name="Header1Center 2 13" xfId="168"/>
    <cellStyle name="Header1Center 2 14" xfId="168"/>
    <cellStyle name="Header1Center 2 2" xfId="168"/>
    <cellStyle name="Header1Center 2 2 10" xfId="168"/>
    <cellStyle name="Header1Center 2 2 11" xfId="168"/>
    <cellStyle name="Header1Center 2 2 12" xfId="168"/>
    <cellStyle name="Header1Center 2 2 13" xfId="168"/>
    <cellStyle name="Header1Center 2 2 14" xfId="168"/>
    <cellStyle name="Header1Center 2 2 2" xfId="168"/>
    <cellStyle name="Header1Center 2 2 2 10" xfId="168"/>
    <cellStyle name="Header1Center 2 2 2 11" xfId="168"/>
    <cellStyle name="Header1Center 2 2 2 12" xfId="168"/>
    <cellStyle name="Header1Center 2 2 2 2" xfId="168"/>
    <cellStyle name="Header1Center 2 2 2 2 2" xfId="168"/>
    <cellStyle name="Header1Center 2 2 2 2 2 2" xfId="168"/>
    <cellStyle name="Header1Center 2 2 2 2 2 3" xfId="168"/>
    <cellStyle name="Header1Center 2 2 2 2 2 4" xfId="168"/>
    <cellStyle name="Header1Center 2 2 2 2 2 5" xfId="168"/>
    <cellStyle name="Header1Center 2 2 2 2 3" xfId="168"/>
    <cellStyle name="Header1Center 2 2 2 2 3 2" xfId="168"/>
    <cellStyle name="Header1Center 2 2 2 2 3 3" xfId="168"/>
    <cellStyle name="Header1Center 2 2 2 2 3 4" xfId="168"/>
    <cellStyle name="Header1Center 2 2 2 2 4" xfId="168"/>
    <cellStyle name="Header1Center 2 2 2 2 5" xfId="168"/>
    <cellStyle name="Header1Center 2 2 2 2 6" xfId="168"/>
    <cellStyle name="Header1Center 2 2 2 2 7" xfId="168"/>
    <cellStyle name="Header1Center 2 2 2 2 8" xfId="168"/>
    <cellStyle name="Header1Center 2 2 2 3" xfId="168"/>
    <cellStyle name="Header1Center 2 2 2 3 2" xfId="168"/>
    <cellStyle name="Header1Center 2 2 2 3 2 2" xfId="168"/>
    <cellStyle name="Header1Center 2 2 2 3 2 3" xfId="168"/>
    <cellStyle name="Header1Center 2 2 2 3 2 4" xfId="168"/>
    <cellStyle name="Header1Center 2 2 2 3 2 5" xfId="168"/>
    <cellStyle name="Header1Center 2 2 2 3 3" xfId="168"/>
    <cellStyle name="Header1Center 2 2 2 3 3 2" xfId="168"/>
    <cellStyle name="Header1Center 2 2 2 3 3 3" xfId="168"/>
    <cellStyle name="Header1Center 2 2 2 3 3 4" xfId="168"/>
    <cellStyle name="Header1Center 2 2 2 3 4" xfId="168"/>
    <cellStyle name="Header1Center 2 2 2 3 5" xfId="168"/>
    <cellStyle name="Header1Center 2 2 2 3 6" xfId="168"/>
    <cellStyle name="Header1Center 2 2 2 3 7" xfId="168"/>
    <cellStyle name="Header1Center 2 2 2 3 8" xfId="168"/>
    <cellStyle name="Header1Center 2 2 2 4" xfId="168"/>
    <cellStyle name="Header1Center 2 2 2 4 2" xfId="168"/>
    <cellStyle name="Header1Center 2 2 2 4 2 2" xfId="168"/>
    <cellStyle name="Header1Center 2 2 2 4 2 3" xfId="168"/>
    <cellStyle name="Header1Center 2 2 2 4 2 4" xfId="168"/>
    <cellStyle name="Header1Center 2 2 2 4 2 5" xfId="168"/>
    <cellStyle name="Header1Center 2 2 2 4 3" xfId="168"/>
    <cellStyle name="Header1Center 2 2 2 4 3 2" xfId="168"/>
    <cellStyle name="Header1Center 2 2 2 4 3 3" xfId="168"/>
    <cellStyle name="Header1Center 2 2 2 4 3 4" xfId="168"/>
    <cellStyle name="Header1Center 2 2 2 4 4" xfId="168"/>
    <cellStyle name="Header1Center 2 2 2 4 5" xfId="168"/>
    <cellStyle name="Header1Center 2 2 2 4 6" xfId="168"/>
    <cellStyle name="Header1Center 2 2 2 4 7" xfId="168"/>
    <cellStyle name="Header1Center 2 2 2 4 8" xfId="168"/>
    <cellStyle name="Header1Center 2 2 2 5" xfId="168"/>
    <cellStyle name="Header1Center 2 2 2 5 2" xfId="168"/>
    <cellStyle name="Header1Center 2 2 2 5 2 2" xfId="168"/>
    <cellStyle name="Header1Center 2 2 2 5 2 3" xfId="168"/>
    <cellStyle name="Header1Center 2 2 2 5 2 4" xfId="168"/>
    <cellStyle name="Header1Center 2 2 2 5 2 5" xfId="168"/>
    <cellStyle name="Header1Center 2 2 2 5 3" xfId="168"/>
    <cellStyle name="Header1Center 2 2 2 5 3 2" xfId="168"/>
    <cellStyle name="Header1Center 2 2 2 5 3 3" xfId="168"/>
    <cellStyle name="Header1Center 2 2 2 5 3 4" xfId="168"/>
    <cellStyle name="Header1Center 2 2 2 5 4" xfId="168"/>
    <cellStyle name="Header1Center 2 2 2 5 5" xfId="168"/>
    <cellStyle name="Header1Center 2 2 2 5 6" xfId="168"/>
    <cellStyle name="Header1Center 2 2 2 5 7" xfId="168"/>
    <cellStyle name="Header1Center 2 2 2 5 8" xfId="168"/>
    <cellStyle name="Header1Center 2 2 2 6" xfId="168"/>
    <cellStyle name="Header1Center 2 2 2 6 2" xfId="168"/>
    <cellStyle name="Header1Center 2 2 2 6 3" xfId="168"/>
    <cellStyle name="Header1Center 2 2 2 6 4" xfId="168"/>
    <cellStyle name="Header1Center 2 2 2 6 5" xfId="168"/>
    <cellStyle name="Header1Center 2 2 2 7" xfId="168"/>
    <cellStyle name="Header1Center 2 2 2 7 2" xfId="168"/>
    <cellStyle name="Header1Center 2 2 2 7 3" xfId="168"/>
    <cellStyle name="Header1Center 2 2 2 7 4" xfId="168"/>
    <cellStyle name="Header1Center 2 2 2 8" xfId="168"/>
    <cellStyle name="Header1Center 2 2 2 9" xfId="168"/>
    <cellStyle name="Header1Center 2 2 3" xfId="168"/>
    <cellStyle name="Header1Center 2 2 3 10" xfId="168"/>
    <cellStyle name="Header1Center 2 2 3 11" xfId="168"/>
    <cellStyle name="Header1Center 2 2 3 12" xfId="168"/>
    <cellStyle name="Header1Center 2 2 3 2" xfId="168"/>
    <cellStyle name="Header1Center 2 2 3 2 2" xfId="168"/>
    <cellStyle name="Header1Center 2 2 3 2 2 2" xfId="168"/>
    <cellStyle name="Header1Center 2 2 3 2 2 3" xfId="168"/>
    <cellStyle name="Header1Center 2 2 3 2 2 4" xfId="168"/>
    <cellStyle name="Header1Center 2 2 3 2 2 5" xfId="168"/>
    <cellStyle name="Header1Center 2 2 3 2 3" xfId="168"/>
    <cellStyle name="Header1Center 2 2 3 2 3 2" xfId="168"/>
    <cellStyle name="Header1Center 2 2 3 2 3 3" xfId="168"/>
    <cellStyle name="Header1Center 2 2 3 2 3 4" xfId="168"/>
    <cellStyle name="Header1Center 2 2 3 2 4" xfId="168"/>
    <cellStyle name="Header1Center 2 2 3 2 5" xfId="168"/>
    <cellStyle name="Header1Center 2 2 3 2 6" xfId="168"/>
    <cellStyle name="Header1Center 2 2 3 2 7" xfId="168"/>
    <cellStyle name="Header1Center 2 2 3 2 8" xfId="168"/>
    <cellStyle name="Header1Center 2 2 3 3" xfId="168"/>
    <cellStyle name="Header1Center 2 2 3 3 2" xfId="168"/>
    <cellStyle name="Header1Center 2 2 3 3 2 2" xfId="168"/>
    <cellStyle name="Header1Center 2 2 3 3 2 3" xfId="168"/>
    <cellStyle name="Header1Center 2 2 3 3 2 4" xfId="168"/>
    <cellStyle name="Header1Center 2 2 3 3 2 5" xfId="168"/>
    <cellStyle name="Header1Center 2 2 3 3 3" xfId="168"/>
    <cellStyle name="Header1Center 2 2 3 3 3 2" xfId="168"/>
    <cellStyle name="Header1Center 2 2 3 3 3 3" xfId="168"/>
    <cellStyle name="Header1Center 2 2 3 3 3 4" xfId="168"/>
    <cellStyle name="Header1Center 2 2 3 3 4" xfId="168"/>
    <cellStyle name="Header1Center 2 2 3 3 5" xfId="168"/>
    <cellStyle name="Header1Center 2 2 3 3 6" xfId="168"/>
    <cellStyle name="Header1Center 2 2 3 3 7" xfId="168"/>
    <cellStyle name="Header1Center 2 2 3 3 8" xfId="168"/>
    <cellStyle name="Header1Center 2 2 3 4" xfId="168"/>
    <cellStyle name="Header1Center 2 2 3 4 2" xfId="168"/>
    <cellStyle name="Header1Center 2 2 3 4 2 2" xfId="168"/>
    <cellStyle name="Header1Center 2 2 3 4 2 3" xfId="168"/>
    <cellStyle name="Header1Center 2 2 3 4 2 4" xfId="168"/>
    <cellStyle name="Header1Center 2 2 3 4 2 5" xfId="168"/>
    <cellStyle name="Header1Center 2 2 3 4 3" xfId="168"/>
    <cellStyle name="Header1Center 2 2 3 4 3 2" xfId="168"/>
    <cellStyle name="Header1Center 2 2 3 4 3 3" xfId="168"/>
    <cellStyle name="Header1Center 2 2 3 4 3 4" xfId="168"/>
    <cellStyle name="Header1Center 2 2 3 4 4" xfId="168"/>
    <cellStyle name="Header1Center 2 2 3 4 5" xfId="168"/>
    <cellStyle name="Header1Center 2 2 3 4 6" xfId="168"/>
    <cellStyle name="Header1Center 2 2 3 4 7" xfId="168"/>
    <cellStyle name="Header1Center 2 2 3 4 8" xfId="168"/>
    <cellStyle name="Header1Center 2 2 3 5" xfId="168"/>
    <cellStyle name="Header1Center 2 2 3 5 2" xfId="168"/>
    <cellStyle name="Header1Center 2 2 3 5 2 2" xfId="168"/>
    <cellStyle name="Header1Center 2 2 3 5 2 3" xfId="168"/>
    <cellStyle name="Header1Center 2 2 3 5 2 4" xfId="168"/>
    <cellStyle name="Header1Center 2 2 3 5 2 5" xfId="168"/>
    <cellStyle name="Header1Center 2 2 3 5 3" xfId="168"/>
    <cellStyle name="Header1Center 2 2 3 5 3 2" xfId="168"/>
    <cellStyle name="Header1Center 2 2 3 5 3 3" xfId="168"/>
    <cellStyle name="Header1Center 2 2 3 5 3 4" xfId="168"/>
    <cellStyle name="Header1Center 2 2 3 5 4" xfId="168"/>
    <cellStyle name="Header1Center 2 2 3 5 5" xfId="168"/>
    <cellStyle name="Header1Center 2 2 3 5 6" xfId="168"/>
    <cellStyle name="Header1Center 2 2 3 5 7" xfId="168"/>
    <cellStyle name="Header1Center 2 2 3 5 8" xfId="168"/>
    <cellStyle name="Header1Center 2 2 3 6" xfId="168"/>
    <cellStyle name="Header1Center 2 2 3 6 2" xfId="168"/>
    <cellStyle name="Header1Center 2 2 3 6 3" xfId="168"/>
    <cellStyle name="Header1Center 2 2 3 6 4" xfId="168"/>
    <cellStyle name="Header1Center 2 2 3 6 5" xfId="168"/>
    <cellStyle name="Header1Center 2 2 3 7" xfId="168"/>
    <cellStyle name="Header1Center 2 2 3 7 2" xfId="168"/>
    <cellStyle name="Header1Center 2 2 3 7 3" xfId="168"/>
    <cellStyle name="Header1Center 2 2 3 7 4" xfId="168"/>
    <cellStyle name="Header1Center 2 2 3 8" xfId="168"/>
    <cellStyle name="Header1Center 2 2 3 9" xfId="168"/>
    <cellStyle name="Header1Center 2 2 4" xfId="168"/>
    <cellStyle name="Header1Center 2 2 4 2" xfId="168"/>
    <cellStyle name="Header1Center 2 2 4 2 2" xfId="168"/>
    <cellStyle name="Header1Center 2 2 4 2 3" xfId="168"/>
    <cellStyle name="Header1Center 2 2 4 2 4" xfId="168"/>
    <cellStyle name="Header1Center 2 2 4 2 5" xfId="168"/>
    <cellStyle name="Header1Center 2 2 4 3" xfId="168"/>
    <cellStyle name="Header1Center 2 2 4 3 2" xfId="168"/>
    <cellStyle name="Header1Center 2 2 4 3 3" xfId="168"/>
    <cellStyle name="Header1Center 2 2 4 3 4" xfId="168"/>
    <cellStyle name="Header1Center 2 2 4 4" xfId="168"/>
    <cellStyle name="Header1Center 2 2 4 5" xfId="168"/>
    <cellStyle name="Header1Center 2 2 4 6" xfId="168"/>
    <cellStyle name="Header1Center 2 2 4 7" xfId="168"/>
    <cellStyle name="Header1Center 2 2 4 8" xfId="168"/>
    <cellStyle name="Header1Center 2 2 5" xfId="168"/>
    <cellStyle name="Header1Center 2 2 5 2" xfId="168"/>
    <cellStyle name="Header1Center 2 2 5 2 2" xfId="168"/>
    <cellStyle name="Header1Center 2 2 5 2 3" xfId="168"/>
    <cellStyle name="Header1Center 2 2 5 2 4" xfId="168"/>
    <cellStyle name="Header1Center 2 2 5 2 5" xfId="168"/>
    <cellStyle name="Header1Center 2 2 5 3" xfId="168"/>
    <cellStyle name="Header1Center 2 2 5 3 2" xfId="168"/>
    <cellStyle name="Header1Center 2 2 5 3 3" xfId="168"/>
    <cellStyle name="Header1Center 2 2 5 3 4" xfId="168"/>
    <cellStyle name="Header1Center 2 2 5 4" xfId="168"/>
    <cellStyle name="Header1Center 2 2 5 5" xfId="168"/>
    <cellStyle name="Header1Center 2 2 5 6" xfId="168"/>
    <cellStyle name="Header1Center 2 2 5 7" xfId="168"/>
    <cellStyle name="Header1Center 2 2 5 8" xfId="168"/>
    <cellStyle name="Header1Center 2 2 6" xfId="168"/>
    <cellStyle name="Header1Center 2 2 6 2" xfId="168"/>
    <cellStyle name="Header1Center 2 2 6 2 2" xfId="168"/>
    <cellStyle name="Header1Center 2 2 6 2 3" xfId="168"/>
    <cellStyle name="Header1Center 2 2 6 2 4" xfId="168"/>
    <cellStyle name="Header1Center 2 2 6 2 5" xfId="168"/>
    <cellStyle name="Header1Center 2 2 6 3" xfId="168"/>
    <cellStyle name="Header1Center 2 2 6 3 2" xfId="168"/>
    <cellStyle name="Header1Center 2 2 6 3 3" xfId="168"/>
    <cellStyle name="Header1Center 2 2 6 3 4" xfId="168"/>
    <cellStyle name="Header1Center 2 2 6 4" xfId="168"/>
    <cellStyle name="Header1Center 2 2 6 5" xfId="168"/>
    <cellStyle name="Header1Center 2 2 6 6" xfId="168"/>
    <cellStyle name="Header1Center 2 2 6 7" xfId="168"/>
    <cellStyle name="Header1Center 2 2 6 8" xfId="168"/>
    <cellStyle name="Header1Center 2 2 7" xfId="168"/>
    <cellStyle name="Header1Center 2 2 7 2" xfId="168"/>
    <cellStyle name="Header1Center 2 2 7 2 2" xfId="168"/>
    <cellStyle name="Header1Center 2 2 7 2 3" xfId="168"/>
    <cellStyle name="Header1Center 2 2 7 2 4" xfId="168"/>
    <cellStyle name="Header1Center 2 2 7 2 5" xfId="168"/>
    <cellStyle name="Header1Center 2 2 7 3" xfId="168"/>
    <cellStyle name="Header1Center 2 2 7 3 2" xfId="168"/>
    <cellStyle name="Header1Center 2 2 7 3 3" xfId="168"/>
    <cellStyle name="Header1Center 2 2 7 3 4" xfId="168"/>
    <cellStyle name="Header1Center 2 2 7 4" xfId="168"/>
    <cellStyle name="Header1Center 2 2 7 5" xfId="168"/>
    <cellStyle name="Header1Center 2 2 7 6" xfId="168"/>
    <cellStyle name="Header1Center 2 2 7 7" xfId="168"/>
    <cellStyle name="Header1Center 2 2 7 8" xfId="168"/>
    <cellStyle name="Header1Center 2 2 8" xfId="168"/>
    <cellStyle name="Header1Center 2 2 8 2" xfId="168"/>
    <cellStyle name="Header1Center 2 2 8 3" xfId="168"/>
    <cellStyle name="Header1Center 2 2 8 4" xfId="168"/>
    <cellStyle name="Header1Center 2 2 8 5" xfId="168"/>
    <cellStyle name="Header1Center 2 2 9" xfId="168"/>
    <cellStyle name="Header1Center 2 2 9 2" xfId="168"/>
    <cellStyle name="Header1Center 2 2 9 3" xfId="168"/>
    <cellStyle name="Header1Center 2 2 9 4" xfId="168"/>
    <cellStyle name="Header1Center 2 3" xfId="168"/>
    <cellStyle name="Header1Center 2 3 10" xfId="168"/>
    <cellStyle name="Header1Center 2 3 11" xfId="168"/>
    <cellStyle name="Header1Center 2 3 12" xfId="168"/>
    <cellStyle name="Header1Center 2 3 2" xfId="168"/>
    <cellStyle name="Header1Center 2 3 2 2" xfId="168"/>
    <cellStyle name="Header1Center 2 3 2 2 2" xfId="168"/>
    <cellStyle name="Header1Center 2 3 2 2 3" xfId="168"/>
    <cellStyle name="Header1Center 2 3 2 2 4" xfId="168"/>
    <cellStyle name="Header1Center 2 3 2 2 5" xfId="168"/>
    <cellStyle name="Header1Center 2 3 2 3" xfId="168"/>
    <cellStyle name="Header1Center 2 3 2 3 2" xfId="168"/>
    <cellStyle name="Header1Center 2 3 2 3 3" xfId="168"/>
    <cellStyle name="Header1Center 2 3 2 3 4" xfId="168"/>
    <cellStyle name="Header1Center 2 3 2 4" xfId="168"/>
    <cellStyle name="Header1Center 2 3 2 5" xfId="168"/>
    <cellStyle name="Header1Center 2 3 2 6" xfId="168"/>
    <cellStyle name="Header1Center 2 3 2 7" xfId="168"/>
    <cellStyle name="Header1Center 2 3 2 8" xfId="168"/>
    <cellStyle name="Header1Center 2 3 3" xfId="168"/>
    <cellStyle name="Header1Center 2 3 3 2" xfId="168"/>
    <cellStyle name="Header1Center 2 3 3 2 2" xfId="168"/>
    <cellStyle name="Header1Center 2 3 3 2 3" xfId="168"/>
    <cellStyle name="Header1Center 2 3 3 2 4" xfId="168"/>
    <cellStyle name="Header1Center 2 3 3 2 5" xfId="168"/>
    <cellStyle name="Header1Center 2 3 3 3" xfId="168"/>
    <cellStyle name="Header1Center 2 3 3 3 2" xfId="168"/>
    <cellStyle name="Header1Center 2 3 3 3 3" xfId="168"/>
    <cellStyle name="Header1Center 2 3 3 3 4" xfId="168"/>
    <cellStyle name="Header1Center 2 3 3 4" xfId="168"/>
    <cellStyle name="Header1Center 2 3 3 5" xfId="168"/>
    <cellStyle name="Header1Center 2 3 3 6" xfId="168"/>
    <cellStyle name="Header1Center 2 3 3 7" xfId="168"/>
    <cellStyle name="Header1Center 2 3 3 8" xfId="168"/>
    <cellStyle name="Header1Center 2 3 4" xfId="168"/>
    <cellStyle name="Header1Center 2 3 4 2" xfId="168"/>
    <cellStyle name="Header1Center 2 3 4 2 2" xfId="168"/>
    <cellStyle name="Header1Center 2 3 4 2 3" xfId="168"/>
    <cellStyle name="Header1Center 2 3 4 2 4" xfId="168"/>
    <cellStyle name="Header1Center 2 3 4 2 5" xfId="168"/>
    <cellStyle name="Header1Center 2 3 4 3" xfId="168"/>
    <cellStyle name="Header1Center 2 3 4 3 2" xfId="168"/>
    <cellStyle name="Header1Center 2 3 4 3 3" xfId="168"/>
    <cellStyle name="Header1Center 2 3 4 3 4" xfId="168"/>
    <cellStyle name="Header1Center 2 3 4 4" xfId="168"/>
    <cellStyle name="Header1Center 2 3 4 5" xfId="168"/>
    <cellStyle name="Header1Center 2 3 4 6" xfId="168"/>
    <cellStyle name="Header1Center 2 3 4 7" xfId="168"/>
    <cellStyle name="Header1Center 2 3 4 8" xfId="168"/>
    <cellStyle name="Header1Center 2 3 5" xfId="168"/>
    <cellStyle name="Header1Center 2 3 5 2" xfId="168"/>
    <cellStyle name="Header1Center 2 3 5 2 2" xfId="168"/>
    <cellStyle name="Header1Center 2 3 5 2 3" xfId="168"/>
    <cellStyle name="Header1Center 2 3 5 2 4" xfId="168"/>
    <cellStyle name="Header1Center 2 3 5 2 5" xfId="168"/>
    <cellStyle name="Header1Center 2 3 5 3" xfId="168"/>
    <cellStyle name="Header1Center 2 3 5 3 2" xfId="168"/>
    <cellStyle name="Header1Center 2 3 5 3 3" xfId="168"/>
    <cellStyle name="Header1Center 2 3 5 3 4" xfId="168"/>
    <cellStyle name="Header1Center 2 3 5 4" xfId="168"/>
    <cellStyle name="Header1Center 2 3 5 5" xfId="168"/>
    <cellStyle name="Header1Center 2 3 5 6" xfId="168"/>
    <cellStyle name="Header1Center 2 3 5 7" xfId="168"/>
    <cellStyle name="Header1Center 2 3 5 8" xfId="168"/>
    <cellStyle name="Header1Center 2 3 6" xfId="168"/>
    <cellStyle name="Header1Center 2 3 6 2" xfId="168"/>
    <cellStyle name="Header1Center 2 3 6 3" xfId="168"/>
    <cellStyle name="Header1Center 2 3 6 4" xfId="168"/>
    <cellStyle name="Header1Center 2 3 6 5" xfId="168"/>
    <cellStyle name="Header1Center 2 3 7" xfId="168"/>
    <cellStyle name="Header1Center 2 3 7 2" xfId="168"/>
    <cellStyle name="Header1Center 2 3 7 3" xfId="168"/>
    <cellStyle name="Header1Center 2 3 7 4" xfId="168"/>
    <cellStyle name="Header1Center 2 3 8" xfId="168"/>
    <cellStyle name="Header1Center 2 3 9" xfId="168"/>
    <cellStyle name="Header1Center 2 4" xfId="168"/>
    <cellStyle name="Header1Center 2 4 2" xfId="168"/>
    <cellStyle name="Header1Center 2 4 2 2" xfId="168"/>
    <cellStyle name="Header1Center 2 4 2 3" xfId="168"/>
    <cellStyle name="Header1Center 2 4 2 4" xfId="168"/>
    <cellStyle name="Header1Center 2 4 2 5" xfId="168"/>
    <cellStyle name="Header1Center 2 4 3" xfId="168"/>
    <cellStyle name="Header1Center 2 4 3 2" xfId="168"/>
    <cellStyle name="Header1Center 2 4 3 3" xfId="168"/>
    <cellStyle name="Header1Center 2 4 3 4" xfId="168"/>
    <cellStyle name="Header1Center 2 4 4" xfId="168"/>
    <cellStyle name="Header1Center 2 4 5" xfId="168"/>
    <cellStyle name="Header1Center 2 4 6" xfId="168"/>
    <cellStyle name="Header1Center 2 4 7" xfId="168"/>
    <cellStyle name="Header1Center 2 4 8" xfId="168"/>
    <cellStyle name="Header1Center 2 5" xfId="168"/>
    <cellStyle name="Header1Center 2 5 2" xfId="168"/>
    <cellStyle name="Header1Center 2 5 2 2" xfId="168"/>
    <cellStyle name="Header1Center 2 5 2 3" xfId="168"/>
    <cellStyle name="Header1Center 2 5 2 4" xfId="168"/>
    <cellStyle name="Header1Center 2 5 2 5" xfId="168"/>
    <cellStyle name="Header1Center 2 5 3" xfId="168"/>
    <cellStyle name="Header1Center 2 5 3 2" xfId="168"/>
    <cellStyle name="Header1Center 2 5 3 3" xfId="168"/>
    <cellStyle name="Header1Center 2 5 3 4" xfId="168"/>
    <cellStyle name="Header1Center 2 5 4" xfId="168"/>
    <cellStyle name="Header1Center 2 5 5" xfId="168"/>
    <cellStyle name="Header1Center 2 5 6" xfId="168"/>
    <cellStyle name="Header1Center 2 5 7" xfId="168"/>
    <cellStyle name="Header1Center 2 5 8" xfId="168"/>
    <cellStyle name="Header1Center 2 6" xfId="168"/>
    <cellStyle name="Header1Center 2 6 2" xfId="168"/>
    <cellStyle name="Header1Center 2 6 2 2" xfId="168"/>
    <cellStyle name="Header1Center 2 6 2 3" xfId="168"/>
    <cellStyle name="Header1Center 2 6 2 4" xfId="168"/>
    <cellStyle name="Header1Center 2 6 2 5" xfId="168"/>
    <cellStyle name="Header1Center 2 6 3" xfId="168"/>
    <cellStyle name="Header1Center 2 6 3 2" xfId="168"/>
    <cellStyle name="Header1Center 2 6 3 3" xfId="168"/>
    <cellStyle name="Header1Center 2 6 3 4" xfId="168"/>
    <cellStyle name="Header1Center 2 6 4" xfId="168"/>
    <cellStyle name="Header1Center 2 6 5" xfId="168"/>
    <cellStyle name="Header1Center 2 6 6" xfId="168"/>
    <cellStyle name="Header1Center 2 6 7" xfId="168"/>
    <cellStyle name="Header1Center 2 6 8" xfId="168"/>
    <cellStyle name="Header1Center 2 7" xfId="168"/>
    <cellStyle name="Header1Center 2 7 2" xfId="168"/>
    <cellStyle name="Header1Center 2 7 2 2" xfId="168"/>
    <cellStyle name="Header1Center 2 7 2 3" xfId="168"/>
    <cellStyle name="Header1Center 2 7 2 4" xfId="168"/>
    <cellStyle name="Header1Center 2 7 2 5" xfId="168"/>
    <cellStyle name="Header1Center 2 7 3" xfId="168"/>
    <cellStyle name="Header1Center 2 7 3 2" xfId="168"/>
    <cellStyle name="Header1Center 2 7 3 3" xfId="168"/>
    <cellStyle name="Header1Center 2 7 3 4" xfId="168"/>
    <cellStyle name="Header1Center 2 7 4" xfId="168"/>
    <cellStyle name="Header1Center 2 7 5" xfId="168"/>
    <cellStyle name="Header1Center 2 7 6" xfId="168"/>
    <cellStyle name="Header1Center 2 7 7" xfId="168"/>
    <cellStyle name="Header1Center 2 7 8" xfId="168"/>
    <cellStyle name="Header1Center 2 8" xfId="168"/>
    <cellStyle name="Header1Center 2 8 2" xfId="168"/>
    <cellStyle name="Header1Center 2 8 3" xfId="168"/>
    <cellStyle name="Header1Center 2 8 4" xfId="168"/>
    <cellStyle name="Header1Center 2 8 5" xfId="168"/>
    <cellStyle name="Header1Center 2 9" xfId="168"/>
    <cellStyle name="Header1Center 2 9 2" xfId="168"/>
    <cellStyle name="Header1Center 2 9 3" xfId="168"/>
    <cellStyle name="Header1Center 2 9 4" xfId="168"/>
    <cellStyle name="Header1Center 3" xfId="168"/>
    <cellStyle name="Header1Center 3 10" xfId="168"/>
    <cellStyle name="Header1Center 3 10 2" xfId="168"/>
    <cellStyle name="Header1Center 3 10 2 2" xfId="168"/>
    <cellStyle name="Header1Center 3 10 2 3" xfId="168"/>
    <cellStyle name="Header1Center 3 10 2 4" xfId="168"/>
    <cellStyle name="Header1Center 3 10 2 5" xfId="168"/>
    <cellStyle name="Header1Center 3 10 3" xfId="168"/>
    <cellStyle name="Header1Center 3 10 3 2" xfId="168"/>
    <cellStyle name="Header1Center 3 10 3 3" xfId="168"/>
    <cellStyle name="Header1Center 3 10 3 4" xfId="168"/>
    <cellStyle name="Header1Center 3 10 4" xfId="168"/>
    <cellStyle name="Header1Center 3 10 5" xfId="168"/>
    <cellStyle name="Header1Center 3 10 6" xfId="168"/>
    <cellStyle name="Header1Center 3 10 7" xfId="168"/>
    <cellStyle name="Header1Center 3 10 8" xfId="168"/>
    <cellStyle name="Header1Center 3 11" xfId="168"/>
    <cellStyle name="Header1Center 3 11 2" xfId="168"/>
    <cellStyle name="Header1Center 3 11 2 2" xfId="168"/>
    <cellStyle name="Header1Center 3 11 2 3" xfId="168"/>
    <cellStyle name="Header1Center 3 11 2 4" xfId="168"/>
    <cellStyle name="Header1Center 3 11 2 5" xfId="168"/>
    <cellStyle name="Header1Center 3 11 3" xfId="168"/>
    <cellStyle name="Header1Center 3 11 3 2" xfId="168"/>
    <cellStyle name="Header1Center 3 11 3 3" xfId="168"/>
    <cellStyle name="Header1Center 3 11 3 4" xfId="168"/>
    <cellStyle name="Header1Center 3 11 4" xfId="168"/>
    <cellStyle name="Header1Center 3 11 5" xfId="168"/>
    <cellStyle name="Header1Center 3 11 6" xfId="168"/>
    <cellStyle name="Header1Center 3 11 7" xfId="168"/>
    <cellStyle name="Header1Center 3 12" xfId="168"/>
    <cellStyle name="Header1Center 3 12 2" xfId="168"/>
    <cellStyle name="Header1Center 3 12 2 2" xfId="168"/>
    <cellStyle name="Header1Center 3 12 2 3" xfId="168"/>
    <cellStyle name="Header1Center 3 12 2 4" xfId="168"/>
    <cellStyle name="Header1Center 3 12 2 5" xfId="168"/>
    <cellStyle name="Header1Center 3 12 3" xfId="168"/>
    <cellStyle name="Header1Center 3 12 3 2" xfId="168"/>
    <cellStyle name="Header1Center 3 12 3 3" xfId="168"/>
    <cellStyle name="Header1Center 3 12 3 4" xfId="168"/>
    <cellStyle name="Header1Center 3 12 4" xfId="168"/>
    <cellStyle name="Header1Center 3 12 5" xfId="168"/>
    <cellStyle name="Header1Center 3 12 6" xfId="168"/>
    <cellStyle name="Header1Center 3 12 7" xfId="168"/>
    <cellStyle name="Header1Center 3 12 8" xfId="168"/>
    <cellStyle name="Header1Center 3 13" xfId="168"/>
    <cellStyle name="Header1Center 3 13 2" xfId="168"/>
    <cellStyle name="Header1Center 3 13 3" xfId="168"/>
    <cellStyle name="Header1Center 3 13 4" xfId="168"/>
    <cellStyle name="Header1Center 3 13 5" xfId="168"/>
    <cellStyle name="Header1Center 3 14" xfId="168"/>
    <cellStyle name="Header1Center 3 14 2" xfId="168"/>
    <cellStyle name="Header1Center 3 14 3" xfId="168"/>
    <cellStyle name="Header1Center 3 14 4" xfId="168"/>
    <cellStyle name="Header1Center 3 15" xfId="168"/>
    <cellStyle name="Header1Center 3 16" xfId="168"/>
    <cellStyle name="Header1Center 3 17" xfId="168"/>
    <cellStyle name="Header1Center 3 18" xfId="168"/>
    <cellStyle name="Header1Center 3 2" xfId="168"/>
    <cellStyle name="Header1Center 3 2 10" xfId="168"/>
    <cellStyle name="Header1Center 3 2 11" xfId="168"/>
    <cellStyle name="Header1Center 3 2 12" xfId="168"/>
    <cellStyle name="Header1Center 3 2 2" xfId="168"/>
    <cellStyle name="Header1Center 3 2 2 2" xfId="168"/>
    <cellStyle name="Header1Center 3 2 2 2 2" xfId="168"/>
    <cellStyle name="Header1Center 3 2 2 2 3" xfId="168"/>
    <cellStyle name="Header1Center 3 2 2 2 4" xfId="168"/>
    <cellStyle name="Header1Center 3 2 2 2 5" xfId="168"/>
    <cellStyle name="Header1Center 3 2 2 3" xfId="168"/>
    <cellStyle name="Header1Center 3 2 2 3 2" xfId="168"/>
    <cellStyle name="Header1Center 3 2 2 3 3" xfId="168"/>
    <cellStyle name="Header1Center 3 2 2 3 4" xfId="168"/>
    <cellStyle name="Header1Center 3 2 2 4" xfId="168"/>
    <cellStyle name="Header1Center 3 2 2 5" xfId="168"/>
    <cellStyle name="Header1Center 3 2 2 6" xfId="168"/>
    <cellStyle name="Header1Center 3 2 2 7" xfId="168"/>
    <cellStyle name="Header1Center 3 2 2 8" xfId="168"/>
    <cellStyle name="Header1Center 3 2 3" xfId="168"/>
    <cellStyle name="Header1Center 3 2 3 2" xfId="168"/>
    <cellStyle name="Header1Center 3 2 3 2 2" xfId="168"/>
    <cellStyle name="Header1Center 3 2 3 2 3" xfId="168"/>
    <cellStyle name="Header1Center 3 2 3 2 4" xfId="168"/>
    <cellStyle name="Header1Center 3 2 3 2 5" xfId="168"/>
    <cellStyle name="Header1Center 3 2 3 3" xfId="168"/>
    <cellStyle name="Header1Center 3 2 3 3 2" xfId="168"/>
    <cellStyle name="Header1Center 3 2 3 3 3" xfId="168"/>
    <cellStyle name="Header1Center 3 2 3 3 4" xfId="168"/>
    <cellStyle name="Header1Center 3 2 3 4" xfId="168"/>
    <cellStyle name="Header1Center 3 2 3 5" xfId="168"/>
    <cellStyle name="Header1Center 3 2 3 6" xfId="168"/>
    <cellStyle name="Header1Center 3 2 3 7" xfId="168"/>
    <cellStyle name="Header1Center 3 2 3 8" xfId="168"/>
    <cellStyle name="Header1Center 3 2 4" xfId="168"/>
    <cellStyle name="Header1Center 3 2 4 2" xfId="168"/>
    <cellStyle name="Header1Center 3 2 4 2 2" xfId="168"/>
    <cellStyle name="Header1Center 3 2 4 2 3" xfId="168"/>
    <cellStyle name="Header1Center 3 2 4 2 4" xfId="168"/>
    <cellStyle name="Header1Center 3 2 4 2 5" xfId="168"/>
    <cellStyle name="Header1Center 3 2 4 3" xfId="168"/>
    <cellStyle name="Header1Center 3 2 4 3 2" xfId="168"/>
    <cellStyle name="Header1Center 3 2 4 3 3" xfId="168"/>
    <cellStyle name="Header1Center 3 2 4 3 4" xfId="168"/>
    <cellStyle name="Header1Center 3 2 4 4" xfId="168"/>
    <cellStyle name="Header1Center 3 2 4 5" xfId="168"/>
    <cellStyle name="Header1Center 3 2 4 6" xfId="168"/>
    <cellStyle name="Header1Center 3 2 4 7" xfId="168"/>
    <cellStyle name="Header1Center 3 2 4 8" xfId="168"/>
    <cellStyle name="Header1Center 3 2 5" xfId="168"/>
    <cellStyle name="Header1Center 3 2 5 2" xfId="168"/>
    <cellStyle name="Header1Center 3 2 5 2 2" xfId="168"/>
    <cellStyle name="Header1Center 3 2 5 2 3" xfId="168"/>
    <cellStyle name="Header1Center 3 2 5 2 4" xfId="168"/>
    <cellStyle name="Header1Center 3 2 5 2 5" xfId="168"/>
    <cellStyle name="Header1Center 3 2 5 3" xfId="168"/>
    <cellStyle name="Header1Center 3 2 5 3 2" xfId="168"/>
    <cellStyle name="Header1Center 3 2 5 3 3" xfId="168"/>
    <cellStyle name="Header1Center 3 2 5 3 4" xfId="168"/>
    <cellStyle name="Header1Center 3 2 5 4" xfId="168"/>
    <cellStyle name="Header1Center 3 2 5 5" xfId="168"/>
    <cellStyle name="Header1Center 3 2 5 6" xfId="168"/>
    <cellStyle name="Header1Center 3 2 5 7" xfId="168"/>
    <cellStyle name="Header1Center 3 2 5 8" xfId="168"/>
    <cellStyle name="Header1Center 3 2 6" xfId="168"/>
    <cellStyle name="Header1Center 3 2 6 2" xfId="168"/>
    <cellStyle name="Header1Center 3 2 6 3" xfId="168"/>
    <cellStyle name="Header1Center 3 2 6 4" xfId="168"/>
    <cellStyle name="Header1Center 3 2 6 5" xfId="168"/>
    <cellStyle name="Header1Center 3 2 7" xfId="168"/>
    <cellStyle name="Header1Center 3 2 7 2" xfId="168"/>
    <cellStyle name="Header1Center 3 2 7 3" xfId="168"/>
    <cellStyle name="Header1Center 3 2 7 4" xfId="168"/>
    <cellStyle name="Header1Center 3 2 8" xfId="168"/>
    <cellStyle name="Header1Center 3 2 9" xfId="168"/>
    <cellStyle name="Header1Center 3 3" xfId="168"/>
    <cellStyle name="Header1Center 3 3 10" xfId="168"/>
    <cellStyle name="Header1Center 3 3 11" xfId="168"/>
    <cellStyle name="Header1Center 3 3 12" xfId="168"/>
    <cellStyle name="Header1Center 3 3 2" xfId="168"/>
    <cellStyle name="Header1Center 3 3 2 2" xfId="168"/>
    <cellStyle name="Header1Center 3 3 2 2 2" xfId="168"/>
    <cellStyle name="Header1Center 3 3 2 2 3" xfId="168"/>
    <cellStyle name="Header1Center 3 3 2 2 4" xfId="168"/>
    <cellStyle name="Header1Center 3 3 2 2 5" xfId="168"/>
    <cellStyle name="Header1Center 3 3 2 3" xfId="168"/>
    <cellStyle name="Header1Center 3 3 2 3 2" xfId="168"/>
    <cellStyle name="Header1Center 3 3 2 3 3" xfId="168"/>
    <cellStyle name="Header1Center 3 3 2 3 4" xfId="168"/>
    <cellStyle name="Header1Center 3 3 2 4" xfId="168"/>
    <cellStyle name="Header1Center 3 3 2 5" xfId="168"/>
    <cellStyle name="Header1Center 3 3 2 6" xfId="168"/>
    <cellStyle name="Header1Center 3 3 2 7" xfId="168"/>
    <cellStyle name="Header1Center 3 3 2 8" xfId="168"/>
    <cellStyle name="Header1Center 3 3 3" xfId="168"/>
    <cellStyle name="Header1Center 3 3 3 2" xfId="168"/>
    <cellStyle name="Header1Center 3 3 3 2 2" xfId="168"/>
    <cellStyle name="Header1Center 3 3 3 2 3" xfId="168"/>
    <cellStyle name="Header1Center 3 3 3 2 4" xfId="168"/>
    <cellStyle name="Header1Center 3 3 3 2 5" xfId="168"/>
    <cellStyle name="Header1Center 3 3 3 3" xfId="168"/>
    <cellStyle name="Header1Center 3 3 3 3 2" xfId="168"/>
    <cellStyle name="Header1Center 3 3 3 3 3" xfId="168"/>
    <cellStyle name="Header1Center 3 3 3 3 4" xfId="168"/>
    <cellStyle name="Header1Center 3 3 3 4" xfId="168"/>
    <cellStyle name="Header1Center 3 3 3 5" xfId="168"/>
    <cellStyle name="Header1Center 3 3 3 6" xfId="168"/>
    <cellStyle name="Header1Center 3 3 3 7" xfId="168"/>
    <cellStyle name="Header1Center 3 3 3 8" xfId="168"/>
    <cellStyle name="Header1Center 3 3 4" xfId="168"/>
    <cellStyle name="Header1Center 3 3 4 2" xfId="168"/>
    <cellStyle name="Header1Center 3 3 4 2 2" xfId="168"/>
    <cellStyle name="Header1Center 3 3 4 2 3" xfId="168"/>
    <cellStyle name="Header1Center 3 3 4 2 4" xfId="168"/>
    <cellStyle name="Header1Center 3 3 4 2 5" xfId="168"/>
    <cellStyle name="Header1Center 3 3 4 3" xfId="168"/>
    <cellStyle name="Header1Center 3 3 4 3 2" xfId="168"/>
    <cellStyle name="Header1Center 3 3 4 3 3" xfId="168"/>
    <cellStyle name="Header1Center 3 3 4 3 4" xfId="168"/>
    <cellStyle name="Header1Center 3 3 4 4" xfId="168"/>
    <cellStyle name="Header1Center 3 3 4 5" xfId="168"/>
    <cellStyle name="Header1Center 3 3 4 6" xfId="168"/>
    <cellStyle name="Header1Center 3 3 4 7" xfId="168"/>
    <cellStyle name="Header1Center 3 3 4 8" xfId="168"/>
    <cellStyle name="Header1Center 3 3 5" xfId="168"/>
    <cellStyle name="Header1Center 3 3 5 2" xfId="168"/>
    <cellStyle name="Header1Center 3 3 5 2 2" xfId="168"/>
    <cellStyle name="Header1Center 3 3 5 2 3" xfId="168"/>
    <cellStyle name="Header1Center 3 3 5 2 4" xfId="168"/>
    <cellStyle name="Header1Center 3 3 5 2 5" xfId="168"/>
    <cellStyle name="Header1Center 3 3 5 3" xfId="168"/>
    <cellStyle name="Header1Center 3 3 5 3 2" xfId="168"/>
    <cellStyle name="Header1Center 3 3 5 3 3" xfId="168"/>
    <cellStyle name="Header1Center 3 3 5 3 4" xfId="168"/>
    <cellStyle name="Header1Center 3 3 5 4" xfId="168"/>
    <cellStyle name="Header1Center 3 3 5 5" xfId="168"/>
    <cellStyle name="Header1Center 3 3 5 6" xfId="168"/>
    <cellStyle name="Header1Center 3 3 5 7" xfId="168"/>
    <cellStyle name="Header1Center 3 3 5 8" xfId="168"/>
    <cellStyle name="Header1Center 3 3 6" xfId="168"/>
    <cellStyle name="Header1Center 3 3 6 2" xfId="168"/>
    <cellStyle name="Header1Center 3 3 6 3" xfId="168"/>
    <cellStyle name="Header1Center 3 3 6 4" xfId="168"/>
    <cellStyle name="Header1Center 3 3 6 5" xfId="168"/>
    <cellStyle name="Header1Center 3 3 7" xfId="168"/>
    <cellStyle name="Header1Center 3 3 7 2" xfId="168"/>
    <cellStyle name="Header1Center 3 3 7 3" xfId="168"/>
    <cellStyle name="Header1Center 3 3 7 4" xfId="168"/>
    <cellStyle name="Header1Center 3 3 8" xfId="168"/>
    <cellStyle name="Header1Center 3 3 9" xfId="168"/>
    <cellStyle name="Header1Center 3 4" xfId="168"/>
    <cellStyle name="Header1Center 3 4 10" xfId="168"/>
    <cellStyle name="Header1Center 3 4 11" xfId="168"/>
    <cellStyle name="Header1Center 3 4 12" xfId="168"/>
    <cellStyle name="Header1Center 3 4 2" xfId="168"/>
    <cellStyle name="Header1Center 3 4 2 2" xfId="168"/>
    <cellStyle name="Header1Center 3 4 2 2 2" xfId="168"/>
    <cellStyle name="Header1Center 3 4 2 2 3" xfId="168"/>
    <cellStyle name="Header1Center 3 4 2 2 4" xfId="168"/>
    <cellStyle name="Header1Center 3 4 2 2 5" xfId="168"/>
    <cellStyle name="Header1Center 3 4 2 3" xfId="168"/>
    <cellStyle name="Header1Center 3 4 2 3 2" xfId="168"/>
    <cellStyle name="Header1Center 3 4 2 3 3" xfId="168"/>
    <cellStyle name="Header1Center 3 4 2 3 4" xfId="168"/>
    <cellStyle name="Header1Center 3 4 2 4" xfId="168"/>
    <cellStyle name="Header1Center 3 4 2 5" xfId="168"/>
    <cellStyle name="Header1Center 3 4 2 6" xfId="168"/>
    <cellStyle name="Header1Center 3 4 2 7" xfId="168"/>
    <cellStyle name="Header1Center 3 4 2 8" xfId="168"/>
    <cellStyle name="Header1Center 3 4 3" xfId="168"/>
    <cellStyle name="Header1Center 3 4 3 2" xfId="168"/>
    <cellStyle name="Header1Center 3 4 3 2 2" xfId="168"/>
    <cellStyle name="Header1Center 3 4 3 2 3" xfId="168"/>
    <cellStyle name="Header1Center 3 4 3 2 4" xfId="168"/>
    <cellStyle name="Header1Center 3 4 3 2 5" xfId="168"/>
    <cellStyle name="Header1Center 3 4 3 3" xfId="168"/>
    <cellStyle name="Header1Center 3 4 3 3 2" xfId="168"/>
    <cellStyle name="Header1Center 3 4 3 3 3" xfId="168"/>
    <cellStyle name="Header1Center 3 4 3 3 4" xfId="168"/>
    <cellStyle name="Header1Center 3 4 3 4" xfId="168"/>
    <cellStyle name="Header1Center 3 4 3 5" xfId="168"/>
    <cellStyle name="Header1Center 3 4 3 6" xfId="168"/>
    <cellStyle name="Header1Center 3 4 3 7" xfId="168"/>
    <cellStyle name="Header1Center 3 4 3 8" xfId="168"/>
    <cellStyle name="Header1Center 3 4 4" xfId="168"/>
    <cellStyle name="Header1Center 3 4 4 2" xfId="168"/>
    <cellStyle name="Header1Center 3 4 4 2 2" xfId="168"/>
    <cellStyle name="Header1Center 3 4 4 2 3" xfId="168"/>
    <cellStyle name="Header1Center 3 4 4 2 4" xfId="168"/>
    <cellStyle name="Header1Center 3 4 4 2 5" xfId="168"/>
    <cellStyle name="Header1Center 3 4 4 3" xfId="168"/>
    <cellStyle name="Header1Center 3 4 4 3 2" xfId="168"/>
    <cellStyle name="Header1Center 3 4 4 3 3" xfId="168"/>
    <cellStyle name="Header1Center 3 4 4 3 4" xfId="168"/>
    <cellStyle name="Header1Center 3 4 4 4" xfId="168"/>
    <cellStyle name="Header1Center 3 4 4 5" xfId="168"/>
    <cellStyle name="Header1Center 3 4 4 6" xfId="168"/>
    <cellStyle name="Header1Center 3 4 4 7" xfId="168"/>
    <cellStyle name="Header1Center 3 4 4 8" xfId="168"/>
    <cellStyle name="Header1Center 3 4 5" xfId="168"/>
    <cellStyle name="Header1Center 3 4 5 2" xfId="168"/>
    <cellStyle name="Header1Center 3 4 5 2 2" xfId="168"/>
    <cellStyle name="Header1Center 3 4 5 2 3" xfId="168"/>
    <cellStyle name="Header1Center 3 4 5 2 4" xfId="168"/>
    <cellStyle name="Header1Center 3 4 5 2 5" xfId="168"/>
    <cellStyle name="Header1Center 3 4 5 3" xfId="168"/>
    <cellStyle name="Header1Center 3 4 5 3 2" xfId="168"/>
    <cellStyle name="Header1Center 3 4 5 3 3" xfId="168"/>
    <cellStyle name="Header1Center 3 4 5 3 4" xfId="168"/>
    <cellStyle name="Header1Center 3 4 5 4" xfId="168"/>
    <cellStyle name="Header1Center 3 4 5 5" xfId="168"/>
    <cellStyle name="Header1Center 3 4 5 6" xfId="168"/>
    <cellStyle name="Header1Center 3 4 5 7" xfId="168"/>
    <cellStyle name="Header1Center 3 4 5 8" xfId="168"/>
    <cellStyle name="Header1Center 3 4 6" xfId="168"/>
    <cellStyle name="Header1Center 3 4 6 2" xfId="168"/>
    <cellStyle name="Header1Center 3 4 6 3" xfId="168"/>
    <cellStyle name="Header1Center 3 4 6 4" xfId="168"/>
    <cellStyle name="Header1Center 3 4 6 5" xfId="168"/>
    <cellStyle name="Header1Center 3 4 7" xfId="168"/>
    <cellStyle name="Header1Center 3 4 7 2" xfId="168"/>
    <cellStyle name="Header1Center 3 4 7 3" xfId="168"/>
    <cellStyle name="Header1Center 3 4 7 4" xfId="168"/>
    <cellStyle name="Header1Center 3 4 8" xfId="168"/>
    <cellStyle name="Header1Center 3 4 9" xfId="168"/>
    <cellStyle name="Header1Center 3 5" xfId="168"/>
    <cellStyle name="Header1Center 3 5 10" xfId="168"/>
    <cellStyle name="Header1Center 3 5 11" xfId="168"/>
    <cellStyle name="Header1Center 3 5 12" xfId="168"/>
    <cellStyle name="Header1Center 3 5 2" xfId="168"/>
    <cellStyle name="Header1Center 3 5 2 2" xfId="168"/>
    <cellStyle name="Header1Center 3 5 2 2 2" xfId="168"/>
    <cellStyle name="Header1Center 3 5 2 2 3" xfId="168"/>
    <cellStyle name="Header1Center 3 5 2 2 4" xfId="168"/>
    <cellStyle name="Header1Center 3 5 2 2 5" xfId="168"/>
    <cellStyle name="Header1Center 3 5 2 3" xfId="168"/>
    <cellStyle name="Header1Center 3 5 2 3 2" xfId="168"/>
    <cellStyle name="Header1Center 3 5 2 3 3" xfId="168"/>
    <cellStyle name="Header1Center 3 5 2 3 4" xfId="168"/>
    <cellStyle name="Header1Center 3 5 2 4" xfId="168"/>
    <cellStyle name="Header1Center 3 5 2 5" xfId="168"/>
    <cellStyle name="Header1Center 3 5 2 6" xfId="168"/>
    <cellStyle name="Header1Center 3 5 2 7" xfId="168"/>
    <cellStyle name="Header1Center 3 5 2 8" xfId="168"/>
    <cellStyle name="Header1Center 3 5 3" xfId="168"/>
    <cellStyle name="Header1Center 3 5 3 2" xfId="168"/>
    <cellStyle name="Header1Center 3 5 3 2 2" xfId="168"/>
    <cellStyle name="Header1Center 3 5 3 2 3" xfId="168"/>
    <cellStyle name="Header1Center 3 5 3 2 4" xfId="168"/>
    <cellStyle name="Header1Center 3 5 3 2 5" xfId="168"/>
    <cellStyle name="Header1Center 3 5 3 3" xfId="168"/>
    <cellStyle name="Header1Center 3 5 3 3 2" xfId="168"/>
    <cellStyle name="Header1Center 3 5 3 3 3" xfId="168"/>
    <cellStyle name="Header1Center 3 5 3 3 4" xfId="168"/>
    <cellStyle name="Header1Center 3 5 3 4" xfId="168"/>
    <cellStyle name="Header1Center 3 5 3 5" xfId="168"/>
    <cellStyle name="Header1Center 3 5 3 6" xfId="168"/>
    <cellStyle name="Header1Center 3 5 3 7" xfId="168"/>
    <cellStyle name="Header1Center 3 5 3 8" xfId="168"/>
    <cellStyle name="Header1Center 3 5 4" xfId="168"/>
    <cellStyle name="Header1Center 3 5 4 2" xfId="168"/>
    <cellStyle name="Header1Center 3 5 4 2 2" xfId="168"/>
    <cellStyle name="Header1Center 3 5 4 2 3" xfId="168"/>
    <cellStyle name="Header1Center 3 5 4 2 4" xfId="168"/>
    <cellStyle name="Header1Center 3 5 4 2 5" xfId="168"/>
    <cellStyle name="Header1Center 3 5 4 3" xfId="168"/>
    <cellStyle name="Header1Center 3 5 4 3 2" xfId="168"/>
    <cellStyle name="Header1Center 3 5 4 3 3" xfId="168"/>
    <cellStyle name="Header1Center 3 5 4 3 4" xfId="168"/>
    <cellStyle name="Header1Center 3 5 4 4" xfId="168"/>
    <cellStyle name="Header1Center 3 5 4 5" xfId="168"/>
    <cellStyle name="Header1Center 3 5 4 6" xfId="168"/>
    <cellStyle name="Header1Center 3 5 4 7" xfId="168"/>
    <cellStyle name="Header1Center 3 5 4 8" xfId="168"/>
    <cellStyle name="Header1Center 3 5 5" xfId="168"/>
    <cellStyle name="Header1Center 3 5 5 2" xfId="168"/>
    <cellStyle name="Header1Center 3 5 5 2 2" xfId="168"/>
    <cellStyle name="Header1Center 3 5 5 2 3" xfId="168"/>
    <cellStyle name="Header1Center 3 5 5 2 4" xfId="168"/>
    <cellStyle name="Header1Center 3 5 5 2 5" xfId="168"/>
    <cellStyle name="Header1Center 3 5 5 3" xfId="168"/>
    <cellStyle name="Header1Center 3 5 5 3 2" xfId="168"/>
    <cellStyle name="Header1Center 3 5 5 3 3" xfId="168"/>
    <cellStyle name="Header1Center 3 5 5 3 4" xfId="168"/>
    <cellStyle name="Header1Center 3 5 5 4" xfId="168"/>
    <cellStyle name="Header1Center 3 5 5 5" xfId="168"/>
    <cellStyle name="Header1Center 3 5 5 6" xfId="168"/>
    <cellStyle name="Header1Center 3 5 5 7" xfId="168"/>
    <cellStyle name="Header1Center 3 5 5 8" xfId="168"/>
    <cellStyle name="Header1Center 3 5 6" xfId="168"/>
    <cellStyle name="Header1Center 3 5 6 2" xfId="168"/>
    <cellStyle name="Header1Center 3 5 6 3" xfId="168"/>
    <cellStyle name="Header1Center 3 5 6 4" xfId="168"/>
    <cellStyle name="Header1Center 3 5 6 5" xfId="168"/>
    <cellStyle name="Header1Center 3 5 7" xfId="168"/>
    <cellStyle name="Header1Center 3 5 7 2" xfId="168"/>
    <cellStyle name="Header1Center 3 5 7 3" xfId="168"/>
    <cellStyle name="Header1Center 3 5 7 4" xfId="168"/>
    <cellStyle name="Header1Center 3 5 8" xfId="168"/>
    <cellStyle name="Header1Center 3 5 9" xfId="168"/>
    <cellStyle name="Header1Center 3 6" xfId="168"/>
    <cellStyle name="Header1Center 3 6 10" xfId="168"/>
    <cellStyle name="Header1Center 3 6 11" xfId="168"/>
    <cellStyle name="Header1Center 3 6 2" xfId="168"/>
    <cellStyle name="Header1Center 3 6 2 2" xfId="168"/>
    <cellStyle name="Header1Center 3 6 2 2 2" xfId="168"/>
    <cellStyle name="Header1Center 3 6 2 2 3" xfId="168"/>
    <cellStyle name="Header1Center 3 6 2 2 4" xfId="168"/>
    <cellStyle name="Header1Center 3 6 2 2 5" xfId="168"/>
    <cellStyle name="Header1Center 3 6 2 3" xfId="168"/>
    <cellStyle name="Header1Center 3 6 2 3 2" xfId="168"/>
    <cellStyle name="Header1Center 3 6 2 3 3" xfId="168"/>
    <cellStyle name="Header1Center 3 6 2 3 4" xfId="168"/>
    <cellStyle name="Header1Center 3 6 2 4" xfId="168"/>
    <cellStyle name="Header1Center 3 6 2 5" xfId="168"/>
    <cellStyle name="Header1Center 3 6 2 6" xfId="168"/>
    <cellStyle name="Header1Center 3 6 2 7" xfId="168"/>
    <cellStyle name="Header1Center 3 6 2 8" xfId="168"/>
    <cellStyle name="Header1Center 3 6 3" xfId="168"/>
    <cellStyle name="Header1Center 3 6 3 2" xfId="168"/>
    <cellStyle name="Header1Center 3 6 3 2 2" xfId="168"/>
    <cellStyle name="Header1Center 3 6 3 2 3" xfId="168"/>
    <cellStyle name="Header1Center 3 6 3 2 4" xfId="168"/>
    <cellStyle name="Header1Center 3 6 3 2 5" xfId="168"/>
    <cellStyle name="Header1Center 3 6 3 3" xfId="168"/>
    <cellStyle name="Header1Center 3 6 3 3 2" xfId="168"/>
    <cellStyle name="Header1Center 3 6 3 3 3" xfId="168"/>
    <cellStyle name="Header1Center 3 6 3 3 4" xfId="168"/>
    <cellStyle name="Header1Center 3 6 3 4" xfId="168"/>
    <cellStyle name="Header1Center 3 6 3 5" xfId="168"/>
    <cellStyle name="Header1Center 3 6 3 6" xfId="168"/>
    <cellStyle name="Header1Center 3 6 3 7" xfId="168"/>
    <cellStyle name="Header1Center 3 6 3 8" xfId="168"/>
    <cellStyle name="Header1Center 3 6 4" xfId="168"/>
    <cellStyle name="Header1Center 3 6 4 2" xfId="168"/>
    <cellStyle name="Header1Center 3 6 4 2 2" xfId="168"/>
    <cellStyle name="Header1Center 3 6 4 2 3" xfId="168"/>
    <cellStyle name="Header1Center 3 6 4 2 4" xfId="168"/>
    <cellStyle name="Header1Center 3 6 4 2 5" xfId="168"/>
    <cellStyle name="Header1Center 3 6 4 3" xfId="168"/>
    <cellStyle name="Header1Center 3 6 4 3 2" xfId="168"/>
    <cellStyle name="Header1Center 3 6 4 3 3" xfId="168"/>
    <cellStyle name="Header1Center 3 6 4 3 4" xfId="168"/>
    <cellStyle name="Header1Center 3 6 4 4" xfId="168"/>
    <cellStyle name="Header1Center 3 6 4 5" xfId="168"/>
    <cellStyle name="Header1Center 3 6 4 6" xfId="168"/>
    <cellStyle name="Header1Center 3 6 4 7" xfId="168"/>
    <cellStyle name="Header1Center 3 6 4 8" xfId="168"/>
    <cellStyle name="Header1Center 3 6 5" xfId="168"/>
    <cellStyle name="Header1Center 3 6 5 2" xfId="168"/>
    <cellStyle name="Header1Center 3 6 5 3" xfId="168"/>
    <cellStyle name="Header1Center 3 6 5 4" xfId="168"/>
    <cellStyle name="Header1Center 3 6 5 5" xfId="168"/>
    <cellStyle name="Header1Center 3 6 6" xfId="168"/>
    <cellStyle name="Header1Center 3 6 6 2" xfId="168"/>
    <cellStyle name="Header1Center 3 6 6 3" xfId="168"/>
    <cellStyle name="Header1Center 3 6 6 4" xfId="168"/>
    <cellStyle name="Header1Center 3 6 7" xfId="168"/>
    <cellStyle name="Header1Center 3 6 8" xfId="168"/>
    <cellStyle name="Header1Center 3 6 9" xfId="168"/>
    <cellStyle name="Header1Center 3 7" xfId="168"/>
    <cellStyle name="Header1Center 3 7 10" xfId="168"/>
    <cellStyle name="Header1Center 3 7 11" xfId="168"/>
    <cellStyle name="Header1Center 3 7 2" xfId="168"/>
    <cellStyle name="Header1Center 3 7 2 2" xfId="168"/>
    <cellStyle name="Header1Center 3 7 2 2 2" xfId="168"/>
    <cellStyle name="Header1Center 3 7 2 2 3" xfId="168"/>
    <cellStyle name="Header1Center 3 7 2 2 4" xfId="168"/>
    <cellStyle name="Header1Center 3 7 2 2 5" xfId="168"/>
    <cellStyle name="Header1Center 3 7 2 3" xfId="168"/>
    <cellStyle name="Header1Center 3 7 2 3 2" xfId="168"/>
    <cellStyle name="Header1Center 3 7 2 3 3" xfId="168"/>
    <cellStyle name="Header1Center 3 7 2 3 4" xfId="168"/>
    <cellStyle name="Header1Center 3 7 2 4" xfId="168"/>
    <cellStyle name="Header1Center 3 7 2 5" xfId="168"/>
    <cellStyle name="Header1Center 3 7 2 6" xfId="168"/>
    <cellStyle name="Header1Center 3 7 2 7" xfId="168"/>
    <cellStyle name="Header1Center 3 7 2 8" xfId="168"/>
    <cellStyle name="Header1Center 3 7 3" xfId="168"/>
    <cellStyle name="Header1Center 3 7 3 2" xfId="168"/>
    <cellStyle name="Header1Center 3 7 3 2 2" xfId="168"/>
    <cellStyle name="Header1Center 3 7 3 2 3" xfId="168"/>
    <cellStyle name="Header1Center 3 7 3 2 4" xfId="168"/>
    <cellStyle name="Header1Center 3 7 3 2 5" xfId="168"/>
    <cellStyle name="Header1Center 3 7 3 3" xfId="168"/>
    <cellStyle name="Header1Center 3 7 3 3 2" xfId="168"/>
    <cellStyle name="Header1Center 3 7 3 3 3" xfId="168"/>
    <cellStyle name="Header1Center 3 7 3 3 4" xfId="168"/>
    <cellStyle name="Header1Center 3 7 3 4" xfId="168"/>
    <cellStyle name="Header1Center 3 7 3 5" xfId="168"/>
    <cellStyle name="Header1Center 3 7 3 6" xfId="168"/>
    <cellStyle name="Header1Center 3 7 3 7" xfId="168"/>
    <cellStyle name="Header1Center 3 7 3 8" xfId="168"/>
    <cellStyle name="Header1Center 3 7 4" xfId="168"/>
    <cellStyle name="Header1Center 3 7 4 2" xfId="168"/>
    <cellStyle name="Header1Center 3 7 4 2 2" xfId="168"/>
    <cellStyle name="Header1Center 3 7 4 2 3" xfId="168"/>
    <cellStyle name="Header1Center 3 7 4 2 4" xfId="168"/>
    <cellStyle name="Header1Center 3 7 4 2 5" xfId="168"/>
    <cellStyle name="Header1Center 3 7 4 3" xfId="168"/>
    <cellStyle name="Header1Center 3 7 4 3 2" xfId="168"/>
    <cellStyle name="Header1Center 3 7 4 3 3" xfId="168"/>
    <cellStyle name="Header1Center 3 7 4 3 4" xfId="168"/>
    <cellStyle name="Header1Center 3 7 4 4" xfId="168"/>
    <cellStyle name="Header1Center 3 7 4 5" xfId="168"/>
    <cellStyle name="Header1Center 3 7 4 6" xfId="168"/>
    <cellStyle name="Header1Center 3 7 4 7" xfId="168"/>
    <cellStyle name="Header1Center 3 7 4 8" xfId="168"/>
    <cellStyle name="Header1Center 3 7 5" xfId="168"/>
    <cellStyle name="Header1Center 3 7 5 2" xfId="168"/>
    <cellStyle name="Header1Center 3 7 5 3" xfId="168"/>
    <cellStyle name="Header1Center 3 7 5 4" xfId="168"/>
    <cellStyle name="Header1Center 3 7 5 5" xfId="168"/>
    <cellStyle name="Header1Center 3 7 6" xfId="168"/>
    <cellStyle name="Header1Center 3 7 6 2" xfId="168"/>
    <cellStyle name="Header1Center 3 7 6 3" xfId="168"/>
    <cellStyle name="Header1Center 3 7 6 4" xfId="168"/>
    <cellStyle name="Header1Center 3 7 7" xfId="168"/>
    <cellStyle name="Header1Center 3 7 8" xfId="168"/>
    <cellStyle name="Header1Center 3 7 9" xfId="168"/>
    <cellStyle name="Header1Center 3 8" xfId="168"/>
    <cellStyle name="Header1Center 3 8 2" xfId="168"/>
    <cellStyle name="Header1Center 3 8 2 2" xfId="168"/>
    <cellStyle name="Header1Center 3 8 2 3" xfId="168"/>
    <cellStyle name="Header1Center 3 8 2 4" xfId="168"/>
    <cellStyle name="Header1Center 3 8 2 5" xfId="168"/>
    <cellStyle name="Header1Center 3 8 3" xfId="168"/>
    <cellStyle name="Header1Center 3 8 3 2" xfId="168"/>
    <cellStyle name="Header1Center 3 8 3 3" xfId="168"/>
    <cellStyle name="Header1Center 3 8 3 4" xfId="168"/>
    <cellStyle name="Header1Center 3 8 4" xfId="168"/>
    <cellStyle name="Header1Center 3 8 5" xfId="168"/>
    <cellStyle name="Header1Center 3 8 6" xfId="168"/>
    <cellStyle name="Header1Center 3 8 7" xfId="168"/>
    <cellStyle name="Header1Center 3 8 8" xfId="168"/>
    <cellStyle name="Header1Center 3 9" xfId="168"/>
    <cellStyle name="Header1Center 3 9 2" xfId="168"/>
    <cellStyle name="Header1Center 3 9 2 2" xfId="168"/>
    <cellStyle name="Header1Center 3 9 2 3" xfId="168"/>
    <cellStyle name="Header1Center 3 9 2 4" xfId="168"/>
    <cellStyle name="Header1Center 3 9 2 5" xfId="168"/>
    <cellStyle name="Header1Center 3 9 3" xfId="168"/>
    <cellStyle name="Header1Center 3 9 3 2" xfId="168"/>
    <cellStyle name="Header1Center 3 9 3 3" xfId="168"/>
    <cellStyle name="Header1Center 3 9 3 4" xfId="168"/>
    <cellStyle name="Header1Center 3 9 4" xfId="168"/>
    <cellStyle name="Header1Center 3 9 5" xfId="168"/>
    <cellStyle name="Header1Center 3 9 6" xfId="168"/>
    <cellStyle name="Header1Center 3 9 7" xfId="168"/>
    <cellStyle name="Header1Center 3 9 8" xfId="168"/>
    <cellStyle name="Header1Center 4" xfId="168"/>
    <cellStyle name="Header1Center 4 2" xfId="168"/>
    <cellStyle name="Header1Center 4 2 2" xfId="168"/>
    <cellStyle name="Header1Center 4 2 2 2" xfId="168"/>
    <cellStyle name="Header1Center 4 2 2 3" xfId="168"/>
    <cellStyle name="Header1Center 4 2 2 4" xfId="168"/>
    <cellStyle name="Header1Center 4 2 2 5" xfId="168"/>
    <cellStyle name="Header1Center 4 2 3" xfId="168"/>
    <cellStyle name="Header1Center 4 2 3 2" xfId="168"/>
    <cellStyle name="Header1Center 4 2 3 3" xfId="168"/>
    <cellStyle name="Header1Center 4 2 3 4" xfId="168"/>
    <cellStyle name="Header1Center 4 2 4" xfId="168"/>
    <cellStyle name="Header1Center 4 2 5" xfId="168"/>
    <cellStyle name="Header1Center 4 2 6" xfId="168"/>
    <cellStyle name="Header1Center 4 2 7" xfId="168"/>
    <cellStyle name="Header1Center 4 2 8" xfId="168"/>
    <cellStyle name="Header1Center 4 3" xfId="168"/>
    <cellStyle name="Header1Center 4 3 2" xfId="168"/>
    <cellStyle name="Header1Center 4 3 2 2" xfId="168"/>
    <cellStyle name="Header1Center 4 3 2 3" xfId="168"/>
    <cellStyle name="Header1Center 4 3 2 4" xfId="168"/>
    <cellStyle name="Header1Center 4 3 2 5" xfId="168"/>
    <cellStyle name="Header1Center 4 3 3" xfId="168"/>
    <cellStyle name="Header1Center 4 3 3 2" xfId="168"/>
    <cellStyle name="Header1Center 4 3 3 3" xfId="168"/>
    <cellStyle name="Header1Center 4 3 3 4" xfId="168"/>
    <cellStyle name="Header1Center 4 3 4" xfId="168"/>
    <cellStyle name="Header1Center 4 3 5" xfId="168"/>
    <cellStyle name="Header1Center 4 3 6" xfId="168"/>
    <cellStyle name="Header1Center 4 3 7" xfId="168"/>
    <cellStyle name="Header1Center 4 4" xfId="168"/>
    <cellStyle name="Header1Center 4 4 2" xfId="168"/>
    <cellStyle name="Header1Center 4 4 3" xfId="168"/>
    <cellStyle name="Header1Center 4 4 4" xfId="168"/>
    <cellStyle name="Header1Center 4 4 5" xfId="168"/>
    <cellStyle name="Header1Center 4 5" xfId="168"/>
    <cellStyle name="Header1Center 4 5 2" xfId="168"/>
    <cellStyle name="Header1Center 4 5 3" xfId="168"/>
    <cellStyle name="Header1Center 4 5 4" xfId="168"/>
    <cellStyle name="Header1Center 4 6" xfId="168"/>
    <cellStyle name="Header1Center 4 7" xfId="168"/>
    <cellStyle name="Header1Center 4 8" xfId="168"/>
    <cellStyle name="Header1Center 4 9" xfId="168"/>
    <cellStyle name="Header1Center 5" xfId="168"/>
    <cellStyle name="Header1Center 5 2" xfId="168"/>
    <cellStyle name="Header1Center 5 2 2" xfId="168"/>
    <cellStyle name="Header1Center 5 2 3" xfId="168"/>
    <cellStyle name="Header1Center 5 2 4" xfId="168"/>
    <cellStyle name="Header1Center 5 2 5" xfId="168"/>
    <cellStyle name="Header1Center 5 3" xfId="168"/>
    <cellStyle name="Header1Center 5 3 2" xfId="168"/>
    <cellStyle name="Header1Center 5 3 3" xfId="168"/>
    <cellStyle name="Header1Center 5 3 4" xfId="168"/>
    <cellStyle name="Header1Center 5 4" xfId="168"/>
    <cellStyle name="Header1Center 5 5" xfId="168"/>
    <cellStyle name="Header1Center 5 6" xfId="168"/>
    <cellStyle name="Header1Center 5 7" xfId="168"/>
    <cellStyle name="Header1Center 5 8" xfId="168"/>
    <cellStyle name="Header1Center 6" xfId="168"/>
    <cellStyle name="Header1Center 6 2" xfId="168"/>
    <cellStyle name="Header1Center 6 3" xfId="168"/>
    <cellStyle name="Header1Center 6 4" xfId="168"/>
    <cellStyle name="Header1Center 6 5" xfId="168"/>
    <cellStyle name="Header1Center 7" xfId="168"/>
    <cellStyle name="Header1Center 8" xfId="168"/>
    <cellStyle name="Header2" xfId="169"/>
    <cellStyle name="Header2 10" xfId="169"/>
    <cellStyle name="Header2 10 2" xfId="169"/>
    <cellStyle name="Header2 11" xfId="169"/>
    <cellStyle name="Header2 11 2" xfId="169"/>
    <cellStyle name="Header2 12" xfId="169"/>
    <cellStyle name="Header2 12 2" xfId="169"/>
    <cellStyle name="Header2 13" xfId="169"/>
    <cellStyle name="Header2 14" xfId="169"/>
    <cellStyle name="Header2 15" xfId="169"/>
    <cellStyle name="Header2 16" xfId="169"/>
    <cellStyle name="Header2 17" xfId="169"/>
    <cellStyle name="Header2 18" xfId="169"/>
    <cellStyle name="Header2 2" xfId="169"/>
    <cellStyle name="Header2 2 2" xfId="169"/>
    <cellStyle name="Header2 2 2 2" xfId="169"/>
    <cellStyle name="Header2 2 2 2 2" xfId="169"/>
    <cellStyle name="Header2 2 2 3" xfId="169"/>
    <cellStyle name="Header2 2 2 3 2" xfId="169"/>
    <cellStyle name="Header2 2 2 4" xfId="169"/>
    <cellStyle name="Header2 2 2 4 2" xfId="169"/>
    <cellStyle name="Header2 2 2 5" xfId="169"/>
    <cellStyle name="Header2 2 2 5 2" xfId="169"/>
    <cellStyle name="Header2 2 2 6" xfId="169"/>
    <cellStyle name="Header2 2 2 7" xfId="169"/>
    <cellStyle name="Header2 2 3" xfId="169"/>
    <cellStyle name="Header2 2 3 2" xfId="169"/>
    <cellStyle name="Header2 2 3 3" xfId="169"/>
    <cellStyle name="Header2 2 4" xfId="169"/>
    <cellStyle name="Header2 2 4 2" xfId="169"/>
    <cellStyle name="Header2 2 5" xfId="169"/>
    <cellStyle name="Header2 2 5 2" xfId="169"/>
    <cellStyle name="Header2 2 6" xfId="169"/>
    <cellStyle name="Header2 3" xfId="169"/>
    <cellStyle name="Header2 3 2" xfId="169"/>
    <cellStyle name="Header2 3 2 2" xfId="169"/>
    <cellStyle name="Header2 3 2 3" xfId="169"/>
    <cellStyle name="Header2 3 3" xfId="169"/>
    <cellStyle name="Header2 3 3 2" xfId="169"/>
    <cellStyle name="Header2 3 3 3" xfId="169"/>
    <cellStyle name="Header2 3 4" xfId="169"/>
    <cellStyle name="Header2 3 4 2" xfId="169"/>
    <cellStyle name="Header2 3 5" xfId="169"/>
    <cellStyle name="Header2 3 5 2" xfId="169"/>
    <cellStyle name="Header2 3 6" xfId="169"/>
    <cellStyle name="Header2 4" xfId="169"/>
    <cellStyle name="Header2 4 2" xfId="169"/>
    <cellStyle name="Header2 4 3" xfId="169"/>
    <cellStyle name="Header2 5" xfId="169"/>
    <cellStyle name="Header2 5 2" xfId="169"/>
    <cellStyle name="Header2 6" xfId="169"/>
    <cellStyle name="Header2 6 2" xfId="169"/>
    <cellStyle name="Header2 7" xfId="169"/>
    <cellStyle name="Header2 8" xfId="169"/>
    <cellStyle name="Header2 9" xfId="169"/>
    <cellStyle name="Header2 9 2" xfId="169"/>
    <cellStyle name="HeaderCenter" xfId="153"/>
    <cellStyle name="HeaderCenter-WB" xfId="170"/>
    <cellStyle name="HeaderCenterWBorder" xfId="171"/>
    <cellStyle name="HeaderSmall" xfId="172"/>
    <cellStyle name="HeaderSmall 2" xfId="172"/>
    <cellStyle name="HeaderSmall 2 10" xfId="172"/>
    <cellStyle name="HeaderSmall 2 11" xfId="172"/>
    <cellStyle name="HeaderSmall 2 12" xfId="172"/>
    <cellStyle name="HeaderSmall 2 13" xfId="172"/>
    <cellStyle name="HeaderSmall 2 14" xfId="172"/>
    <cellStyle name="HeaderSmall 2 2" xfId="172"/>
    <cellStyle name="HeaderSmall 2 2 10" xfId="172"/>
    <cellStyle name="HeaderSmall 2 2 11" xfId="172"/>
    <cellStyle name="HeaderSmall 2 2 12" xfId="172"/>
    <cellStyle name="HeaderSmall 2 2 13" xfId="172"/>
    <cellStyle name="HeaderSmall 2 2 14" xfId="172"/>
    <cellStyle name="HeaderSmall 2 2 2" xfId="172"/>
    <cellStyle name="HeaderSmall 2 2 2 10" xfId="172"/>
    <cellStyle name="HeaderSmall 2 2 2 11" xfId="172"/>
    <cellStyle name="HeaderSmall 2 2 2 12" xfId="172"/>
    <cellStyle name="HeaderSmall 2 2 2 2" xfId="172"/>
    <cellStyle name="HeaderSmall 2 2 2 2 2" xfId="172"/>
    <cellStyle name="HeaderSmall 2 2 2 2 2 2" xfId="172"/>
    <cellStyle name="HeaderSmall 2 2 2 2 2 3" xfId="172"/>
    <cellStyle name="HeaderSmall 2 2 2 2 2 4" xfId="172"/>
    <cellStyle name="HeaderSmall 2 2 2 2 2 5" xfId="172"/>
    <cellStyle name="HeaderSmall 2 2 2 2 3" xfId="172"/>
    <cellStyle name="HeaderSmall 2 2 2 2 3 2" xfId="172"/>
    <cellStyle name="HeaderSmall 2 2 2 2 3 3" xfId="172"/>
    <cellStyle name="HeaderSmall 2 2 2 2 3 4" xfId="172"/>
    <cellStyle name="HeaderSmall 2 2 2 2 4" xfId="172"/>
    <cellStyle name="HeaderSmall 2 2 2 2 5" xfId="172"/>
    <cellStyle name="HeaderSmall 2 2 2 2 6" xfId="172"/>
    <cellStyle name="HeaderSmall 2 2 2 2 7" xfId="172"/>
    <cellStyle name="HeaderSmall 2 2 2 2 8" xfId="172"/>
    <cellStyle name="HeaderSmall 2 2 2 3" xfId="172"/>
    <cellStyle name="HeaderSmall 2 2 2 3 2" xfId="172"/>
    <cellStyle name="HeaderSmall 2 2 2 3 2 2" xfId="172"/>
    <cellStyle name="HeaderSmall 2 2 2 3 2 3" xfId="172"/>
    <cellStyle name="HeaderSmall 2 2 2 3 2 4" xfId="172"/>
    <cellStyle name="HeaderSmall 2 2 2 3 2 5" xfId="172"/>
    <cellStyle name="HeaderSmall 2 2 2 3 3" xfId="172"/>
    <cellStyle name="HeaderSmall 2 2 2 3 3 2" xfId="172"/>
    <cellStyle name="HeaderSmall 2 2 2 3 3 3" xfId="172"/>
    <cellStyle name="HeaderSmall 2 2 2 3 3 4" xfId="172"/>
    <cellStyle name="HeaderSmall 2 2 2 3 4" xfId="172"/>
    <cellStyle name="HeaderSmall 2 2 2 3 5" xfId="172"/>
    <cellStyle name="HeaderSmall 2 2 2 3 6" xfId="172"/>
    <cellStyle name="HeaderSmall 2 2 2 3 7" xfId="172"/>
    <cellStyle name="HeaderSmall 2 2 2 3 8" xfId="172"/>
    <cellStyle name="HeaderSmall 2 2 2 4" xfId="172"/>
    <cellStyle name="HeaderSmall 2 2 2 4 2" xfId="172"/>
    <cellStyle name="HeaderSmall 2 2 2 4 2 2" xfId="172"/>
    <cellStyle name="HeaderSmall 2 2 2 4 2 3" xfId="172"/>
    <cellStyle name="HeaderSmall 2 2 2 4 2 4" xfId="172"/>
    <cellStyle name="HeaderSmall 2 2 2 4 2 5" xfId="172"/>
    <cellStyle name="HeaderSmall 2 2 2 4 3" xfId="172"/>
    <cellStyle name="HeaderSmall 2 2 2 4 3 2" xfId="172"/>
    <cellStyle name="HeaderSmall 2 2 2 4 3 3" xfId="172"/>
    <cellStyle name="HeaderSmall 2 2 2 4 3 4" xfId="172"/>
    <cellStyle name="HeaderSmall 2 2 2 4 4" xfId="172"/>
    <cellStyle name="HeaderSmall 2 2 2 4 5" xfId="172"/>
    <cellStyle name="HeaderSmall 2 2 2 4 6" xfId="172"/>
    <cellStyle name="HeaderSmall 2 2 2 4 7" xfId="172"/>
    <cellStyle name="HeaderSmall 2 2 2 4 8" xfId="172"/>
    <cellStyle name="HeaderSmall 2 2 2 5" xfId="172"/>
    <cellStyle name="HeaderSmall 2 2 2 5 2" xfId="172"/>
    <cellStyle name="HeaderSmall 2 2 2 5 2 2" xfId="172"/>
    <cellStyle name="HeaderSmall 2 2 2 5 2 3" xfId="172"/>
    <cellStyle name="HeaderSmall 2 2 2 5 2 4" xfId="172"/>
    <cellStyle name="HeaderSmall 2 2 2 5 2 5" xfId="172"/>
    <cellStyle name="HeaderSmall 2 2 2 5 3" xfId="172"/>
    <cellStyle name="HeaderSmall 2 2 2 5 3 2" xfId="172"/>
    <cellStyle name="HeaderSmall 2 2 2 5 3 3" xfId="172"/>
    <cellStyle name="HeaderSmall 2 2 2 5 3 4" xfId="172"/>
    <cellStyle name="HeaderSmall 2 2 2 5 4" xfId="172"/>
    <cellStyle name="HeaderSmall 2 2 2 5 5" xfId="172"/>
    <cellStyle name="HeaderSmall 2 2 2 5 6" xfId="172"/>
    <cellStyle name="HeaderSmall 2 2 2 5 7" xfId="172"/>
    <cellStyle name="HeaderSmall 2 2 2 5 8" xfId="172"/>
    <cellStyle name="HeaderSmall 2 2 2 6" xfId="172"/>
    <cellStyle name="HeaderSmall 2 2 2 6 2" xfId="172"/>
    <cellStyle name="HeaderSmall 2 2 2 6 3" xfId="172"/>
    <cellStyle name="HeaderSmall 2 2 2 6 4" xfId="172"/>
    <cellStyle name="HeaderSmall 2 2 2 6 5" xfId="172"/>
    <cellStyle name="HeaderSmall 2 2 2 7" xfId="172"/>
    <cellStyle name="HeaderSmall 2 2 2 7 2" xfId="172"/>
    <cellStyle name="HeaderSmall 2 2 2 7 3" xfId="172"/>
    <cellStyle name="HeaderSmall 2 2 2 7 4" xfId="172"/>
    <cellStyle name="HeaderSmall 2 2 2 8" xfId="172"/>
    <cellStyle name="HeaderSmall 2 2 2 9" xfId="172"/>
    <cellStyle name="HeaderSmall 2 2 3" xfId="172"/>
    <cellStyle name="HeaderSmall 2 2 3 10" xfId="172"/>
    <cellStyle name="HeaderSmall 2 2 3 11" xfId="172"/>
    <cellStyle name="HeaderSmall 2 2 3 12" xfId="172"/>
    <cellStyle name="HeaderSmall 2 2 3 2" xfId="172"/>
    <cellStyle name="HeaderSmall 2 2 3 2 2" xfId="172"/>
    <cellStyle name="HeaderSmall 2 2 3 2 2 2" xfId="172"/>
    <cellStyle name="HeaderSmall 2 2 3 2 2 3" xfId="172"/>
    <cellStyle name="HeaderSmall 2 2 3 2 2 4" xfId="172"/>
    <cellStyle name="HeaderSmall 2 2 3 2 2 5" xfId="172"/>
    <cellStyle name="HeaderSmall 2 2 3 2 3" xfId="172"/>
    <cellStyle name="HeaderSmall 2 2 3 2 3 2" xfId="172"/>
    <cellStyle name="HeaderSmall 2 2 3 2 3 3" xfId="172"/>
    <cellStyle name="HeaderSmall 2 2 3 2 3 4" xfId="172"/>
    <cellStyle name="HeaderSmall 2 2 3 2 4" xfId="172"/>
    <cellStyle name="HeaderSmall 2 2 3 2 5" xfId="172"/>
    <cellStyle name="HeaderSmall 2 2 3 2 6" xfId="172"/>
    <cellStyle name="HeaderSmall 2 2 3 2 7" xfId="172"/>
    <cellStyle name="HeaderSmall 2 2 3 2 8" xfId="172"/>
    <cellStyle name="HeaderSmall 2 2 3 3" xfId="172"/>
    <cellStyle name="HeaderSmall 2 2 3 3 2" xfId="172"/>
    <cellStyle name="HeaderSmall 2 2 3 3 2 2" xfId="172"/>
    <cellStyle name="HeaderSmall 2 2 3 3 2 3" xfId="172"/>
    <cellStyle name="HeaderSmall 2 2 3 3 2 4" xfId="172"/>
    <cellStyle name="HeaderSmall 2 2 3 3 2 5" xfId="172"/>
    <cellStyle name="HeaderSmall 2 2 3 3 3" xfId="172"/>
    <cellStyle name="HeaderSmall 2 2 3 3 3 2" xfId="172"/>
    <cellStyle name="HeaderSmall 2 2 3 3 3 3" xfId="172"/>
    <cellStyle name="HeaderSmall 2 2 3 3 3 4" xfId="172"/>
    <cellStyle name="HeaderSmall 2 2 3 3 4" xfId="172"/>
    <cellStyle name="HeaderSmall 2 2 3 3 5" xfId="172"/>
    <cellStyle name="HeaderSmall 2 2 3 3 6" xfId="172"/>
    <cellStyle name="HeaderSmall 2 2 3 3 7" xfId="172"/>
    <cellStyle name="HeaderSmall 2 2 3 3 8" xfId="172"/>
    <cellStyle name="HeaderSmall 2 2 3 4" xfId="172"/>
    <cellStyle name="HeaderSmall 2 2 3 4 2" xfId="172"/>
    <cellStyle name="HeaderSmall 2 2 3 4 2 2" xfId="172"/>
    <cellStyle name="HeaderSmall 2 2 3 4 2 3" xfId="172"/>
    <cellStyle name="HeaderSmall 2 2 3 4 2 4" xfId="172"/>
    <cellStyle name="HeaderSmall 2 2 3 4 2 5" xfId="172"/>
    <cellStyle name="HeaderSmall 2 2 3 4 3" xfId="172"/>
    <cellStyle name="HeaderSmall 2 2 3 4 3 2" xfId="172"/>
    <cellStyle name="HeaderSmall 2 2 3 4 3 3" xfId="172"/>
    <cellStyle name="HeaderSmall 2 2 3 4 3 4" xfId="172"/>
    <cellStyle name="HeaderSmall 2 2 3 4 4" xfId="172"/>
    <cellStyle name="HeaderSmall 2 2 3 4 5" xfId="172"/>
    <cellStyle name="HeaderSmall 2 2 3 4 6" xfId="172"/>
    <cellStyle name="HeaderSmall 2 2 3 4 7" xfId="172"/>
    <cellStyle name="HeaderSmall 2 2 3 4 8" xfId="172"/>
    <cellStyle name="HeaderSmall 2 2 3 5" xfId="172"/>
    <cellStyle name="HeaderSmall 2 2 3 5 2" xfId="172"/>
    <cellStyle name="HeaderSmall 2 2 3 5 2 2" xfId="172"/>
    <cellStyle name="HeaderSmall 2 2 3 5 2 3" xfId="172"/>
    <cellStyle name="HeaderSmall 2 2 3 5 2 4" xfId="172"/>
    <cellStyle name="HeaderSmall 2 2 3 5 2 5" xfId="172"/>
    <cellStyle name="HeaderSmall 2 2 3 5 3" xfId="172"/>
    <cellStyle name="HeaderSmall 2 2 3 5 3 2" xfId="172"/>
    <cellStyle name="HeaderSmall 2 2 3 5 3 3" xfId="172"/>
    <cellStyle name="HeaderSmall 2 2 3 5 3 4" xfId="172"/>
    <cellStyle name="HeaderSmall 2 2 3 5 4" xfId="172"/>
    <cellStyle name="HeaderSmall 2 2 3 5 5" xfId="172"/>
    <cellStyle name="HeaderSmall 2 2 3 5 6" xfId="172"/>
    <cellStyle name="HeaderSmall 2 2 3 5 7" xfId="172"/>
    <cellStyle name="HeaderSmall 2 2 3 5 8" xfId="172"/>
    <cellStyle name="HeaderSmall 2 2 3 6" xfId="172"/>
    <cellStyle name="HeaderSmall 2 2 3 6 2" xfId="172"/>
    <cellStyle name="HeaderSmall 2 2 3 6 3" xfId="172"/>
    <cellStyle name="HeaderSmall 2 2 3 6 4" xfId="172"/>
    <cellStyle name="HeaderSmall 2 2 3 6 5" xfId="172"/>
    <cellStyle name="HeaderSmall 2 2 3 7" xfId="172"/>
    <cellStyle name="HeaderSmall 2 2 3 7 2" xfId="172"/>
    <cellStyle name="HeaderSmall 2 2 3 7 3" xfId="172"/>
    <cellStyle name="HeaderSmall 2 2 3 7 4" xfId="172"/>
    <cellStyle name="HeaderSmall 2 2 3 8" xfId="172"/>
    <cellStyle name="HeaderSmall 2 2 3 9" xfId="172"/>
    <cellStyle name="HeaderSmall 2 2 4" xfId="172"/>
    <cellStyle name="HeaderSmall 2 2 4 2" xfId="172"/>
    <cellStyle name="HeaderSmall 2 2 4 2 2" xfId="172"/>
    <cellStyle name="HeaderSmall 2 2 4 2 3" xfId="172"/>
    <cellStyle name="HeaderSmall 2 2 4 2 4" xfId="172"/>
    <cellStyle name="HeaderSmall 2 2 4 2 5" xfId="172"/>
    <cellStyle name="HeaderSmall 2 2 4 3" xfId="172"/>
    <cellStyle name="HeaderSmall 2 2 4 3 2" xfId="172"/>
    <cellStyle name="HeaderSmall 2 2 4 3 3" xfId="172"/>
    <cellStyle name="HeaderSmall 2 2 4 3 4" xfId="172"/>
    <cellStyle name="HeaderSmall 2 2 4 4" xfId="172"/>
    <cellStyle name="HeaderSmall 2 2 4 5" xfId="172"/>
    <cellStyle name="HeaderSmall 2 2 4 6" xfId="172"/>
    <cellStyle name="HeaderSmall 2 2 4 7" xfId="172"/>
    <cellStyle name="HeaderSmall 2 2 4 8" xfId="172"/>
    <cellStyle name="HeaderSmall 2 2 5" xfId="172"/>
    <cellStyle name="HeaderSmall 2 2 5 2" xfId="172"/>
    <cellStyle name="HeaderSmall 2 2 5 2 2" xfId="172"/>
    <cellStyle name="HeaderSmall 2 2 5 2 3" xfId="172"/>
    <cellStyle name="HeaderSmall 2 2 5 2 4" xfId="172"/>
    <cellStyle name="HeaderSmall 2 2 5 2 5" xfId="172"/>
    <cellStyle name="HeaderSmall 2 2 5 3" xfId="172"/>
    <cellStyle name="HeaderSmall 2 2 5 3 2" xfId="172"/>
    <cellStyle name="HeaderSmall 2 2 5 3 3" xfId="172"/>
    <cellStyle name="HeaderSmall 2 2 5 3 4" xfId="172"/>
    <cellStyle name="HeaderSmall 2 2 5 4" xfId="172"/>
    <cellStyle name="HeaderSmall 2 2 5 5" xfId="172"/>
    <cellStyle name="HeaderSmall 2 2 5 6" xfId="172"/>
    <cellStyle name="HeaderSmall 2 2 5 7" xfId="172"/>
    <cellStyle name="HeaderSmall 2 2 5 8" xfId="172"/>
    <cellStyle name="HeaderSmall 2 2 6" xfId="172"/>
    <cellStyle name="HeaderSmall 2 2 6 2" xfId="172"/>
    <cellStyle name="HeaderSmall 2 2 6 2 2" xfId="172"/>
    <cellStyle name="HeaderSmall 2 2 6 2 3" xfId="172"/>
    <cellStyle name="HeaderSmall 2 2 6 2 4" xfId="172"/>
    <cellStyle name="HeaderSmall 2 2 6 2 5" xfId="172"/>
    <cellStyle name="HeaderSmall 2 2 6 3" xfId="172"/>
    <cellStyle name="HeaderSmall 2 2 6 3 2" xfId="172"/>
    <cellStyle name="HeaderSmall 2 2 6 3 3" xfId="172"/>
    <cellStyle name="HeaderSmall 2 2 6 3 4" xfId="172"/>
    <cellStyle name="HeaderSmall 2 2 6 4" xfId="172"/>
    <cellStyle name="HeaderSmall 2 2 6 5" xfId="172"/>
    <cellStyle name="HeaderSmall 2 2 6 6" xfId="172"/>
    <cellStyle name="HeaderSmall 2 2 6 7" xfId="172"/>
    <cellStyle name="HeaderSmall 2 2 6 8" xfId="172"/>
    <cellStyle name="HeaderSmall 2 2 7" xfId="172"/>
    <cellStyle name="HeaderSmall 2 2 7 2" xfId="172"/>
    <cellStyle name="HeaderSmall 2 2 7 2 2" xfId="172"/>
    <cellStyle name="HeaderSmall 2 2 7 2 3" xfId="172"/>
    <cellStyle name="HeaderSmall 2 2 7 2 4" xfId="172"/>
    <cellStyle name="HeaderSmall 2 2 7 2 5" xfId="172"/>
    <cellStyle name="HeaderSmall 2 2 7 3" xfId="172"/>
    <cellStyle name="HeaderSmall 2 2 7 3 2" xfId="172"/>
    <cellStyle name="HeaderSmall 2 2 7 3 3" xfId="172"/>
    <cellStyle name="HeaderSmall 2 2 7 3 4" xfId="172"/>
    <cellStyle name="HeaderSmall 2 2 7 4" xfId="172"/>
    <cellStyle name="HeaderSmall 2 2 7 5" xfId="172"/>
    <cellStyle name="HeaderSmall 2 2 7 6" xfId="172"/>
    <cellStyle name="HeaderSmall 2 2 7 7" xfId="172"/>
    <cellStyle name="HeaderSmall 2 2 7 8" xfId="172"/>
    <cellStyle name="HeaderSmall 2 2 8" xfId="172"/>
    <cellStyle name="HeaderSmall 2 2 8 2" xfId="172"/>
    <cellStyle name="HeaderSmall 2 2 8 3" xfId="172"/>
    <cellStyle name="HeaderSmall 2 2 8 4" xfId="172"/>
    <cellStyle name="HeaderSmall 2 2 8 5" xfId="172"/>
    <cellStyle name="HeaderSmall 2 2 9" xfId="172"/>
    <cellStyle name="HeaderSmall 2 2 9 2" xfId="172"/>
    <cellStyle name="HeaderSmall 2 2 9 3" xfId="172"/>
    <cellStyle name="HeaderSmall 2 2 9 4" xfId="172"/>
    <cellStyle name="HeaderSmall 2 3" xfId="172"/>
    <cellStyle name="HeaderSmall 2 3 10" xfId="172"/>
    <cellStyle name="HeaderSmall 2 3 11" xfId="172"/>
    <cellStyle name="HeaderSmall 2 3 12" xfId="172"/>
    <cellStyle name="HeaderSmall 2 3 2" xfId="172"/>
    <cellStyle name="HeaderSmall 2 3 2 2" xfId="172"/>
    <cellStyle name="HeaderSmall 2 3 2 2 2" xfId="172"/>
    <cellStyle name="HeaderSmall 2 3 2 2 3" xfId="172"/>
    <cellStyle name="HeaderSmall 2 3 2 2 4" xfId="172"/>
    <cellStyle name="HeaderSmall 2 3 2 2 5" xfId="172"/>
    <cellStyle name="HeaderSmall 2 3 2 3" xfId="172"/>
    <cellStyle name="HeaderSmall 2 3 2 3 2" xfId="172"/>
    <cellStyle name="HeaderSmall 2 3 2 3 3" xfId="172"/>
    <cellStyle name="HeaderSmall 2 3 2 3 4" xfId="172"/>
    <cellStyle name="HeaderSmall 2 3 2 4" xfId="172"/>
    <cellStyle name="HeaderSmall 2 3 2 5" xfId="172"/>
    <cellStyle name="HeaderSmall 2 3 2 6" xfId="172"/>
    <cellStyle name="HeaderSmall 2 3 2 7" xfId="172"/>
    <cellStyle name="HeaderSmall 2 3 2 8" xfId="172"/>
    <cellStyle name="HeaderSmall 2 3 3" xfId="172"/>
    <cellStyle name="HeaderSmall 2 3 3 2" xfId="172"/>
    <cellStyle name="HeaderSmall 2 3 3 2 2" xfId="172"/>
    <cellStyle name="HeaderSmall 2 3 3 2 3" xfId="172"/>
    <cellStyle name="HeaderSmall 2 3 3 2 4" xfId="172"/>
    <cellStyle name="HeaderSmall 2 3 3 2 5" xfId="172"/>
    <cellStyle name="HeaderSmall 2 3 3 3" xfId="172"/>
    <cellStyle name="HeaderSmall 2 3 3 3 2" xfId="172"/>
    <cellStyle name="HeaderSmall 2 3 3 3 3" xfId="172"/>
    <cellStyle name="HeaderSmall 2 3 3 3 4" xfId="172"/>
    <cellStyle name="HeaderSmall 2 3 3 4" xfId="172"/>
    <cellStyle name="HeaderSmall 2 3 3 5" xfId="172"/>
    <cellStyle name="HeaderSmall 2 3 3 6" xfId="172"/>
    <cellStyle name="HeaderSmall 2 3 3 7" xfId="172"/>
    <cellStyle name="HeaderSmall 2 3 3 8" xfId="172"/>
    <cellStyle name="HeaderSmall 2 3 4" xfId="172"/>
    <cellStyle name="HeaderSmall 2 3 4 2" xfId="172"/>
    <cellStyle name="HeaderSmall 2 3 4 2 2" xfId="172"/>
    <cellStyle name="HeaderSmall 2 3 4 2 3" xfId="172"/>
    <cellStyle name="HeaderSmall 2 3 4 2 4" xfId="172"/>
    <cellStyle name="HeaderSmall 2 3 4 2 5" xfId="172"/>
    <cellStyle name="HeaderSmall 2 3 4 3" xfId="172"/>
    <cellStyle name="HeaderSmall 2 3 4 3 2" xfId="172"/>
    <cellStyle name="HeaderSmall 2 3 4 3 3" xfId="172"/>
    <cellStyle name="HeaderSmall 2 3 4 3 4" xfId="172"/>
    <cellStyle name="HeaderSmall 2 3 4 4" xfId="172"/>
    <cellStyle name="HeaderSmall 2 3 4 5" xfId="172"/>
    <cellStyle name="HeaderSmall 2 3 4 6" xfId="172"/>
    <cellStyle name="HeaderSmall 2 3 4 7" xfId="172"/>
    <cellStyle name="HeaderSmall 2 3 4 8" xfId="172"/>
    <cellStyle name="HeaderSmall 2 3 5" xfId="172"/>
    <cellStyle name="HeaderSmall 2 3 5 2" xfId="172"/>
    <cellStyle name="HeaderSmall 2 3 5 2 2" xfId="172"/>
    <cellStyle name="HeaderSmall 2 3 5 2 3" xfId="172"/>
    <cellStyle name="HeaderSmall 2 3 5 2 4" xfId="172"/>
    <cellStyle name="HeaderSmall 2 3 5 2 5" xfId="172"/>
    <cellStyle name="HeaderSmall 2 3 5 3" xfId="172"/>
    <cellStyle name="HeaderSmall 2 3 5 3 2" xfId="172"/>
    <cellStyle name="HeaderSmall 2 3 5 3 3" xfId="172"/>
    <cellStyle name="HeaderSmall 2 3 5 3 4" xfId="172"/>
    <cellStyle name="HeaderSmall 2 3 5 4" xfId="172"/>
    <cellStyle name="HeaderSmall 2 3 5 5" xfId="172"/>
    <cellStyle name="HeaderSmall 2 3 5 6" xfId="172"/>
    <cellStyle name="HeaderSmall 2 3 5 7" xfId="172"/>
    <cellStyle name="HeaderSmall 2 3 5 8" xfId="172"/>
    <cellStyle name="HeaderSmall 2 3 6" xfId="172"/>
    <cellStyle name="HeaderSmall 2 3 6 2" xfId="172"/>
    <cellStyle name="HeaderSmall 2 3 6 3" xfId="172"/>
    <cellStyle name="HeaderSmall 2 3 6 4" xfId="172"/>
    <cellStyle name="HeaderSmall 2 3 6 5" xfId="172"/>
    <cellStyle name="HeaderSmall 2 3 7" xfId="172"/>
    <cellStyle name="HeaderSmall 2 3 7 2" xfId="172"/>
    <cellStyle name="HeaderSmall 2 3 7 3" xfId="172"/>
    <cellStyle name="HeaderSmall 2 3 7 4" xfId="172"/>
    <cellStyle name="HeaderSmall 2 3 8" xfId="172"/>
    <cellStyle name="HeaderSmall 2 3 9" xfId="172"/>
    <cellStyle name="HeaderSmall 2 4" xfId="172"/>
    <cellStyle name="HeaderSmall 2 4 2" xfId="172"/>
    <cellStyle name="HeaderSmall 2 4 2 2" xfId="172"/>
    <cellStyle name="HeaderSmall 2 4 2 3" xfId="172"/>
    <cellStyle name="HeaderSmall 2 4 2 4" xfId="172"/>
    <cellStyle name="HeaderSmall 2 4 2 5" xfId="172"/>
    <cellStyle name="HeaderSmall 2 4 3" xfId="172"/>
    <cellStyle name="HeaderSmall 2 4 3 2" xfId="172"/>
    <cellStyle name="HeaderSmall 2 4 3 3" xfId="172"/>
    <cellStyle name="HeaderSmall 2 4 3 4" xfId="172"/>
    <cellStyle name="HeaderSmall 2 4 4" xfId="172"/>
    <cellStyle name="HeaderSmall 2 4 5" xfId="172"/>
    <cellStyle name="HeaderSmall 2 4 6" xfId="172"/>
    <cellStyle name="HeaderSmall 2 4 7" xfId="172"/>
    <cellStyle name="HeaderSmall 2 4 8" xfId="172"/>
    <cellStyle name="HeaderSmall 2 5" xfId="172"/>
    <cellStyle name="HeaderSmall 2 5 2" xfId="172"/>
    <cellStyle name="HeaderSmall 2 5 2 2" xfId="172"/>
    <cellStyle name="HeaderSmall 2 5 2 3" xfId="172"/>
    <cellStyle name="HeaderSmall 2 5 2 4" xfId="172"/>
    <cellStyle name="HeaderSmall 2 5 2 5" xfId="172"/>
    <cellStyle name="HeaderSmall 2 5 3" xfId="172"/>
    <cellStyle name="HeaderSmall 2 5 3 2" xfId="172"/>
    <cellStyle name="HeaderSmall 2 5 3 3" xfId="172"/>
    <cellStyle name="HeaderSmall 2 5 3 4" xfId="172"/>
    <cellStyle name="HeaderSmall 2 5 4" xfId="172"/>
    <cellStyle name="HeaderSmall 2 5 5" xfId="172"/>
    <cellStyle name="HeaderSmall 2 5 6" xfId="172"/>
    <cellStyle name="HeaderSmall 2 5 7" xfId="172"/>
    <cellStyle name="HeaderSmall 2 5 8" xfId="172"/>
    <cellStyle name="HeaderSmall 2 6" xfId="172"/>
    <cellStyle name="HeaderSmall 2 6 2" xfId="172"/>
    <cellStyle name="HeaderSmall 2 6 2 2" xfId="172"/>
    <cellStyle name="HeaderSmall 2 6 2 3" xfId="172"/>
    <cellStyle name="HeaderSmall 2 6 2 4" xfId="172"/>
    <cellStyle name="HeaderSmall 2 6 2 5" xfId="172"/>
    <cellStyle name="HeaderSmall 2 6 3" xfId="172"/>
    <cellStyle name="HeaderSmall 2 6 3 2" xfId="172"/>
    <cellStyle name="HeaderSmall 2 6 3 3" xfId="172"/>
    <cellStyle name="HeaderSmall 2 6 3 4" xfId="172"/>
    <cellStyle name="HeaderSmall 2 6 4" xfId="172"/>
    <cellStyle name="HeaderSmall 2 6 5" xfId="172"/>
    <cellStyle name="HeaderSmall 2 6 6" xfId="172"/>
    <cellStyle name="HeaderSmall 2 6 7" xfId="172"/>
    <cellStyle name="HeaderSmall 2 6 8" xfId="172"/>
    <cellStyle name="HeaderSmall 2 7" xfId="172"/>
    <cellStyle name="HeaderSmall 2 7 2" xfId="172"/>
    <cellStyle name="HeaderSmall 2 7 2 2" xfId="172"/>
    <cellStyle name="HeaderSmall 2 7 2 3" xfId="172"/>
    <cellStyle name="HeaderSmall 2 7 2 4" xfId="172"/>
    <cellStyle name="HeaderSmall 2 7 2 5" xfId="172"/>
    <cellStyle name="HeaderSmall 2 7 3" xfId="172"/>
    <cellStyle name="HeaderSmall 2 7 3 2" xfId="172"/>
    <cellStyle name="HeaderSmall 2 7 3 3" xfId="172"/>
    <cellStyle name="HeaderSmall 2 7 3 4" xfId="172"/>
    <cellStyle name="HeaderSmall 2 7 4" xfId="172"/>
    <cellStyle name="HeaderSmall 2 7 5" xfId="172"/>
    <cellStyle name="HeaderSmall 2 7 6" xfId="172"/>
    <cellStyle name="HeaderSmall 2 7 7" xfId="172"/>
    <cellStyle name="HeaderSmall 2 7 8" xfId="172"/>
    <cellStyle name="HeaderSmall 2 8" xfId="172"/>
    <cellStyle name="HeaderSmall 2 8 2" xfId="172"/>
    <cellStyle name="HeaderSmall 2 8 3" xfId="172"/>
    <cellStyle name="HeaderSmall 2 8 4" xfId="172"/>
    <cellStyle name="HeaderSmall 2 8 5" xfId="172"/>
    <cellStyle name="HeaderSmall 2 9" xfId="172"/>
    <cellStyle name="HeaderSmall 2 9 2" xfId="172"/>
    <cellStyle name="HeaderSmall 2 9 3" xfId="172"/>
    <cellStyle name="HeaderSmall 2 9 4" xfId="172"/>
    <cellStyle name="HeaderSmall 3" xfId="172"/>
    <cellStyle name="HeaderSmall 3 10" xfId="172"/>
    <cellStyle name="HeaderSmall 3 10 2" xfId="172"/>
    <cellStyle name="HeaderSmall 3 10 2 2" xfId="172"/>
    <cellStyle name="HeaderSmall 3 10 2 3" xfId="172"/>
    <cellStyle name="HeaderSmall 3 10 2 4" xfId="172"/>
    <cellStyle name="HeaderSmall 3 10 2 5" xfId="172"/>
    <cellStyle name="HeaderSmall 3 10 3" xfId="172"/>
    <cellStyle name="HeaderSmall 3 10 3 2" xfId="172"/>
    <cellStyle name="HeaderSmall 3 10 3 3" xfId="172"/>
    <cellStyle name="HeaderSmall 3 10 3 4" xfId="172"/>
    <cellStyle name="HeaderSmall 3 10 4" xfId="172"/>
    <cellStyle name="HeaderSmall 3 10 5" xfId="172"/>
    <cellStyle name="HeaderSmall 3 10 6" xfId="172"/>
    <cellStyle name="HeaderSmall 3 10 7" xfId="172"/>
    <cellStyle name="HeaderSmall 3 10 8" xfId="172"/>
    <cellStyle name="HeaderSmall 3 11" xfId="172"/>
    <cellStyle name="HeaderSmall 3 11 2" xfId="172"/>
    <cellStyle name="HeaderSmall 3 11 2 2" xfId="172"/>
    <cellStyle name="HeaderSmall 3 11 2 3" xfId="172"/>
    <cellStyle name="HeaderSmall 3 11 2 4" xfId="172"/>
    <cellStyle name="HeaderSmall 3 11 2 5" xfId="172"/>
    <cellStyle name="HeaderSmall 3 11 3" xfId="172"/>
    <cellStyle name="HeaderSmall 3 11 3 2" xfId="172"/>
    <cellStyle name="HeaderSmall 3 11 3 3" xfId="172"/>
    <cellStyle name="HeaderSmall 3 11 3 4" xfId="172"/>
    <cellStyle name="HeaderSmall 3 11 4" xfId="172"/>
    <cellStyle name="HeaderSmall 3 11 5" xfId="172"/>
    <cellStyle name="HeaderSmall 3 11 6" xfId="172"/>
    <cellStyle name="HeaderSmall 3 11 7" xfId="172"/>
    <cellStyle name="HeaderSmall 3 12" xfId="172"/>
    <cellStyle name="HeaderSmall 3 12 2" xfId="172"/>
    <cellStyle name="HeaderSmall 3 12 2 2" xfId="172"/>
    <cellStyle name="HeaderSmall 3 12 2 3" xfId="172"/>
    <cellStyle name="HeaderSmall 3 12 2 4" xfId="172"/>
    <cellStyle name="HeaderSmall 3 12 2 5" xfId="172"/>
    <cellStyle name="HeaderSmall 3 12 3" xfId="172"/>
    <cellStyle name="HeaderSmall 3 12 3 2" xfId="172"/>
    <cellStyle name="HeaderSmall 3 12 3 3" xfId="172"/>
    <cellStyle name="HeaderSmall 3 12 3 4" xfId="172"/>
    <cellStyle name="HeaderSmall 3 12 4" xfId="172"/>
    <cellStyle name="HeaderSmall 3 12 5" xfId="172"/>
    <cellStyle name="HeaderSmall 3 12 6" xfId="172"/>
    <cellStyle name="HeaderSmall 3 12 7" xfId="172"/>
    <cellStyle name="HeaderSmall 3 12 8" xfId="172"/>
    <cellStyle name="HeaderSmall 3 13" xfId="172"/>
    <cellStyle name="HeaderSmall 3 13 2" xfId="172"/>
    <cellStyle name="HeaderSmall 3 13 3" xfId="172"/>
    <cellStyle name="HeaderSmall 3 13 4" xfId="172"/>
    <cellStyle name="HeaderSmall 3 13 5" xfId="172"/>
    <cellStyle name="HeaderSmall 3 14" xfId="172"/>
    <cellStyle name="HeaderSmall 3 14 2" xfId="172"/>
    <cellStyle name="HeaderSmall 3 14 3" xfId="172"/>
    <cellStyle name="HeaderSmall 3 14 4" xfId="172"/>
    <cellStyle name="HeaderSmall 3 15" xfId="172"/>
    <cellStyle name="HeaderSmall 3 16" xfId="172"/>
    <cellStyle name="HeaderSmall 3 17" xfId="172"/>
    <cellStyle name="HeaderSmall 3 18" xfId="172"/>
    <cellStyle name="HeaderSmall 3 2" xfId="172"/>
    <cellStyle name="HeaderSmall 3 2 10" xfId="172"/>
    <cellStyle name="HeaderSmall 3 2 11" xfId="172"/>
    <cellStyle name="HeaderSmall 3 2 12" xfId="172"/>
    <cellStyle name="HeaderSmall 3 2 2" xfId="172"/>
    <cellStyle name="HeaderSmall 3 2 2 2" xfId="172"/>
    <cellStyle name="HeaderSmall 3 2 2 2 2" xfId="172"/>
    <cellStyle name="HeaderSmall 3 2 2 2 3" xfId="172"/>
    <cellStyle name="HeaderSmall 3 2 2 2 4" xfId="172"/>
    <cellStyle name="HeaderSmall 3 2 2 2 5" xfId="172"/>
    <cellStyle name="HeaderSmall 3 2 2 3" xfId="172"/>
    <cellStyle name="HeaderSmall 3 2 2 3 2" xfId="172"/>
    <cellStyle name="HeaderSmall 3 2 2 3 3" xfId="172"/>
    <cellStyle name="HeaderSmall 3 2 2 3 4" xfId="172"/>
    <cellStyle name="HeaderSmall 3 2 2 4" xfId="172"/>
    <cellStyle name="HeaderSmall 3 2 2 5" xfId="172"/>
    <cellStyle name="HeaderSmall 3 2 2 6" xfId="172"/>
    <cellStyle name="HeaderSmall 3 2 2 7" xfId="172"/>
    <cellStyle name="HeaderSmall 3 2 2 8" xfId="172"/>
    <cellStyle name="HeaderSmall 3 2 3" xfId="172"/>
    <cellStyle name="HeaderSmall 3 2 3 2" xfId="172"/>
    <cellStyle name="HeaderSmall 3 2 3 2 2" xfId="172"/>
    <cellStyle name="HeaderSmall 3 2 3 2 3" xfId="172"/>
    <cellStyle name="HeaderSmall 3 2 3 2 4" xfId="172"/>
    <cellStyle name="HeaderSmall 3 2 3 2 5" xfId="172"/>
    <cellStyle name="HeaderSmall 3 2 3 3" xfId="172"/>
    <cellStyle name="HeaderSmall 3 2 3 3 2" xfId="172"/>
    <cellStyle name="HeaderSmall 3 2 3 3 3" xfId="172"/>
    <cellStyle name="HeaderSmall 3 2 3 3 4" xfId="172"/>
    <cellStyle name="HeaderSmall 3 2 3 4" xfId="172"/>
    <cellStyle name="HeaderSmall 3 2 3 5" xfId="172"/>
    <cellStyle name="HeaderSmall 3 2 3 6" xfId="172"/>
    <cellStyle name="HeaderSmall 3 2 3 7" xfId="172"/>
    <cellStyle name="HeaderSmall 3 2 3 8" xfId="172"/>
    <cellStyle name="HeaderSmall 3 2 4" xfId="172"/>
    <cellStyle name="HeaderSmall 3 2 4 2" xfId="172"/>
    <cellStyle name="HeaderSmall 3 2 4 2 2" xfId="172"/>
    <cellStyle name="HeaderSmall 3 2 4 2 3" xfId="172"/>
    <cellStyle name="HeaderSmall 3 2 4 2 4" xfId="172"/>
    <cellStyle name="HeaderSmall 3 2 4 2 5" xfId="172"/>
    <cellStyle name="HeaderSmall 3 2 4 3" xfId="172"/>
    <cellStyle name="HeaderSmall 3 2 4 3 2" xfId="172"/>
    <cellStyle name="HeaderSmall 3 2 4 3 3" xfId="172"/>
    <cellStyle name="HeaderSmall 3 2 4 3 4" xfId="172"/>
    <cellStyle name="HeaderSmall 3 2 4 4" xfId="172"/>
    <cellStyle name="HeaderSmall 3 2 4 5" xfId="172"/>
    <cellStyle name="HeaderSmall 3 2 4 6" xfId="172"/>
    <cellStyle name="HeaderSmall 3 2 4 7" xfId="172"/>
    <cellStyle name="HeaderSmall 3 2 4 8" xfId="172"/>
    <cellStyle name="HeaderSmall 3 2 5" xfId="172"/>
    <cellStyle name="HeaderSmall 3 2 5 2" xfId="172"/>
    <cellStyle name="HeaderSmall 3 2 5 2 2" xfId="172"/>
    <cellStyle name="HeaderSmall 3 2 5 2 3" xfId="172"/>
    <cellStyle name="HeaderSmall 3 2 5 2 4" xfId="172"/>
    <cellStyle name="HeaderSmall 3 2 5 2 5" xfId="172"/>
    <cellStyle name="HeaderSmall 3 2 5 3" xfId="172"/>
    <cellStyle name="HeaderSmall 3 2 5 3 2" xfId="172"/>
    <cellStyle name="HeaderSmall 3 2 5 3 3" xfId="172"/>
    <cellStyle name="HeaderSmall 3 2 5 3 4" xfId="172"/>
    <cellStyle name="HeaderSmall 3 2 5 4" xfId="172"/>
    <cellStyle name="HeaderSmall 3 2 5 5" xfId="172"/>
    <cellStyle name="HeaderSmall 3 2 5 6" xfId="172"/>
    <cellStyle name="HeaderSmall 3 2 5 7" xfId="172"/>
    <cellStyle name="HeaderSmall 3 2 5 8" xfId="172"/>
    <cellStyle name="HeaderSmall 3 2 6" xfId="172"/>
    <cellStyle name="HeaderSmall 3 2 6 2" xfId="172"/>
    <cellStyle name="HeaderSmall 3 2 6 3" xfId="172"/>
    <cellStyle name="HeaderSmall 3 2 6 4" xfId="172"/>
    <cellStyle name="HeaderSmall 3 2 6 5" xfId="172"/>
    <cellStyle name="HeaderSmall 3 2 7" xfId="172"/>
    <cellStyle name="HeaderSmall 3 2 7 2" xfId="172"/>
    <cellStyle name="HeaderSmall 3 2 7 3" xfId="172"/>
    <cellStyle name="HeaderSmall 3 2 7 4" xfId="172"/>
    <cellStyle name="HeaderSmall 3 2 8" xfId="172"/>
    <cellStyle name="HeaderSmall 3 2 9" xfId="172"/>
    <cellStyle name="HeaderSmall 3 3" xfId="172"/>
    <cellStyle name="HeaderSmall 3 3 10" xfId="172"/>
    <cellStyle name="HeaderSmall 3 3 11" xfId="172"/>
    <cellStyle name="HeaderSmall 3 3 12" xfId="172"/>
    <cellStyle name="HeaderSmall 3 3 2" xfId="172"/>
    <cellStyle name="HeaderSmall 3 3 2 2" xfId="172"/>
    <cellStyle name="HeaderSmall 3 3 2 2 2" xfId="172"/>
    <cellStyle name="HeaderSmall 3 3 2 2 3" xfId="172"/>
    <cellStyle name="HeaderSmall 3 3 2 2 4" xfId="172"/>
    <cellStyle name="HeaderSmall 3 3 2 2 5" xfId="172"/>
    <cellStyle name="HeaderSmall 3 3 2 3" xfId="172"/>
    <cellStyle name="HeaderSmall 3 3 2 3 2" xfId="172"/>
    <cellStyle name="HeaderSmall 3 3 2 3 3" xfId="172"/>
    <cellStyle name="HeaderSmall 3 3 2 3 4" xfId="172"/>
    <cellStyle name="HeaderSmall 3 3 2 4" xfId="172"/>
    <cellStyle name="HeaderSmall 3 3 2 5" xfId="172"/>
    <cellStyle name="HeaderSmall 3 3 2 6" xfId="172"/>
    <cellStyle name="HeaderSmall 3 3 2 7" xfId="172"/>
    <cellStyle name="HeaderSmall 3 3 2 8" xfId="172"/>
    <cellStyle name="HeaderSmall 3 3 3" xfId="172"/>
    <cellStyle name="HeaderSmall 3 3 3 2" xfId="172"/>
    <cellStyle name="HeaderSmall 3 3 3 2 2" xfId="172"/>
    <cellStyle name="HeaderSmall 3 3 3 2 3" xfId="172"/>
    <cellStyle name="HeaderSmall 3 3 3 2 4" xfId="172"/>
    <cellStyle name="HeaderSmall 3 3 3 2 5" xfId="172"/>
    <cellStyle name="HeaderSmall 3 3 3 3" xfId="172"/>
    <cellStyle name="HeaderSmall 3 3 3 3 2" xfId="172"/>
    <cellStyle name="HeaderSmall 3 3 3 3 3" xfId="172"/>
    <cellStyle name="HeaderSmall 3 3 3 3 4" xfId="172"/>
    <cellStyle name="HeaderSmall 3 3 3 4" xfId="172"/>
    <cellStyle name="HeaderSmall 3 3 3 5" xfId="172"/>
    <cellStyle name="HeaderSmall 3 3 3 6" xfId="172"/>
    <cellStyle name="HeaderSmall 3 3 3 7" xfId="172"/>
    <cellStyle name="HeaderSmall 3 3 3 8" xfId="172"/>
    <cellStyle name="HeaderSmall 3 3 4" xfId="172"/>
    <cellStyle name="HeaderSmall 3 3 4 2" xfId="172"/>
    <cellStyle name="HeaderSmall 3 3 4 2 2" xfId="172"/>
    <cellStyle name="HeaderSmall 3 3 4 2 3" xfId="172"/>
    <cellStyle name="HeaderSmall 3 3 4 2 4" xfId="172"/>
    <cellStyle name="HeaderSmall 3 3 4 2 5" xfId="172"/>
    <cellStyle name="HeaderSmall 3 3 4 3" xfId="172"/>
    <cellStyle name="HeaderSmall 3 3 4 3 2" xfId="172"/>
    <cellStyle name="HeaderSmall 3 3 4 3 3" xfId="172"/>
    <cellStyle name="HeaderSmall 3 3 4 3 4" xfId="172"/>
    <cellStyle name="HeaderSmall 3 3 4 4" xfId="172"/>
    <cellStyle name="HeaderSmall 3 3 4 5" xfId="172"/>
    <cellStyle name="HeaderSmall 3 3 4 6" xfId="172"/>
    <cellStyle name="HeaderSmall 3 3 4 7" xfId="172"/>
    <cellStyle name="HeaderSmall 3 3 4 8" xfId="172"/>
    <cellStyle name="HeaderSmall 3 3 5" xfId="172"/>
    <cellStyle name="HeaderSmall 3 3 5 2" xfId="172"/>
    <cellStyle name="HeaderSmall 3 3 5 2 2" xfId="172"/>
    <cellStyle name="HeaderSmall 3 3 5 2 3" xfId="172"/>
    <cellStyle name="HeaderSmall 3 3 5 2 4" xfId="172"/>
    <cellStyle name="HeaderSmall 3 3 5 2 5" xfId="172"/>
    <cellStyle name="HeaderSmall 3 3 5 3" xfId="172"/>
    <cellStyle name="HeaderSmall 3 3 5 3 2" xfId="172"/>
    <cellStyle name="HeaderSmall 3 3 5 3 3" xfId="172"/>
    <cellStyle name="HeaderSmall 3 3 5 3 4" xfId="172"/>
    <cellStyle name="HeaderSmall 3 3 5 4" xfId="172"/>
    <cellStyle name="HeaderSmall 3 3 5 5" xfId="172"/>
    <cellStyle name="HeaderSmall 3 3 5 6" xfId="172"/>
    <cellStyle name="HeaderSmall 3 3 5 7" xfId="172"/>
    <cellStyle name="HeaderSmall 3 3 5 8" xfId="172"/>
    <cellStyle name="HeaderSmall 3 3 6" xfId="172"/>
    <cellStyle name="HeaderSmall 3 3 6 2" xfId="172"/>
    <cellStyle name="HeaderSmall 3 3 6 3" xfId="172"/>
    <cellStyle name="HeaderSmall 3 3 6 4" xfId="172"/>
    <cellStyle name="HeaderSmall 3 3 6 5" xfId="172"/>
    <cellStyle name="HeaderSmall 3 3 7" xfId="172"/>
    <cellStyle name="HeaderSmall 3 3 7 2" xfId="172"/>
    <cellStyle name="HeaderSmall 3 3 7 3" xfId="172"/>
    <cellStyle name="HeaderSmall 3 3 7 4" xfId="172"/>
    <cellStyle name="HeaderSmall 3 3 8" xfId="172"/>
    <cellStyle name="HeaderSmall 3 3 9" xfId="172"/>
    <cellStyle name="HeaderSmall 3 4" xfId="172"/>
    <cellStyle name="HeaderSmall 3 4 10" xfId="172"/>
    <cellStyle name="HeaderSmall 3 4 11" xfId="172"/>
    <cellStyle name="HeaderSmall 3 4 12" xfId="172"/>
    <cellStyle name="HeaderSmall 3 4 2" xfId="172"/>
    <cellStyle name="HeaderSmall 3 4 2 2" xfId="172"/>
    <cellStyle name="HeaderSmall 3 4 2 2 2" xfId="172"/>
    <cellStyle name="HeaderSmall 3 4 2 2 3" xfId="172"/>
    <cellStyle name="HeaderSmall 3 4 2 2 4" xfId="172"/>
    <cellStyle name="HeaderSmall 3 4 2 2 5" xfId="172"/>
    <cellStyle name="HeaderSmall 3 4 2 3" xfId="172"/>
    <cellStyle name="HeaderSmall 3 4 2 3 2" xfId="172"/>
    <cellStyle name="HeaderSmall 3 4 2 3 3" xfId="172"/>
    <cellStyle name="HeaderSmall 3 4 2 3 4" xfId="172"/>
    <cellStyle name="HeaderSmall 3 4 2 4" xfId="172"/>
    <cellStyle name="HeaderSmall 3 4 2 5" xfId="172"/>
    <cellStyle name="HeaderSmall 3 4 2 6" xfId="172"/>
    <cellStyle name="HeaderSmall 3 4 2 7" xfId="172"/>
    <cellStyle name="HeaderSmall 3 4 2 8" xfId="172"/>
    <cellStyle name="HeaderSmall 3 4 3" xfId="172"/>
    <cellStyle name="HeaderSmall 3 4 3 2" xfId="172"/>
    <cellStyle name="HeaderSmall 3 4 3 2 2" xfId="172"/>
    <cellStyle name="HeaderSmall 3 4 3 2 3" xfId="172"/>
    <cellStyle name="HeaderSmall 3 4 3 2 4" xfId="172"/>
    <cellStyle name="HeaderSmall 3 4 3 2 5" xfId="172"/>
    <cellStyle name="HeaderSmall 3 4 3 3" xfId="172"/>
    <cellStyle name="HeaderSmall 3 4 3 3 2" xfId="172"/>
    <cellStyle name="HeaderSmall 3 4 3 3 3" xfId="172"/>
    <cellStyle name="HeaderSmall 3 4 3 3 4" xfId="172"/>
    <cellStyle name="HeaderSmall 3 4 3 4" xfId="172"/>
    <cellStyle name="HeaderSmall 3 4 3 5" xfId="172"/>
    <cellStyle name="HeaderSmall 3 4 3 6" xfId="172"/>
    <cellStyle name="HeaderSmall 3 4 3 7" xfId="172"/>
    <cellStyle name="HeaderSmall 3 4 3 8" xfId="172"/>
    <cellStyle name="HeaderSmall 3 4 4" xfId="172"/>
    <cellStyle name="HeaderSmall 3 4 4 2" xfId="172"/>
    <cellStyle name="HeaderSmall 3 4 4 2 2" xfId="172"/>
    <cellStyle name="HeaderSmall 3 4 4 2 3" xfId="172"/>
    <cellStyle name="HeaderSmall 3 4 4 2 4" xfId="172"/>
    <cellStyle name="HeaderSmall 3 4 4 2 5" xfId="172"/>
    <cellStyle name="HeaderSmall 3 4 4 3" xfId="172"/>
    <cellStyle name="HeaderSmall 3 4 4 3 2" xfId="172"/>
    <cellStyle name="HeaderSmall 3 4 4 3 3" xfId="172"/>
    <cellStyle name="HeaderSmall 3 4 4 3 4" xfId="172"/>
    <cellStyle name="HeaderSmall 3 4 4 4" xfId="172"/>
    <cellStyle name="HeaderSmall 3 4 4 5" xfId="172"/>
    <cellStyle name="HeaderSmall 3 4 4 6" xfId="172"/>
    <cellStyle name="HeaderSmall 3 4 4 7" xfId="172"/>
    <cellStyle name="HeaderSmall 3 4 4 8" xfId="172"/>
    <cellStyle name="HeaderSmall 3 4 5" xfId="172"/>
    <cellStyle name="HeaderSmall 3 4 5 2" xfId="172"/>
    <cellStyle name="HeaderSmall 3 4 5 2 2" xfId="172"/>
    <cellStyle name="HeaderSmall 3 4 5 2 3" xfId="172"/>
    <cellStyle name="HeaderSmall 3 4 5 2 4" xfId="172"/>
    <cellStyle name="HeaderSmall 3 4 5 2 5" xfId="172"/>
    <cellStyle name="HeaderSmall 3 4 5 3" xfId="172"/>
    <cellStyle name="HeaderSmall 3 4 5 3 2" xfId="172"/>
    <cellStyle name="HeaderSmall 3 4 5 3 3" xfId="172"/>
    <cellStyle name="HeaderSmall 3 4 5 3 4" xfId="172"/>
    <cellStyle name="HeaderSmall 3 4 5 4" xfId="172"/>
    <cellStyle name="HeaderSmall 3 4 5 5" xfId="172"/>
    <cellStyle name="HeaderSmall 3 4 5 6" xfId="172"/>
    <cellStyle name="HeaderSmall 3 4 5 7" xfId="172"/>
    <cellStyle name="HeaderSmall 3 4 5 8" xfId="172"/>
    <cellStyle name="HeaderSmall 3 4 6" xfId="172"/>
    <cellStyle name="HeaderSmall 3 4 6 2" xfId="172"/>
    <cellStyle name="HeaderSmall 3 4 6 3" xfId="172"/>
    <cellStyle name="HeaderSmall 3 4 6 4" xfId="172"/>
    <cellStyle name="HeaderSmall 3 4 6 5" xfId="172"/>
    <cellStyle name="HeaderSmall 3 4 7" xfId="172"/>
    <cellStyle name="HeaderSmall 3 4 7 2" xfId="172"/>
    <cellStyle name="HeaderSmall 3 4 7 3" xfId="172"/>
    <cellStyle name="HeaderSmall 3 4 7 4" xfId="172"/>
    <cellStyle name="HeaderSmall 3 4 8" xfId="172"/>
    <cellStyle name="HeaderSmall 3 4 9" xfId="172"/>
    <cellStyle name="HeaderSmall 3 5" xfId="172"/>
    <cellStyle name="HeaderSmall 3 5 10" xfId="172"/>
    <cellStyle name="HeaderSmall 3 5 11" xfId="172"/>
    <cellStyle name="HeaderSmall 3 5 12" xfId="172"/>
    <cellStyle name="HeaderSmall 3 5 2" xfId="172"/>
    <cellStyle name="HeaderSmall 3 5 2 2" xfId="172"/>
    <cellStyle name="HeaderSmall 3 5 2 2 2" xfId="172"/>
    <cellStyle name="HeaderSmall 3 5 2 2 3" xfId="172"/>
    <cellStyle name="HeaderSmall 3 5 2 2 4" xfId="172"/>
    <cellStyle name="HeaderSmall 3 5 2 2 5" xfId="172"/>
    <cellStyle name="HeaderSmall 3 5 2 3" xfId="172"/>
    <cellStyle name="HeaderSmall 3 5 2 3 2" xfId="172"/>
    <cellStyle name="HeaderSmall 3 5 2 3 3" xfId="172"/>
    <cellStyle name="HeaderSmall 3 5 2 3 4" xfId="172"/>
    <cellStyle name="HeaderSmall 3 5 2 4" xfId="172"/>
    <cellStyle name="HeaderSmall 3 5 2 5" xfId="172"/>
    <cellStyle name="HeaderSmall 3 5 2 6" xfId="172"/>
    <cellStyle name="HeaderSmall 3 5 2 7" xfId="172"/>
    <cellStyle name="HeaderSmall 3 5 2 8" xfId="172"/>
    <cellStyle name="HeaderSmall 3 5 3" xfId="172"/>
    <cellStyle name="HeaderSmall 3 5 3 2" xfId="172"/>
    <cellStyle name="HeaderSmall 3 5 3 2 2" xfId="172"/>
    <cellStyle name="HeaderSmall 3 5 3 2 3" xfId="172"/>
    <cellStyle name="HeaderSmall 3 5 3 2 4" xfId="172"/>
    <cellStyle name="HeaderSmall 3 5 3 2 5" xfId="172"/>
    <cellStyle name="HeaderSmall 3 5 3 3" xfId="172"/>
    <cellStyle name="HeaderSmall 3 5 3 3 2" xfId="172"/>
    <cellStyle name="HeaderSmall 3 5 3 3 3" xfId="172"/>
    <cellStyle name="HeaderSmall 3 5 3 3 4" xfId="172"/>
    <cellStyle name="HeaderSmall 3 5 3 4" xfId="172"/>
    <cellStyle name="HeaderSmall 3 5 3 5" xfId="172"/>
    <cellStyle name="HeaderSmall 3 5 3 6" xfId="172"/>
    <cellStyle name="HeaderSmall 3 5 3 7" xfId="172"/>
    <cellStyle name="HeaderSmall 3 5 3 8" xfId="172"/>
    <cellStyle name="HeaderSmall 3 5 4" xfId="172"/>
    <cellStyle name="HeaderSmall 3 5 4 2" xfId="172"/>
    <cellStyle name="HeaderSmall 3 5 4 2 2" xfId="172"/>
    <cellStyle name="HeaderSmall 3 5 4 2 3" xfId="172"/>
    <cellStyle name="HeaderSmall 3 5 4 2 4" xfId="172"/>
    <cellStyle name="HeaderSmall 3 5 4 2 5" xfId="172"/>
    <cellStyle name="HeaderSmall 3 5 4 3" xfId="172"/>
    <cellStyle name="HeaderSmall 3 5 4 3 2" xfId="172"/>
    <cellStyle name="HeaderSmall 3 5 4 3 3" xfId="172"/>
    <cellStyle name="HeaderSmall 3 5 4 3 4" xfId="172"/>
    <cellStyle name="HeaderSmall 3 5 4 4" xfId="172"/>
    <cellStyle name="HeaderSmall 3 5 4 5" xfId="172"/>
    <cellStyle name="HeaderSmall 3 5 4 6" xfId="172"/>
    <cellStyle name="HeaderSmall 3 5 4 7" xfId="172"/>
    <cellStyle name="HeaderSmall 3 5 4 8" xfId="172"/>
    <cellStyle name="HeaderSmall 3 5 5" xfId="172"/>
    <cellStyle name="HeaderSmall 3 5 5 2" xfId="172"/>
    <cellStyle name="HeaderSmall 3 5 5 2 2" xfId="172"/>
    <cellStyle name="HeaderSmall 3 5 5 2 3" xfId="172"/>
    <cellStyle name="HeaderSmall 3 5 5 2 4" xfId="172"/>
    <cellStyle name="HeaderSmall 3 5 5 2 5" xfId="172"/>
    <cellStyle name="HeaderSmall 3 5 5 3" xfId="172"/>
    <cellStyle name="HeaderSmall 3 5 5 3 2" xfId="172"/>
    <cellStyle name="HeaderSmall 3 5 5 3 3" xfId="172"/>
    <cellStyle name="HeaderSmall 3 5 5 3 4" xfId="172"/>
    <cellStyle name="HeaderSmall 3 5 5 4" xfId="172"/>
    <cellStyle name="HeaderSmall 3 5 5 5" xfId="172"/>
    <cellStyle name="HeaderSmall 3 5 5 6" xfId="172"/>
    <cellStyle name="HeaderSmall 3 5 5 7" xfId="172"/>
    <cellStyle name="HeaderSmall 3 5 5 8" xfId="172"/>
    <cellStyle name="HeaderSmall 3 5 6" xfId="172"/>
    <cellStyle name="HeaderSmall 3 5 6 2" xfId="172"/>
    <cellStyle name="HeaderSmall 3 5 6 3" xfId="172"/>
    <cellStyle name="HeaderSmall 3 5 6 4" xfId="172"/>
    <cellStyle name="HeaderSmall 3 5 6 5" xfId="172"/>
    <cellStyle name="HeaderSmall 3 5 7" xfId="172"/>
    <cellStyle name="HeaderSmall 3 5 7 2" xfId="172"/>
    <cellStyle name="HeaderSmall 3 5 7 3" xfId="172"/>
    <cellStyle name="HeaderSmall 3 5 7 4" xfId="172"/>
    <cellStyle name="HeaderSmall 3 5 8" xfId="172"/>
    <cellStyle name="HeaderSmall 3 5 9" xfId="172"/>
    <cellStyle name="HeaderSmall 3 6" xfId="172"/>
    <cellStyle name="HeaderSmall 3 6 10" xfId="172"/>
    <cellStyle name="HeaderSmall 3 6 11" xfId="172"/>
    <cellStyle name="HeaderSmall 3 6 2" xfId="172"/>
    <cellStyle name="HeaderSmall 3 6 2 2" xfId="172"/>
    <cellStyle name="HeaderSmall 3 6 2 2 2" xfId="172"/>
    <cellStyle name="HeaderSmall 3 6 2 2 3" xfId="172"/>
    <cellStyle name="HeaderSmall 3 6 2 2 4" xfId="172"/>
    <cellStyle name="HeaderSmall 3 6 2 2 5" xfId="172"/>
    <cellStyle name="HeaderSmall 3 6 2 3" xfId="172"/>
    <cellStyle name="HeaderSmall 3 6 2 3 2" xfId="172"/>
    <cellStyle name="HeaderSmall 3 6 2 3 3" xfId="172"/>
    <cellStyle name="HeaderSmall 3 6 2 3 4" xfId="172"/>
    <cellStyle name="HeaderSmall 3 6 2 4" xfId="172"/>
    <cellStyle name="HeaderSmall 3 6 2 5" xfId="172"/>
    <cellStyle name="HeaderSmall 3 6 2 6" xfId="172"/>
    <cellStyle name="HeaderSmall 3 6 2 7" xfId="172"/>
    <cellStyle name="HeaderSmall 3 6 2 8" xfId="172"/>
    <cellStyle name="HeaderSmall 3 6 3" xfId="172"/>
    <cellStyle name="HeaderSmall 3 6 3 2" xfId="172"/>
    <cellStyle name="HeaderSmall 3 6 3 2 2" xfId="172"/>
    <cellStyle name="HeaderSmall 3 6 3 2 3" xfId="172"/>
    <cellStyle name="HeaderSmall 3 6 3 2 4" xfId="172"/>
    <cellStyle name="HeaderSmall 3 6 3 2 5" xfId="172"/>
    <cellStyle name="HeaderSmall 3 6 3 3" xfId="172"/>
    <cellStyle name="HeaderSmall 3 6 3 3 2" xfId="172"/>
    <cellStyle name="HeaderSmall 3 6 3 3 3" xfId="172"/>
    <cellStyle name="HeaderSmall 3 6 3 3 4" xfId="172"/>
    <cellStyle name="HeaderSmall 3 6 3 4" xfId="172"/>
    <cellStyle name="HeaderSmall 3 6 3 5" xfId="172"/>
    <cellStyle name="HeaderSmall 3 6 3 6" xfId="172"/>
    <cellStyle name="HeaderSmall 3 6 3 7" xfId="172"/>
    <cellStyle name="HeaderSmall 3 6 3 8" xfId="172"/>
    <cellStyle name="HeaderSmall 3 6 4" xfId="172"/>
    <cellStyle name="HeaderSmall 3 6 4 2" xfId="172"/>
    <cellStyle name="HeaderSmall 3 6 4 2 2" xfId="172"/>
    <cellStyle name="HeaderSmall 3 6 4 2 3" xfId="172"/>
    <cellStyle name="HeaderSmall 3 6 4 2 4" xfId="172"/>
    <cellStyle name="HeaderSmall 3 6 4 2 5" xfId="172"/>
    <cellStyle name="HeaderSmall 3 6 4 3" xfId="172"/>
    <cellStyle name="HeaderSmall 3 6 4 3 2" xfId="172"/>
    <cellStyle name="HeaderSmall 3 6 4 3 3" xfId="172"/>
    <cellStyle name="HeaderSmall 3 6 4 3 4" xfId="172"/>
    <cellStyle name="HeaderSmall 3 6 4 4" xfId="172"/>
    <cellStyle name="HeaderSmall 3 6 4 5" xfId="172"/>
    <cellStyle name="HeaderSmall 3 6 4 6" xfId="172"/>
    <cellStyle name="HeaderSmall 3 6 4 7" xfId="172"/>
    <cellStyle name="HeaderSmall 3 6 4 8" xfId="172"/>
    <cellStyle name="HeaderSmall 3 6 5" xfId="172"/>
    <cellStyle name="HeaderSmall 3 6 5 2" xfId="172"/>
    <cellStyle name="HeaderSmall 3 6 5 3" xfId="172"/>
    <cellStyle name="HeaderSmall 3 6 5 4" xfId="172"/>
    <cellStyle name="HeaderSmall 3 6 5 5" xfId="172"/>
    <cellStyle name="HeaderSmall 3 6 6" xfId="172"/>
    <cellStyle name="HeaderSmall 3 6 6 2" xfId="172"/>
    <cellStyle name="HeaderSmall 3 6 6 3" xfId="172"/>
    <cellStyle name="HeaderSmall 3 6 6 4" xfId="172"/>
    <cellStyle name="HeaderSmall 3 6 7" xfId="172"/>
    <cellStyle name="HeaderSmall 3 6 8" xfId="172"/>
    <cellStyle name="HeaderSmall 3 6 9" xfId="172"/>
    <cellStyle name="HeaderSmall 3 7" xfId="172"/>
    <cellStyle name="HeaderSmall 3 7 10" xfId="172"/>
    <cellStyle name="HeaderSmall 3 7 11" xfId="172"/>
    <cellStyle name="HeaderSmall 3 7 2" xfId="172"/>
    <cellStyle name="HeaderSmall 3 7 2 2" xfId="172"/>
    <cellStyle name="HeaderSmall 3 7 2 2 2" xfId="172"/>
    <cellStyle name="HeaderSmall 3 7 2 2 3" xfId="172"/>
    <cellStyle name="HeaderSmall 3 7 2 2 4" xfId="172"/>
    <cellStyle name="HeaderSmall 3 7 2 2 5" xfId="172"/>
    <cellStyle name="HeaderSmall 3 7 2 3" xfId="172"/>
    <cellStyle name="HeaderSmall 3 7 2 3 2" xfId="172"/>
    <cellStyle name="HeaderSmall 3 7 2 3 3" xfId="172"/>
    <cellStyle name="HeaderSmall 3 7 2 3 4" xfId="172"/>
    <cellStyle name="HeaderSmall 3 7 2 4" xfId="172"/>
    <cellStyle name="HeaderSmall 3 7 2 5" xfId="172"/>
    <cellStyle name="HeaderSmall 3 7 2 6" xfId="172"/>
    <cellStyle name="HeaderSmall 3 7 2 7" xfId="172"/>
    <cellStyle name="HeaderSmall 3 7 2 8" xfId="172"/>
    <cellStyle name="HeaderSmall 3 7 3" xfId="172"/>
    <cellStyle name="HeaderSmall 3 7 3 2" xfId="172"/>
    <cellStyle name="HeaderSmall 3 7 3 2 2" xfId="172"/>
    <cellStyle name="HeaderSmall 3 7 3 2 3" xfId="172"/>
    <cellStyle name="HeaderSmall 3 7 3 2 4" xfId="172"/>
    <cellStyle name="HeaderSmall 3 7 3 2 5" xfId="172"/>
    <cellStyle name="HeaderSmall 3 7 3 3" xfId="172"/>
    <cellStyle name="HeaderSmall 3 7 3 3 2" xfId="172"/>
    <cellStyle name="HeaderSmall 3 7 3 3 3" xfId="172"/>
    <cellStyle name="HeaderSmall 3 7 3 3 4" xfId="172"/>
    <cellStyle name="HeaderSmall 3 7 3 4" xfId="172"/>
    <cellStyle name="HeaderSmall 3 7 3 5" xfId="172"/>
    <cellStyle name="HeaderSmall 3 7 3 6" xfId="172"/>
    <cellStyle name="HeaderSmall 3 7 3 7" xfId="172"/>
    <cellStyle name="HeaderSmall 3 7 3 8" xfId="172"/>
    <cellStyle name="HeaderSmall 3 7 4" xfId="172"/>
    <cellStyle name="HeaderSmall 3 7 4 2" xfId="172"/>
    <cellStyle name="HeaderSmall 3 7 4 2 2" xfId="172"/>
    <cellStyle name="HeaderSmall 3 7 4 2 3" xfId="172"/>
    <cellStyle name="HeaderSmall 3 7 4 2 4" xfId="172"/>
    <cellStyle name="HeaderSmall 3 7 4 2 5" xfId="172"/>
    <cellStyle name="HeaderSmall 3 7 4 3" xfId="172"/>
    <cellStyle name="HeaderSmall 3 7 4 3 2" xfId="172"/>
    <cellStyle name="HeaderSmall 3 7 4 3 3" xfId="172"/>
    <cellStyle name="HeaderSmall 3 7 4 3 4" xfId="172"/>
    <cellStyle name="HeaderSmall 3 7 4 4" xfId="172"/>
    <cellStyle name="HeaderSmall 3 7 4 5" xfId="172"/>
    <cellStyle name="HeaderSmall 3 7 4 6" xfId="172"/>
    <cellStyle name="HeaderSmall 3 7 4 7" xfId="172"/>
    <cellStyle name="HeaderSmall 3 7 4 8" xfId="172"/>
    <cellStyle name="HeaderSmall 3 7 5" xfId="172"/>
    <cellStyle name="HeaderSmall 3 7 5 2" xfId="172"/>
    <cellStyle name="HeaderSmall 3 7 5 3" xfId="172"/>
    <cellStyle name="HeaderSmall 3 7 5 4" xfId="172"/>
    <cellStyle name="HeaderSmall 3 7 5 5" xfId="172"/>
    <cellStyle name="HeaderSmall 3 7 6" xfId="172"/>
    <cellStyle name="HeaderSmall 3 7 6 2" xfId="172"/>
    <cellStyle name="HeaderSmall 3 7 6 3" xfId="172"/>
    <cellStyle name="HeaderSmall 3 7 6 4" xfId="172"/>
    <cellStyle name="HeaderSmall 3 7 7" xfId="172"/>
    <cellStyle name="HeaderSmall 3 7 8" xfId="172"/>
    <cellStyle name="HeaderSmall 3 7 9" xfId="172"/>
    <cellStyle name="HeaderSmall 3 8" xfId="172"/>
    <cellStyle name="HeaderSmall 3 8 2" xfId="172"/>
    <cellStyle name="HeaderSmall 3 8 2 2" xfId="172"/>
    <cellStyle name="HeaderSmall 3 8 2 3" xfId="172"/>
    <cellStyle name="HeaderSmall 3 8 2 4" xfId="172"/>
    <cellStyle name="HeaderSmall 3 8 2 5" xfId="172"/>
    <cellStyle name="HeaderSmall 3 8 3" xfId="172"/>
    <cellStyle name="HeaderSmall 3 8 3 2" xfId="172"/>
    <cellStyle name="HeaderSmall 3 8 3 3" xfId="172"/>
    <cellStyle name="HeaderSmall 3 8 3 4" xfId="172"/>
    <cellStyle name="HeaderSmall 3 8 4" xfId="172"/>
    <cellStyle name="HeaderSmall 3 8 5" xfId="172"/>
    <cellStyle name="HeaderSmall 3 8 6" xfId="172"/>
    <cellStyle name="HeaderSmall 3 8 7" xfId="172"/>
    <cellStyle name="HeaderSmall 3 8 8" xfId="172"/>
    <cellStyle name="HeaderSmall 3 9" xfId="172"/>
    <cellStyle name="HeaderSmall 3 9 2" xfId="172"/>
    <cellStyle name="HeaderSmall 3 9 2 2" xfId="172"/>
    <cellStyle name="HeaderSmall 3 9 2 3" xfId="172"/>
    <cellStyle name="HeaderSmall 3 9 2 4" xfId="172"/>
    <cellStyle name="HeaderSmall 3 9 2 5" xfId="172"/>
    <cellStyle name="HeaderSmall 3 9 3" xfId="172"/>
    <cellStyle name="HeaderSmall 3 9 3 2" xfId="172"/>
    <cellStyle name="HeaderSmall 3 9 3 3" xfId="172"/>
    <cellStyle name="HeaderSmall 3 9 3 4" xfId="172"/>
    <cellStyle name="HeaderSmall 3 9 4" xfId="172"/>
    <cellStyle name="HeaderSmall 3 9 5" xfId="172"/>
    <cellStyle name="HeaderSmall 3 9 6" xfId="172"/>
    <cellStyle name="HeaderSmall 3 9 7" xfId="172"/>
    <cellStyle name="HeaderSmall 3 9 8" xfId="172"/>
    <cellStyle name="HeaderSmall 4" xfId="172"/>
    <cellStyle name="HeaderSmall 4 2" xfId="172"/>
    <cellStyle name="HeaderSmall 4 2 2" xfId="172"/>
    <cellStyle name="HeaderSmall 4 2 2 2" xfId="172"/>
    <cellStyle name="HeaderSmall 4 2 2 3" xfId="172"/>
    <cellStyle name="HeaderSmall 4 2 2 4" xfId="172"/>
    <cellStyle name="HeaderSmall 4 2 2 5" xfId="172"/>
    <cellStyle name="HeaderSmall 4 2 3" xfId="172"/>
    <cellStyle name="HeaderSmall 4 2 3 2" xfId="172"/>
    <cellStyle name="HeaderSmall 4 2 3 3" xfId="172"/>
    <cellStyle name="HeaderSmall 4 2 3 4" xfId="172"/>
    <cellStyle name="HeaderSmall 4 2 4" xfId="172"/>
    <cellStyle name="HeaderSmall 4 2 5" xfId="172"/>
    <cellStyle name="HeaderSmall 4 2 6" xfId="172"/>
    <cellStyle name="HeaderSmall 4 2 7" xfId="172"/>
    <cellStyle name="HeaderSmall 4 2 8" xfId="172"/>
    <cellStyle name="HeaderSmall 4 3" xfId="172"/>
    <cellStyle name="HeaderSmall 4 3 2" xfId="172"/>
    <cellStyle name="HeaderSmall 4 3 2 2" xfId="172"/>
    <cellStyle name="HeaderSmall 4 3 2 3" xfId="172"/>
    <cellStyle name="HeaderSmall 4 3 2 4" xfId="172"/>
    <cellStyle name="HeaderSmall 4 3 2 5" xfId="172"/>
    <cellStyle name="HeaderSmall 4 3 3" xfId="172"/>
    <cellStyle name="HeaderSmall 4 3 3 2" xfId="172"/>
    <cellStyle name="HeaderSmall 4 3 3 3" xfId="172"/>
    <cellStyle name="HeaderSmall 4 3 3 4" xfId="172"/>
    <cellStyle name="HeaderSmall 4 3 4" xfId="172"/>
    <cellStyle name="HeaderSmall 4 3 5" xfId="172"/>
    <cellStyle name="HeaderSmall 4 3 6" xfId="172"/>
    <cellStyle name="HeaderSmall 4 3 7" xfId="172"/>
    <cellStyle name="HeaderSmall 4 4" xfId="172"/>
    <cellStyle name="HeaderSmall 4 4 2" xfId="172"/>
    <cellStyle name="HeaderSmall 4 4 3" xfId="172"/>
    <cellStyle name="HeaderSmall 4 4 4" xfId="172"/>
    <cellStyle name="HeaderSmall 4 4 5" xfId="172"/>
    <cellStyle name="HeaderSmall 4 5" xfId="172"/>
    <cellStyle name="HeaderSmall 4 5 2" xfId="172"/>
    <cellStyle name="HeaderSmall 4 5 3" xfId="172"/>
    <cellStyle name="HeaderSmall 4 5 4" xfId="172"/>
    <cellStyle name="HeaderSmall 4 6" xfId="172"/>
    <cellStyle name="HeaderSmall 4 7" xfId="172"/>
    <cellStyle name="HeaderSmall 4 8" xfId="172"/>
    <cellStyle name="HeaderSmall 4 9" xfId="172"/>
    <cellStyle name="HeaderSmall 5" xfId="172"/>
    <cellStyle name="HeaderSmall 5 2" xfId="172"/>
    <cellStyle name="HeaderSmall 5 2 2" xfId="172"/>
    <cellStyle name="HeaderSmall 5 2 3" xfId="172"/>
    <cellStyle name="HeaderSmall 5 2 4" xfId="172"/>
    <cellStyle name="HeaderSmall 5 2 5" xfId="172"/>
    <cellStyle name="HeaderSmall 5 3" xfId="172"/>
    <cellStyle name="HeaderSmall 5 3 2" xfId="172"/>
    <cellStyle name="HeaderSmall 5 3 3" xfId="172"/>
    <cellStyle name="HeaderSmall 5 3 4" xfId="172"/>
    <cellStyle name="HeaderSmall 5 4" xfId="172"/>
    <cellStyle name="HeaderSmall 5 5" xfId="172"/>
    <cellStyle name="HeaderSmall 5 6" xfId="172"/>
    <cellStyle name="HeaderSmall 5 7" xfId="172"/>
    <cellStyle name="HeaderSmall 5 8" xfId="172"/>
    <cellStyle name="HeaderSmall 6" xfId="172"/>
    <cellStyle name="HeaderSmall 6 2" xfId="172"/>
    <cellStyle name="HeaderSmall 6 3" xfId="172"/>
    <cellStyle name="HeaderSmall 6 4" xfId="172"/>
    <cellStyle name="HeaderSmall 6 5" xfId="172"/>
    <cellStyle name="HeaderSmall 7" xfId="172"/>
    <cellStyle name="HeaderSmall 8" xfId="172"/>
    <cellStyle name="Heading 1" xfId="173" builtinId="16"/>
    <cellStyle name="Heading 1 2" xfId="174"/>
    <cellStyle name="Heading 1 2 2" xfId="174"/>
    <cellStyle name="Heading 1 2 3" xfId="174"/>
    <cellStyle name="Heading 1 2 4" xfId="174"/>
    <cellStyle name="Heading 1 2 5" xfId="174"/>
    <cellStyle name="Heading 1 2 6" xfId="174"/>
    <cellStyle name="Heading 1 3" xfId="173"/>
    <cellStyle name="Heading 2" xfId="175" builtinId="17"/>
    <cellStyle name="Heading 2 2" xfId="176"/>
    <cellStyle name="Heading 2 2 2" xfId="176"/>
    <cellStyle name="Heading 2 2 3" xfId="176"/>
    <cellStyle name="Heading 2 2 4" xfId="176"/>
    <cellStyle name="Heading 2 2 5" xfId="176"/>
    <cellStyle name="Heading 2 2 6" xfId="176"/>
    <cellStyle name="Heading 2 3" xfId="175"/>
    <cellStyle name="Heading 3" xfId="177" builtinId="18"/>
    <cellStyle name="Heading 3 2" xfId="178"/>
    <cellStyle name="Heading 4" xfId="179" builtinId="19"/>
    <cellStyle name="Heading 4 2" xfId="180"/>
    <cellStyle name="Hyperlink" xfId="181"/>
    <cellStyle name="Hyperlink 2" xfId="182"/>
    <cellStyle name="Hyperlink 2 2" xfId="182"/>
    <cellStyle name="Hyperlink 2 3" xfId="183"/>
    <cellStyle name="Hyperlink 2 4" xfId="181"/>
    <cellStyle name="Hyperlink 3" xfId="183"/>
    <cellStyle name="Hyperlink 3 2" xfId="183"/>
    <cellStyle name="Hyperlink 3 3" xfId="182"/>
    <cellStyle name="Hyperlink 3 4" xfId="184"/>
    <cellStyle name="Hyperlink 4" xfId="185"/>
    <cellStyle name="IndentItalics" xfId="186"/>
    <cellStyle name="inplacea" xfId="187"/>
    <cellStyle name="inplaceb&amp;c" xfId="187"/>
    <cellStyle name="Input" xfId="188" builtinId="20"/>
    <cellStyle name="Input [yellow]" xfId="189"/>
    <cellStyle name="Input [yellow] 10" xfId="189"/>
    <cellStyle name="Input [yellow] 11" xfId="189"/>
    <cellStyle name="Input [yellow] 12" xfId="189"/>
    <cellStyle name="Input [yellow] 2" xfId="190"/>
    <cellStyle name="Input [yellow] 2 2" xfId="190"/>
    <cellStyle name="Input [yellow] 2 2 2" xfId="190"/>
    <cellStyle name="Input [yellow] 2 2 2 2" xfId="190"/>
    <cellStyle name="Input [yellow] 2 2 2 2 2" xfId="190"/>
    <cellStyle name="Input [yellow] 2 2 2 3" xfId="190"/>
    <cellStyle name="Input [yellow] 2 2 2 3 2" xfId="190"/>
    <cellStyle name="Input [yellow] 2 2 2 4" xfId="190"/>
    <cellStyle name="Input [yellow] 2 2 2 4 2" xfId="190"/>
    <cellStyle name="Input [yellow] 2 2 2 5" xfId="190"/>
    <cellStyle name="Input [yellow] 2 2 2 5 2" xfId="190"/>
    <cellStyle name="Input [yellow] 2 2 2 6" xfId="190"/>
    <cellStyle name="Input [yellow] 2 2 3" xfId="190"/>
    <cellStyle name="Input [yellow] 2 2 3 2" xfId="190"/>
    <cellStyle name="Input [yellow] 2 2 4" xfId="190"/>
    <cellStyle name="Input [yellow] 2 2 4 2" xfId="190"/>
    <cellStyle name="Input [yellow] 2 2 5" xfId="190"/>
    <cellStyle name="Input [yellow] 2 2 5 2" xfId="190"/>
    <cellStyle name="Input [yellow] 2 2 6" xfId="190"/>
    <cellStyle name="Input [yellow] 2 2 6 2" xfId="190"/>
    <cellStyle name="Input [yellow] 2 3" xfId="190"/>
    <cellStyle name="Input [yellow] 2 3 2" xfId="190"/>
    <cellStyle name="Input [yellow] 2 3 2 2" xfId="190"/>
    <cellStyle name="Input [yellow] 2 3 3" xfId="190"/>
    <cellStyle name="Input [yellow] 2 3 3 2" xfId="190"/>
    <cellStyle name="Input [yellow] 2 3 4" xfId="190"/>
    <cellStyle name="Input [yellow] 2 3 4 2" xfId="190"/>
    <cellStyle name="Input [yellow] 2 3 5" xfId="190"/>
    <cellStyle name="Input [yellow] 2 3 5 2" xfId="190"/>
    <cellStyle name="Input [yellow] 2 3 6" xfId="190"/>
    <cellStyle name="Input [yellow] 2 4" xfId="190"/>
    <cellStyle name="Input [yellow] 2 4 2" xfId="190"/>
    <cellStyle name="Input [yellow] 2 5" xfId="190"/>
    <cellStyle name="Input [yellow] 2 5 2" xfId="190"/>
    <cellStyle name="Input [yellow] 2 6" xfId="190"/>
    <cellStyle name="Input [yellow] 3" xfId="189"/>
    <cellStyle name="Input [yellow] 3 2" xfId="189"/>
    <cellStyle name="Input [yellow] 3 2 2" xfId="189"/>
    <cellStyle name="Input [yellow] 3 2 2 2" xfId="189"/>
    <cellStyle name="Input [yellow] 3 2 3" xfId="189"/>
    <cellStyle name="Input [yellow] 3 2 3 2" xfId="189"/>
    <cellStyle name="Input [yellow] 3 2 4" xfId="189"/>
    <cellStyle name="Input [yellow] 3 2 4 2" xfId="189"/>
    <cellStyle name="Input [yellow] 3 2 5" xfId="189"/>
    <cellStyle name="Input [yellow] 3 2 5 2" xfId="189"/>
    <cellStyle name="Input [yellow] 3 2 6" xfId="189"/>
    <cellStyle name="Input [yellow] 3 3" xfId="189"/>
    <cellStyle name="Input [yellow] 3 3 2" xfId="189"/>
    <cellStyle name="Input [yellow] 3 4" xfId="189"/>
    <cellStyle name="Input [yellow] 3 4 2" xfId="189"/>
    <cellStyle name="Input [yellow] 3 5" xfId="189"/>
    <cellStyle name="Input [yellow] 3 5 2" xfId="189"/>
    <cellStyle name="Input [yellow] 3 6" xfId="189"/>
    <cellStyle name="Input [yellow] 3 6 2" xfId="189"/>
    <cellStyle name="Input [yellow] 4" xfId="189"/>
    <cellStyle name="Input [yellow] 4 2" xfId="189"/>
    <cellStyle name="Input [yellow] 4 2 2" xfId="189"/>
    <cellStyle name="Input [yellow] 4 3" xfId="189"/>
    <cellStyle name="Input [yellow] 4 3 2" xfId="189"/>
    <cellStyle name="Input [yellow] 4 4" xfId="189"/>
    <cellStyle name="Input [yellow] 4 4 2" xfId="189"/>
    <cellStyle name="Input [yellow] 4 5" xfId="189"/>
    <cellStyle name="Input [yellow] 4 5 2" xfId="189"/>
    <cellStyle name="Input [yellow] 4 6" xfId="189"/>
    <cellStyle name="Input [yellow] 5" xfId="189"/>
    <cellStyle name="Input [yellow] 5 2" xfId="189"/>
    <cellStyle name="Input [yellow] 6" xfId="189"/>
    <cellStyle name="Input [yellow] 6 2" xfId="189"/>
    <cellStyle name="Input [yellow] 7" xfId="189"/>
    <cellStyle name="Input [yellow] 8" xfId="189"/>
    <cellStyle name="Input [yellow] 9" xfId="189"/>
    <cellStyle name="Input 10" xfId="191"/>
    <cellStyle name="Input 2" xfId="191"/>
    <cellStyle name="Input 2 2" xfId="191"/>
    <cellStyle name="Input 2 2 2" xfId="191"/>
    <cellStyle name="Input 2 3" xfId="191"/>
    <cellStyle name="Input 2 3 2" xfId="191"/>
    <cellStyle name="Input 2 4" xfId="191"/>
    <cellStyle name="Input 2 4 2" xfId="191"/>
    <cellStyle name="Input 2 5" xfId="191"/>
    <cellStyle name="Input 3" xfId="191"/>
    <cellStyle name="Input 3 2" xfId="191"/>
    <cellStyle name="Input 3 2 2" xfId="191"/>
    <cellStyle name="Input 3 3" xfId="191"/>
    <cellStyle name="Input 3 3 2" xfId="191"/>
    <cellStyle name="Input 3 4" xfId="191"/>
    <cellStyle name="Input 3 4 2" xfId="191"/>
    <cellStyle name="Input 3 5" xfId="191"/>
    <cellStyle name="Input 4" xfId="191"/>
    <cellStyle name="Input 4 2" xfId="191"/>
    <cellStyle name="Input 4 2 2" xfId="191"/>
    <cellStyle name="Input 4 3" xfId="191"/>
    <cellStyle name="Input 4 3 2" xfId="191"/>
    <cellStyle name="Input 4 4" xfId="191"/>
    <cellStyle name="Input 4 4 2" xfId="191"/>
    <cellStyle name="Input 4 5" xfId="191"/>
    <cellStyle name="Input 5" xfId="191"/>
    <cellStyle name="Input 6" xfId="191"/>
    <cellStyle name="Input 7" xfId="191"/>
    <cellStyle name="Input 8" xfId="191"/>
    <cellStyle name="Input 9" xfId="191"/>
    <cellStyle name="left" xfId="192"/>
    <cellStyle name="Linked Cell" xfId="193" builtinId="24"/>
    <cellStyle name="Linked Cell 2" xfId="194"/>
    <cellStyle name="LookupListHeader" xfId="195"/>
    <cellStyle name="LookupListHeader 2" xfId="195"/>
    <cellStyle name="LookupListHeader 2 2" xfId="195"/>
    <cellStyle name="LookupListHeader 2 2 2" xfId="195"/>
    <cellStyle name="LookupListHeader 2 2 2 2" xfId="195"/>
    <cellStyle name="LookupListHeader 2 2 3" xfId="195"/>
    <cellStyle name="LookupListHeader 2 2 3 2" xfId="195"/>
    <cellStyle name="LookupListHeader 2 2 4" xfId="195"/>
    <cellStyle name="LookupListHeader 2 2 4 2" xfId="195"/>
    <cellStyle name="LookupListHeader 2 2 5" xfId="195"/>
    <cellStyle name="LookupListHeader 2 2 5 2" xfId="195"/>
    <cellStyle name="LookupListHeader 2 2 6" xfId="195"/>
    <cellStyle name="LookupListHeader 2 3" xfId="195"/>
    <cellStyle name="LookupListHeader 2 3 2" xfId="195"/>
    <cellStyle name="LookupListHeader 2 4" xfId="195"/>
    <cellStyle name="LookupListHeader 2 4 2" xfId="195"/>
    <cellStyle name="LookupListHeader 2 5" xfId="195"/>
    <cellStyle name="LookupListHeader 2 5 2" xfId="195"/>
    <cellStyle name="LookupListHeader 2 6" xfId="195"/>
    <cellStyle name="LookupListHeader 2 6 2" xfId="195"/>
    <cellStyle name="LookupListHeader 3" xfId="195"/>
    <cellStyle name="LookupListHeader 3 2" xfId="195"/>
    <cellStyle name="LookupListHeader 3 2 2" xfId="195"/>
    <cellStyle name="LookupListHeader 3 3" xfId="195"/>
    <cellStyle name="LookupListHeader 3 3 2" xfId="195"/>
    <cellStyle name="LookupListHeader 3 4" xfId="195"/>
    <cellStyle name="LookupListHeader 3 4 2" xfId="195"/>
    <cellStyle name="LookupListHeader 3 5" xfId="195"/>
    <cellStyle name="LookupListHeader 3 5 2" xfId="195"/>
    <cellStyle name="LookupListHeader 3 6" xfId="195"/>
    <cellStyle name="LookupListHeader 4" xfId="195"/>
    <cellStyle name="LookupListHeader 4 2" xfId="195"/>
    <cellStyle name="LookupListHeader 5" xfId="195"/>
    <cellStyle name="LookupListHeader 5 2" xfId="195"/>
    <cellStyle name="LookupListHeader 6" xfId="195"/>
    <cellStyle name="Milliers [0]_laroux" xfId="196"/>
    <cellStyle name="Milliers_laroux" xfId="197"/>
    <cellStyle name="Monétaire [0]_laroux" xfId="198"/>
    <cellStyle name="Monétaire_laroux" xfId="199"/>
    <cellStyle name="Neutral" xfId="200" builtinId="28"/>
    <cellStyle name="Neutral 2" xfId="201"/>
    <cellStyle name="no dec" xfId="202"/>
    <cellStyle name="Normal - Style1" xfId="203"/>
    <cellStyle name="Normal - Style1 2" xfId="204"/>
    <cellStyle name="Normal 10" xfId="205"/>
    <cellStyle name="Normal 10 2" xfId="206"/>
    <cellStyle name="Normal 10_Sheet3" xfId="206"/>
    <cellStyle name="Normal 100" xfId="206"/>
    <cellStyle name="Normal 101" xfId="206"/>
    <cellStyle name="Normal 101 2" xfId="0"/>
    <cellStyle name="Normal 102" xfId="206"/>
    <cellStyle name="Normal 103" xfId="206"/>
    <cellStyle name="Normal 104" xfId="206"/>
    <cellStyle name="Normal 105" xfId="206"/>
    <cellStyle name="Normal 106" xfId="206"/>
    <cellStyle name="Normal 107" xfId="206"/>
    <cellStyle name="Normal 108" xfId="206"/>
    <cellStyle name="Normal 109" xfId="206"/>
    <cellStyle name="Normal 11" xfId="205"/>
    <cellStyle name="Normal 11 2" xfId="206"/>
    <cellStyle name="Normal 11_Sheet3" xfId="206"/>
    <cellStyle name="Normal 110" xfId="206"/>
    <cellStyle name="Normal 111" xfId="206"/>
    <cellStyle name="Normal 112" xfId="206"/>
    <cellStyle name="Normal 113" xfId="206"/>
    <cellStyle name="Normal 114" xfId="206"/>
    <cellStyle name="Normal 115" xfId="206"/>
    <cellStyle name="Normal 116" xfId="206"/>
    <cellStyle name="Normal 117" xfId="206"/>
    <cellStyle name="Normal 118" xfId="206"/>
    <cellStyle name="Normal 119" xfId="206"/>
    <cellStyle name="Normal 12" xfId="205"/>
    <cellStyle name="Normal 12 2" xfId="206"/>
    <cellStyle name="Normal 12_Sheet3" xfId="206"/>
    <cellStyle name="Normal 120" xfId="206"/>
    <cellStyle name="Normal 121" xfId="206"/>
    <cellStyle name="Normal 122" xfId="206"/>
    <cellStyle name="Normal 123" xfId="206"/>
    <cellStyle name="Normal 124" xfId="206"/>
    <cellStyle name="Normal 125" xfId="206"/>
    <cellStyle name="Normal 126" xfId="206"/>
    <cellStyle name="Normal 127" xfId="206"/>
    <cellStyle name="Normal 128" xfId="206"/>
    <cellStyle name="Normal 129" xfId="206"/>
    <cellStyle name="Normal 13" xfId="205"/>
    <cellStyle name="Normal 13 2" xfId="206"/>
    <cellStyle name="Normal 13_Sheet3" xfId="206"/>
    <cellStyle name="Normal 130" xfId="206"/>
    <cellStyle name="Normal 131" xfId="206"/>
    <cellStyle name="Normal 132" xfId="206"/>
    <cellStyle name="Normal 133" xfId="206"/>
    <cellStyle name="Normal 134" xfId="206"/>
    <cellStyle name="Normal 135" xfId="206"/>
    <cellStyle name="Normal 136" xfId="206"/>
    <cellStyle name="Normal 137" xfId="206"/>
    <cellStyle name="Normal 138" xfId="206"/>
    <cellStyle name="Normal 139" xfId="206"/>
    <cellStyle name="Normal 14" xfId="205"/>
    <cellStyle name="Normal 14 2" xfId="206"/>
    <cellStyle name="Normal 14_Sheet3" xfId="206"/>
    <cellStyle name="Normal 140" xfId="206"/>
    <cellStyle name="Normal 141" xfId="206"/>
    <cellStyle name="Normal 142" xfId="206"/>
    <cellStyle name="Normal 143" xfId="206"/>
    <cellStyle name="Normal 144" xfId="206"/>
    <cellStyle name="Normal 145" xfId="206"/>
    <cellStyle name="Normal 146" xfId="206"/>
    <cellStyle name="Normal 147" xfId="206"/>
    <cellStyle name="Normal 148" xfId="206"/>
    <cellStyle name="Normal 149" xfId="206"/>
    <cellStyle name="Normal 15" xfId="206"/>
    <cellStyle name="Normal 150" xfId="206"/>
    <cellStyle name="Normal 151" xfId="206"/>
    <cellStyle name="Normal 152" xfId="206"/>
    <cellStyle name="Normal 153" xfId="206"/>
    <cellStyle name="Normal 154" xfId="206"/>
    <cellStyle name="Normal 155" xfId="206"/>
    <cellStyle name="Normal 156" xfId="206"/>
    <cellStyle name="Normal 157" xfId="206"/>
    <cellStyle name="Normal 158" xfId="206"/>
    <cellStyle name="Normal 159" xfId="206"/>
    <cellStyle name="Normal 16" xfId="206"/>
    <cellStyle name="Normal 160" xfId="206"/>
    <cellStyle name="Normal 161" xfId="206"/>
    <cellStyle name="Normal 162" xfId="206"/>
    <cellStyle name="Normal 163" xfId="206"/>
    <cellStyle name="Normal 164" xfId="206"/>
    <cellStyle name="Normal 165" xfId="206"/>
    <cellStyle name="Normal 166" xfId="206"/>
    <cellStyle name="Normal 167" xfId="206"/>
    <cellStyle name="Normal 168" xfId="206"/>
    <cellStyle name="Normal 169" xfId="206"/>
    <cellStyle name="Normal 17" xfId="206"/>
    <cellStyle name="Normal 170" xfId="206"/>
    <cellStyle name="Normal 171" xfId="206"/>
    <cellStyle name="Normal 172" xfId="206"/>
    <cellStyle name="Normal 173" xfId="206"/>
    <cellStyle name="Normal 174" xfId="206"/>
    <cellStyle name="Normal 175" xfId="206"/>
    <cellStyle name="Normal 176" xfId="206"/>
    <cellStyle name="Normal 177" xfId="206"/>
    <cellStyle name="Normal 178" xfId="206"/>
    <cellStyle name="Normal 179" xfId="206"/>
    <cellStyle name="Normal 18" xfId="206"/>
    <cellStyle name="Normal 180" xfId="206"/>
    <cellStyle name="Normal 181" xfId="206"/>
    <cellStyle name="Normal 182" xfId="206"/>
    <cellStyle name="Normal 183" xfId="206"/>
    <cellStyle name="Normal 184" xfId="206"/>
    <cellStyle name="Normal 185" xfId="206"/>
    <cellStyle name="Normal 186" xfId="0"/>
    <cellStyle name="Normal 186 2" xfId="0"/>
    <cellStyle name="Normal 186 2 2" xfId="0"/>
    <cellStyle name="Normal 186 2 2 2" xfId="0"/>
    <cellStyle name="Normal 186 2 2 2 2" xfId="0"/>
    <cellStyle name="Normal 186 2 2 3" xfId="0"/>
    <cellStyle name="Normal 186 2 3" xfId="0"/>
    <cellStyle name="Normal 186 2 3 2" xfId="0"/>
    <cellStyle name="Normal 186 2 3 2 2" xfId="0"/>
    <cellStyle name="Normal 186 2 3 3" xfId="0"/>
    <cellStyle name="Normal 186 2 4" xfId="0"/>
    <cellStyle name="Normal 186 2 4 2" xfId="0"/>
    <cellStyle name="Normal 186 2 5" xfId="0"/>
    <cellStyle name="Normal 186 3" xfId="0"/>
    <cellStyle name="Normal 186 3 2" xfId="0"/>
    <cellStyle name="Normal 186 3 2 2" xfId="0"/>
    <cellStyle name="Normal 186 3 3" xfId="0"/>
    <cellStyle name="Normal 186 4" xfId="0"/>
    <cellStyle name="Normal 186 4 2" xfId="0"/>
    <cellStyle name="Normal 186 4 2 2" xfId="0"/>
    <cellStyle name="Normal 186 4 3" xfId="0"/>
    <cellStyle name="Normal 186 5" xfId="0"/>
    <cellStyle name="Normal 186 5 2" xfId="0"/>
    <cellStyle name="Normal 186 6" xfId="0"/>
    <cellStyle name="Normal 187" xfId="206"/>
    <cellStyle name="Normal 188" xfId="206"/>
    <cellStyle name="Normal 189" xfId="206"/>
    <cellStyle name="Normal 19" xfId="206"/>
    <cellStyle name="Normal 190" xfId="206"/>
    <cellStyle name="Normal 191" xfId="206"/>
    <cellStyle name="Normal 192" xfId="206"/>
    <cellStyle name="Normal 193" xfId="206"/>
    <cellStyle name="Normal 194" xfId="206"/>
    <cellStyle name="Normal 195" xfId="206"/>
    <cellStyle name="Normal 196" xfId="206"/>
    <cellStyle name="Normal 197" xfId="206"/>
    <cellStyle name="Normal 198" xfId="205"/>
    <cellStyle name="Normal 198 2" xfId="205"/>
    <cellStyle name="Normal 199" xfId="207"/>
    <cellStyle name="Normal 2" xfId="206"/>
    <cellStyle name="Normal 2 2" xfId="206"/>
    <cellStyle name="Normal 2 2 2" xfId="0"/>
    <cellStyle name="Normal 2 2 3" xfId="206"/>
    <cellStyle name="Normal 2 2 4" xfId="0"/>
    <cellStyle name="Normal 2 3" xfId="206"/>
    <cellStyle name="Normal 2 3 2" xfId="0"/>
    <cellStyle name="Normal 2 3 3" xfId="0"/>
    <cellStyle name="Normal 2 3 4" xfId="0"/>
    <cellStyle name="Normal 2 3 5" xfId="0"/>
    <cellStyle name="Normal 2 3 6" xfId="208"/>
    <cellStyle name="Normal 2 4" xfId="206"/>
    <cellStyle name="Normal 2 4 2" xfId="0"/>
    <cellStyle name="Normal 2 5" xfId="206"/>
    <cellStyle name="Normal 2 5 2" xfId="209"/>
    <cellStyle name="Normal 2 6" xfId="206"/>
    <cellStyle name="Normal 2 7" xfId="210"/>
    <cellStyle name="Normal 2 8" xfId="211"/>
    <cellStyle name="Normal 2_Expense Analysis" xfId="0"/>
    <cellStyle name="Normal 20" xfId="206"/>
    <cellStyle name="Normal 200" xfId="0"/>
    <cellStyle name="Normal 200 2" xfId="0"/>
    <cellStyle name="Normal 201" xfId="0"/>
    <cellStyle name="Normal 202" xfId="0"/>
    <cellStyle name="Normal 203" xfId="206"/>
    <cellStyle name="Normal 204" xfId="0"/>
    <cellStyle name="Normal 205" xfId="0"/>
    <cellStyle name="Normal 206" xfId="0"/>
    <cellStyle name="Normal 207" xfId="0"/>
    <cellStyle name="Normal 208" xfId="206"/>
    <cellStyle name="Normal 209" xfId="206"/>
    <cellStyle name="Normal 21" xfId="206"/>
    <cellStyle name="Normal 210" xfId="206"/>
    <cellStyle name="Normal 211" xfId="212"/>
    <cellStyle name="Normal 212" xfId="206"/>
    <cellStyle name="Normal 213" xfId="206"/>
    <cellStyle name="Normal 214" xfId="206"/>
    <cellStyle name="Normal 215" xfId="206"/>
    <cellStyle name="Normal 216" xfId="206"/>
    <cellStyle name="Normal 217" xfId="206"/>
    <cellStyle name="Normal 218" xfId="206"/>
    <cellStyle name="Normal 219" xfId="212"/>
    <cellStyle name="Normal 22" xfId="206"/>
    <cellStyle name="Normal 23" xfId="206"/>
    <cellStyle name="Normal 24" xfId="206"/>
    <cellStyle name="Normal 25" xfId="206"/>
    <cellStyle name="Normal 26" xfId="206"/>
    <cellStyle name="Normal 27" xfId="206"/>
    <cellStyle name="Normal 28" xfId="206"/>
    <cellStyle name="Normal 28 2" xfId="213"/>
    <cellStyle name="Normal 28 2 2" xfId="213"/>
    <cellStyle name="Normal 28 2 3" xfId="213"/>
    <cellStyle name="Normal 28 2 4" xfId="213"/>
    <cellStyle name="Normal 28 2 5" xfId="213"/>
    <cellStyle name="Normal 28 3" xfId="213"/>
    <cellStyle name="Normal 28 3 2" xfId="213"/>
    <cellStyle name="Normal 28 4" xfId="213"/>
    <cellStyle name="Normal 28 5" xfId="213"/>
    <cellStyle name="Normal 28 6" xfId="213"/>
    <cellStyle name="Normal 28 7" xfId="213"/>
    <cellStyle name="Normal 28 8" xfId="213"/>
    <cellStyle name="Normal 28 9" xfId="213"/>
    <cellStyle name="Normal 29" xfId="206"/>
    <cellStyle name="Normal 29 2" xfId="0"/>
    <cellStyle name="Normal 29 3" xfId="0"/>
    <cellStyle name="Normal 29 4" xfId="0"/>
    <cellStyle name="Normal 29 5" xfId="0"/>
    <cellStyle name="Normal 3" xfId="212"/>
    <cellStyle name="Normal 3 2" xfId="206"/>
    <cellStyle name="Normal 3 2 2" xfId="214"/>
    <cellStyle name="Normal 3 3" xfId="0"/>
    <cellStyle name="Normal 3 3 2" xfId="0"/>
    <cellStyle name="Normal 3 3 3" xfId="0"/>
    <cellStyle name="Normal 3 3 4" xfId="0"/>
    <cellStyle name="Normal 3 3 5" xfId="206"/>
    <cellStyle name="Normal 3 4" xfId="0"/>
    <cellStyle name="Normal 3 5" xfId="0"/>
    <cellStyle name="Normal 3 6" xfId="206"/>
    <cellStyle name="Normal 3 7" xfId="206"/>
    <cellStyle name="Normal 3_Sheet3" xfId="206"/>
    <cellStyle name="Normal 30" xfId="212"/>
    <cellStyle name="Normal 30 2" xfId="0"/>
    <cellStyle name="Normal 30 3" xfId="0"/>
    <cellStyle name="Normal 30 4" xfId="0"/>
    <cellStyle name="Normal 30 5" xfId="0"/>
    <cellStyle name="Normal 31" xfId="206"/>
    <cellStyle name="Normal 32" xfId="206"/>
    <cellStyle name="Normal 33" xfId="206"/>
    <cellStyle name="Normal 34" xfId="206"/>
    <cellStyle name="Normal 35" xfId="206"/>
    <cellStyle name="Normal 36" xfId="206"/>
    <cellStyle name="Normal 37" xfId="206"/>
    <cellStyle name="Normal 38" xfId="206"/>
    <cellStyle name="Normal 39" xfId="206"/>
    <cellStyle name="Normal 4" xfId="206"/>
    <cellStyle name="Normal 4 2" xfId="212"/>
    <cellStyle name="Normal 40" xfId="206"/>
    <cellStyle name="Normal 41" xfId="206"/>
    <cellStyle name="Normal 42" xfId="206"/>
    <cellStyle name="Normal 43" xfId="206"/>
    <cellStyle name="Normal 44" xfId="206"/>
    <cellStyle name="Normal 45" xfId="206"/>
    <cellStyle name="Normal 46" xfId="206"/>
    <cellStyle name="Normal 47" xfId="206"/>
    <cellStyle name="Normal 48" xfId="206"/>
    <cellStyle name="Normal 49" xfId="206"/>
    <cellStyle name="Normal 5" xfId="206"/>
    <cellStyle name="Normal 5 11" xfId="0"/>
    <cellStyle name="Normal 5 2" xfId="0"/>
    <cellStyle name="Normal 5 2 2" xfId="215"/>
    <cellStyle name="Normal 5 3" xfId="0"/>
    <cellStyle name="Normal 50" xfId="206"/>
    <cellStyle name="Normal 51" xfId="206"/>
    <cellStyle name="Normal 52" xfId="206"/>
    <cellStyle name="Normal 53" xfId="206"/>
    <cellStyle name="Normal 54" xfId="206"/>
    <cellStyle name="Normal 55" xfId="206"/>
    <cellStyle name="Normal 56" xfId="206"/>
    <cellStyle name="Normal 57" xfId="206"/>
    <cellStyle name="Normal 58" xfId="206"/>
    <cellStyle name="Normal 59" xfId="206"/>
    <cellStyle name="Normal 6" xfId="206"/>
    <cellStyle name="Normal 6 2" xfId="206"/>
    <cellStyle name="Normal 6 3" xfId="0"/>
    <cellStyle name="Normal 6 4" xfId="205"/>
    <cellStyle name="Normal 6_Sheet3" xfId="206"/>
    <cellStyle name="Normal 60" xfId="206"/>
    <cellStyle name="Normal 61" xfId="0"/>
    <cellStyle name="Normal 61 10" xfId="0"/>
    <cellStyle name="Normal 61 10 2" xfId="0"/>
    <cellStyle name="Normal 61 10 2 2" xfId="0"/>
    <cellStyle name="Normal 61 10 2 2 2" xfId="0"/>
    <cellStyle name="Normal 61 10 2 2 2 2" xfId="0"/>
    <cellStyle name="Normal 61 10 2 2 2 2 2" xfId="0"/>
    <cellStyle name="Normal 61 10 2 2 2 2 2 2" xfId="0"/>
    <cellStyle name="Normal 61 10 2 2 2 2 2 2 2" xfId="0"/>
    <cellStyle name="Normal 61 10 2 2 2 2 2 3" xfId="0"/>
    <cellStyle name="Normal 61 10 2 2 2 2 3" xfId="0"/>
    <cellStyle name="Normal 61 10 2 2 2 2 3 2" xfId="0"/>
    <cellStyle name="Normal 61 10 2 2 2 2 3 2 2" xfId="0"/>
    <cellStyle name="Normal 61 10 2 2 2 2 3 3" xfId="0"/>
    <cellStyle name="Normal 61 10 2 2 2 2 4" xfId="0"/>
    <cellStyle name="Normal 61 10 2 2 2 2 4 2" xfId="0"/>
    <cellStyle name="Normal 61 10 2 2 2 2 5" xfId="0"/>
    <cellStyle name="Normal 61 10 2 2 2 3" xfId="0"/>
    <cellStyle name="Normal 61 10 2 2 2 3 2" xfId="0"/>
    <cellStyle name="Normal 61 10 2 2 2 3 2 2" xfId="0"/>
    <cellStyle name="Normal 61 10 2 2 2 3 3" xfId="0"/>
    <cellStyle name="Normal 61 10 2 2 2 4" xfId="0"/>
    <cellStyle name="Normal 61 10 2 2 2 4 2" xfId="0"/>
    <cellStyle name="Normal 61 10 2 2 2 4 2 2" xfId="0"/>
    <cellStyle name="Normal 61 10 2 2 2 4 3" xfId="0"/>
    <cellStyle name="Normal 61 10 2 2 2 5" xfId="0"/>
    <cellStyle name="Normal 61 10 2 2 2 5 2" xfId="0"/>
    <cellStyle name="Normal 61 10 2 2 2 6" xfId="0"/>
    <cellStyle name="Normal 61 10 2 2 3" xfId="0"/>
    <cellStyle name="Normal 61 10 2 2 3 2" xfId="0"/>
    <cellStyle name="Normal 61 10 2 2 3 2 2" xfId="0"/>
    <cellStyle name="Normal 61 10 2 2 3 2 2 2" xfId="0"/>
    <cellStyle name="Normal 61 10 2 2 3 2 3" xfId="0"/>
    <cellStyle name="Normal 61 10 2 2 3 3" xfId="0"/>
    <cellStyle name="Normal 61 10 2 2 3 3 2" xfId="0"/>
    <cellStyle name="Normal 61 10 2 2 3 3 2 2" xfId="0"/>
    <cellStyle name="Normal 61 10 2 2 3 3 3" xfId="0"/>
    <cellStyle name="Normal 61 10 2 2 3 4" xfId="0"/>
    <cellStyle name="Normal 61 10 2 2 3 4 2" xfId="0"/>
    <cellStyle name="Normal 61 10 2 2 3 5" xfId="0"/>
    <cellStyle name="Normal 61 10 2 2 4" xfId="0"/>
    <cellStyle name="Normal 61 10 2 2 4 2" xfId="0"/>
    <cellStyle name="Normal 61 10 2 2 4 2 2" xfId="0"/>
    <cellStyle name="Normal 61 10 2 2 4 3" xfId="0"/>
    <cellStyle name="Normal 61 10 2 2 5" xfId="0"/>
    <cellStyle name="Normal 61 10 2 2 5 2" xfId="0"/>
    <cellStyle name="Normal 61 10 2 2 5 2 2" xfId="0"/>
    <cellStyle name="Normal 61 10 2 2 5 3" xfId="0"/>
    <cellStyle name="Normal 61 10 2 2 6" xfId="0"/>
    <cellStyle name="Normal 61 10 2 2 6 2" xfId="0"/>
    <cellStyle name="Normal 61 10 2 2 7" xfId="0"/>
    <cellStyle name="Normal 61 10 2 3" xfId="0"/>
    <cellStyle name="Normal 61 10 2 3 2" xfId="0"/>
    <cellStyle name="Normal 61 10 2 3 2 2" xfId="0"/>
    <cellStyle name="Normal 61 10 2 3 2 2 2" xfId="0"/>
    <cellStyle name="Normal 61 10 2 3 2 2 2 2" xfId="0"/>
    <cellStyle name="Normal 61 10 2 3 2 2 3" xfId="0"/>
    <cellStyle name="Normal 61 10 2 3 2 3" xfId="0"/>
    <cellStyle name="Normal 61 10 2 3 2 3 2" xfId="0"/>
    <cellStyle name="Normal 61 10 2 3 2 3 2 2" xfId="0"/>
    <cellStyle name="Normal 61 10 2 3 2 3 3" xfId="0"/>
    <cellStyle name="Normal 61 10 2 3 2 4" xfId="0"/>
    <cellStyle name="Normal 61 10 2 3 2 4 2" xfId="0"/>
    <cellStyle name="Normal 61 10 2 3 2 5" xfId="0"/>
    <cellStyle name="Normal 61 10 2 3 3" xfId="0"/>
    <cellStyle name="Normal 61 10 2 3 3 2" xfId="0"/>
    <cellStyle name="Normal 61 10 2 3 3 2 2" xfId="0"/>
    <cellStyle name="Normal 61 10 2 3 3 3" xfId="0"/>
    <cellStyle name="Normal 61 10 2 3 4" xfId="0"/>
    <cellStyle name="Normal 61 10 2 3 4 2" xfId="0"/>
    <cellStyle name="Normal 61 10 2 3 4 2 2" xfId="0"/>
    <cellStyle name="Normal 61 10 2 3 4 3" xfId="0"/>
    <cellStyle name="Normal 61 10 2 3 5" xfId="0"/>
    <cellStyle name="Normal 61 10 2 3 5 2" xfId="0"/>
    <cellStyle name="Normal 61 10 2 3 6" xfId="0"/>
    <cellStyle name="Normal 61 10 2 4" xfId="0"/>
    <cellStyle name="Normal 61 10 2 4 2" xfId="0"/>
    <cellStyle name="Normal 61 10 2 4 2 2" xfId="0"/>
    <cellStyle name="Normal 61 10 2 4 2 2 2" xfId="0"/>
    <cellStyle name="Normal 61 10 2 4 2 3" xfId="0"/>
    <cellStyle name="Normal 61 10 2 4 3" xfId="0"/>
    <cellStyle name="Normal 61 10 2 4 3 2" xfId="0"/>
    <cellStyle name="Normal 61 10 2 4 3 2 2" xfId="0"/>
    <cellStyle name="Normal 61 10 2 4 3 3" xfId="0"/>
    <cellStyle name="Normal 61 10 2 4 4" xfId="0"/>
    <cellStyle name="Normal 61 10 2 4 4 2" xfId="0"/>
    <cellStyle name="Normal 61 10 2 4 5" xfId="0"/>
    <cellStyle name="Normal 61 10 2 5" xfId="0"/>
    <cellStyle name="Normal 61 10 2 5 2" xfId="0"/>
    <cellStyle name="Normal 61 10 2 5 2 2" xfId="0"/>
    <cellStyle name="Normal 61 10 2 5 3" xfId="0"/>
    <cellStyle name="Normal 61 10 2 6" xfId="0"/>
    <cellStyle name="Normal 61 10 2 6 2" xfId="0"/>
    <cellStyle name="Normal 61 10 2 6 2 2" xfId="0"/>
    <cellStyle name="Normal 61 10 2 6 3" xfId="0"/>
    <cellStyle name="Normal 61 10 2 7" xfId="0"/>
    <cellStyle name="Normal 61 10 2 7 2" xfId="0"/>
    <cellStyle name="Normal 61 10 2 8" xfId="0"/>
    <cellStyle name="Normal 61 10 3" xfId="0"/>
    <cellStyle name="Normal 61 10 3 2" xfId="0"/>
    <cellStyle name="Normal 61 10 3 2 2" xfId="0"/>
    <cellStyle name="Normal 61 10 3 2 2 2" xfId="0"/>
    <cellStyle name="Normal 61 10 3 2 2 2 2" xfId="0"/>
    <cellStyle name="Normal 61 10 3 2 2 2 2 2" xfId="0"/>
    <cellStyle name="Normal 61 10 3 2 2 2 3" xfId="0"/>
    <cellStyle name="Normal 61 10 3 2 2 3" xfId="0"/>
    <cellStyle name="Normal 61 10 3 2 2 3 2" xfId="0"/>
    <cellStyle name="Normal 61 10 3 2 2 3 2 2" xfId="0"/>
    <cellStyle name="Normal 61 10 3 2 2 3 3" xfId="0"/>
    <cellStyle name="Normal 61 10 3 2 2 4" xfId="0"/>
    <cellStyle name="Normal 61 10 3 2 2 4 2" xfId="0"/>
    <cellStyle name="Normal 61 10 3 2 2 5" xfId="0"/>
    <cellStyle name="Normal 61 10 3 2 3" xfId="0"/>
    <cellStyle name="Normal 61 10 3 2 3 2" xfId="0"/>
    <cellStyle name="Normal 61 10 3 2 3 2 2" xfId="0"/>
    <cellStyle name="Normal 61 10 3 2 3 3" xfId="0"/>
    <cellStyle name="Normal 61 10 3 2 4" xfId="0"/>
    <cellStyle name="Normal 61 10 3 2 4 2" xfId="0"/>
    <cellStyle name="Normal 61 10 3 2 4 2 2" xfId="0"/>
    <cellStyle name="Normal 61 10 3 2 4 3" xfId="0"/>
    <cellStyle name="Normal 61 10 3 2 5" xfId="0"/>
    <cellStyle name="Normal 61 10 3 2 5 2" xfId="0"/>
    <cellStyle name="Normal 61 10 3 2 6" xfId="0"/>
    <cellStyle name="Normal 61 10 3 3" xfId="0"/>
    <cellStyle name="Normal 61 10 3 3 2" xfId="0"/>
    <cellStyle name="Normal 61 10 3 3 2 2" xfId="0"/>
    <cellStyle name="Normal 61 10 3 3 2 2 2" xfId="0"/>
    <cellStyle name="Normal 61 10 3 3 2 3" xfId="0"/>
    <cellStyle name="Normal 61 10 3 3 3" xfId="0"/>
    <cellStyle name="Normal 61 10 3 3 3 2" xfId="0"/>
    <cellStyle name="Normal 61 10 3 3 3 2 2" xfId="0"/>
    <cellStyle name="Normal 61 10 3 3 3 3" xfId="0"/>
    <cellStyle name="Normal 61 10 3 3 4" xfId="0"/>
    <cellStyle name="Normal 61 10 3 3 4 2" xfId="0"/>
    <cellStyle name="Normal 61 10 3 3 5" xfId="0"/>
    <cellStyle name="Normal 61 10 3 4" xfId="0"/>
    <cellStyle name="Normal 61 10 3 4 2" xfId="0"/>
    <cellStyle name="Normal 61 10 3 4 2 2" xfId="0"/>
    <cellStyle name="Normal 61 10 3 4 3" xfId="0"/>
    <cellStyle name="Normal 61 10 3 5" xfId="0"/>
    <cellStyle name="Normal 61 10 3 5 2" xfId="0"/>
    <cellStyle name="Normal 61 10 3 5 2 2" xfId="0"/>
    <cellStyle name="Normal 61 10 3 5 3" xfId="0"/>
    <cellStyle name="Normal 61 10 3 6" xfId="0"/>
    <cellStyle name="Normal 61 10 3 6 2" xfId="0"/>
    <cellStyle name="Normal 61 10 3 7" xfId="0"/>
    <cellStyle name="Normal 61 10 4" xfId="0"/>
    <cellStyle name="Normal 61 10 4 2" xfId="0"/>
    <cellStyle name="Normal 61 10 4 2 2" xfId="0"/>
    <cellStyle name="Normal 61 10 4 2 2 2" xfId="0"/>
    <cellStyle name="Normal 61 10 4 2 2 2 2" xfId="0"/>
    <cellStyle name="Normal 61 10 4 2 2 3" xfId="0"/>
    <cellStyle name="Normal 61 10 4 2 3" xfId="0"/>
    <cellStyle name="Normal 61 10 4 2 3 2" xfId="0"/>
    <cellStyle name="Normal 61 10 4 2 3 2 2" xfId="0"/>
    <cellStyle name="Normal 61 10 4 2 3 3" xfId="0"/>
    <cellStyle name="Normal 61 10 4 2 4" xfId="0"/>
    <cellStyle name="Normal 61 10 4 2 4 2" xfId="0"/>
    <cellStyle name="Normal 61 10 4 2 5" xfId="0"/>
    <cellStyle name="Normal 61 10 4 3" xfId="0"/>
    <cellStyle name="Normal 61 10 4 3 2" xfId="0"/>
    <cellStyle name="Normal 61 10 4 3 2 2" xfId="0"/>
    <cellStyle name="Normal 61 10 4 3 3" xfId="0"/>
    <cellStyle name="Normal 61 10 4 4" xfId="0"/>
    <cellStyle name="Normal 61 10 4 4 2" xfId="0"/>
    <cellStyle name="Normal 61 10 4 4 2 2" xfId="0"/>
    <cellStyle name="Normal 61 10 4 4 3" xfId="0"/>
    <cellStyle name="Normal 61 10 4 5" xfId="0"/>
    <cellStyle name="Normal 61 10 4 5 2" xfId="0"/>
    <cellStyle name="Normal 61 10 4 6" xfId="0"/>
    <cellStyle name="Normal 61 10 5" xfId="0"/>
    <cellStyle name="Normal 61 10 5 2" xfId="0"/>
    <cellStyle name="Normal 61 10 5 2 2" xfId="0"/>
    <cellStyle name="Normal 61 10 5 2 2 2" xfId="0"/>
    <cellStyle name="Normal 61 10 5 2 3" xfId="0"/>
    <cellStyle name="Normal 61 10 5 3" xfId="0"/>
    <cellStyle name="Normal 61 10 5 3 2" xfId="0"/>
    <cellStyle name="Normal 61 10 5 3 2 2" xfId="0"/>
    <cellStyle name="Normal 61 10 5 3 3" xfId="0"/>
    <cellStyle name="Normal 61 10 5 4" xfId="0"/>
    <cellStyle name="Normal 61 10 5 4 2" xfId="0"/>
    <cellStyle name="Normal 61 10 5 5" xfId="0"/>
    <cellStyle name="Normal 61 10 6" xfId="0"/>
    <cellStyle name="Normal 61 10 6 2" xfId="0"/>
    <cellStyle name="Normal 61 10 6 2 2" xfId="0"/>
    <cellStyle name="Normal 61 10 6 3" xfId="0"/>
    <cellStyle name="Normal 61 10 7" xfId="0"/>
    <cellStyle name="Normal 61 10 7 2" xfId="0"/>
    <cellStyle name="Normal 61 10 7 2 2" xfId="0"/>
    <cellStyle name="Normal 61 10 7 3" xfId="0"/>
    <cellStyle name="Normal 61 10 8" xfId="0"/>
    <cellStyle name="Normal 61 10 8 2" xfId="0"/>
    <cellStyle name="Normal 61 10 9" xfId="0"/>
    <cellStyle name="Normal 61 11" xfId="0"/>
    <cellStyle name="Normal 61 11 2" xfId="0"/>
    <cellStyle name="Normal 61 11 2 2" xfId="0"/>
    <cellStyle name="Normal 61 11 2 2 2" xfId="0"/>
    <cellStyle name="Normal 61 11 2 2 2 2" xfId="0"/>
    <cellStyle name="Normal 61 11 2 2 2 2 2" xfId="0"/>
    <cellStyle name="Normal 61 11 2 2 2 2 2 2" xfId="0"/>
    <cellStyle name="Normal 61 11 2 2 2 2 3" xfId="0"/>
    <cellStyle name="Normal 61 11 2 2 2 3" xfId="0"/>
    <cellStyle name="Normal 61 11 2 2 2 3 2" xfId="0"/>
    <cellStyle name="Normal 61 11 2 2 2 3 2 2" xfId="0"/>
    <cellStyle name="Normal 61 11 2 2 2 3 3" xfId="0"/>
    <cellStyle name="Normal 61 11 2 2 2 4" xfId="0"/>
    <cellStyle name="Normal 61 11 2 2 2 4 2" xfId="0"/>
    <cellStyle name="Normal 61 11 2 2 2 5" xfId="0"/>
    <cellStyle name="Normal 61 11 2 2 3" xfId="0"/>
    <cellStyle name="Normal 61 11 2 2 3 2" xfId="0"/>
    <cellStyle name="Normal 61 11 2 2 3 2 2" xfId="0"/>
    <cellStyle name="Normal 61 11 2 2 3 3" xfId="0"/>
    <cellStyle name="Normal 61 11 2 2 4" xfId="0"/>
    <cellStyle name="Normal 61 11 2 2 4 2" xfId="0"/>
    <cellStyle name="Normal 61 11 2 2 4 2 2" xfId="0"/>
    <cellStyle name="Normal 61 11 2 2 4 3" xfId="0"/>
    <cellStyle name="Normal 61 11 2 2 5" xfId="0"/>
    <cellStyle name="Normal 61 11 2 2 5 2" xfId="0"/>
    <cellStyle name="Normal 61 11 2 2 6" xfId="0"/>
    <cellStyle name="Normal 61 11 2 3" xfId="0"/>
    <cellStyle name="Normal 61 11 2 3 2" xfId="0"/>
    <cellStyle name="Normal 61 11 2 3 2 2" xfId="0"/>
    <cellStyle name="Normal 61 11 2 3 2 2 2" xfId="0"/>
    <cellStyle name="Normal 61 11 2 3 2 3" xfId="0"/>
    <cellStyle name="Normal 61 11 2 3 3" xfId="0"/>
    <cellStyle name="Normal 61 11 2 3 3 2" xfId="0"/>
    <cellStyle name="Normal 61 11 2 3 3 2 2" xfId="0"/>
    <cellStyle name="Normal 61 11 2 3 3 3" xfId="0"/>
    <cellStyle name="Normal 61 11 2 3 4" xfId="0"/>
    <cellStyle name="Normal 61 11 2 3 4 2" xfId="0"/>
    <cellStyle name="Normal 61 11 2 3 5" xfId="0"/>
    <cellStyle name="Normal 61 11 2 4" xfId="0"/>
    <cellStyle name="Normal 61 11 2 4 2" xfId="0"/>
    <cellStyle name="Normal 61 11 2 4 2 2" xfId="0"/>
    <cellStyle name="Normal 61 11 2 4 3" xfId="0"/>
    <cellStyle name="Normal 61 11 2 5" xfId="0"/>
    <cellStyle name="Normal 61 11 2 5 2" xfId="0"/>
    <cellStyle name="Normal 61 11 2 5 2 2" xfId="0"/>
    <cellStyle name="Normal 61 11 2 5 3" xfId="0"/>
    <cellStyle name="Normal 61 11 2 6" xfId="0"/>
    <cellStyle name="Normal 61 11 2 6 2" xfId="0"/>
    <cellStyle name="Normal 61 11 2 7" xfId="0"/>
    <cellStyle name="Normal 61 11 3" xfId="0"/>
    <cellStyle name="Normal 61 11 3 2" xfId="0"/>
    <cellStyle name="Normal 61 11 3 2 2" xfId="0"/>
    <cellStyle name="Normal 61 11 3 2 2 2" xfId="0"/>
    <cellStyle name="Normal 61 11 3 2 2 2 2" xfId="0"/>
    <cellStyle name="Normal 61 11 3 2 2 3" xfId="0"/>
    <cellStyle name="Normal 61 11 3 2 3" xfId="0"/>
    <cellStyle name="Normal 61 11 3 2 3 2" xfId="0"/>
    <cellStyle name="Normal 61 11 3 2 3 2 2" xfId="0"/>
    <cellStyle name="Normal 61 11 3 2 3 3" xfId="0"/>
    <cellStyle name="Normal 61 11 3 2 4" xfId="0"/>
    <cellStyle name="Normal 61 11 3 2 4 2" xfId="0"/>
    <cellStyle name="Normal 61 11 3 2 5" xfId="0"/>
    <cellStyle name="Normal 61 11 3 3" xfId="0"/>
    <cellStyle name="Normal 61 11 3 3 2" xfId="0"/>
    <cellStyle name="Normal 61 11 3 3 2 2" xfId="0"/>
    <cellStyle name="Normal 61 11 3 3 3" xfId="0"/>
    <cellStyle name="Normal 61 11 3 4" xfId="0"/>
    <cellStyle name="Normal 61 11 3 4 2" xfId="0"/>
    <cellStyle name="Normal 61 11 3 4 2 2" xfId="0"/>
    <cellStyle name="Normal 61 11 3 4 3" xfId="0"/>
    <cellStyle name="Normal 61 11 3 5" xfId="0"/>
    <cellStyle name="Normal 61 11 3 5 2" xfId="0"/>
    <cellStyle name="Normal 61 11 3 6" xfId="0"/>
    <cellStyle name="Normal 61 11 4" xfId="0"/>
    <cellStyle name="Normal 61 11 4 2" xfId="0"/>
    <cellStyle name="Normal 61 11 4 2 2" xfId="0"/>
    <cellStyle name="Normal 61 11 4 2 2 2" xfId="0"/>
    <cellStyle name="Normal 61 11 4 2 3" xfId="0"/>
    <cellStyle name="Normal 61 11 4 3" xfId="0"/>
    <cellStyle name="Normal 61 11 4 3 2" xfId="0"/>
    <cellStyle name="Normal 61 11 4 3 2 2" xfId="0"/>
    <cellStyle name="Normal 61 11 4 3 3" xfId="0"/>
    <cellStyle name="Normal 61 11 4 4" xfId="0"/>
    <cellStyle name="Normal 61 11 4 4 2" xfId="0"/>
    <cellStyle name="Normal 61 11 4 5" xfId="0"/>
    <cellStyle name="Normal 61 11 5" xfId="0"/>
    <cellStyle name="Normal 61 11 5 2" xfId="0"/>
    <cellStyle name="Normal 61 11 5 2 2" xfId="0"/>
    <cellStyle name="Normal 61 11 5 3" xfId="0"/>
    <cellStyle name="Normal 61 11 6" xfId="0"/>
    <cellStyle name="Normal 61 11 6 2" xfId="0"/>
    <cellStyle name="Normal 61 11 6 2 2" xfId="0"/>
    <cellStyle name="Normal 61 11 6 3" xfId="0"/>
    <cellStyle name="Normal 61 11 7" xfId="0"/>
    <cellStyle name="Normal 61 11 7 2" xfId="0"/>
    <cellStyle name="Normal 61 11 8" xfId="0"/>
    <cellStyle name="Normal 61 12" xfId="0"/>
    <cellStyle name="Normal 61 12 2" xfId="0"/>
    <cellStyle name="Normal 61 12 2 2" xfId="0"/>
    <cellStyle name="Normal 61 12 2 2 2" xfId="0"/>
    <cellStyle name="Normal 61 12 2 2 2 2" xfId="0"/>
    <cellStyle name="Normal 61 12 2 2 2 2 2" xfId="0"/>
    <cellStyle name="Normal 61 12 2 2 2 3" xfId="0"/>
    <cellStyle name="Normal 61 12 2 2 3" xfId="0"/>
    <cellStyle name="Normal 61 12 2 2 3 2" xfId="0"/>
    <cellStyle name="Normal 61 12 2 2 3 2 2" xfId="0"/>
    <cellStyle name="Normal 61 12 2 2 3 3" xfId="0"/>
    <cellStyle name="Normal 61 12 2 2 4" xfId="0"/>
    <cellStyle name="Normal 61 12 2 2 4 2" xfId="0"/>
    <cellStyle name="Normal 61 12 2 2 5" xfId="0"/>
    <cellStyle name="Normal 61 12 2 3" xfId="0"/>
    <cellStyle name="Normal 61 12 2 3 2" xfId="0"/>
    <cellStyle name="Normal 61 12 2 3 2 2" xfId="0"/>
    <cellStyle name="Normal 61 12 2 3 3" xfId="0"/>
    <cellStyle name="Normal 61 12 2 4" xfId="0"/>
    <cellStyle name="Normal 61 12 2 4 2" xfId="0"/>
    <cellStyle name="Normal 61 12 2 4 2 2" xfId="0"/>
    <cellStyle name="Normal 61 12 2 4 3" xfId="0"/>
    <cellStyle name="Normal 61 12 2 5" xfId="0"/>
    <cellStyle name="Normal 61 12 2 5 2" xfId="0"/>
    <cellStyle name="Normal 61 12 2 6" xfId="0"/>
    <cellStyle name="Normal 61 12 3" xfId="0"/>
    <cellStyle name="Normal 61 12 3 2" xfId="0"/>
    <cellStyle name="Normal 61 12 3 2 2" xfId="0"/>
    <cellStyle name="Normal 61 12 3 2 2 2" xfId="0"/>
    <cellStyle name="Normal 61 12 3 2 3" xfId="0"/>
    <cellStyle name="Normal 61 12 3 3" xfId="0"/>
    <cellStyle name="Normal 61 12 3 3 2" xfId="0"/>
    <cellStyle name="Normal 61 12 3 3 2 2" xfId="0"/>
    <cellStyle name="Normal 61 12 3 3 3" xfId="0"/>
    <cellStyle name="Normal 61 12 3 4" xfId="0"/>
    <cellStyle name="Normal 61 12 3 4 2" xfId="0"/>
    <cellStyle name="Normal 61 12 3 5" xfId="0"/>
    <cellStyle name="Normal 61 12 4" xfId="0"/>
    <cellStyle name="Normal 61 12 4 2" xfId="0"/>
    <cellStyle name="Normal 61 12 4 2 2" xfId="0"/>
    <cellStyle name="Normal 61 12 4 3" xfId="0"/>
    <cellStyle name="Normal 61 12 5" xfId="0"/>
    <cellStyle name="Normal 61 12 5 2" xfId="0"/>
    <cellStyle name="Normal 61 12 5 2 2" xfId="0"/>
    <cellStyle name="Normal 61 12 5 3" xfId="0"/>
    <cellStyle name="Normal 61 12 6" xfId="0"/>
    <cellStyle name="Normal 61 12 6 2" xfId="0"/>
    <cellStyle name="Normal 61 12 7" xfId="0"/>
    <cellStyle name="Normal 61 13" xfId="0"/>
    <cellStyle name="Normal 61 13 2" xfId="0"/>
    <cellStyle name="Normal 61 13 2 2" xfId="0"/>
    <cellStyle name="Normal 61 13 2 2 2" xfId="0"/>
    <cellStyle name="Normal 61 13 2 2 2 2" xfId="0"/>
    <cellStyle name="Normal 61 13 2 2 3" xfId="0"/>
    <cellStyle name="Normal 61 13 2 3" xfId="0"/>
    <cellStyle name="Normal 61 13 2 3 2" xfId="0"/>
    <cellStyle name="Normal 61 13 2 3 2 2" xfId="0"/>
    <cellStyle name="Normal 61 13 2 3 3" xfId="0"/>
    <cellStyle name="Normal 61 13 2 4" xfId="0"/>
    <cellStyle name="Normal 61 13 2 4 2" xfId="0"/>
    <cellStyle name="Normal 61 13 2 5" xfId="0"/>
    <cellStyle name="Normal 61 13 3" xfId="0"/>
    <cellStyle name="Normal 61 13 3 2" xfId="0"/>
    <cellStyle name="Normal 61 13 3 2 2" xfId="0"/>
    <cellStyle name="Normal 61 13 3 3" xfId="0"/>
    <cellStyle name="Normal 61 13 4" xfId="0"/>
    <cellStyle name="Normal 61 13 4 2" xfId="0"/>
    <cellStyle name="Normal 61 13 4 2 2" xfId="0"/>
    <cellStyle name="Normal 61 13 4 3" xfId="0"/>
    <cellStyle name="Normal 61 13 5" xfId="0"/>
    <cellStyle name="Normal 61 13 5 2" xfId="0"/>
    <cellStyle name="Normal 61 13 6" xfId="0"/>
    <cellStyle name="Normal 61 14" xfId="0"/>
    <cellStyle name="Normal 61 14 2" xfId="0"/>
    <cellStyle name="Normal 61 14 2 2" xfId="0"/>
    <cellStyle name="Normal 61 14 2 2 2" xfId="0"/>
    <cellStyle name="Normal 61 14 2 3" xfId="0"/>
    <cellStyle name="Normal 61 14 3" xfId="0"/>
    <cellStyle name="Normal 61 14 3 2" xfId="0"/>
    <cellStyle name="Normal 61 14 3 2 2" xfId="0"/>
    <cellStyle name="Normal 61 14 3 3" xfId="0"/>
    <cellStyle name="Normal 61 14 4" xfId="0"/>
    <cellStyle name="Normal 61 14 4 2" xfId="0"/>
    <cellStyle name="Normal 61 14 5" xfId="0"/>
    <cellStyle name="Normal 61 15" xfId="0"/>
    <cellStyle name="Normal 61 15 2" xfId="0"/>
    <cellStyle name="Normal 61 15 2 2" xfId="0"/>
    <cellStyle name="Normal 61 15 3" xfId="0"/>
    <cellStyle name="Normal 61 16" xfId="0"/>
    <cellStyle name="Normal 61 16 2" xfId="0"/>
    <cellStyle name="Normal 61 16 2 2" xfId="0"/>
    <cellStyle name="Normal 61 16 3" xfId="0"/>
    <cellStyle name="Normal 61 17" xfId="0"/>
    <cellStyle name="Normal 61 17 2" xfId="0"/>
    <cellStyle name="Normal 61 18" xfId="0"/>
    <cellStyle name="Normal 61 2" xfId="0"/>
    <cellStyle name="Normal 61 2 10" xfId="0"/>
    <cellStyle name="Normal 61 2 10 2" xfId="0"/>
    <cellStyle name="Normal 61 2 10 2 2" xfId="0"/>
    <cellStyle name="Normal 61 2 10 2 2 2" xfId="0"/>
    <cellStyle name="Normal 61 2 10 2 2 2 2" xfId="0"/>
    <cellStyle name="Normal 61 2 10 2 2 2 2 2" xfId="0"/>
    <cellStyle name="Normal 61 2 10 2 2 2 2 2 2" xfId="0"/>
    <cellStyle name="Normal 61 2 10 2 2 2 2 3" xfId="0"/>
    <cellStyle name="Normal 61 2 10 2 2 2 3" xfId="0"/>
    <cellStyle name="Normal 61 2 10 2 2 2 3 2" xfId="0"/>
    <cellStyle name="Normal 61 2 10 2 2 2 3 2 2" xfId="0"/>
    <cellStyle name="Normal 61 2 10 2 2 2 3 3" xfId="0"/>
    <cellStyle name="Normal 61 2 10 2 2 2 4" xfId="0"/>
    <cellStyle name="Normal 61 2 10 2 2 2 4 2" xfId="0"/>
    <cellStyle name="Normal 61 2 10 2 2 2 5" xfId="0"/>
    <cellStyle name="Normal 61 2 10 2 2 3" xfId="0"/>
    <cellStyle name="Normal 61 2 10 2 2 3 2" xfId="0"/>
    <cellStyle name="Normal 61 2 10 2 2 3 2 2" xfId="0"/>
    <cellStyle name="Normal 61 2 10 2 2 3 3" xfId="0"/>
    <cellStyle name="Normal 61 2 10 2 2 4" xfId="0"/>
    <cellStyle name="Normal 61 2 10 2 2 4 2" xfId="0"/>
    <cellStyle name="Normal 61 2 10 2 2 4 2 2" xfId="0"/>
    <cellStyle name="Normal 61 2 10 2 2 4 3" xfId="0"/>
    <cellStyle name="Normal 61 2 10 2 2 5" xfId="0"/>
    <cellStyle name="Normal 61 2 10 2 2 5 2" xfId="0"/>
    <cellStyle name="Normal 61 2 10 2 2 6" xfId="0"/>
    <cellStyle name="Normal 61 2 10 2 3" xfId="0"/>
    <cellStyle name="Normal 61 2 10 2 3 2" xfId="0"/>
    <cellStyle name="Normal 61 2 10 2 3 2 2" xfId="0"/>
    <cellStyle name="Normal 61 2 10 2 3 2 2 2" xfId="0"/>
    <cellStyle name="Normal 61 2 10 2 3 2 3" xfId="0"/>
    <cellStyle name="Normal 61 2 10 2 3 3" xfId="0"/>
    <cellStyle name="Normal 61 2 10 2 3 3 2" xfId="0"/>
    <cellStyle name="Normal 61 2 10 2 3 3 2 2" xfId="0"/>
    <cellStyle name="Normal 61 2 10 2 3 3 3" xfId="0"/>
    <cellStyle name="Normal 61 2 10 2 3 4" xfId="0"/>
    <cellStyle name="Normal 61 2 10 2 3 4 2" xfId="0"/>
    <cellStyle name="Normal 61 2 10 2 3 5" xfId="0"/>
    <cellStyle name="Normal 61 2 10 2 4" xfId="0"/>
    <cellStyle name="Normal 61 2 10 2 4 2" xfId="0"/>
    <cellStyle name="Normal 61 2 10 2 4 2 2" xfId="0"/>
    <cellStyle name="Normal 61 2 10 2 4 3" xfId="0"/>
    <cellStyle name="Normal 61 2 10 2 5" xfId="0"/>
    <cellStyle name="Normal 61 2 10 2 5 2" xfId="0"/>
    <cellStyle name="Normal 61 2 10 2 5 2 2" xfId="0"/>
    <cellStyle name="Normal 61 2 10 2 5 3" xfId="0"/>
    <cellStyle name="Normal 61 2 10 2 6" xfId="0"/>
    <cellStyle name="Normal 61 2 10 2 6 2" xfId="0"/>
    <cellStyle name="Normal 61 2 10 2 7" xfId="0"/>
    <cellStyle name="Normal 61 2 10 3" xfId="0"/>
    <cellStyle name="Normal 61 2 10 3 2" xfId="0"/>
    <cellStyle name="Normal 61 2 10 3 2 2" xfId="0"/>
    <cellStyle name="Normal 61 2 10 3 2 2 2" xfId="0"/>
    <cellStyle name="Normal 61 2 10 3 2 2 2 2" xfId="0"/>
    <cellStyle name="Normal 61 2 10 3 2 2 3" xfId="0"/>
    <cellStyle name="Normal 61 2 10 3 2 3" xfId="0"/>
    <cellStyle name="Normal 61 2 10 3 2 3 2" xfId="0"/>
    <cellStyle name="Normal 61 2 10 3 2 3 2 2" xfId="0"/>
    <cellStyle name="Normal 61 2 10 3 2 3 3" xfId="0"/>
    <cellStyle name="Normal 61 2 10 3 2 4" xfId="0"/>
    <cellStyle name="Normal 61 2 10 3 2 4 2" xfId="0"/>
    <cellStyle name="Normal 61 2 10 3 2 5" xfId="0"/>
    <cellStyle name="Normal 61 2 10 3 3" xfId="0"/>
    <cellStyle name="Normal 61 2 10 3 3 2" xfId="0"/>
    <cellStyle name="Normal 61 2 10 3 3 2 2" xfId="0"/>
    <cellStyle name="Normal 61 2 10 3 3 3" xfId="0"/>
    <cellStyle name="Normal 61 2 10 3 4" xfId="0"/>
    <cellStyle name="Normal 61 2 10 3 4 2" xfId="0"/>
    <cellStyle name="Normal 61 2 10 3 4 2 2" xfId="0"/>
    <cellStyle name="Normal 61 2 10 3 4 3" xfId="0"/>
    <cellStyle name="Normal 61 2 10 3 5" xfId="0"/>
    <cellStyle name="Normal 61 2 10 3 5 2" xfId="0"/>
    <cellStyle name="Normal 61 2 10 3 6" xfId="0"/>
    <cellStyle name="Normal 61 2 10 4" xfId="0"/>
    <cellStyle name="Normal 61 2 10 4 2" xfId="0"/>
    <cellStyle name="Normal 61 2 10 4 2 2" xfId="0"/>
    <cellStyle name="Normal 61 2 10 4 2 2 2" xfId="0"/>
    <cellStyle name="Normal 61 2 10 4 2 3" xfId="0"/>
    <cellStyle name="Normal 61 2 10 4 3" xfId="0"/>
    <cellStyle name="Normal 61 2 10 4 3 2" xfId="0"/>
    <cellStyle name="Normal 61 2 10 4 3 2 2" xfId="0"/>
    <cellStyle name="Normal 61 2 10 4 3 3" xfId="0"/>
    <cellStyle name="Normal 61 2 10 4 4" xfId="0"/>
    <cellStyle name="Normal 61 2 10 4 4 2" xfId="0"/>
    <cellStyle name="Normal 61 2 10 4 5" xfId="0"/>
    <cellStyle name="Normal 61 2 10 5" xfId="0"/>
    <cellStyle name="Normal 61 2 10 5 2" xfId="0"/>
    <cellStyle name="Normal 61 2 10 5 2 2" xfId="0"/>
    <cellStyle name="Normal 61 2 10 5 3" xfId="0"/>
    <cellStyle name="Normal 61 2 10 6" xfId="0"/>
    <cellStyle name="Normal 61 2 10 6 2" xfId="0"/>
    <cellStyle name="Normal 61 2 10 6 2 2" xfId="0"/>
    <cellStyle name="Normal 61 2 10 6 3" xfId="0"/>
    <cellStyle name="Normal 61 2 10 7" xfId="0"/>
    <cellStyle name="Normal 61 2 10 7 2" xfId="0"/>
    <cellStyle name="Normal 61 2 10 8" xfId="0"/>
    <cellStyle name="Normal 61 2 11" xfId="0"/>
    <cellStyle name="Normal 61 2 11 2" xfId="0"/>
    <cellStyle name="Normal 61 2 11 2 2" xfId="0"/>
    <cellStyle name="Normal 61 2 11 2 2 2" xfId="0"/>
    <cellStyle name="Normal 61 2 11 2 2 2 2" xfId="0"/>
    <cellStyle name="Normal 61 2 11 2 2 2 2 2" xfId="0"/>
    <cellStyle name="Normal 61 2 11 2 2 2 3" xfId="0"/>
    <cellStyle name="Normal 61 2 11 2 2 3" xfId="0"/>
    <cellStyle name="Normal 61 2 11 2 2 3 2" xfId="0"/>
    <cellStyle name="Normal 61 2 11 2 2 3 2 2" xfId="0"/>
    <cellStyle name="Normal 61 2 11 2 2 3 3" xfId="0"/>
    <cellStyle name="Normal 61 2 11 2 2 4" xfId="0"/>
    <cellStyle name="Normal 61 2 11 2 2 4 2" xfId="0"/>
    <cellStyle name="Normal 61 2 11 2 2 5" xfId="0"/>
    <cellStyle name="Normal 61 2 11 2 3" xfId="0"/>
    <cellStyle name="Normal 61 2 11 2 3 2" xfId="0"/>
    <cellStyle name="Normal 61 2 11 2 3 2 2" xfId="0"/>
    <cellStyle name="Normal 61 2 11 2 3 3" xfId="0"/>
    <cellStyle name="Normal 61 2 11 2 4" xfId="0"/>
    <cellStyle name="Normal 61 2 11 2 4 2" xfId="0"/>
    <cellStyle name="Normal 61 2 11 2 4 2 2" xfId="0"/>
    <cellStyle name="Normal 61 2 11 2 4 3" xfId="0"/>
    <cellStyle name="Normal 61 2 11 2 5" xfId="0"/>
    <cellStyle name="Normal 61 2 11 2 5 2" xfId="0"/>
    <cellStyle name="Normal 61 2 11 2 6" xfId="0"/>
    <cellStyle name="Normal 61 2 11 3" xfId="0"/>
    <cellStyle name="Normal 61 2 11 3 2" xfId="0"/>
    <cellStyle name="Normal 61 2 11 3 2 2" xfId="0"/>
    <cellStyle name="Normal 61 2 11 3 2 2 2" xfId="0"/>
    <cellStyle name="Normal 61 2 11 3 2 3" xfId="0"/>
    <cellStyle name="Normal 61 2 11 3 3" xfId="0"/>
    <cellStyle name="Normal 61 2 11 3 3 2" xfId="0"/>
    <cellStyle name="Normal 61 2 11 3 3 2 2" xfId="0"/>
    <cellStyle name="Normal 61 2 11 3 3 3" xfId="0"/>
    <cellStyle name="Normal 61 2 11 3 4" xfId="0"/>
    <cellStyle name="Normal 61 2 11 3 4 2" xfId="0"/>
    <cellStyle name="Normal 61 2 11 3 5" xfId="0"/>
    <cellStyle name="Normal 61 2 11 4" xfId="0"/>
    <cellStyle name="Normal 61 2 11 4 2" xfId="0"/>
    <cellStyle name="Normal 61 2 11 4 2 2" xfId="0"/>
    <cellStyle name="Normal 61 2 11 4 3" xfId="0"/>
    <cellStyle name="Normal 61 2 11 5" xfId="0"/>
    <cellStyle name="Normal 61 2 11 5 2" xfId="0"/>
    <cellStyle name="Normal 61 2 11 5 2 2" xfId="0"/>
    <cellStyle name="Normal 61 2 11 5 3" xfId="0"/>
    <cellStyle name="Normal 61 2 11 6" xfId="0"/>
    <cellStyle name="Normal 61 2 11 6 2" xfId="0"/>
    <cellStyle name="Normal 61 2 11 7" xfId="0"/>
    <cellStyle name="Normal 61 2 12" xfId="0"/>
    <cellStyle name="Normal 61 2 12 2" xfId="0"/>
    <cellStyle name="Normal 61 2 12 2 2" xfId="0"/>
    <cellStyle name="Normal 61 2 12 2 2 2" xfId="0"/>
    <cellStyle name="Normal 61 2 12 2 2 2 2" xfId="0"/>
    <cellStyle name="Normal 61 2 12 2 2 3" xfId="0"/>
    <cellStyle name="Normal 61 2 12 2 3" xfId="0"/>
    <cellStyle name="Normal 61 2 12 2 3 2" xfId="0"/>
    <cellStyle name="Normal 61 2 12 2 3 2 2" xfId="0"/>
    <cellStyle name="Normal 61 2 12 2 3 3" xfId="0"/>
    <cellStyle name="Normal 61 2 12 2 4" xfId="0"/>
    <cellStyle name="Normal 61 2 12 2 4 2" xfId="0"/>
    <cellStyle name="Normal 61 2 12 2 5" xfId="0"/>
    <cellStyle name="Normal 61 2 12 3" xfId="0"/>
    <cellStyle name="Normal 61 2 12 3 2" xfId="0"/>
    <cellStyle name="Normal 61 2 12 3 2 2" xfId="0"/>
    <cellStyle name="Normal 61 2 12 3 3" xfId="0"/>
    <cellStyle name="Normal 61 2 12 4" xfId="0"/>
    <cellStyle name="Normal 61 2 12 4 2" xfId="0"/>
    <cellStyle name="Normal 61 2 12 4 2 2" xfId="0"/>
    <cellStyle name="Normal 61 2 12 4 3" xfId="0"/>
    <cellStyle name="Normal 61 2 12 5" xfId="0"/>
    <cellStyle name="Normal 61 2 12 5 2" xfId="0"/>
    <cellStyle name="Normal 61 2 12 6" xfId="0"/>
    <cellStyle name="Normal 61 2 13" xfId="0"/>
    <cellStyle name="Normal 61 2 13 2" xfId="0"/>
    <cellStyle name="Normal 61 2 13 2 2" xfId="0"/>
    <cellStyle name="Normal 61 2 13 2 2 2" xfId="0"/>
    <cellStyle name="Normal 61 2 13 2 3" xfId="0"/>
    <cellStyle name="Normal 61 2 13 3" xfId="0"/>
    <cellStyle name="Normal 61 2 13 3 2" xfId="0"/>
    <cellStyle name="Normal 61 2 13 3 2 2" xfId="0"/>
    <cellStyle name="Normal 61 2 13 3 3" xfId="0"/>
    <cellStyle name="Normal 61 2 13 4" xfId="0"/>
    <cellStyle name="Normal 61 2 13 4 2" xfId="0"/>
    <cellStyle name="Normal 61 2 13 5" xfId="0"/>
    <cellStyle name="Normal 61 2 14" xfId="0"/>
    <cellStyle name="Normal 61 2 14 2" xfId="0"/>
    <cellStyle name="Normal 61 2 14 2 2" xfId="0"/>
    <cellStyle name="Normal 61 2 14 3" xfId="0"/>
    <cellStyle name="Normal 61 2 15" xfId="0"/>
    <cellStyle name="Normal 61 2 15 2" xfId="0"/>
    <cellStyle name="Normal 61 2 15 2 2" xfId="0"/>
    <cellStyle name="Normal 61 2 15 3" xfId="0"/>
    <cellStyle name="Normal 61 2 16" xfId="0"/>
    <cellStyle name="Normal 61 2 16 2" xfId="0"/>
    <cellStyle name="Normal 61 2 17" xfId="0"/>
    <cellStyle name="Normal 61 2 2" xfId="0"/>
    <cellStyle name="Normal 61 2 2 10" xfId="0"/>
    <cellStyle name="Normal 61 2 2 10 2" xfId="0"/>
    <cellStyle name="Normal 61 2 2 10 2 2" xfId="0"/>
    <cellStyle name="Normal 61 2 2 10 3" xfId="0"/>
    <cellStyle name="Normal 61 2 2 11" xfId="0"/>
    <cellStyle name="Normal 61 2 2 11 2" xfId="0"/>
    <cellStyle name="Normal 61 2 2 11 2 2" xfId="0"/>
    <cellStyle name="Normal 61 2 2 11 3" xfId="0"/>
    <cellStyle name="Normal 61 2 2 12" xfId="0"/>
    <cellStyle name="Normal 61 2 2 12 2" xfId="0"/>
    <cellStyle name="Normal 61 2 2 13" xfId="0"/>
    <cellStyle name="Normal 61 2 2 2" xfId="0"/>
    <cellStyle name="Normal 61 2 2 2 10" xfId="0"/>
    <cellStyle name="Normal 61 2 2 2 10 2" xfId="0"/>
    <cellStyle name="Normal 61 2 2 2 10 2 2" xfId="0"/>
    <cellStyle name="Normal 61 2 2 2 10 3" xfId="0"/>
    <cellStyle name="Normal 61 2 2 2 11" xfId="0"/>
    <cellStyle name="Normal 61 2 2 2 11 2" xfId="0"/>
    <cellStyle name="Normal 61 2 2 2 12" xfId="0"/>
    <cellStyle name="Normal 61 2 2 2 2" xfId="0"/>
    <cellStyle name="Normal 61 2 2 2 2 10" xfId="0"/>
    <cellStyle name="Normal 61 2 2 2 2 2" xfId="0"/>
    <cellStyle name="Normal 61 2 2 2 2 2 2" xfId="0"/>
    <cellStyle name="Normal 61 2 2 2 2 2 2 2" xfId="0"/>
    <cellStyle name="Normal 61 2 2 2 2 2 2 2 2" xfId="0"/>
    <cellStyle name="Normal 61 2 2 2 2 2 2 2 2 2" xfId="0"/>
    <cellStyle name="Normal 61 2 2 2 2 2 2 2 2 2 2" xfId="0"/>
    <cellStyle name="Normal 61 2 2 2 2 2 2 2 2 2 2 2" xfId="0"/>
    <cellStyle name="Normal 61 2 2 2 2 2 2 2 2 2 2 2 2" xfId="0"/>
    <cellStyle name="Normal 61 2 2 2 2 2 2 2 2 2 2 3" xfId="0"/>
    <cellStyle name="Normal 61 2 2 2 2 2 2 2 2 2 3" xfId="0"/>
    <cellStyle name="Normal 61 2 2 2 2 2 2 2 2 2 3 2" xfId="0"/>
    <cellStyle name="Normal 61 2 2 2 2 2 2 2 2 2 3 2 2" xfId="0"/>
    <cellStyle name="Normal 61 2 2 2 2 2 2 2 2 2 3 3" xfId="0"/>
    <cellStyle name="Normal 61 2 2 2 2 2 2 2 2 2 4" xfId="0"/>
    <cellStyle name="Normal 61 2 2 2 2 2 2 2 2 2 4 2" xfId="0"/>
    <cellStyle name="Normal 61 2 2 2 2 2 2 2 2 2 5" xfId="0"/>
    <cellStyle name="Normal 61 2 2 2 2 2 2 2 2 3" xfId="0"/>
    <cellStyle name="Normal 61 2 2 2 2 2 2 2 2 3 2" xfId="0"/>
    <cellStyle name="Normal 61 2 2 2 2 2 2 2 2 3 2 2" xfId="0"/>
    <cellStyle name="Normal 61 2 2 2 2 2 2 2 2 3 3" xfId="0"/>
    <cellStyle name="Normal 61 2 2 2 2 2 2 2 2 4" xfId="0"/>
    <cellStyle name="Normal 61 2 2 2 2 2 2 2 2 4 2" xfId="0"/>
    <cellStyle name="Normal 61 2 2 2 2 2 2 2 2 4 2 2" xfId="0"/>
    <cellStyle name="Normal 61 2 2 2 2 2 2 2 2 4 3" xfId="0"/>
    <cellStyle name="Normal 61 2 2 2 2 2 2 2 2 5" xfId="0"/>
    <cellStyle name="Normal 61 2 2 2 2 2 2 2 2 5 2" xfId="0"/>
    <cellStyle name="Normal 61 2 2 2 2 2 2 2 2 6" xfId="0"/>
    <cellStyle name="Normal 61 2 2 2 2 2 2 2 3" xfId="0"/>
    <cellStyle name="Normal 61 2 2 2 2 2 2 2 3 2" xfId="0"/>
    <cellStyle name="Normal 61 2 2 2 2 2 2 2 3 2 2" xfId="0"/>
    <cellStyle name="Normal 61 2 2 2 2 2 2 2 3 2 2 2" xfId="0"/>
    <cellStyle name="Normal 61 2 2 2 2 2 2 2 3 2 3" xfId="0"/>
    <cellStyle name="Normal 61 2 2 2 2 2 2 2 3 3" xfId="0"/>
    <cellStyle name="Normal 61 2 2 2 2 2 2 2 3 3 2" xfId="0"/>
    <cellStyle name="Normal 61 2 2 2 2 2 2 2 3 3 2 2" xfId="0"/>
    <cellStyle name="Normal 61 2 2 2 2 2 2 2 3 3 3" xfId="0"/>
    <cellStyle name="Normal 61 2 2 2 2 2 2 2 3 4" xfId="0"/>
    <cellStyle name="Normal 61 2 2 2 2 2 2 2 3 4 2" xfId="0"/>
    <cellStyle name="Normal 61 2 2 2 2 2 2 2 3 5" xfId="0"/>
    <cellStyle name="Normal 61 2 2 2 2 2 2 2 4" xfId="0"/>
    <cellStyle name="Normal 61 2 2 2 2 2 2 2 4 2" xfId="0"/>
    <cellStyle name="Normal 61 2 2 2 2 2 2 2 4 2 2" xfId="0"/>
    <cellStyle name="Normal 61 2 2 2 2 2 2 2 4 3" xfId="0"/>
    <cellStyle name="Normal 61 2 2 2 2 2 2 2 5" xfId="0"/>
    <cellStyle name="Normal 61 2 2 2 2 2 2 2 5 2" xfId="0"/>
    <cellStyle name="Normal 61 2 2 2 2 2 2 2 5 2 2" xfId="0"/>
    <cellStyle name="Normal 61 2 2 2 2 2 2 2 5 3" xfId="0"/>
    <cellStyle name="Normal 61 2 2 2 2 2 2 2 6" xfId="0"/>
    <cellStyle name="Normal 61 2 2 2 2 2 2 2 6 2" xfId="0"/>
    <cellStyle name="Normal 61 2 2 2 2 2 2 2 7" xfId="0"/>
    <cellStyle name="Normal 61 2 2 2 2 2 2 3" xfId="0"/>
    <cellStyle name="Normal 61 2 2 2 2 2 2 3 2" xfId="0"/>
    <cellStyle name="Normal 61 2 2 2 2 2 2 3 2 2" xfId="0"/>
    <cellStyle name="Normal 61 2 2 2 2 2 2 3 2 2 2" xfId="0"/>
    <cellStyle name="Normal 61 2 2 2 2 2 2 3 2 2 2 2" xfId="0"/>
    <cellStyle name="Normal 61 2 2 2 2 2 2 3 2 2 3" xfId="0"/>
    <cellStyle name="Normal 61 2 2 2 2 2 2 3 2 3" xfId="0"/>
    <cellStyle name="Normal 61 2 2 2 2 2 2 3 2 3 2" xfId="0"/>
    <cellStyle name="Normal 61 2 2 2 2 2 2 3 2 3 2 2" xfId="0"/>
    <cellStyle name="Normal 61 2 2 2 2 2 2 3 2 3 3" xfId="0"/>
    <cellStyle name="Normal 61 2 2 2 2 2 2 3 2 4" xfId="0"/>
    <cellStyle name="Normal 61 2 2 2 2 2 2 3 2 4 2" xfId="0"/>
    <cellStyle name="Normal 61 2 2 2 2 2 2 3 2 5" xfId="0"/>
    <cellStyle name="Normal 61 2 2 2 2 2 2 3 3" xfId="0"/>
    <cellStyle name="Normal 61 2 2 2 2 2 2 3 3 2" xfId="0"/>
    <cellStyle name="Normal 61 2 2 2 2 2 2 3 3 2 2" xfId="0"/>
    <cellStyle name="Normal 61 2 2 2 2 2 2 3 3 3" xfId="0"/>
    <cellStyle name="Normal 61 2 2 2 2 2 2 3 4" xfId="0"/>
    <cellStyle name="Normal 61 2 2 2 2 2 2 3 4 2" xfId="0"/>
    <cellStyle name="Normal 61 2 2 2 2 2 2 3 4 2 2" xfId="0"/>
    <cellStyle name="Normal 61 2 2 2 2 2 2 3 4 3" xfId="0"/>
    <cellStyle name="Normal 61 2 2 2 2 2 2 3 5" xfId="0"/>
    <cellStyle name="Normal 61 2 2 2 2 2 2 3 5 2" xfId="0"/>
    <cellStyle name="Normal 61 2 2 2 2 2 2 3 6" xfId="0"/>
    <cellStyle name="Normal 61 2 2 2 2 2 2 4" xfId="0"/>
    <cellStyle name="Normal 61 2 2 2 2 2 2 4 2" xfId="0"/>
    <cellStyle name="Normal 61 2 2 2 2 2 2 4 2 2" xfId="0"/>
    <cellStyle name="Normal 61 2 2 2 2 2 2 4 2 2 2" xfId="0"/>
    <cellStyle name="Normal 61 2 2 2 2 2 2 4 2 3" xfId="0"/>
    <cellStyle name="Normal 61 2 2 2 2 2 2 4 3" xfId="0"/>
    <cellStyle name="Normal 61 2 2 2 2 2 2 4 3 2" xfId="0"/>
    <cellStyle name="Normal 61 2 2 2 2 2 2 4 3 2 2" xfId="0"/>
    <cellStyle name="Normal 61 2 2 2 2 2 2 4 3 3" xfId="0"/>
    <cellStyle name="Normal 61 2 2 2 2 2 2 4 4" xfId="0"/>
    <cellStyle name="Normal 61 2 2 2 2 2 2 4 4 2" xfId="0"/>
    <cellStyle name="Normal 61 2 2 2 2 2 2 4 5" xfId="0"/>
    <cellStyle name="Normal 61 2 2 2 2 2 2 5" xfId="0"/>
    <cellStyle name="Normal 61 2 2 2 2 2 2 5 2" xfId="0"/>
    <cellStyle name="Normal 61 2 2 2 2 2 2 5 2 2" xfId="0"/>
    <cellStyle name="Normal 61 2 2 2 2 2 2 5 3" xfId="0"/>
    <cellStyle name="Normal 61 2 2 2 2 2 2 6" xfId="0"/>
    <cellStyle name="Normal 61 2 2 2 2 2 2 6 2" xfId="0"/>
    <cellStyle name="Normal 61 2 2 2 2 2 2 6 2 2" xfId="0"/>
    <cellStyle name="Normal 61 2 2 2 2 2 2 6 3" xfId="0"/>
    <cellStyle name="Normal 61 2 2 2 2 2 2 7" xfId="0"/>
    <cellStyle name="Normal 61 2 2 2 2 2 2 7 2" xfId="0"/>
    <cellStyle name="Normal 61 2 2 2 2 2 2 8" xfId="0"/>
    <cellStyle name="Normal 61 2 2 2 2 2 3" xfId="0"/>
    <cellStyle name="Normal 61 2 2 2 2 2 3 2" xfId="0"/>
    <cellStyle name="Normal 61 2 2 2 2 2 3 2 2" xfId="0"/>
    <cellStyle name="Normal 61 2 2 2 2 2 3 2 2 2" xfId="0"/>
    <cellStyle name="Normal 61 2 2 2 2 2 3 2 2 2 2" xfId="0"/>
    <cellStyle name="Normal 61 2 2 2 2 2 3 2 2 2 2 2" xfId="0"/>
    <cellStyle name="Normal 61 2 2 2 2 2 3 2 2 2 3" xfId="0"/>
    <cellStyle name="Normal 61 2 2 2 2 2 3 2 2 3" xfId="0"/>
    <cellStyle name="Normal 61 2 2 2 2 2 3 2 2 3 2" xfId="0"/>
    <cellStyle name="Normal 61 2 2 2 2 2 3 2 2 3 2 2" xfId="0"/>
    <cellStyle name="Normal 61 2 2 2 2 2 3 2 2 3 3" xfId="0"/>
    <cellStyle name="Normal 61 2 2 2 2 2 3 2 2 4" xfId="0"/>
    <cellStyle name="Normal 61 2 2 2 2 2 3 2 2 4 2" xfId="0"/>
    <cellStyle name="Normal 61 2 2 2 2 2 3 2 2 5" xfId="0"/>
    <cellStyle name="Normal 61 2 2 2 2 2 3 2 3" xfId="0"/>
    <cellStyle name="Normal 61 2 2 2 2 2 3 2 3 2" xfId="0"/>
    <cellStyle name="Normal 61 2 2 2 2 2 3 2 3 2 2" xfId="0"/>
    <cellStyle name="Normal 61 2 2 2 2 2 3 2 3 3" xfId="0"/>
    <cellStyle name="Normal 61 2 2 2 2 2 3 2 4" xfId="0"/>
    <cellStyle name="Normal 61 2 2 2 2 2 3 2 4 2" xfId="0"/>
    <cellStyle name="Normal 61 2 2 2 2 2 3 2 4 2 2" xfId="0"/>
    <cellStyle name="Normal 61 2 2 2 2 2 3 2 4 3" xfId="0"/>
    <cellStyle name="Normal 61 2 2 2 2 2 3 2 5" xfId="0"/>
    <cellStyle name="Normal 61 2 2 2 2 2 3 2 5 2" xfId="0"/>
    <cellStyle name="Normal 61 2 2 2 2 2 3 2 6" xfId="0"/>
    <cellStyle name="Normal 61 2 2 2 2 2 3 3" xfId="0"/>
    <cellStyle name="Normal 61 2 2 2 2 2 3 3 2" xfId="0"/>
    <cellStyle name="Normal 61 2 2 2 2 2 3 3 2 2" xfId="0"/>
    <cellStyle name="Normal 61 2 2 2 2 2 3 3 2 2 2" xfId="0"/>
    <cellStyle name="Normal 61 2 2 2 2 2 3 3 2 3" xfId="0"/>
    <cellStyle name="Normal 61 2 2 2 2 2 3 3 3" xfId="0"/>
    <cellStyle name="Normal 61 2 2 2 2 2 3 3 3 2" xfId="0"/>
    <cellStyle name="Normal 61 2 2 2 2 2 3 3 3 2 2" xfId="0"/>
    <cellStyle name="Normal 61 2 2 2 2 2 3 3 3 3" xfId="0"/>
    <cellStyle name="Normal 61 2 2 2 2 2 3 3 4" xfId="0"/>
    <cellStyle name="Normal 61 2 2 2 2 2 3 3 4 2" xfId="0"/>
    <cellStyle name="Normal 61 2 2 2 2 2 3 3 5" xfId="0"/>
    <cellStyle name="Normal 61 2 2 2 2 2 3 4" xfId="0"/>
    <cellStyle name="Normal 61 2 2 2 2 2 3 4 2" xfId="0"/>
    <cellStyle name="Normal 61 2 2 2 2 2 3 4 2 2" xfId="0"/>
    <cellStyle name="Normal 61 2 2 2 2 2 3 4 3" xfId="0"/>
    <cellStyle name="Normal 61 2 2 2 2 2 3 5" xfId="0"/>
    <cellStyle name="Normal 61 2 2 2 2 2 3 5 2" xfId="0"/>
    <cellStyle name="Normal 61 2 2 2 2 2 3 5 2 2" xfId="0"/>
    <cellStyle name="Normal 61 2 2 2 2 2 3 5 3" xfId="0"/>
    <cellStyle name="Normal 61 2 2 2 2 2 3 6" xfId="0"/>
    <cellStyle name="Normal 61 2 2 2 2 2 3 6 2" xfId="0"/>
    <cellStyle name="Normal 61 2 2 2 2 2 3 7" xfId="0"/>
    <cellStyle name="Normal 61 2 2 2 2 2 4" xfId="0"/>
    <cellStyle name="Normal 61 2 2 2 2 2 4 2" xfId="0"/>
    <cellStyle name="Normal 61 2 2 2 2 2 4 2 2" xfId="0"/>
    <cellStyle name="Normal 61 2 2 2 2 2 4 2 2 2" xfId="0"/>
    <cellStyle name="Normal 61 2 2 2 2 2 4 2 2 2 2" xfId="0"/>
    <cellStyle name="Normal 61 2 2 2 2 2 4 2 2 3" xfId="0"/>
    <cellStyle name="Normal 61 2 2 2 2 2 4 2 3" xfId="0"/>
    <cellStyle name="Normal 61 2 2 2 2 2 4 2 3 2" xfId="0"/>
    <cellStyle name="Normal 61 2 2 2 2 2 4 2 3 2 2" xfId="0"/>
    <cellStyle name="Normal 61 2 2 2 2 2 4 2 3 3" xfId="0"/>
    <cellStyle name="Normal 61 2 2 2 2 2 4 2 4" xfId="0"/>
    <cellStyle name="Normal 61 2 2 2 2 2 4 2 4 2" xfId="0"/>
    <cellStyle name="Normal 61 2 2 2 2 2 4 2 5" xfId="0"/>
    <cellStyle name="Normal 61 2 2 2 2 2 4 3" xfId="0"/>
    <cellStyle name="Normal 61 2 2 2 2 2 4 3 2" xfId="0"/>
    <cellStyle name="Normal 61 2 2 2 2 2 4 3 2 2" xfId="0"/>
    <cellStyle name="Normal 61 2 2 2 2 2 4 3 3" xfId="0"/>
    <cellStyle name="Normal 61 2 2 2 2 2 4 4" xfId="0"/>
    <cellStyle name="Normal 61 2 2 2 2 2 4 4 2" xfId="0"/>
    <cellStyle name="Normal 61 2 2 2 2 2 4 4 2 2" xfId="0"/>
    <cellStyle name="Normal 61 2 2 2 2 2 4 4 3" xfId="0"/>
    <cellStyle name="Normal 61 2 2 2 2 2 4 5" xfId="0"/>
    <cellStyle name="Normal 61 2 2 2 2 2 4 5 2" xfId="0"/>
    <cellStyle name="Normal 61 2 2 2 2 2 4 6" xfId="0"/>
    <cellStyle name="Normal 61 2 2 2 2 2 5" xfId="0"/>
    <cellStyle name="Normal 61 2 2 2 2 2 5 2" xfId="0"/>
    <cellStyle name="Normal 61 2 2 2 2 2 5 2 2" xfId="0"/>
    <cellStyle name="Normal 61 2 2 2 2 2 5 2 2 2" xfId="0"/>
    <cellStyle name="Normal 61 2 2 2 2 2 5 2 3" xfId="0"/>
    <cellStyle name="Normal 61 2 2 2 2 2 5 3" xfId="0"/>
    <cellStyle name="Normal 61 2 2 2 2 2 5 3 2" xfId="0"/>
    <cellStyle name="Normal 61 2 2 2 2 2 5 3 2 2" xfId="0"/>
    <cellStyle name="Normal 61 2 2 2 2 2 5 3 3" xfId="0"/>
    <cellStyle name="Normal 61 2 2 2 2 2 5 4" xfId="0"/>
    <cellStyle name="Normal 61 2 2 2 2 2 5 4 2" xfId="0"/>
    <cellStyle name="Normal 61 2 2 2 2 2 5 5" xfId="0"/>
    <cellStyle name="Normal 61 2 2 2 2 2 6" xfId="0"/>
    <cellStyle name="Normal 61 2 2 2 2 2 6 2" xfId="0"/>
    <cellStyle name="Normal 61 2 2 2 2 2 6 2 2" xfId="0"/>
    <cellStyle name="Normal 61 2 2 2 2 2 6 3" xfId="0"/>
    <cellStyle name="Normal 61 2 2 2 2 2 7" xfId="0"/>
    <cellStyle name="Normal 61 2 2 2 2 2 7 2" xfId="0"/>
    <cellStyle name="Normal 61 2 2 2 2 2 7 2 2" xfId="0"/>
    <cellStyle name="Normal 61 2 2 2 2 2 7 3" xfId="0"/>
    <cellStyle name="Normal 61 2 2 2 2 2 8" xfId="0"/>
    <cellStyle name="Normal 61 2 2 2 2 2 8 2" xfId="0"/>
    <cellStyle name="Normal 61 2 2 2 2 2 9" xfId="0"/>
    <cellStyle name="Normal 61 2 2 2 2 3" xfId="0"/>
    <cellStyle name="Normal 61 2 2 2 2 3 2" xfId="0"/>
    <cellStyle name="Normal 61 2 2 2 2 3 2 2" xfId="0"/>
    <cellStyle name="Normal 61 2 2 2 2 3 2 2 2" xfId="0"/>
    <cellStyle name="Normal 61 2 2 2 2 3 2 2 2 2" xfId="0"/>
    <cellStyle name="Normal 61 2 2 2 2 3 2 2 2 2 2" xfId="0"/>
    <cellStyle name="Normal 61 2 2 2 2 3 2 2 2 2 2 2" xfId="0"/>
    <cellStyle name="Normal 61 2 2 2 2 3 2 2 2 2 3" xfId="0"/>
    <cellStyle name="Normal 61 2 2 2 2 3 2 2 2 3" xfId="0"/>
    <cellStyle name="Normal 61 2 2 2 2 3 2 2 2 3 2" xfId="0"/>
    <cellStyle name="Normal 61 2 2 2 2 3 2 2 2 3 2 2" xfId="0"/>
    <cellStyle name="Normal 61 2 2 2 2 3 2 2 2 3 3" xfId="0"/>
    <cellStyle name="Normal 61 2 2 2 2 3 2 2 2 4" xfId="0"/>
    <cellStyle name="Normal 61 2 2 2 2 3 2 2 2 4 2" xfId="0"/>
    <cellStyle name="Normal 61 2 2 2 2 3 2 2 2 5" xfId="0"/>
    <cellStyle name="Normal 61 2 2 2 2 3 2 2 3" xfId="0"/>
    <cellStyle name="Normal 61 2 2 2 2 3 2 2 3 2" xfId="0"/>
    <cellStyle name="Normal 61 2 2 2 2 3 2 2 3 2 2" xfId="0"/>
    <cellStyle name="Normal 61 2 2 2 2 3 2 2 3 3" xfId="0"/>
    <cellStyle name="Normal 61 2 2 2 2 3 2 2 4" xfId="0"/>
    <cellStyle name="Normal 61 2 2 2 2 3 2 2 4 2" xfId="0"/>
    <cellStyle name="Normal 61 2 2 2 2 3 2 2 4 2 2" xfId="0"/>
    <cellStyle name="Normal 61 2 2 2 2 3 2 2 4 3" xfId="0"/>
    <cellStyle name="Normal 61 2 2 2 2 3 2 2 5" xfId="0"/>
    <cellStyle name="Normal 61 2 2 2 2 3 2 2 5 2" xfId="0"/>
    <cellStyle name="Normal 61 2 2 2 2 3 2 2 6" xfId="0"/>
    <cellStyle name="Normal 61 2 2 2 2 3 2 3" xfId="0"/>
    <cellStyle name="Normal 61 2 2 2 2 3 2 3 2" xfId="0"/>
    <cellStyle name="Normal 61 2 2 2 2 3 2 3 2 2" xfId="0"/>
    <cellStyle name="Normal 61 2 2 2 2 3 2 3 2 2 2" xfId="0"/>
    <cellStyle name="Normal 61 2 2 2 2 3 2 3 2 3" xfId="0"/>
    <cellStyle name="Normal 61 2 2 2 2 3 2 3 3" xfId="0"/>
    <cellStyle name="Normal 61 2 2 2 2 3 2 3 3 2" xfId="0"/>
    <cellStyle name="Normal 61 2 2 2 2 3 2 3 3 2 2" xfId="0"/>
    <cellStyle name="Normal 61 2 2 2 2 3 2 3 3 3" xfId="0"/>
    <cellStyle name="Normal 61 2 2 2 2 3 2 3 4" xfId="0"/>
    <cellStyle name="Normal 61 2 2 2 2 3 2 3 4 2" xfId="0"/>
    <cellStyle name="Normal 61 2 2 2 2 3 2 3 5" xfId="0"/>
    <cellStyle name="Normal 61 2 2 2 2 3 2 4" xfId="0"/>
    <cellStyle name="Normal 61 2 2 2 2 3 2 4 2" xfId="0"/>
    <cellStyle name="Normal 61 2 2 2 2 3 2 4 2 2" xfId="0"/>
    <cellStyle name="Normal 61 2 2 2 2 3 2 4 3" xfId="0"/>
    <cellStyle name="Normal 61 2 2 2 2 3 2 5" xfId="0"/>
    <cellStyle name="Normal 61 2 2 2 2 3 2 5 2" xfId="0"/>
    <cellStyle name="Normal 61 2 2 2 2 3 2 5 2 2" xfId="0"/>
    <cellStyle name="Normal 61 2 2 2 2 3 2 5 3" xfId="0"/>
    <cellStyle name="Normal 61 2 2 2 2 3 2 6" xfId="0"/>
    <cellStyle name="Normal 61 2 2 2 2 3 2 6 2" xfId="0"/>
    <cellStyle name="Normal 61 2 2 2 2 3 2 7" xfId="0"/>
    <cellStyle name="Normal 61 2 2 2 2 3 3" xfId="0"/>
    <cellStyle name="Normal 61 2 2 2 2 3 3 2" xfId="0"/>
    <cellStyle name="Normal 61 2 2 2 2 3 3 2 2" xfId="0"/>
    <cellStyle name="Normal 61 2 2 2 2 3 3 2 2 2" xfId="0"/>
    <cellStyle name="Normal 61 2 2 2 2 3 3 2 2 2 2" xfId="0"/>
    <cellStyle name="Normal 61 2 2 2 2 3 3 2 2 3" xfId="0"/>
    <cellStyle name="Normal 61 2 2 2 2 3 3 2 3" xfId="0"/>
    <cellStyle name="Normal 61 2 2 2 2 3 3 2 3 2" xfId="0"/>
    <cellStyle name="Normal 61 2 2 2 2 3 3 2 3 2 2" xfId="0"/>
    <cellStyle name="Normal 61 2 2 2 2 3 3 2 3 3" xfId="0"/>
    <cellStyle name="Normal 61 2 2 2 2 3 3 2 4" xfId="0"/>
    <cellStyle name="Normal 61 2 2 2 2 3 3 2 4 2" xfId="0"/>
    <cellStyle name="Normal 61 2 2 2 2 3 3 2 5" xfId="0"/>
    <cellStyle name="Normal 61 2 2 2 2 3 3 3" xfId="0"/>
    <cellStyle name="Normal 61 2 2 2 2 3 3 3 2" xfId="0"/>
    <cellStyle name="Normal 61 2 2 2 2 3 3 3 2 2" xfId="0"/>
    <cellStyle name="Normal 61 2 2 2 2 3 3 3 3" xfId="0"/>
    <cellStyle name="Normal 61 2 2 2 2 3 3 4" xfId="0"/>
    <cellStyle name="Normal 61 2 2 2 2 3 3 4 2" xfId="0"/>
    <cellStyle name="Normal 61 2 2 2 2 3 3 4 2 2" xfId="0"/>
    <cellStyle name="Normal 61 2 2 2 2 3 3 4 3" xfId="0"/>
    <cellStyle name="Normal 61 2 2 2 2 3 3 5" xfId="0"/>
    <cellStyle name="Normal 61 2 2 2 2 3 3 5 2" xfId="0"/>
    <cellStyle name="Normal 61 2 2 2 2 3 3 6" xfId="0"/>
    <cellStyle name="Normal 61 2 2 2 2 3 4" xfId="0"/>
    <cellStyle name="Normal 61 2 2 2 2 3 4 2" xfId="0"/>
    <cellStyle name="Normal 61 2 2 2 2 3 4 2 2" xfId="0"/>
    <cellStyle name="Normal 61 2 2 2 2 3 4 2 2 2" xfId="0"/>
    <cellStyle name="Normal 61 2 2 2 2 3 4 2 3" xfId="0"/>
    <cellStyle name="Normal 61 2 2 2 2 3 4 3" xfId="0"/>
    <cellStyle name="Normal 61 2 2 2 2 3 4 3 2" xfId="0"/>
    <cellStyle name="Normal 61 2 2 2 2 3 4 3 2 2" xfId="0"/>
    <cellStyle name="Normal 61 2 2 2 2 3 4 3 3" xfId="0"/>
    <cellStyle name="Normal 61 2 2 2 2 3 4 4" xfId="0"/>
    <cellStyle name="Normal 61 2 2 2 2 3 4 4 2" xfId="0"/>
    <cellStyle name="Normal 61 2 2 2 2 3 4 5" xfId="0"/>
    <cellStyle name="Normal 61 2 2 2 2 3 5" xfId="0"/>
    <cellStyle name="Normal 61 2 2 2 2 3 5 2" xfId="0"/>
    <cellStyle name="Normal 61 2 2 2 2 3 5 2 2" xfId="0"/>
    <cellStyle name="Normal 61 2 2 2 2 3 5 3" xfId="0"/>
    <cellStyle name="Normal 61 2 2 2 2 3 6" xfId="0"/>
    <cellStyle name="Normal 61 2 2 2 2 3 6 2" xfId="0"/>
    <cellStyle name="Normal 61 2 2 2 2 3 6 2 2" xfId="0"/>
    <cellStyle name="Normal 61 2 2 2 2 3 6 3" xfId="0"/>
    <cellStyle name="Normal 61 2 2 2 2 3 7" xfId="0"/>
    <cellStyle name="Normal 61 2 2 2 2 3 7 2" xfId="0"/>
    <cellStyle name="Normal 61 2 2 2 2 3 8" xfId="0"/>
    <cellStyle name="Normal 61 2 2 2 2 4" xfId="0"/>
    <cellStyle name="Normal 61 2 2 2 2 4 2" xfId="0"/>
    <cellStyle name="Normal 61 2 2 2 2 4 2 2" xfId="0"/>
    <cellStyle name="Normal 61 2 2 2 2 4 2 2 2" xfId="0"/>
    <cellStyle name="Normal 61 2 2 2 2 4 2 2 2 2" xfId="0"/>
    <cellStyle name="Normal 61 2 2 2 2 4 2 2 2 2 2" xfId="0"/>
    <cellStyle name="Normal 61 2 2 2 2 4 2 2 2 3" xfId="0"/>
    <cellStyle name="Normal 61 2 2 2 2 4 2 2 3" xfId="0"/>
    <cellStyle name="Normal 61 2 2 2 2 4 2 2 3 2" xfId="0"/>
    <cellStyle name="Normal 61 2 2 2 2 4 2 2 3 2 2" xfId="0"/>
    <cellStyle name="Normal 61 2 2 2 2 4 2 2 3 3" xfId="0"/>
    <cellStyle name="Normal 61 2 2 2 2 4 2 2 4" xfId="0"/>
    <cellStyle name="Normal 61 2 2 2 2 4 2 2 4 2" xfId="0"/>
    <cellStyle name="Normal 61 2 2 2 2 4 2 2 5" xfId="0"/>
    <cellStyle name="Normal 61 2 2 2 2 4 2 3" xfId="0"/>
    <cellStyle name="Normal 61 2 2 2 2 4 2 3 2" xfId="0"/>
    <cellStyle name="Normal 61 2 2 2 2 4 2 3 2 2" xfId="0"/>
    <cellStyle name="Normal 61 2 2 2 2 4 2 3 3" xfId="0"/>
    <cellStyle name="Normal 61 2 2 2 2 4 2 4" xfId="0"/>
    <cellStyle name="Normal 61 2 2 2 2 4 2 4 2" xfId="0"/>
    <cellStyle name="Normal 61 2 2 2 2 4 2 4 2 2" xfId="0"/>
    <cellStyle name="Normal 61 2 2 2 2 4 2 4 3" xfId="0"/>
    <cellStyle name="Normal 61 2 2 2 2 4 2 5" xfId="0"/>
    <cellStyle name="Normal 61 2 2 2 2 4 2 5 2" xfId="0"/>
    <cellStyle name="Normal 61 2 2 2 2 4 2 6" xfId="0"/>
    <cellStyle name="Normal 61 2 2 2 2 4 3" xfId="0"/>
    <cellStyle name="Normal 61 2 2 2 2 4 3 2" xfId="0"/>
    <cellStyle name="Normal 61 2 2 2 2 4 3 2 2" xfId="0"/>
    <cellStyle name="Normal 61 2 2 2 2 4 3 2 2 2" xfId="0"/>
    <cellStyle name="Normal 61 2 2 2 2 4 3 2 3" xfId="0"/>
    <cellStyle name="Normal 61 2 2 2 2 4 3 3" xfId="0"/>
    <cellStyle name="Normal 61 2 2 2 2 4 3 3 2" xfId="0"/>
    <cellStyle name="Normal 61 2 2 2 2 4 3 3 2 2" xfId="0"/>
    <cellStyle name="Normal 61 2 2 2 2 4 3 3 3" xfId="0"/>
    <cellStyle name="Normal 61 2 2 2 2 4 3 4" xfId="0"/>
    <cellStyle name="Normal 61 2 2 2 2 4 3 4 2" xfId="0"/>
    <cellStyle name="Normal 61 2 2 2 2 4 3 5" xfId="0"/>
    <cellStyle name="Normal 61 2 2 2 2 4 4" xfId="0"/>
    <cellStyle name="Normal 61 2 2 2 2 4 4 2" xfId="0"/>
    <cellStyle name="Normal 61 2 2 2 2 4 4 2 2" xfId="0"/>
    <cellStyle name="Normal 61 2 2 2 2 4 4 3" xfId="0"/>
    <cellStyle name="Normal 61 2 2 2 2 4 5" xfId="0"/>
    <cellStyle name="Normal 61 2 2 2 2 4 5 2" xfId="0"/>
    <cellStyle name="Normal 61 2 2 2 2 4 5 2 2" xfId="0"/>
    <cellStyle name="Normal 61 2 2 2 2 4 5 3" xfId="0"/>
    <cellStyle name="Normal 61 2 2 2 2 4 6" xfId="0"/>
    <cellStyle name="Normal 61 2 2 2 2 4 6 2" xfId="0"/>
    <cellStyle name="Normal 61 2 2 2 2 4 7" xfId="0"/>
    <cellStyle name="Normal 61 2 2 2 2 5" xfId="0"/>
    <cellStyle name="Normal 61 2 2 2 2 5 2" xfId="0"/>
    <cellStyle name="Normal 61 2 2 2 2 5 2 2" xfId="0"/>
    <cellStyle name="Normal 61 2 2 2 2 5 2 2 2" xfId="0"/>
    <cellStyle name="Normal 61 2 2 2 2 5 2 2 2 2" xfId="0"/>
    <cellStyle name="Normal 61 2 2 2 2 5 2 2 3" xfId="0"/>
    <cellStyle name="Normal 61 2 2 2 2 5 2 3" xfId="0"/>
    <cellStyle name="Normal 61 2 2 2 2 5 2 3 2" xfId="0"/>
    <cellStyle name="Normal 61 2 2 2 2 5 2 3 2 2" xfId="0"/>
    <cellStyle name="Normal 61 2 2 2 2 5 2 3 3" xfId="0"/>
    <cellStyle name="Normal 61 2 2 2 2 5 2 4" xfId="0"/>
    <cellStyle name="Normal 61 2 2 2 2 5 2 4 2" xfId="0"/>
    <cellStyle name="Normal 61 2 2 2 2 5 2 5" xfId="0"/>
    <cellStyle name="Normal 61 2 2 2 2 5 3" xfId="0"/>
    <cellStyle name="Normal 61 2 2 2 2 5 3 2" xfId="0"/>
    <cellStyle name="Normal 61 2 2 2 2 5 3 2 2" xfId="0"/>
    <cellStyle name="Normal 61 2 2 2 2 5 3 3" xfId="0"/>
    <cellStyle name="Normal 61 2 2 2 2 5 4" xfId="0"/>
    <cellStyle name="Normal 61 2 2 2 2 5 4 2" xfId="0"/>
    <cellStyle name="Normal 61 2 2 2 2 5 4 2 2" xfId="0"/>
    <cellStyle name="Normal 61 2 2 2 2 5 4 3" xfId="0"/>
    <cellStyle name="Normal 61 2 2 2 2 5 5" xfId="0"/>
    <cellStyle name="Normal 61 2 2 2 2 5 5 2" xfId="0"/>
    <cellStyle name="Normal 61 2 2 2 2 5 6" xfId="0"/>
    <cellStyle name="Normal 61 2 2 2 2 6" xfId="0"/>
    <cellStyle name="Normal 61 2 2 2 2 6 2" xfId="0"/>
    <cellStyle name="Normal 61 2 2 2 2 6 2 2" xfId="0"/>
    <cellStyle name="Normal 61 2 2 2 2 6 2 2 2" xfId="0"/>
    <cellStyle name="Normal 61 2 2 2 2 6 2 3" xfId="0"/>
    <cellStyle name="Normal 61 2 2 2 2 6 3" xfId="0"/>
    <cellStyle name="Normal 61 2 2 2 2 6 3 2" xfId="0"/>
    <cellStyle name="Normal 61 2 2 2 2 6 3 2 2" xfId="0"/>
    <cellStyle name="Normal 61 2 2 2 2 6 3 3" xfId="0"/>
    <cellStyle name="Normal 61 2 2 2 2 6 4" xfId="0"/>
    <cellStyle name="Normal 61 2 2 2 2 6 4 2" xfId="0"/>
    <cellStyle name="Normal 61 2 2 2 2 6 5" xfId="0"/>
    <cellStyle name="Normal 61 2 2 2 2 7" xfId="0"/>
    <cellStyle name="Normal 61 2 2 2 2 7 2" xfId="0"/>
    <cellStyle name="Normal 61 2 2 2 2 7 2 2" xfId="0"/>
    <cellStyle name="Normal 61 2 2 2 2 7 3" xfId="0"/>
    <cellStyle name="Normal 61 2 2 2 2 8" xfId="0"/>
    <cellStyle name="Normal 61 2 2 2 2 8 2" xfId="0"/>
    <cellStyle name="Normal 61 2 2 2 2 8 2 2" xfId="0"/>
    <cellStyle name="Normal 61 2 2 2 2 8 3" xfId="0"/>
    <cellStyle name="Normal 61 2 2 2 2 9" xfId="0"/>
    <cellStyle name="Normal 61 2 2 2 2 9 2" xfId="0"/>
    <cellStyle name="Normal 61 2 2 2 3" xfId="0"/>
    <cellStyle name="Normal 61 2 2 2 3 10" xfId="0"/>
    <cellStyle name="Normal 61 2 2 2 3 2" xfId="0"/>
    <cellStyle name="Normal 61 2 2 2 3 2 2" xfId="0"/>
    <cellStyle name="Normal 61 2 2 2 3 2 2 2" xfId="0"/>
    <cellStyle name="Normal 61 2 2 2 3 2 2 2 2" xfId="0"/>
    <cellStyle name="Normal 61 2 2 2 3 2 2 2 2 2" xfId="0"/>
    <cellStyle name="Normal 61 2 2 2 3 2 2 2 2 2 2" xfId="0"/>
    <cellStyle name="Normal 61 2 2 2 3 2 2 2 2 2 2 2" xfId="0"/>
    <cellStyle name="Normal 61 2 2 2 3 2 2 2 2 2 2 2 2" xfId="0"/>
    <cellStyle name="Normal 61 2 2 2 3 2 2 2 2 2 2 3" xfId="0"/>
    <cellStyle name="Normal 61 2 2 2 3 2 2 2 2 2 3" xfId="0"/>
    <cellStyle name="Normal 61 2 2 2 3 2 2 2 2 2 3 2" xfId="0"/>
    <cellStyle name="Normal 61 2 2 2 3 2 2 2 2 2 3 2 2" xfId="0"/>
    <cellStyle name="Normal 61 2 2 2 3 2 2 2 2 2 3 3" xfId="0"/>
    <cellStyle name="Normal 61 2 2 2 3 2 2 2 2 2 4" xfId="0"/>
    <cellStyle name="Normal 61 2 2 2 3 2 2 2 2 2 4 2" xfId="0"/>
    <cellStyle name="Normal 61 2 2 2 3 2 2 2 2 2 5" xfId="0"/>
    <cellStyle name="Normal 61 2 2 2 3 2 2 2 2 3" xfId="0"/>
    <cellStyle name="Normal 61 2 2 2 3 2 2 2 2 3 2" xfId="0"/>
    <cellStyle name="Normal 61 2 2 2 3 2 2 2 2 3 2 2" xfId="0"/>
    <cellStyle name="Normal 61 2 2 2 3 2 2 2 2 3 3" xfId="0"/>
    <cellStyle name="Normal 61 2 2 2 3 2 2 2 2 4" xfId="0"/>
    <cellStyle name="Normal 61 2 2 2 3 2 2 2 2 4 2" xfId="0"/>
    <cellStyle name="Normal 61 2 2 2 3 2 2 2 2 4 2 2" xfId="0"/>
    <cellStyle name="Normal 61 2 2 2 3 2 2 2 2 4 3" xfId="0"/>
    <cellStyle name="Normal 61 2 2 2 3 2 2 2 2 5" xfId="0"/>
    <cellStyle name="Normal 61 2 2 2 3 2 2 2 2 5 2" xfId="0"/>
    <cellStyle name="Normal 61 2 2 2 3 2 2 2 2 6" xfId="0"/>
    <cellStyle name="Normal 61 2 2 2 3 2 2 2 3" xfId="0"/>
    <cellStyle name="Normal 61 2 2 2 3 2 2 2 3 2" xfId="0"/>
    <cellStyle name="Normal 61 2 2 2 3 2 2 2 3 2 2" xfId="0"/>
    <cellStyle name="Normal 61 2 2 2 3 2 2 2 3 2 2 2" xfId="0"/>
    <cellStyle name="Normal 61 2 2 2 3 2 2 2 3 2 3" xfId="0"/>
    <cellStyle name="Normal 61 2 2 2 3 2 2 2 3 3" xfId="0"/>
    <cellStyle name="Normal 61 2 2 2 3 2 2 2 3 3 2" xfId="0"/>
    <cellStyle name="Normal 61 2 2 2 3 2 2 2 3 3 2 2" xfId="0"/>
    <cellStyle name="Normal 61 2 2 2 3 2 2 2 3 3 3" xfId="0"/>
    <cellStyle name="Normal 61 2 2 2 3 2 2 2 3 4" xfId="0"/>
    <cellStyle name="Normal 61 2 2 2 3 2 2 2 3 4 2" xfId="0"/>
    <cellStyle name="Normal 61 2 2 2 3 2 2 2 3 5" xfId="0"/>
    <cellStyle name="Normal 61 2 2 2 3 2 2 2 4" xfId="0"/>
    <cellStyle name="Normal 61 2 2 2 3 2 2 2 4 2" xfId="0"/>
    <cellStyle name="Normal 61 2 2 2 3 2 2 2 4 2 2" xfId="0"/>
    <cellStyle name="Normal 61 2 2 2 3 2 2 2 4 3" xfId="0"/>
    <cellStyle name="Normal 61 2 2 2 3 2 2 2 5" xfId="0"/>
    <cellStyle name="Normal 61 2 2 2 3 2 2 2 5 2" xfId="0"/>
    <cellStyle name="Normal 61 2 2 2 3 2 2 2 5 2 2" xfId="0"/>
    <cellStyle name="Normal 61 2 2 2 3 2 2 2 5 3" xfId="0"/>
    <cellStyle name="Normal 61 2 2 2 3 2 2 2 6" xfId="0"/>
    <cellStyle name="Normal 61 2 2 2 3 2 2 2 6 2" xfId="0"/>
    <cellStyle name="Normal 61 2 2 2 3 2 2 2 7" xfId="0"/>
    <cellStyle name="Normal 61 2 2 2 3 2 2 3" xfId="0"/>
    <cellStyle name="Normal 61 2 2 2 3 2 2 3 2" xfId="0"/>
    <cellStyle name="Normal 61 2 2 2 3 2 2 3 2 2" xfId="0"/>
    <cellStyle name="Normal 61 2 2 2 3 2 2 3 2 2 2" xfId="0"/>
    <cellStyle name="Normal 61 2 2 2 3 2 2 3 2 2 2 2" xfId="0"/>
    <cellStyle name="Normal 61 2 2 2 3 2 2 3 2 2 3" xfId="0"/>
    <cellStyle name="Normal 61 2 2 2 3 2 2 3 2 3" xfId="0"/>
    <cellStyle name="Normal 61 2 2 2 3 2 2 3 2 3 2" xfId="0"/>
    <cellStyle name="Normal 61 2 2 2 3 2 2 3 2 3 2 2" xfId="0"/>
    <cellStyle name="Normal 61 2 2 2 3 2 2 3 2 3 3" xfId="0"/>
    <cellStyle name="Normal 61 2 2 2 3 2 2 3 2 4" xfId="0"/>
    <cellStyle name="Normal 61 2 2 2 3 2 2 3 2 4 2" xfId="0"/>
    <cellStyle name="Normal 61 2 2 2 3 2 2 3 2 5" xfId="0"/>
    <cellStyle name="Normal 61 2 2 2 3 2 2 3 3" xfId="0"/>
    <cellStyle name="Normal 61 2 2 2 3 2 2 3 3 2" xfId="0"/>
    <cellStyle name="Normal 61 2 2 2 3 2 2 3 3 2 2" xfId="0"/>
    <cellStyle name="Normal 61 2 2 2 3 2 2 3 3 3" xfId="0"/>
    <cellStyle name="Normal 61 2 2 2 3 2 2 3 4" xfId="0"/>
    <cellStyle name="Normal 61 2 2 2 3 2 2 3 4 2" xfId="0"/>
    <cellStyle name="Normal 61 2 2 2 3 2 2 3 4 2 2" xfId="0"/>
    <cellStyle name="Normal 61 2 2 2 3 2 2 3 4 3" xfId="0"/>
    <cellStyle name="Normal 61 2 2 2 3 2 2 3 5" xfId="0"/>
    <cellStyle name="Normal 61 2 2 2 3 2 2 3 5 2" xfId="0"/>
    <cellStyle name="Normal 61 2 2 2 3 2 2 3 6" xfId="0"/>
    <cellStyle name="Normal 61 2 2 2 3 2 2 4" xfId="0"/>
    <cellStyle name="Normal 61 2 2 2 3 2 2 4 2" xfId="0"/>
    <cellStyle name="Normal 61 2 2 2 3 2 2 4 2 2" xfId="0"/>
    <cellStyle name="Normal 61 2 2 2 3 2 2 4 2 2 2" xfId="0"/>
    <cellStyle name="Normal 61 2 2 2 3 2 2 4 2 3" xfId="0"/>
    <cellStyle name="Normal 61 2 2 2 3 2 2 4 3" xfId="0"/>
    <cellStyle name="Normal 61 2 2 2 3 2 2 4 3 2" xfId="0"/>
    <cellStyle name="Normal 61 2 2 2 3 2 2 4 3 2 2" xfId="0"/>
    <cellStyle name="Normal 61 2 2 2 3 2 2 4 3 3" xfId="0"/>
    <cellStyle name="Normal 61 2 2 2 3 2 2 4 4" xfId="0"/>
    <cellStyle name="Normal 61 2 2 2 3 2 2 4 4 2" xfId="0"/>
    <cellStyle name="Normal 61 2 2 2 3 2 2 4 5" xfId="0"/>
    <cellStyle name="Normal 61 2 2 2 3 2 2 5" xfId="0"/>
    <cellStyle name="Normal 61 2 2 2 3 2 2 5 2" xfId="0"/>
    <cellStyle name="Normal 61 2 2 2 3 2 2 5 2 2" xfId="0"/>
    <cellStyle name="Normal 61 2 2 2 3 2 2 5 3" xfId="0"/>
    <cellStyle name="Normal 61 2 2 2 3 2 2 6" xfId="0"/>
    <cellStyle name="Normal 61 2 2 2 3 2 2 6 2" xfId="0"/>
    <cellStyle name="Normal 61 2 2 2 3 2 2 6 2 2" xfId="0"/>
    <cellStyle name="Normal 61 2 2 2 3 2 2 6 3" xfId="0"/>
    <cellStyle name="Normal 61 2 2 2 3 2 2 7" xfId="0"/>
    <cellStyle name="Normal 61 2 2 2 3 2 2 7 2" xfId="0"/>
    <cellStyle name="Normal 61 2 2 2 3 2 2 8" xfId="0"/>
    <cellStyle name="Normal 61 2 2 2 3 2 3" xfId="0"/>
    <cellStyle name="Normal 61 2 2 2 3 2 3 2" xfId="0"/>
    <cellStyle name="Normal 61 2 2 2 3 2 3 2 2" xfId="0"/>
    <cellStyle name="Normal 61 2 2 2 3 2 3 2 2 2" xfId="0"/>
    <cellStyle name="Normal 61 2 2 2 3 2 3 2 2 2 2" xfId="0"/>
    <cellStyle name="Normal 61 2 2 2 3 2 3 2 2 2 2 2" xfId="0"/>
    <cellStyle name="Normal 61 2 2 2 3 2 3 2 2 2 3" xfId="0"/>
    <cellStyle name="Normal 61 2 2 2 3 2 3 2 2 3" xfId="0"/>
    <cellStyle name="Normal 61 2 2 2 3 2 3 2 2 3 2" xfId="0"/>
    <cellStyle name="Normal 61 2 2 2 3 2 3 2 2 3 2 2" xfId="0"/>
    <cellStyle name="Normal 61 2 2 2 3 2 3 2 2 3 3" xfId="0"/>
    <cellStyle name="Normal 61 2 2 2 3 2 3 2 2 4" xfId="0"/>
    <cellStyle name="Normal 61 2 2 2 3 2 3 2 2 4 2" xfId="0"/>
    <cellStyle name="Normal 61 2 2 2 3 2 3 2 2 5" xfId="0"/>
    <cellStyle name="Normal 61 2 2 2 3 2 3 2 3" xfId="0"/>
    <cellStyle name="Normal 61 2 2 2 3 2 3 2 3 2" xfId="0"/>
    <cellStyle name="Normal 61 2 2 2 3 2 3 2 3 2 2" xfId="0"/>
    <cellStyle name="Normal 61 2 2 2 3 2 3 2 3 3" xfId="0"/>
    <cellStyle name="Normal 61 2 2 2 3 2 3 2 4" xfId="0"/>
    <cellStyle name="Normal 61 2 2 2 3 2 3 2 4 2" xfId="0"/>
    <cellStyle name="Normal 61 2 2 2 3 2 3 2 4 2 2" xfId="0"/>
    <cellStyle name="Normal 61 2 2 2 3 2 3 2 4 3" xfId="0"/>
    <cellStyle name="Normal 61 2 2 2 3 2 3 2 5" xfId="0"/>
    <cellStyle name="Normal 61 2 2 2 3 2 3 2 5 2" xfId="0"/>
    <cellStyle name="Normal 61 2 2 2 3 2 3 2 6" xfId="0"/>
    <cellStyle name="Normal 61 2 2 2 3 2 3 3" xfId="0"/>
    <cellStyle name="Normal 61 2 2 2 3 2 3 3 2" xfId="0"/>
    <cellStyle name="Normal 61 2 2 2 3 2 3 3 2 2" xfId="0"/>
    <cellStyle name="Normal 61 2 2 2 3 2 3 3 2 2 2" xfId="0"/>
    <cellStyle name="Normal 61 2 2 2 3 2 3 3 2 3" xfId="0"/>
    <cellStyle name="Normal 61 2 2 2 3 2 3 3 3" xfId="0"/>
    <cellStyle name="Normal 61 2 2 2 3 2 3 3 3 2" xfId="0"/>
    <cellStyle name="Normal 61 2 2 2 3 2 3 3 3 2 2" xfId="0"/>
    <cellStyle name="Normal 61 2 2 2 3 2 3 3 3 3" xfId="0"/>
    <cellStyle name="Normal 61 2 2 2 3 2 3 3 4" xfId="0"/>
    <cellStyle name="Normal 61 2 2 2 3 2 3 3 4 2" xfId="0"/>
    <cellStyle name="Normal 61 2 2 2 3 2 3 3 5" xfId="0"/>
    <cellStyle name="Normal 61 2 2 2 3 2 3 4" xfId="0"/>
    <cellStyle name="Normal 61 2 2 2 3 2 3 4 2" xfId="0"/>
    <cellStyle name="Normal 61 2 2 2 3 2 3 4 2 2" xfId="0"/>
    <cellStyle name="Normal 61 2 2 2 3 2 3 4 3" xfId="0"/>
    <cellStyle name="Normal 61 2 2 2 3 2 3 5" xfId="0"/>
    <cellStyle name="Normal 61 2 2 2 3 2 3 5 2" xfId="0"/>
    <cellStyle name="Normal 61 2 2 2 3 2 3 5 2 2" xfId="0"/>
    <cellStyle name="Normal 61 2 2 2 3 2 3 5 3" xfId="0"/>
    <cellStyle name="Normal 61 2 2 2 3 2 3 6" xfId="0"/>
    <cellStyle name="Normal 61 2 2 2 3 2 3 6 2" xfId="0"/>
    <cellStyle name="Normal 61 2 2 2 3 2 3 7" xfId="0"/>
    <cellStyle name="Normal 61 2 2 2 3 2 4" xfId="0"/>
    <cellStyle name="Normal 61 2 2 2 3 2 4 2" xfId="0"/>
    <cellStyle name="Normal 61 2 2 2 3 2 4 2 2" xfId="0"/>
    <cellStyle name="Normal 61 2 2 2 3 2 4 2 2 2" xfId="0"/>
    <cellStyle name="Normal 61 2 2 2 3 2 4 2 2 2 2" xfId="0"/>
    <cellStyle name="Normal 61 2 2 2 3 2 4 2 2 3" xfId="0"/>
    <cellStyle name="Normal 61 2 2 2 3 2 4 2 3" xfId="0"/>
    <cellStyle name="Normal 61 2 2 2 3 2 4 2 3 2" xfId="0"/>
    <cellStyle name="Normal 61 2 2 2 3 2 4 2 3 2 2" xfId="0"/>
    <cellStyle name="Normal 61 2 2 2 3 2 4 2 3 3" xfId="0"/>
    <cellStyle name="Normal 61 2 2 2 3 2 4 2 4" xfId="0"/>
    <cellStyle name="Normal 61 2 2 2 3 2 4 2 4 2" xfId="0"/>
    <cellStyle name="Normal 61 2 2 2 3 2 4 2 5" xfId="0"/>
    <cellStyle name="Normal 61 2 2 2 3 2 4 3" xfId="0"/>
    <cellStyle name="Normal 61 2 2 2 3 2 4 3 2" xfId="0"/>
    <cellStyle name="Normal 61 2 2 2 3 2 4 3 2 2" xfId="0"/>
    <cellStyle name="Normal 61 2 2 2 3 2 4 3 3" xfId="0"/>
    <cellStyle name="Normal 61 2 2 2 3 2 4 4" xfId="0"/>
    <cellStyle name="Normal 61 2 2 2 3 2 4 4 2" xfId="0"/>
    <cellStyle name="Normal 61 2 2 2 3 2 4 4 2 2" xfId="0"/>
    <cellStyle name="Normal 61 2 2 2 3 2 4 4 3" xfId="0"/>
    <cellStyle name="Normal 61 2 2 2 3 2 4 5" xfId="0"/>
    <cellStyle name="Normal 61 2 2 2 3 2 4 5 2" xfId="0"/>
    <cellStyle name="Normal 61 2 2 2 3 2 4 6" xfId="0"/>
    <cellStyle name="Normal 61 2 2 2 3 2 5" xfId="0"/>
    <cellStyle name="Normal 61 2 2 2 3 2 5 2" xfId="0"/>
    <cellStyle name="Normal 61 2 2 2 3 2 5 2 2" xfId="0"/>
    <cellStyle name="Normal 61 2 2 2 3 2 5 2 2 2" xfId="0"/>
    <cellStyle name="Normal 61 2 2 2 3 2 5 2 3" xfId="0"/>
    <cellStyle name="Normal 61 2 2 2 3 2 5 3" xfId="0"/>
    <cellStyle name="Normal 61 2 2 2 3 2 5 3 2" xfId="0"/>
    <cellStyle name="Normal 61 2 2 2 3 2 5 3 2 2" xfId="0"/>
    <cellStyle name="Normal 61 2 2 2 3 2 5 3 3" xfId="0"/>
    <cellStyle name="Normal 61 2 2 2 3 2 5 4" xfId="0"/>
    <cellStyle name="Normal 61 2 2 2 3 2 5 4 2" xfId="0"/>
    <cellStyle name="Normal 61 2 2 2 3 2 5 5" xfId="0"/>
    <cellStyle name="Normal 61 2 2 2 3 2 6" xfId="0"/>
    <cellStyle name="Normal 61 2 2 2 3 2 6 2" xfId="0"/>
    <cellStyle name="Normal 61 2 2 2 3 2 6 2 2" xfId="0"/>
    <cellStyle name="Normal 61 2 2 2 3 2 6 3" xfId="0"/>
    <cellStyle name="Normal 61 2 2 2 3 2 7" xfId="0"/>
    <cellStyle name="Normal 61 2 2 2 3 2 7 2" xfId="0"/>
    <cellStyle name="Normal 61 2 2 2 3 2 7 2 2" xfId="0"/>
    <cellStyle name="Normal 61 2 2 2 3 2 7 3" xfId="0"/>
    <cellStyle name="Normal 61 2 2 2 3 2 8" xfId="0"/>
    <cellStyle name="Normal 61 2 2 2 3 2 8 2" xfId="0"/>
    <cellStyle name="Normal 61 2 2 2 3 2 9" xfId="0"/>
    <cellStyle name="Normal 61 2 2 2 3 3" xfId="0"/>
    <cellStyle name="Normal 61 2 2 2 3 3 2" xfId="0"/>
    <cellStyle name="Normal 61 2 2 2 3 3 2 2" xfId="0"/>
    <cellStyle name="Normal 61 2 2 2 3 3 2 2 2" xfId="0"/>
    <cellStyle name="Normal 61 2 2 2 3 3 2 2 2 2" xfId="0"/>
    <cellStyle name="Normal 61 2 2 2 3 3 2 2 2 2 2" xfId="0"/>
    <cellStyle name="Normal 61 2 2 2 3 3 2 2 2 2 2 2" xfId="0"/>
    <cellStyle name="Normal 61 2 2 2 3 3 2 2 2 2 3" xfId="0"/>
    <cellStyle name="Normal 61 2 2 2 3 3 2 2 2 3" xfId="0"/>
    <cellStyle name="Normal 61 2 2 2 3 3 2 2 2 3 2" xfId="0"/>
    <cellStyle name="Normal 61 2 2 2 3 3 2 2 2 3 2 2" xfId="0"/>
    <cellStyle name="Normal 61 2 2 2 3 3 2 2 2 3 3" xfId="0"/>
    <cellStyle name="Normal 61 2 2 2 3 3 2 2 2 4" xfId="0"/>
    <cellStyle name="Normal 61 2 2 2 3 3 2 2 2 4 2" xfId="0"/>
    <cellStyle name="Normal 61 2 2 2 3 3 2 2 2 5" xfId="0"/>
    <cellStyle name="Normal 61 2 2 2 3 3 2 2 3" xfId="0"/>
    <cellStyle name="Normal 61 2 2 2 3 3 2 2 3 2" xfId="0"/>
    <cellStyle name="Normal 61 2 2 2 3 3 2 2 3 2 2" xfId="0"/>
    <cellStyle name="Normal 61 2 2 2 3 3 2 2 3 3" xfId="0"/>
    <cellStyle name="Normal 61 2 2 2 3 3 2 2 4" xfId="0"/>
    <cellStyle name="Normal 61 2 2 2 3 3 2 2 4 2" xfId="0"/>
    <cellStyle name="Normal 61 2 2 2 3 3 2 2 4 2 2" xfId="0"/>
    <cellStyle name="Normal 61 2 2 2 3 3 2 2 4 3" xfId="0"/>
    <cellStyle name="Normal 61 2 2 2 3 3 2 2 5" xfId="0"/>
    <cellStyle name="Normal 61 2 2 2 3 3 2 2 5 2" xfId="0"/>
    <cellStyle name="Normal 61 2 2 2 3 3 2 2 6" xfId="0"/>
    <cellStyle name="Normal 61 2 2 2 3 3 2 3" xfId="0"/>
    <cellStyle name="Normal 61 2 2 2 3 3 2 3 2" xfId="0"/>
    <cellStyle name="Normal 61 2 2 2 3 3 2 3 2 2" xfId="0"/>
    <cellStyle name="Normal 61 2 2 2 3 3 2 3 2 2 2" xfId="0"/>
    <cellStyle name="Normal 61 2 2 2 3 3 2 3 2 3" xfId="0"/>
    <cellStyle name="Normal 61 2 2 2 3 3 2 3 3" xfId="0"/>
    <cellStyle name="Normal 61 2 2 2 3 3 2 3 3 2" xfId="0"/>
    <cellStyle name="Normal 61 2 2 2 3 3 2 3 3 2 2" xfId="0"/>
    <cellStyle name="Normal 61 2 2 2 3 3 2 3 3 3" xfId="0"/>
    <cellStyle name="Normal 61 2 2 2 3 3 2 3 4" xfId="0"/>
    <cellStyle name="Normal 61 2 2 2 3 3 2 3 4 2" xfId="0"/>
    <cellStyle name="Normal 61 2 2 2 3 3 2 3 5" xfId="0"/>
    <cellStyle name="Normal 61 2 2 2 3 3 2 4" xfId="0"/>
    <cellStyle name="Normal 61 2 2 2 3 3 2 4 2" xfId="0"/>
    <cellStyle name="Normal 61 2 2 2 3 3 2 4 2 2" xfId="0"/>
    <cellStyle name="Normal 61 2 2 2 3 3 2 4 3" xfId="0"/>
    <cellStyle name="Normal 61 2 2 2 3 3 2 5" xfId="0"/>
    <cellStyle name="Normal 61 2 2 2 3 3 2 5 2" xfId="0"/>
    <cellStyle name="Normal 61 2 2 2 3 3 2 5 2 2" xfId="0"/>
    <cellStyle name="Normal 61 2 2 2 3 3 2 5 3" xfId="0"/>
    <cellStyle name="Normal 61 2 2 2 3 3 2 6" xfId="0"/>
    <cellStyle name="Normal 61 2 2 2 3 3 2 6 2" xfId="0"/>
    <cellStyle name="Normal 61 2 2 2 3 3 2 7" xfId="0"/>
    <cellStyle name="Normal 61 2 2 2 3 3 3" xfId="0"/>
    <cellStyle name="Normal 61 2 2 2 3 3 3 2" xfId="0"/>
    <cellStyle name="Normal 61 2 2 2 3 3 3 2 2" xfId="0"/>
    <cellStyle name="Normal 61 2 2 2 3 3 3 2 2 2" xfId="0"/>
    <cellStyle name="Normal 61 2 2 2 3 3 3 2 2 2 2" xfId="0"/>
    <cellStyle name="Normal 61 2 2 2 3 3 3 2 2 3" xfId="0"/>
    <cellStyle name="Normal 61 2 2 2 3 3 3 2 3" xfId="0"/>
    <cellStyle name="Normal 61 2 2 2 3 3 3 2 3 2" xfId="0"/>
    <cellStyle name="Normal 61 2 2 2 3 3 3 2 3 2 2" xfId="0"/>
    <cellStyle name="Normal 61 2 2 2 3 3 3 2 3 3" xfId="0"/>
    <cellStyle name="Normal 61 2 2 2 3 3 3 2 4" xfId="0"/>
    <cellStyle name="Normal 61 2 2 2 3 3 3 2 4 2" xfId="0"/>
    <cellStyle name="Normal 61 2 2 2 3 3 3 2 5" xfId="0"/>
    <cellStyle name="Normal 61 2 2 2 3 3 3 3" xfId="0"/>
    <cellStyle name="Normal 61 2 2 2 3 3 3 3 2" xfId="0"/>
    <cellStyle name="Normal 61 2 2 2 3 3 3 3 2 2" xfId="0"/>
    <cellStyle name="Normal 61 2 2 2 3 3 3 3 3" xfId="0"/>
    <cellStyle name="Normal 61 2 2 2 3 3 3 4" xfId="0"/>
    <cellStyle name="Normal 61 2 2 2 3 3 3 4 2" xfId="0"/>
    <cellStyle name="Normal 61 2 2 2 3 3 3 4 2 2" xfId="0"/>
    <cellStyle name="Normal 61 2 2 2 3 3 3 4 3" xfId="0"/>
    <cellStyle name="Normal 61 2 2 2 3 3 3 5" xfId="0"/>
    <cellStyle name="Normal 61 2 2 2 3 3 3 5 2" xfId="0"/>
    <cellStyle name="Normal 61 2 2 2 3 3 3 6" xfId="0"/>
    <cellStyle name="Normal 61 2 2 2 3 3 4" xfId="0"/>
    <cellStyle name="Normal 61 2 2 2 3 3 4 2" xfId="0"/>
    <cellStyle name="Normal 61 2 2 2 3 3 4 2 2" xfId="0"/>
    <cellStyle name="Normal 61 2 2 2 3 3 4 2 2 2" xfId="0"/>
    <cellStyle name="Normal 61 2 2 2 3 3 4 2 3" xfId="0"/>
    <cellStyle name="Normal 61 2 2 2 3 3 4 3" xfId="0"/>
    <cellStyle name="Normal 61 2 2 2 3 3 4 3 2" xfId="0"/>
    <cellStyle name="Normal 61 2 2 2 3 3 4 3 2 2" xfId="0"/>
    <cellStyle name="Normal 61 2 2 2 3 3 4 3 3" xfId="0"/>
    <cellStyle name="Normal 61 2 2 2 3 3 4 4" xfId="0"/>
    <cellStyle name="Normal 61 2 2 2 3 3 4 4 2" xfId="0"/>
    <cellStyle name="Normal 61 2 2 2 3 3 4 5" xfId="0"/>
    <cellStyle name="Normal 61 2 2 2 3 3 5" xfId="0"/>
    <cellStyle name="Normal 61 2 2 2 3 3 5 2" xfId="0"/>
    <cellStyle name="Normal 61 2 2 2 3 3 5 2 2" xfId="0"/>
    <cellStyle name="Normal 61 2 2 2 3 3 5 3" xfId="0"/>
    <cellStyle name="Normal 61 2 2 2 3 3 6" xfId="0"/>
    <cellStyle name="Normal 61 2 2 2 3 3 6 2" xfId="0"/>
    <cellStyle name="Normal 61 2 2 2 3 3 6 2 2" xfId="0"/>
    <cellStyle name="Normal 61 2 2 2 3 3 6 3" xfId="0"/>
    <cellStyle name="Normal 61 2 2 2 3 3 7" xfId="0"/>
    <cellStyle name="Normal 61 2 2 2 3 3 7 2" xfId="0"/>
    <cellStyle name="Normal 61 2 2 2 3 3 8" xfId="0"/>
    <cellStyle name="Normal 61 2 2 2 3 4" xfId="0"/>
    <cellStyle name="Normal 61 2 2 2 3 4 2" xfId="0"/>
    <cellStyle name="Normal 61 2 2 2 3 4 2 2" xfId="0"/>
    <cellStyle name="Normal 61 2 2 2 3 4 2 2 2" xfId="0"/>
    <cellStyle name="Normal 61 2 2 2 3 4 2 2 2 2" xfId="0"/>
    <cellStyle name="Normal 61 2 2 2 3 4 2 2 2 2 2" xfId="0"/>
    <cellStyle name="Normal 61 2 2 2 3 4 2 2 2 3" xfId="0"/>
    <cellStyle name="Normal 61 2 2 2 3 4 2 2 3" xfId="0"/>
    <cellStyle name="Normal 61 2 2 2 3 4 2 2 3 2" xfId="0"/>
    <cellStyle name="Normal 61 2 2 2 3 4 2 2 3 2 2" xfId="0"/>
    <cellStyle name="Normal 61 2 2 2 3 4 2 2 3 3" xfId="0"/>
    <cellStyle name="Normal 61 2 2 2 3 4 2 2 4" xfId="0"/>
    <cellStyle name="Normal 61 2 2 2 3 4 2 2 4 2" xfId="0"/>
    <cellStyle name="Normal 61 2 2 2 3 4 2 2 5" xfId="0"/>
    <cellStyle name="Normal 61 2 2 2 3 4 2 3" xfId="0"/>
    <cellStyle name="Normal 61 2 2 2 3 4 2 3 2" xfId="0"/>
    <cellStyle name="Normal 61 2 2 2 3 4 2 3 2 2" xfId="0"/>
    <cellStyle name="Normal 61 2 2 2 3 4 2 3 3" xfId="0"/>
    <cellStyle name="Normal 61 2 2 2 3 4 2 4" xfId="0"/>
    <cellStyle name="Normal 61 2 2 2 3 4 2 4 2" xfId="0"/>
    <cellStyle name="Normal 61 2 2 2 3 4 2 4 2 2" xfId="0"/>
    <cellStyle name="Normal 61 2 2 2 3 4 2 4 3" xfId="0"/>
    <cellStyle name="Normal 61 2 2 2 3 4 2 5" xfId="0"/>
    <cellStyle name="Normal 61 2 2 2 3 4 2 5 2" xfId="0"/>
    <cellStyle name="Normal 61 2 2 2 3 4 2 6" xfId="0"/>
    <cellStyle name="Normal 61 2 2 2 3 4 3" xfId="0"/>
    <cellStyle name="Normal 61 2 2 2 3 4 3 2" xfId="0"/>
    <cellStyle name="Normal 61 2 2 2 3 4 3 2 2" xfId="0"/>
    <cellStyle name="Normal 61 2 2 2 3 4 3 2 2 2" xfId="0"/>
    <cellStyle name="Normal 61 2 2 2 3 4 3 2 3" xfId="0"/>
    <cellStyle name="Normal 61 2 2 2 3 4 3 3" xfId="0"/>
    <cellStyle name="Normal 61 2 2 2 3 4 3 3 2" xfId="0"/>
    <cellStyle name="Normal 61 2 2 2 3 4 3 3 2 2" xfId="0"/>
    <cellStyle name="Normal 61 2 2 2 3 4 3 3 3" xfId="0"/>
    <cellStyle name="Normal 61 2 2 2 3 4 3 4" xfId="0"/>
    <cellStyle name="Normal 61 2 2 2 3 4 3 4 2" xfId="0"/>
    <cellStyle name="Normal 61 2 2 2 3 4 3 5" xfId="0"/>
    <cellStyle name="Normal 61 2 2 2 3 4 4" xfId="0"/>
    <cellStyle name="Normal 61 2 2 2 3 4 4 2" xfId="0"/>
    <cellStyle name="Normal 61 2 2 2 3 4 4 2 2" xfId="0"/>
    <cellStyle name="Normal 61 2 2 2 3 4 4 3" xfId="0"/>
    <cellStyle name="Normal 61 2 2 2 3 4 5" xfId="0"/>
    <cellStyle name="Normal 61 2 2 2 3 4 5 2" xfId="0"/>
    <cellStyle name="Normal 61 2 2 2 3 4 5 2 2" xfId="0"/>
    <cellStyle name="Normal 61 2 2 2 3 4 5 3" xfId="0"/>
    <cellStyle name="Normal 61 2 2 2 3 4 6" xfId="0"/>
    <cellStyle name="Normal 61 2 2 2 3 4 6 2" xfId="0"/>
    <cellStyle name="Normal 61 2 2 2 3 4 7" xfId="0"/>
    <cellStyle name="Normal 61 2 2 2 3 5" xfId="0"/>
    <cellStyle name="Normal 61 2 2 2 3 5 2" xfId="0"/>
    <cellStyle name="Normal 61 2 2 2 3 5 2 2" xfId="0"/>
    <cellStyle name="Normal 61 2 2 2 3 5 2 2 2" xfId="0"/>
    <cellStyle name="Normal 61 2 2 2 3 5 2 2 2 2" xfId="0"/>
    <cellStyle name="Normal 61 2 2 2 3 5 2 2 3" xfId="0"/>
    <cellStyle name="Normal 61 2 2 2 3 5 2 3" xfId="0"/>
    <cellStyle name="Normal 61 2 2 2 3 5 2 3 2" xfId="0"/>
    <cellStyle name="Normal 61 2 2 2 3 5 2 3 2 2" xfId="0"/>
    <cellStyle name="Normal 61 2 2 2 3 5 2 3 3" xfId="0"/>
    <cellStyle name="Normal 61 2 2 2 3 5 2 4" xfId="0"/>
    <cellStyle name="Normal 61 2 2 2 3 5 2 4 2" xfId="0"/>
    <cellStyle name="Normal 61 2 2 2 3 5 2 5" xfId="0"/>
    <cellStyle name="Normal 61 2 2 2 3 5 3" xfId="0"/>
    <cellStyle name="Normal 61 2 2 2 3 5 3 2" xfId="0"/>
    <cellStyle name="Normal 61 2 2 2 3 5 3 2 2" xfId="0"/>
    <cellStyle name="Normal 61 2 2 2 3 5 3 3" xfId="0"/>
    <cellStyle name="Normal 61 2 2 2 3 5 4" xfId="0"/>
    <cellStyle name="Normal 61 2 2 2 3 5 4 2" xfId="0"/>
    <cellStyle name="Normal 61 2 2 2 3 5 4 2 2" xfId="0"/>
    <cellStyle name="Normal 61 2 2 2 3 5 4 3" xfId="0"/>
    <cellStyle name="Normal 61 2 2 2 3 5 5" xfId="0"/>
    <cellStyle name="Normal 61 2 2 2 3 5 5 2" xfId="0"/>
    <cellStyle name="Normal 61 2 2 2 3 5 6" xfId="0"/>
    <cellStyle name="Normal 61 2 2 2 3 6" xfId="0"/>
    <cellStyle name="Normal 61 2 2 2 3 6 2" xfId="0"/>
    <cellStyle name="Normal 61 2 2 2 3 6 2 2" xfId="0"/>
    <cellStyle name="Normal 61 2 2 2 3 6 2 2 2" xfId="0"/>
    <cellStyle name="Normal 61 2 2 2 3 6 2 3" xfId="0"/>
    <cellStyle name="Normal 61 2 2 2 3 6 3" xfId="0"/>
    <cellStyle name="Normal 61 2 2 2 3 6 3 2" xfId="0"/>
    <cellStyle name="Normal 61 2 2 2 3 6 3 2 2" xfId="0"/>
    <cellStyle name="Normal 61 2 2 2 3 6 3 3" xfId="0"/>
    <cellStyle name="Normal 61 2 2 2 3 6 4" xfId="0"/>
    <cellStyle name="Normal 61 2 2 2 3 6 4 2" xfId="0"/>
    <cellStyle name="Normal 61 2 2 2 3 6 5" xfId="0"/>
    <cellStyle name="Normal 61 2 2 2 3 7" xfId="0"/>
    <cellStyle name="Normal 61 2 2 2 3 7 2" xfId="0"/>
    <cellStyle name="Normal 61 2 2 2 3 7 2 2" xfId="0"/>
    <cellStyle name="Normal 61 2 2 2 3 7 3" xfId="0"/>
    <cellStyle name="Normal 61 2 2 2 3 8" xfId="0"/>
    <cellStyle name="Normal 61 2 2 2 3 8 2" xfId="0"/>
    <cellStyle name="Normal 61 2 2 2 3 8 2 2" xfId="0"/>
    <cellStyle name="Normal 61 2 2 2 3 8 3" xfId="0"/>
    <cellStyle name="Normal 61 2 2 2 3 9" xfId="0"/>
    <cellStyle name="Normal 61 2 2 2 3 9 2" xfId="0"/>
    <cellStyle name="Normal 61 2 2 2 4" xfId="0"/>
    <cellStyle name="Normal 61 2 2 2 4 2" xfId="0"/>
    <cellStyle name="Normal 61 2 2 2 4 2 2" xfId="0"/>
    <cellStyle name="Normal 61 2 2 2 4 2 2 2" xfId="0"/>
    <cellStyle name="Normal 61 2 2 2 4 2 2 2 2" xfId="0"/>
    <cellStyle name="Normal 61 2 2 2 4 2 2 2 2 2" xfId="0"/>
    <cellStyle name="Normal 61 2 2 2 4 2 2 2 2 2 2" xfId="0"/>
    <cellStyle name="Normal 61 2 2 2 4 2 2 2 2 2 2 2" xfId="0"/>
    <cellStyle name="Normal 61 2 2 2 4 2 2 2 2 2 3" xfId="0"/>
    <cellStyle name="Normal 61 2 2 2 4 2 2 2 2 3" xfId="0"/>
    <cellStyle name="Normal 61 2 2 2 4 2 2 2 2 3 2" xfId="0"/>
    <cellStyle name="Normal 61 2 2 2 4 2 2 2 2 3 2 2" xfId="0"/>
    <cellStyle name="Normal 61 2 2 2 4 2 2 2 2 3 3" xfId="0"/>
    <cellStyle name="Normal 61 2 2 2 4 2 2 2 2 4" xfId="0"/>
    <cellStyle name="Normal 61 2 2 2 4 2 2 2 2 4 2" xfId="0"/>
    <cellStyle name="Normal 61 2 2 2 4 2 2 2 2 5" xfId="0"/>
    <cellStyle name="Normal 61 2 2 2 4 2 2 2 3" xfId="0"/>
    <cellStyle name="Normal 61 2 2 2 4 2 2 2 3 2" xfId="0"/>
    <cellStyle name="Normal 61 2 2 2 4 2 2 2 3 2 2" xfId="0"/>
    <cellStyle name="Normal 61 2 2 2 4 2 2 2 3 3" xfId="0"/>
    <cellStyle name="Normal 61 2 2 2 4 2 2 2 4" xfId="0"/>
    <cellStyle name="Normal 61 2 2 2 4 2 2 2 4 2" xfId="0"/>
    <cellStyle name="Normal 61 2 2 2 4 2 2 2 4 2 2" xfId="0"/>
    <cellStyle name="Normal 61 2 2 2 4 2 2 2 4 3" xfId="0"/>
    <cellStyle name="Normal 61 2 2 2 4 2 2 2 5" xfId="0"/>
    <cellStyle name="Normal 61 2 2 2 4 2 2 2 5 2" xfId="0"/>
    <cellStyle name="Normal 61 2 2 2 4 2 2 2 6" xfId="0"/>
    <cellStyle name="Normal 61 2 2 2 4 2 2 3" xfId="0"/>
    <cellStyle name="Normal 61 2 2 2 4 2 2 3 2" xfId="0"/>
    <cellStyle name="Normal 61 2 2 2 4 2 2 3 2 2" xfId="0"/>
    <cellStyle name="Normal 61 2 2 2 4 2 2 3 2 2 2" xfId="0"/>
    <cellStyle name="Normal 61 2 2 2 4 2 2 3 2 3" xfId="0"/>
    <cellStyle name="Normal 61 2 2 2 4 2 2 3 3" xfId="0"/>
    <cellStyle name="Normal 61 2 2 2 4 2 2 3 3 2" xfId="0"/>
    <cellStyle name="Normal 61 2 2 2 4 2 2 3 3 2 2" xfId="0"/>
    <cellStyle name="Normal 61 2 2 2 4 2 2 3 3 3" xfId="0"/>
    <cellStyle name="Normal 61 2 2 2 4 2 2 3 4" xfId="0"/>
    <cellStyle name="Normal 61 2 2 2 4 2 2 3 4 2" xfId="0"/>
    <cellStyle name="Normal 61 2 2 2 4 2 2 3 5" xfId="0"/>
    <cellStyle name="Normal 61 2 2 2 4 2 2 4" xfId="0"/>
    <cellStyle name="Normal 61 2 2 2 4 2 2 4 2" xfId="0"/>
    <cellStyle name="Normal 61 2 2 2 4 2 2 4 2 2" xfId="0"/>
    <cellStyle name="Normal 61 2 2 2 4 2 2 4 3" xfId="0"/>
    <cellStyle name="Normal 61 2 2 2 4 2 2 5" xfId="0"/>
    <cellStyle name="Normal 61 2 2 2 4 2 2 5 2" xfId="0"/>
    <cellStyle name="Normal 61 2 2 2 4 2 2 5 2 2" xfId="0"/>
    <cellStyle name="Normal 61 2 2 2 4 2 2 5 3" xfId="0"/>
    <cellStyle name="Normal 61 2 2 2 4 2 2 6" xfId="0"/>
    <cellStyle name="Normal 61 2 2 2 4 2 2 6 2" xfId="0"/>
    <cellStyle name="Normal 61 2 2 2 4 2 2 7" xfId="0"/>
    <cellStyle name="Normal 61 2 2 2 4 2 3" xfId="0"/>
    <cellStyle name="Normal 61 2 2 2 4 2 3 2" xfId="0"/>
    <cellStyle name="Normal 61 2 2 2 4 2 3 2 2" xfId="0"/>
    <cellStyle name="Normal 61 2 2 2 4 2 3 2 2 2" xfId="0"/>
    <cellStyle name="Normal 61 2 2 2 4 2 3 2 2 2 2" xfId="0"/>
    <cellStyle name="Normal 61 2 2 2 4 2 3 2 2 3" xfId="0"/>
    <cellStyle name="Normal 61 2 2 2 4 2 3 2 3" xfId="0"/>
    <cellStyle name="Normal 61 2 2 2 4 2 3 2 3 2" xfId="0"/>
    <cellStyle name="Normal 61 2 2 2 4 2 3 2 3 2 2" xfId="0"/>
    <cellStyle name="Normal 61 2 2 2 4 2 3 2 3 3" xfId="0"/>
    <cellStyle name="Normal 61 2 2 2 4 2 3 2 4" xfId="0"/>
    <cellStyle name="Normal 61 2 2 2 4 2 3 2 4 2" xfId="0"/>
    <cellStyle name="Normal 61 2 2 2 4 2 3 2 5" xfId="0"/>
    <cellStyle name="Normal 61 2 2 2 4 2 3 3" xfId="0"/>
    <cellStyle name="Normal 61 2 2 2 4 2 3 3 2" xfId="0"/>
    <cellStyle name="Normal 61 2 2 2 4 2 3 3 2 2" xfId="0"/>
    <cellStyle name="Normal 61 2 2 2 4 2 3 3 3" xfId="0"/>
    <cellStyle name="Normal 61 2 2 2 4 2 3 4" xfId="0"/>
    <cellStyle name="Normal 61 2 2 2 4 2 3 4 2" xfId="0"/>
    <cellStyle name="Normal 61 2 2 2 4 2 3 4 2 2" xfId="0"/>
    <cellStyle name="Normal 61 2 2 2 4 2 3 4 3" xfId="0"/>
    <cellStyle name="Normal 61 2 2 2 4 2 3 5" xfId="0"/>
    <cellStyle name="Normal 61 2 2 2 4 2 3 5 2" xfId="0"/>
    <cellStyle name="Normal 61 2 2 2 4 2 3 6" xfId="0"/>
    <cellStyle name="Normal 61 2 2 2 4 2 4" xfId="0"/>
    <cellStyle name="Normal 61 2 2 2 4 2 4 2" xfId="0"/>
    <cellStyle name="Normal 61 2 2 2 4 2 4 2 2" xfId="0"/>
    <cellStyle name="Normal 61 2 2 2 4 2 4 2 2 2" xfId="0"/>
    <cellStyle name="Normal 61 2 2 2 4 2 4 2 3" xfId="0"/>
    <cellStyle name="Normal 61 2 2 2 4 2 4 3" xfId="0"/>
    <cellStyle name="Normal 61 2 2 2 4 2 4 3 2" xfId="0"/>
    <cellStyle name="Normal 61 2 2 2 4 2 4 3 2 2" xfId="0"/>
    <cellStyle name="Normal 61 2 2 2 4 2 4 3 3" xfId="0"/>
    <cellStyle name="Normal 61 2 2 2 4 2 4 4" xfId="0"/>
    <cellStyle name="Normal 61 2 2 2 4 2 4 4 2" xfId="0"/>
    <cellStyle name="Normal 61 2 2 2 4 2 4 5" xfId="0"/>
    <cellStyle name="Normal 61 2 2 2 4 2 5" xfId="0"/>
    <cellStyle name="Normal 61 2 2 2 4 2 5 2" xfId="0"/>
    <cellStyle name="Normal 61 2 2 2 4 2 5 2 2" xfId="0"/>
    <cellStyle name="Normal 61 2 2 2 4 2 5 3" xfId="0"/>
    <cellStyle name="Normal 61 2 2 2 4 2 6" xfId="0"/>
    <cellStyle name="Normal 61 2 2 2 4 2 6 2" xfId="0"/>
    <cellStyle name="Normal 61 2 2 2 4 2 6 2 2" xfId="0"/>
    <cellStyle name="Normal 61 2 2 2 4 2 6 3" xfId="0"/>
    <cellStyle name="Normal 61 2 2 2 4 2 7" xfId="0"/>
    <cellStyle name="Normal 61 2 2 2 4 2 7 2" xfId="0"/>
    <cellStyle name="Normal 61 2 2 2 4 2 8" xfId="0"/>
    <cellStyle name="Normal 61 2 2 2 4 3" xfId="0"/>
    <cellStyle name="Normal 61 2 2 2 4 3 2" xfId="0"/>
    <cellStyle name="Normal 61 2 2 2 4 3 2 2" xfId="0"/>
    <cellStyle name="Normal 61 2 2 2 4 3 2 2 2" xfId="0"/>
    <cellStyle name="Normal 61 2 2 2 4 3 2 2 2 2" xfId="0"/>
    <cellStyle name="Normal 61 2 2 2 4 3 2 2 2 2 2" xfId="0"/>
    <cellStyle name="Normal 61 2 2 2 4 3 2 2 2 3" xfId="0"/>
    <cellStyle name="Normal 61 2 2 2 4 3 2 2 3" xfId="0"/>
    <cellStyle name="Normal 61 2 2 2 4 3 2 2 3 2" xfId="0"/>
    <cellStyle name="Normal 61 2 2 2 4 3 2 2 3 2 2" xfId="0"/>
    <cellStyle name="Normal 61 2 2 2 4 3 2 2 3 3" xfId="0"/>
    <cellStyle name="Normal 61 2 2 2 4 3 2 2 4" xfId="0"/>
    <cellStyle name="Normal 61 2 2 2 4 3 2 2 4 2" xfId="0"/>
    <cellStyle name="Normal 61 2 2 2 4 3 2 2 5" xfId="0"/>
    <cellStyle name="Normal 61 2 2 2 4 3 2 3" xfId="0"/>
    <cellStyle name="Normal 61 2 2 2 4 3 2 3 2" xfId="0"/>
    <cellStyle name="Normal 61 2 2 2 4 3 2 3 2 2" xfId="0"/>
    <cellStyle name="Normal 61 2 2 2 4 3 2 3 3" xfId="0"/>
    <cellStyle name="Normal 61 2 2 2 4 3 2 4" xfId="0"/>
    <cellStyle name="Normal 61 2 2 2 4 3 2 4 2" xfId="0"/>
    <cellStyle name="Normal 61 2 2 2 4 3 2 4 2 2" xfId="0"/>
    <cellStyle name="Normal 61 2 2 2 4 3 2 4 3" xfId="0"/>
    <cellStyle name="Normal 61 2 2 2 4 3 2 5" xfId="0"/>
    <cellStyle name="Normal 61 2 2 2 4 3 2 5 2" xfId="0"/>
    <cellStyle name="Normal 61 2 2 2 4 3 2 6" xfId="0"/>
    <cellStyle name="Normal 61 2 2 2 4 3 3" xfId="0"/>
    <cellStyle name="Normal 61 2 2 2 4 3 3 2" xfId="0"/>
    <cellStyle name="Normal 61 2 2 2 4 3 3 2 2" xfId="0"/>
    <cellStyle name="Normal 61 2 2 2 4 3 3 2 2 2" xfId="0"/>
    <cellStyle name="Normal 61 2 2 2 4 3 3 2 3" xfId="0"/>
    <cellStyle name="Normal 61 2 2 2 4 3 3 3" xfId="0"/>
    <cellStyle name="Normal 61 2 2 2 4 3 3 3 2" xfId="0"/>
    <cellStyle name="Normal 61 2 2 2 4 3 3 3 2 2" xfId="0"/>
    <cellStyle name="Normal 61 2 2 2 4 3 3 3 3" xfId="0"/>
    <cellStyle name="Normal 61 2 2 2 4 3 3 4" xfId="0"/>
    <cellStyle name="Normal 61 2 2 2 4 3 3 4 2" xfId="0"/>
    <cellStyle name="Normal 61 2 2 2 4 3 3 5" xfId="0"/>
    <cellStyle name="Normal 61 2 2 2 4 3 4" xfId="0"/>
    <cellStyle name="Normal 61 2 2 2 4 3 4 2" xfId="0"/>
    <cellStyle name="Normal 61 2 2 2 4 3 4 2 2" xfId="0"/>
    <cellStyle name="Normal 61 2 2 2 4 3 4 3" xfId="0"/>
    <cellStyle name="Normal 61 2 2 2 4 3 5" xfId="0"/>
    <cellStyle name="Normal 61 2 2 2 4 3 5 2" xfId="0"/>
    <cellStyle name="Normal 61 2 2 2 4 3 5 2 2" xfId="0"/>
    <cellStyle name="Normal 61 2 2 2 4 3 5 3" xfId="0"/>
    <cellStyle name="Normal 61 2 2 2 4 3 6" xfId="0"/>
    <cellStyle name="Normal 61 2 2 2 4 3 6 2" xfId="0"/>
    <cellStyle name="Normal 61 2 2 2 4 3 7" xfId="0"/>
    <cellStyle name="Normal 61 2 2 2 4 4" xfId="0"/>
    <cellStyle name="Normal 61 2 2 2 4 4 2" xfId="0"/>
    <cellStyle name="Normal 61 2 2 2 4 4 2 2" xfId="0"/>
    <cellStyle name="Normal 61 2 2 2 4 4 2 2 2" xfId="0"/>
    <cellStyle name="Normal 61 2 2 2 4 4 2 2 2 2" xfId="0"/>
    <cellStyle name="Normal 61 2 2 2 4 4 2 2 3" xfId="0"/>
    <cellStyle name="Normal 61 2 2 2 4 4 2 3" xfId="0"/>
    <cellStyle name="Normal 61 2 2 2 4 4 2 3 2" xfId="0"/>
    <cellStyle name="Normal 61 2 2 2 4 4 2 3 2 2" xfId="0"/>
    <cellStyle name="Normal 61 2 2 2 4 4 2 3 3" xfId="0"/>
    <cellStyle name="Normal 61 2 2 2 4 4 2 4" xfId="0"/>
    <cellStyle name="Normal 61 2 2 2 4 4 2 4 2" xfId="0"/>
    <cellStyle name="Normal 61 2 2 2 4 4 2 5" xfId="0"/>
    <cellStyle name="Normal 61 2 2 2 4 4 3" xfId="0"/>
    <cellStyle name="Normal 61 2 2 2 4 4 3 2" xfId="0"/>
    <cellStyle name="Normal 61 2 2 2 4 4 3 2 2" xfId="0"/>
    <cellStyle name="Normal 61 2 2 2 4 4 3 3" xfId="0"/>
    <cellStyle name="Normal 61 2 2 2 4 4 4" xfId="0"/>
    <cellStyle name="Normal 61 2 2 2 4 4 4 2" xfId="0"/>
    <cellStyle name="Normal 61 2 2 2 4 4 4 2 2" xfId="0"/>
    <cellStyle name="Normal 61 2 2 2 4 4 4 3" xfId="0"/>
    <cellStyle name="Normal 61 2 2 2 4 4 5" xfId="0"/>
    <cellStyle name="Normal 61 2 2 2 4 4 5 2" xfId="0"/>
    <cellStyle name="Normal 61 2 2 2 4 4 6" xfId="0"/>
    <cellStyle name="Normal 61 2 2 2 4 5" xfId="0"/>
    <cellStyle name="Normal 61 2 2 2 4 5 2" xfId="0"/>
    <cellStyle name="Normal 61 2 2 2 4 5 2 2" xfId="0"/>
    <cellStyle name="Normal 61 2 2 2 4 5 2 2 2" xfId="0"/>
    <cellStyle name="Normal 61 2 2 2 4 5 2 3" xfId="0"/>
    <cellStyle name="Normal 61 2 2 2 4 5 3" xfId="0"/>
    <cellStyle name="Normal 61 2 2 2 4 5 3 2" xfId="0"/>
    <cellStyle name="Normal 61 2 2 2 4 5 3 2 2" xfId="0"/>
    <cellStyle name="Normal 61 2 2 2 4 5 3 3" xfId="0"/>
    <cellStyle name="Normal 61 2 2 2 4 5 4" xfId="0"/>
    <cellStyle name="Normal 61 2 2 2 4 5 4 2" xfId="0"/>
    <cellStyle name="Normal 61 2 2 2 4 5 5" xfId="0"/>
    <cellStyle name="Normal 61 2 2 2 4 6" xfId="0"/>
    <cellStyle name="Normal 61 2 2 2 4 6 2" xfId="0"/>
    <cellStyle name="Normal 61 2 2 2 4 6 2 2" xfId="0"/>
    <cellStyle name="Normal 61 2 2 2 4 6 3" xfId="0"/>
    <cellStyle name="Normal 61 2 2 2 4 7" xfId="0"/>
    <cellStyle name="Normal 61 2 2 2 4 7 2" xfId="0"/>
    <cellStyle name="Normal 61 2 2 2 4 7 2 2" xfId="0"/>
    <cellStyle name="Normal 61 2 2 2 4 7 3" xfId="0"/>
    <cellStyle name="Normal 61 2 2 2 4 8" xfId="0"/>
    <cellStyle name="Normal 61 2 2 2 4 8 2" xfId="0"/>
    <cellStyle name="Normal 61 2 2 2 4 9" xfId="0"/>
    <cellStyle name="Normal 61 2 2 2 5" xfId="0"/>
    <cellStyle name="Normal 61 2 2 2 5 2" xfId="0"/>
    <cellStyle name="Normal 61 2 2 2 5 2 2" xfId="0"/>
    <cellStyle name="Normal 61 2 2 2 5 2 2 2" xfId="0"/>
    <cellStyle name="Normal 61 2 2 2 5 2 2 2 2" xfId="0"/>
    <cellStyle name="Normal 61 2 2 2 5 2 2 2 2 2" xfId="0"/>
    <cellStyle name="Normal 61 2 2 2 5 2 2 2 2 2 2" xfId="0"/>
    <cellStyle name="Normal 61 2 2 2 5 2 2 2 2 3" xfId="0"/>
    <cellStyle name="Normal 61 2 2 2 5 2 2 2 3" xfId="0"/>
    <cellStyle name="Normal 61 2 2 2 5 2 2 2 3 2" xfId="0"/>
    <cellStyle name="Normal 61 2 2 2 5 2 2 2 3 2 2" xfId="0"/>
    <cellStyle name="Normal 61 2 2 2 5 2 2 2 3 3" xfId="0"/>
    <cellStyle name="Normal 61 2 2 2 5 2 2 2 4" xfId="0"/>
    <cellStyle name="Normal 61 2 2 2 5 2 2 2 4 2" xfId="0"/>
    <cellStyle name="Normal 61 2 2 2 5 2 2 2 5" xfId="0"/>
    <cellStyle name="Normal 61 2 2 2 5 2 2 3" xfId="0"/>
    <cellStyle name="Normal 61 2 2 2 5 2 2 3 2" xfId="0"/>
    <cellStyle name="Normal 61 2 2 2 5 2 2 3 2 2" xfId="0"/>
    <cellStyle name="Normal 61 2 2 2 5 2 2 3 3" xfId="0"/>
    <cellStyle name="Normal 61 2 2 2 5 2 2 4" xfId="0"/>
    <cellStyle name="Normal 61 2 2 2 5 2 2 4 2" xfId="0"/>
    <cellStyle name="Normal 61 2 2 2 5 2 2 4 2 2" xfId="0"/>
    <cellStyle name="Normal 61 2 2 2 5 2 2 4 3" xfId="0"/>
    <cellStyle name="Normal 61 2 2 2 5 2 2 5" xfId="0"/>
    <cellStyle name="Normal 61 2 2 2 5 2 2 5 2" xfId="0"/>
    <cellStyle name="Normal 61 2 2 2 5 2 2 6" xfId="0"/>
    <cellStyle name="Normal 61 2 2 2 5 2 3" xfId="0"/>
    <cellStyle name="Normal 61 2 2 2 5 2 3 2" xfId="0"/>
    <cellStyle name="Normal 61 2 2 2 5 2 3 2 2" xfId="0"/>
    <cellStyle name="Normal 61 2 2 2 5 2 3 2 2 2" xfId="0"/>
    <cellStyle name="Normal 61 2 2 2 5 2 3 2 3" xfId="0"/>
    <cellStyle name="Normal 61 2 2 2 5 2 3 3" xfId="0"/>
    <cellStyle name="Normal 61 2 2 2 5 2 3 3 2" xfId="0"/>
    <cellStyle name="Normal 61 2 2 2 5 2 3 3 2 2" xfId="0"/>
    <cellStyle name="Normal 61 2 2 2 5 2 3 3 3" xfId="0"/>
    <cellStyle name="Normal 61 2 2 2 5 2 3 4" xfId="0"/>
    <cellStyle name="Normal 61 2 2 2 5 2 3 4 2" xfId="0"/>
    <cellStyle name="Normal 61 2 2 2 5 2 3 5" xfId="0"/>
    <cellStyle name="Normal 61 2 2 2 5 2 4" xfId="0"/>
    <cellStyle name="Normal 61 2 2 2 5 2 4 2" xfId="0"/>
    <cellStyle name="Normal 61 2 2 2 5 2 4 2 2" xfId="0"/>
    <cellStyle name="Normal 61 2 2 2 5 2 4 3" xfId="0"/>
    <cellStyle name="Normal 61 2 2 2 5 2 5" xfId="0"/>
    <cellStyle name="Normal 61 2 2 2 5 2 5 2" xfId="0"/>
    <cellStyle name="Normal 61 2 2 2 5 2 5 2 2" xfId="0"/>
    <cellStyle name="Normal 61 2 2 2 5 2 5 3" xfId="0"/>
    <cellStyle name="Normal 61 2 2 2 5 2 6" xfId="0"/>
    <cellStyle name="Normal 61 2 2 2 5 2 6 2" xfId="0"/>
    <cellStyle name="Normal 61 2 2 2 5 2 7" xfId="0"/>
    <cellStyle name="Normal 61 2 2 2 5 3" xfId="0"/>
    <cellStyle name="Normal 61 2 2 2 5 3 2" xfId="0"/>
    <cellStyle name="Normal 61 2 2 2 5 3 2 2" xfId="0"/>
    <cellStyle name="Normal 61 2 2 2 5 3 2 2 2" xfId="0"/>
    <cellStyle name="Normal 61 2 2 2 5 3 2 2 2 2" xfId="0"/>
    <cellStyle name="Normal 61 2 2 2 5 3 2 2 3" xfId="0"/>
    <cellStyle name="Normal 61 2 2 2 5 3 2 3" xfId="0"/>
    <cellStyle name="Normal 61 2 2 2 5 3 2 3 2" xfId="0"/>
    <cellStyle name="Normal 61 2 2 2 5 3 2 3 2 2" xfId="0"/>
    <cellStyle name="Normal 61 2 2 2 5 3 2 3 3" xfId="0"/>
    <cellStyle name="Normal 61 2 2 2 5 3 2 4" xfId="0"/>
    <cellStyle name="Normal 61 2 2 2 5 3 2 4 2" xfId="0"/>
    <cellStyle name="Normal 61 2 2 2 5 3 2 5" xfId="0"/>
    <cellStyle name="Normal 61 2 2 2 5 3 3" xfId="0"/>
    <cellStyle name="Normal 61 2 2 2 5 3 3 2" xfId="0"/>
    <cellStyle name="Normal 61 2 2 2 5 3 3 2 2" xfId="0"/>
    <cellStyle name="Normal 61 2 2 2 5 3 3 3" xfId="0"/>
    <cellStyle name="Normal 61 2 2 2 5 3 4" xfId="0"/>
    <cellStyle name="Normal 61 2 2 2 5 3 4 2" xfId="0"/>
    <cellStyle name="Normal 61 2 2 2 5 3 4 2 2" xfId="0"/>
    <cellStyle name="Normal 61 2 2 2 5 3 4 3" xfId="0"/>
    <cellStyle name="Normal 61 2 2 2 5 3 5" xfId="0"/>
    <cellStyle name="Normal 61 2 2 2 5 3 5 2" xfId="0"/>
    <cellStyle name="Normal 61 2 2 2 5 3 6" xfId="0"/>
    <cellStyle name="Normal 61 2 2 2 5 4" xfId="0"/>
    <cellStyle name="Normal 61 2 2 2 5 4 2" xfId="0"/>
    <cellStyle name="Normal 61 2 2 2 5 4 2 2" xfId="0"/>
    <cellStyle name="Normal 61 2 2 2 5 4 2 2 2" xfId="0"/>
    <cellStyle name="Normal 61 2 2 2 5 4 2 3" xfId="0"/>
    <cellStyle name="Normal 61 2 2 2 5 4 3" xfId="0"/>
    <cellStyle name="Normal 61 2 2 2 5 4 3 2" xfId="0"/>
    <cellStyle name="Normal 61 2 2 2 5 4 3 2 2" xfId="0"/>
    <cellStyle name="Normal 61 2 2 2 5 4 3 3" xfId="0"/>
    <cellStyle name="Normal 61 2 2 2 5 4 4" xfId="0"/>
    <cellStyle name="Normal 61 2 2 2 5 4 4 2" xfId="0"/>
    <cellStyle name="Normal 61 2 2 2 5 4 5" xfId="0"/>
    <cellStyle name="Normal 61 2 2 2 5 5" xfId="0"/>
    <cellStyle name="Normal 61 2 2 2 5 5 2" xfId="0"/>
    <cellStyle name="Normal 61 2 2 2 5 5 2 2" xfId="0"/>
    <cellStyle name="Normal 61 2 2 2 5 5 3" xfId="0"/>
    <cellStyle name="Normal 61 2 2 2 5 6" xfId="0"/>
    <cellStyle name="Normal 61 2 2 2 5 6 2" xfId="0"/>
    <cellStyle name="Normal 61 2 2 2 5 6 2 2" xfId="0"/>
    <cellStyle name="Normal 61 2 2 2 5 6 3" xfId="0"/>
    <cellStyle name="Normal 61 2 2 2 5 7" xfId="0"/>
    <cellStyle name="Normal 61 2 2 2 5 7 2" xfId="0"/>
    <cellStyle name="Normal 61 2 2 2 5 8" xfId="0"/>
    <cellStyle name="Normal 61 2 2 2 6" xfId="0"/>
    <cellStyle name="Normal 61 2 2 2 6 2" xfId="0"/>
    <cellStyle name="Normal 61 2 2 2 6 2 2" xfId="0"/>
    <cellStyle name="Normal 61 2 2 2 6 2 2 2" xfId="0"/>
    <cellStyle name="Normal 61 2 2 2 6 2 2 2 2" xfId="0"/>
    <cellStyle name="Normal 61 2 2 2 6 2 2 2 2 2" xfId="0"/>
    <cellStyle name="Normal 61 2 2 2 6 2 2 2 3" xfId="0"/>
    <cellStyle name="Normal 61 2 2 2 6 2 2 3" xfId="0"/>
    <cellStyle name="Normal 61 2 2 2 6 2 2 3 2" xfId="0"/>
    <cellStyle name="Normal 61 2 2 2 6 2 2 3 2 2" xfId="0"/>
    <cellStyle name="Normal 61 2 2 2 6 2 2 3 3" xfId="0"/>
    <cellStyle name="Normal 61 2 2 2 6 2 2 4" xfId="0"/>
    <cellStyle name="Normal 61 2 2 2 6 2 2 4 2" xfId="0"/>
    <cellStyle name="Normal 61 2 2 2 6 2 2 5" xfId="0"/>
    <cellStyle name="Normal 61 2 2 2 6 2 3" xfId="0"/>
    <cellStyle name="Normal 61 2 2 2 6 2 3 2" xfId="0"/>
    <cellStyle name="Normal 61 2 2 2 6 2 3 2 2" xfId="0"/>
    <cellStyle name="Normal 61 2 2 2 6 2 3 3" xfId="0"/>
    <cellStyle name="Normal 61 2 2 2 6 2 4" xfId="0"/>
    <cellStyle name="Normal 61 2 2 2 6 2 4 2" xfId="0"/>
    <cellStyle name="Normal 61 2 2 2 6 2 4 2 2" xfId="0"/>
    <cellStyle name="Normal 61 2 2 2 6 2 4 3" xfId="0"/>
    <cellStyle name="Normal 61 2 2 2 6 2 5" xfId="0"/>
    <cellStyle name="Normal 61 2 2 2 6 2 5 2" xfId="0"/>
    <cellStyle name="Normal 61 2 2 2 6 2 6" xfId="0"/>
    <cellStyle name="Normal 61 2 2 2 6 3" xfId="0"/>
    <cellStyle name="Normal 61 2 2 2 6 3 2" xfId="0"/>
    <cellStyle name="Normal 61 2 2 2 6 3 2 2" xfId="0"/>
    <cellStyle name="Normal 61 2 2 2 6 3 2 2 2" xfId="0"/>
    <cellStyle name="Normal 61 2 2 2 6 3 2 3" xfId="0"/>
    <cellStyle name="Normal 61 2 2 2 6 3 3" xfId="0"/>
    <cellStyle name="Normal 61 2 2 2 6 3 3 2" xfId="0"/>
    <cellStyle name="Normal 61 2 2 2 6 3 3 2 2" xfId="0"/>
    <cellStyle name="Normal 61 2 2 2 6 3 3 3" xfId="0"/>
    <cellStyle name="Normal 61 2 2 2 6 3 4" xfId="0"/>
    <cellStyle name="Normal 61 2 2 2 6 3 4 2" xfId="0"/>
    <cellStyle name="Normal 61 2 2 2 6 3 5" xfId="0"/>
    <cellStyle name="Normal 61 2 2 2 6 4" xfId="0"/>
    <cellStyle name="Normal 61 2 2 2 6 4 2" xfId="0"/>
    <cellStyle name="Normal 61 2 2 2 6 4 2 2" xfId="0"/>
    <cellStyle name="Normal 61 2 2 2 6 4 3" xfId="0"/>
    <cellStyle name="Normal 61 2 2 2 6 5" xfId="0"/>
    <cellStyle name="Normal 61 2 2 2 6 5 2" xfId="0"/>
    <cellStyle name="Normal 61 2 2 2 6 5 2 2" xfId="0"/>
    <cellStyle name="Normal 61 2 2 2 6 5 3" xfId="0"/>
    <cellStyle name="Normal 61 2 2 2 6 6" xfId="0"/>
    <cellStyle name="Normal 61 2 2 2 6 6 2" xfId="0"/>
    <cellStyle name="Normal 61 2 2 2 6 7" xfId="0"/>
    <cellStyle name="Normal 61 2 2 2 7" xfId="0"/>
    <cellStyle name="Normal 61 2 2 2 7 2" xfId="0"/>
    <cellStyle name="Normal 61 2 2 2 7 2 2" xfId="0"/>
    <cellStyle name="Normal 61 2 2 2 7 2 2 2" xfId="0"/>
    <cellStyle name="Normal 61 2 2 2 7 2 2 2 2" xfId="0"/>
    <cellStyle name="Normal 61 2 2 2 7 2 2 3" xfId="0"/>
    <cellStyle name="Normal 61 2 2 2 7 2 3" xfId="0"/>
    <cellStyle name="Normal 61 2 2 2 7 2 3 2" xfId="0"/>
    <cellStyle name="Normal 61 2 2 2 7 2 3 2 2" xfId="0"/>
    <cellStyle name="Normal 61 2 2 2 7 2 3 3" xfId="0"/>
    <cellStyle name="Normal 61 2 2 2 7 2 4" xfId="0"/>
    <cellStyle name="Normal 61 2 2 2 7 2 4 2" xfId="0"/>
    <cellStyle name="Normal 61 2 2 2 7 2 5" xfId="0"/>
    <cellStyle name="Normal 61 2 2 2 7 3" xfId="0"/>
    <cellStyle name="Normal 61 2 2 2 7 3 2" xfId="0"/>
    <cellStyle name="Normal 61 2 2 2 7 3 2 2" xfId="0"/>
    <cellStyle name="Normal 61 2 2 2 7 3 3" xfId="0"/>
    <cellStyle name="Normal 61 2 2 2 7 4" xfId="0"/>
    <cellStyle name="Normal 61 2 2 2 7 4 2" xfId="0"/>
    <cellStyle name="Normal 61 2 2 2 7 4 2 2" xfId="0"/>
    <cellStyle name="Normal 61 2 2 2 7 4 3" xfId="0"/>
    <cellStyle name="Normal 61 2 2 2 7 5" xfId="0"/>
    <cellStyle name="Normal 61 2 2 2 7 5 2" xfId="0"/>
    <cellStyle name="Normal 61 2 2 2 7 6" xfId="0"/>
    <cellStyle name="Normal 61 2 2 2 8" xfId="0"/>
    <cellStyle name="Normal 61 2 2 2 8 2" xfId="0"/>
    <cellStyle name="Normal 61 2 2 2 8 2 2" xfId="0"/>
    <cellStyle name="Normal 61 2 2 2 8 2 2 2" xfId="0"/>
    <cellStyle name="Normal 61 2 2 2 8 2 3" xfId="0"/>
    <cellStyle name="Normal 61 2 2 2 8 3" xfId="0"/>
    <cellStyle name="Normal 61 2 2 2 8 3 2" xfId="0"/>
    <cellStyle name="Normal 61 2 2 2 8 3 2 2" xfId="0"/>
    <cellStyle name="Normal 61 2 2 2 8 3 3" xfId="0"/>
    <cellStyle name="Normal 61 2 2 2 8 4" xfId="0"/>
    <cellStyle name="Normal 61 2 2 2 8 4 2" xfId="0"/>
    <cellStyle name="Normal 61 2 2 2 8 5" xfId="0"/>
    <cellStyle name="Normal 61 2 2 2 9" xfId="0"/>
    <cellStyle name="Normal 61 2 2 2 9 2" xfId="0"/>
    <cellStyle name="Normal 61 2 2 2 9 2 2" xfId="0"/>
    <cellStyle name="Normal 61 2 2 2 9 3" xfId="0"/>
    <cellStyle name="Normal 61 2 2 3" xfId="0"/>
    <cellStyle name="Normal 61 2 2 3 10" xfId="0"/>
    <cellStyle name="Normal 61 2 2 3 2" xfId="0"/>
    <cellStyle name="Normal 61 2 2 3 2 2" xfId="0"/>
    <cellStyle name="Normal 61 2 2 3 2 2 2" xfId="0"/>
    <cellStyle name="Normal 61 2 2 3 2 2 2 2" xfId="0"/>
    <cellStyle name="Normal 61 2 2 3 2 2 2 2 2" xfId="0"/>
    <cellStyle name="Normal 61 2 2 3 2 2 2 2 2 2" xfId="0"/>
    <cellStyle name="Normal 61 2 2 3 2 2 2 2 2 2 2" xfId="0"/>
    <cellStyle name="Normal 61 2 2 3 2 2 2 2 2 2 2 2" xfId="0"/>
    <cellStyle name="Normal 61 2 2 3 2 2 2 2 2 2 3" xfId="0"/>
    <cellStyle name="Normal 61 2 2 3 2 2 2 2 2 3" xfId="0"/>
    <cellStyle name="Normal 61 2 2 3 2 2 2 2 2 3 2" xfId="0"/>
    <cellStyle name="Normal 61 2 2 3 2 2 2 2 2 3 2 2" xfId="0"/>
    <cellStyle name="Normal 61 2 2 3 2 2 2 2 2 3 3" xfId="0"/>
    <cellStyle name="Normal 61 2 2 3 2 2 2 2 2 4" xfId="0"/>
    <cellStyle name="Normal 61 2 2 3 2 2 2 2 2 4 2" xfId="0"/>
    <cellStyle name="Normal 61 2 2 3 2 2 2 2 2 5" xfId="0"/>
    <cellStyle name="Normal 61 2 2 3 2 2 2 2 3" xfId="0"/>
    <cellStyle name="Normal 61 2 2 3 2 2 2 2 3 2" xfId="0"/>
    <cellStyle name="Normal 61 2 2 3 2 2 2 2 3 2 2" xfId="0"/>
    <cellStyle name="Normal 61 2 2 3 2 2 2 2 3 3" xfId="0"/>
    <cellStyle name="Normal 61 2 2 3 2 2 2 2 4" xfId="0"/>
    <cellStyle name="Normal 61 2 2 3 2 2 2 2 4 2" xfId="0"/>
    <cellStyle name="Normal 61 2 2 3 2 2 2 2 4 2 2" xfId="0"/>
    <cellStyle name="Normal 61 2 2 3 2 2 2 2 4 3" xfId="0"/>
    <cellStyle name="Normal 61 2 2 3 2 2 2 2 5" xfId="0"/>
    <cellStyle name="Normal 61 2 2 3 2 2 2 2 5 2" xfId="0"/>
    <cellStyle name="Normal 61 2 2 3 2 2 2 2 6" xfId="0"/>
    <cellStyle name="Normal 61 2 2 3 2 2 2 3" xfId="0"/>
    <cellStyle name="Normal 61 2 2 3 2 2 2 3 2" xfId="0"/>
    <cellStyle name="Normal 61 2 2 3 2 2 2 3 2 2" xfId="0"/>
    <cellStyle name="Normal 61 2 2 3 2 2 2 3 2 2 2" xfId="0"/>
    <cellStyle name="Normal 61 2 2 3 2 2 2 3 2 3" xfId="0"/>
    <cellStyle name="Normal 61 2 2 3 2 2 2 3 3" xfId="0"/>
    <cellStyle name="Normal 61 2 2 3 2 2 2 3 3 2" xfId="0"/>
    <cellStyle name="Normal 61 2 2 3 2 2 2 3 3 2 2" xfId="0"/>
    <cellStyle name="Normal 61 2 2 3 2 2 2 3 3 3" xfId="0"/>
    <cellStyle name="Normal 61 2 2 3 2 2 2 3 4" xfId="0"/>
    <cellStyle name="Normal 61 2 2 3 2 2 2 3 4 2" xfId="0"/>
    <cellStyle name="Normal 61 2 2 3 2 2 2 3 5" xfId="0"/>
    <cellStyle name="Normal 61 2 2 3 2 2 2 4" xfId="0"/>
    <cellStyle name="Normal 61 2 2 3 2 2 2 4 2" xfId="0"/>
    <cellStyle name="Normal 61 2 2 3 2 2 2 4 2 2" xfId="0"/>
    <cellStyle name="Normal 61 2 2 3 2 2 2 4 3" xfId="0"/>
    <cellStyle name="Normal 61 2 2 3 2 2 2 5" xfId="0"/>
    <cellStyle name="Normal 61 2 2 3 2 2 2 5 2" xfId="0"/>
    <cellStyle name="Normal 61 2 2 3 2 2 2 5 2 2" xfId="0"/>
    <cellStyle name="Normal 61 2 2 3 2 2 2 5 3" xfId="0"/>
    <cellStyle name="Normal 61 2 2 3 2 2 2 6" xfId="0"/>
    <cellStyle name="Normal 61 2 2 3 2 2 2 6 2" xfId="0"/>
    <cellStyle name="Normal 61 2 2 3 2 2 2 7" xfId="0"/>
    <cellStyle name="Normal 61 2 2 3 2 2 3" xfId="0"/>
    <cellStyle name="Normal 61 2 2 3 2 2 3 2" xfId="0"/>
    <cellStyle name="Normal 61 2 2 3 2 2 3 2 2" xfId="0"/>
    <cellStyle name="Normal 61 2 2 3 2 2 3 2 2 2" xfId="0"/>
    <cellStyle name="Normal 61 2 2 3 2 2 3 2 2 2 2" xfId="0"/>
    <cellStyle name="Normal 61 2 2 3 2 2 3 2 2 3" xfId="0"/>
    <cellStyle name="Normal 61 2 2 3 2 2 3 2 3" xfId="0"/>
    <cellStyle name="Normal 61 2 2 3 2 2 3 2 3 2" xfId="0"/>
    <cellStyle name="Normal 61 2 2 3 2 2 3 2 3 2 2" xfId="0"/>
    <cellStyle name="Normal 61 2 2 3 2 2 3 2 3 3" xfId="0"/>
    <cellStyle name="Normal 61 2 2 3 2 2 3 2 4" xfId="0"/>
    <cellStyle name="Normal 61 2 2 3 2 2 3 2 4 2" xfId="0"/>
    <cellStyle name="Normal 61 2 2 3 2 2 3 2 5" xfId="0"/>
    <cellStyle name="Normal 61 2 2 3 2 2 3 3" xfId="0"/>
    <cellStyle name="Normal 61 2 2 3 2 2 3 3 2" xfId="0"/>
    <cellStyle name="Normal 61 2 2 3 2 2 3 3 2 2" xfId="0"/>
    <cellStyle name="Normal 61 2 2 3 2 2 3 3 3" xfId="0"/>
    <cellStyle name="Normal 61 2 2 3 2 2 3 4" xfId="0"/>
    <cellStyle name="Normal 61 2 2 3 2 2 3 4 2" xfId="0"/>
    <cellStyle name="Normal 61 2 2 3 2 2 3 4 2 2" xfId="0"/>
    <cellStyle name="Normal 61 2 2 3 2 2 3 4 3" xfId="0"/>
    <cellStyle name="Normal 61 2 2 3 2 2 3 5" xfId="0"/>
    <cellStyle name="Normal 61 2 2 3 2 2 3 5 2" xfId="0"/>
    <cellStyle name="Normal 61 2 2 3 2 2 3 6" xfId="0"/>
    <cellStyle name="Normal 61 2 2 3 2 2 4" xfId="0"/>
    <cellStyle name="Normal 61 2 2 3 2 2 4 2" xfId="0"/>
    <cellStyle name="Normal 61 2 2 3 2 2 4 2 2" xfId="0"/>
    <cellStyle name="Normal 61 2 2 3 2 2 4 2 2 2" xfId="0"/>
    <cellStyle name="Normal 61 2 2 3 2 2 4 2 3" xfId="0"/>
    <cellStyle name="Normal 61 2 2 3 2 2 4 3" xfId="0"/>
    <cellStyle name="Normal 61 2 2 3 2 2 4 3 2" xfId="0"/>
    <cellStyle name="Normal 61 2 2 3 2 2 4 3 2 2" xfId="0"/>
    <cellStyle name="Normal 61 2 2 3 2 2 4 3 3" xfId="0"/>
    <cellStyle name="Normal 61 2 2 3 2 2 4 4" xfId="0"/>
    <cellStyle name="Normal 61 2 2 3 2 2 4 4 2" xfId="0"/>
    <cellStyle name="Normal 61 2 2 3 2 2 4 5" xfId="0"/>
    <cellStyle name="Normal 61 2 2 3 2 2 5" xfId="0"/>
    <cellStyle name="Normal 61 2 2 3 2 2 5 2" xfId="0"/>
    <cellStyle name="Normal 61 2 2 3 2 2 5 2 2" xfId="0"/>
    <cellStyle name="Normal 61 2 2 3 2 2 5 3" xfId="0"/>
    <cellStyle name="Normal 61 2 2 3 2 2 6" xfId="0"/>
    <cellStyle name="Normal 61 2 2 3 2 2 6 2" xfId="0"/>
    <cellStyle name="Normal 61 2 2 3 2 2 6 2 2" xfId="0"/>
    <cellStyle name="Normal 61 2 2 3 2 2 6 3" xfId="0"/>
    <cellStyle name="Normal 61 2 2 3 2 2 7" xfId="0"/>
    <cellStyle name="Normal 61 2 2 3 2 2 7 2" xfId="0"/>
    <cellStyle name="Normal 61 2 2 3 2 2 8" xfId="0"/>
    <cellStyle name="Normal 61 2 2 3 2 3" xfId="0"/>
    <cellStyle name="Normal 61 2 2 3 2 3 2" xfId="0"/>
    <cellStyle name="Normal 61 2 2 3 2 3 2 2" xfId="0"/>
    <cellStyle name="Normal 61 2 2 3 2 3 2 2 2" xfId="0"/>
    <cellStyle name="Normal 61 2 2 3 2 3 2 2 2 2" xfId="0"/>
    <cellStyle name="Normal 61 2 2 3 2 3 2 2 2 2 2" xfId="0"/>
    <cellStyle name="Normal 61 2 2 3 2 3 2 2 2 3" xfId="0"/>
    <cellStyle name="Normal 61 2 2 3 2 3 2 2 3" xfId="0"/>
    <cellStyle name="Normal 61 2 2 3 2 3 2 2 3 2" xfId="0"/>
    <cellStyle name="Normal 61 2 2 3 2 3 2 2 3 2 2" xfId="0"/>
    <cellStyle name="Normal 61 2 2 3 2 3 2 2 3 3" xfId="0"/>
    <cellStyle name="Normal 61 2 2 3 2 3 2 2 4" xfId="0"/>
    <cellStyle name="Normal 61 2 2 3 2 3 2 2 4 2" xfId="0"/>
    <cellStyle name="Normal 61 2 2 3 2 3 2 2 5" xfId="0"/>
    <cellStyle name="Normal 61 2 2 3 2 3 2 3" xfId="0"/>
    <cellStyle name="Normal 61 2 2 3 2 3 2 3 2" xfId="0"/>
    <cellStyle name="Normal 61 2 2 3 2 3 2 3 2 2" xfId="0"/>
    <cellStyle name="Normal 61 2 2 3 2 3 2 3 3" xfId="0"/>
    <cellStyle name="Normal 61 2 2 3 2 3 2 4" xfId="0"/>
    <cellStyle name="Normal 61 2 2 3 2 3 2 4 2" xfId="0"/>
    <cellStyle name="Normal 61 2 2 3 2 3 2 4 2 2" xfId="0"/>
    <cellStyle name="Normal 61 2 2 3 2 3 2 4 3" xfId="0"/>
    <cellStyle name="Normal 61 2 2 3 2 3 2 5" xfId="0"/>
    <cellStyle name="Normal 61 2 2 3 2 3 2 5 2" xfId="0"/>
    <cellStyle name="Normal 61 2 2 3 2 3 2 6" xfId="0"/>
    <cellStyle name="Normal 61 2 2 3 2 3 3" xfId="0"/>
    <cellStyle name="Normal 61 2 2 3 2 3 3 2" xfId="0"/>
    <cellStyle name="Normal 61 2 2 3 2 3 3 2 2" xfId="0"/>
    <cellStyle name="Normal 61 2 2 3 2 3 3 2 2 2" xfId="0"/>
    <cellStyle name="Normal 61 2 2 3 2 3 3 2 3" xfId="0"/>
    <cellStyle name="Normal 61 2 2 3 2 3 3 3" xfId="0"/>
    <cellStyle name="Normal 61 2 2 3 2 3 3 3 2" xfId="0"/>
    <cellStyle name="Normal 61 2 2 3 2 3 3 3 2 2" xfId="0"/>
    <cellStyle name="Normal 61 2 2 3 2 3 3 3 3" xfId="0"/>
    <cellStyle name="Normal 61 2 2 3 2 3 3 4" xfId="0"/>
    <cellStyle name="Normal 61 2 2 3 2 3 3 4 2" xfId="0"/>
    <cellStyle name="Normal 61 2 2 3 2 3 3 5" xfId="0"/>
    <cellStyle name="Normal 61 2 2 3 2 3 4" xfId="0"/>
    <cellStyle name="Normal 61 2 2 3 2 3 4 2" xfId="0"/>
    <cellStyle name="Normal 61 2 2 3 2 3 4 2 2" xfId="0"/>
    <cellStyle name="Normal 61 2 2 3 2 3 4 3" xfId="0"/>
    <cellStyle name="Normal 61 2 2 3 2 3 5" xfId="0"/>
    <cellStyle name="Normal 61 2 2 3 2 3 5 2" xfId="0"/>
    <cellStyle name="Normal 61 2 2 3 2 3 5 2 2" xfId="0"/>
    <cellStyle name="Normal 61 2 2 3 2 3 5 3" xfId="0"/>
    <cellStyle name="Normal 61 2 2 3 2 3 6" xfId="0"/>
    <cellStyle name="Normal 61 2 2 3 2 3 6 2" xfId="0"/>
    <cellStyle name="Normal 61 2 2 3 2 3 7" xfId="0"/>
    <cellStyle name="Normal 61 2 2 3 2 4" xfId="0"/>
    <cellStyle name="Normal 61 2 2 3 2 4 2" xfId="0"/>
    <cellStyle name="Normal 61 2 2 3 2 4 2 2" xfId="0"/>
    <cellStyle name="Normal 61 2 2 3 2 4 2 2 2" xfId="0"/>
    <cellStyle name="Normal 61 2 2 3 2 4 2 2 2 2" xfId="0"/>
    <cellStyle name="Normal 61 2 2 3 2 4 2 2 3" xfId="0"/>
    <cellStyle name="Normal 61 2 2 3 2 4 2 3" xfId="0"/>
    <cellStyle name="Normal 61 2 2 3 2 4 2 3 2" xfId="0"/>
    <cellStyle name="Normal 61 2 2 3 2 4 2 3 2 2" xfId="0"/>
    <cellStyle name="Normal 61 2 2 3 2 4 2 3 3" xfId="0"/>
    <cellStyle name="Normal 61 2 2 3 2 4 2 4" xfId="0"/>
    <cellStyle name="Normal 61 2 2 3 2 4 2 4 2" xfId="0"/>
    <cellStyle name="Normal 61 2 2 3 2 4 2 5" xfId="0"/>
    <cellStyle name="Normal 61 2 2 3 2 4 3" xfId="0"/>
    <cellStyle name="Normal 61 2 2 3 2 4 3 2" xfId="0"/>
    <cellStyle name="Normal 61 2 2 3 2 4 3 2 2" xfId="0"/>
    <cellStyle name="Normal 61 2 2 3 2 4 3 3" xfId="0"/>
    <cellStyle name="Normal 61 2 2 3 2 4 4" xfId="0"/>
    <cellStyle name="Normal 61 2 2 3 2 4 4 2" xfId="0"/>
    <cellStyle name="Normal 61 2 2 3 2 4 4 2 2" xfId="0"/>
    <cellStyle name="Normal 61 2 2 3 2 4 4 3" xfId="0"/>
    <cellStyle name="Normal 61 2 2 3 2 4 5" xfId="0"/>
    <cellStyle name="Normal 61 2 2 3 2 4 5 2" xfId="0"/>
    <cellStyle name="Normal 61 2 2 3 2 4 6" xfId="0"/>
    <cellStyle name="Normal 61 2 2 3 2 5" xfId="0"/>
    <cellStyle name="Normal 61 2 2 3 2 5 2" xfId="0"/>
    <cellStyle name="Normal 61 2 2 3 2 5 2 2" xfId="0"/>
    <cellStyle name="Normal 61 2 2 3 2 5 2 2 2" xfId="0"/>
    <cellStyle name="Normal 61 2 2 3 2 5 2 3" xfId="0"/>
    <cellStyle name="Normal 61 2 2 3 2 5 3" xfId="0"/>
    <cellStyle name="Normal 61 2 2 3 2 5 3 2" xfId="0"/>
    <cellStyle name="Normal 61 2 2 3 2 5 3 2 2" xfId="0"/>
    <cellStyle name="Normal 61 2 2 3 2 5 3 3" xfId="0"/>
    <cellStyle name="Normal 61 2 2 3 2 5 4" xfId="0"/>
    <cellStyle name="Normal 61 2 2 3 2 5 4 2" xfId="0"/>
    <cellStyle name="Normal 61 2 2 3 2 5 5" xfId="0"/>
    <cellStyle name="Normal 61 2 2 3 2 6" xfId="0"/>
    <cellStyle name="Normal 61 2 2 3 2 6 2" xfId="0"/>
    <cellStyle name="Normal 61 2 2 3 2 6 2 2" xfId="0"/>
    <cellStyle name="Normal 61 2 2 3 2 6 3" xfId="0"/>
    <cellStyle name="Normal 61 2 2 3 2 7" xfId="0"/>
    <cellStyle name="Normal 61 2 2 3 2 7 2" xfId="0"/>
    <cellStyle name="Normal 61 2 2 3 2 7 2 2" xfId="0"/>
    <cellStyle name="Normal 61 2 2 3 2 7 3" xfId="0"/>
    <cellStyle name="Normal 61 2 2 3 2 8" xfId="0"/>
    <cellStyle name="Normal 61 2 2 3 2 8 2" xfId="0"/>
    <cellStyle name="Normal 61 2 2 3 2 9" xfId="0"/>
    <cellStyle name="Normal 61 2 2 3 3" xfId="0"/>
    <cellStyle name="Normal 61 2 2 3 3 2" xfId="0"/>
    <cellStyle name="Normal 61 2 2 3 3 2 2" xfId="0"/>
    <cellStyle name="Normal 61 2 2 3 3 2 2 2" xfId="0"/>
    <cellStyle name="Normal 61 2 2 3 3 2 2 2 2" xfId="0"/>
    <cellStyle name="Normal 61 2 2 3 3 2 2 2 2 2" xfId="0"/>
    <cellStyle name="Normal 61 2 2 3 3 2 2 2 2 2 2" xfId="0"/>
    <cellStyle name="Normal 61 2 2 3 3 2 2 2 2 3" xfId="0"/>
    <cellStyle name="Normal 61 2 2 3 3 2 2 2 3" xfId="0"/>
    <cellStyle name="Normal 61 2 2 3 3 2 2 2 3 2" xfId="0"/>
    <cellStyle name="Normal 61 2 2 3 3 2 2 2 3 2 2" xfId="0"/>
    <cellStyle name="Normal 61 2 2 3 3 2 2 2 3 3" xfId="0"/>
    <cellStyle name="Normal 61 2 2 3 3 2 2 2 4" xfId="0"/>
    <cellStyle name="Normal 61 2 2 3 3 2 2 2 4 2" xfId="0"/>
    <cellStyle name="Normal 61 2 2 3 3 2 2 2 5" xfId="0"/>
    <cellStyle name="Normal 61 2 2 3 3 2 2 3" xfId="0"/>
    <cellStyle name="Normal 61 2 2 3 3 2 2 3 2" xfId="0"/>
    <cellStyle name="Normal 61 2 2 3 3 2 2 3 2 2" xfId="0"/>
    <cellStyle name="Normal 61 2 2 3 3 2 2 3 3" xfId="0"/>
    <cellStyle name="Normal 61 2 2 3 3 2 2 4" xfId="0"/>
    <cellStyle name="Normal 61 2 2 3 3 2 2 4 2" xfId="0"/>
    <cellStyle name="Normal 61 2 2 3 3 2 2 4 2 2" xfId="0"/>
    <cellStyle name="Normal 61 2 2 3 3 2 2 4 3" xfId="0"/>
    <cellStyle name="Normal 61 2 2 3 3 2 2 5" xfId="0"/>
    <cellStyle name="Normal 61 2 2 3 3 2 2 5 2" xfId="0"/>
    <cellStyle name="Normal 61 2 2 3 3 2 2 6" xfId="0"/>
    <cellStyle name="Normal 61 2 2 3 3 2 3" xfId="0"/>
    <cellStyle name="Normal 61 2 2 3 3 2 3 2" xfId="0"/>
    <cellStyle name="Normal 61 2 2 3 3 2 3 2 2" xfId="0"/>
    <cellStyle name="Normal 61 2 2 3 3 2 3 2 2 2" xfId="0"/>
    <cellStyle name="Normal 61 2 2 3 3 2 3 2 3" xfId="0"/>
    <cellStyle name="Normal 61 2 2 3 3 2 3 3" xfId="0"/>
    <cellStyle name="Normal 61 2 2 3 3 2 3 3 2" xfId="0"/>
    <cellStyle name="Normal 61 2 2 3 3 2 3 3 2 2" xfId="0"/>
    <cellStyle name="Normal 61 2 2 3 3 2 3 3 3" xfId="0"/>
    <cellStyle name="Normal 61 2 2 3 3 2 3 4" xfId="0"/>
    <cellStyle name="Normal 61 2 2 3 3 2 3 4 2" xfId="0"/>
    <cellStyle name="Normal 61 2 2 3 3 2 3 5" xfId="0"/>
    <cellStyle name="Normal 61 2 2 3 3 2 4" xfId="0"/>
    <cellStyle name="Normal 61 2 2 3 3 2 4 2" xfId="0"/>
    <cellStyle name="Normal 61 2 2 3 3 2 4 2 2" xfId="0"/>
    <cellStyle name="Normal 61 2 2 3 3 2 4 3" xfId="0"/>
    <cellStyle name="Normal 61 2 2 3 3 2 5" xfId="0"/>
    <cellStyle name="Normal 61 2 2 3 3 2 5 2" xfId="0"/>
    <cellStyle name="Normal 61 2 2 3 3 2 5 2 2" xfId="0"/>
    <cellStyle name="Normal 61 2 2 3 3 2 5 3" xfId="0"/>
    <cellStyle name="Normal 61 2 2 3 3 2 6" xfId="0"/>
    <cellStyle name="Normal 61 2 2 3 3 2 6 2" xfId="0"/>
    <cellStyle name="Normal 61 2 2 3 3 2 7" xfId="0"/>
    <cellStyle name="Normal 61 2 2 3 3 3" xfId="0"/>
    <cellStyle name="Normal 61 2 2 3 3 3 2" xfId="0"/>
    <cellStyle name="Normal 61 2 2 3 3 3 2 2" xfId="0"/>
    <cellStyle name="Normal 61 2 2 3 3 3 2 2 2" xfId="0"/>
    <cellStyle name="Normal 61 2 2 3 3 3 2 2 2 2" xfId="0"/>
    <cellStyle name="Normal 61 2 2 3 3 3 2 2 3" xfId="0"/>
    <cellStyle name="Normal 61 2 2 3 3 3 2 3" xfId="0"/>
    <cellStyle name="Normal 61 2 2 3 3 3 2 3 2" xfId="0"/>
    <cellStyle name="Normal 61 2 2 3 3 3 2 3 2 2" xfId="0"/>
    <cellStyle name="Normal 61 2 2 3 3 3 2 3 3" xfId="0"/>
    <cellStyle name="Normal 61 2 2 3 3 3 2 4" xfId="0"/>
    <cellStyle name="Normal 61 2 2 3 3 3 2 4 2" xfId="0"/>
    <cellStyle name="Normal 61 2 2 3 3 3 2 5" xfId="0"/>
    <cellStyle name="Normal 61 2 2 3 3 3 3" xfId="0"/>
    <cellStyle name="Normal 61 2 2 3 3 3 3 2" xfId="0"/>
    <cellStyle name="Normal 61 2 2 3 3 3 3 2 2" xfId="0"/>
    <cellStyle name="Normal 61 2 2 3 3 3 3 3" xfId="0"/>
    <cellStyle name="Normal 61 2 2 3 3 3 4" xfId="0"/>
    <cellStyle name="Normal 61 2 2 3 3 3 4 2" xfId="0"/>
    <cellStyle name="Normal 61 2 2 3 3 3 4 2 2" xfId="0"/>
    <cellStyle name="Normal 61 2 2 3 3 3 4 3" xfId="0"/>
    <cellStyle name="Normal 61 2 2 3 3 3 5" xfId="0"/>
    <cellStyle name="Normal 61 2 2 3 3 3 5 2" xfId="0"/>
    <cellStyle name="Normal 61 2 2 3 3 3 6" xfId="0"/>
    <cellStyle name="Normal 61 2 2 3 3 4" xfId="0"/>
    <cellStyle name="Normal 61 2 2 3 3 4 2" xfId="0"/>
    <cellStyle name="Normal 61 2 2 3 3 4 2 2" xfId="0"/>
    <cellStyle name="Normal 61 2 2 3 3 4 2 2 2" xfId="0"/>
    <cellStyle name="Normal 61 2 2 3 3 4 2 3" xfId="0"/>
    <cellStyle name="Normal 61 2 2 3 3 4 3" xfId="0"/>
    <cellStyle name="Normal 61 2 2 3 3 4 3 2" xfId="0"/>
    <cellStyle name="Normal 61 2 2 3 3 4 3 2 2" xfId="0"/>
    <cellStyle name="Normal 61 2 2 3 3 4 3 3" xfId="0"/>
    <cellStyle name="Normal 61 2 2 3 3 4 4" xfId="0"/>
    <cellStyle name="Normal 61 2 2 3 3 4 4 2" xfId="0"/>
    <cellStyle name="Normal 61 2 2 3 3 4 5" xfId="0"/>
    <cellStyle name="Normal 61 2 2 3 3 5" xfId="0"/>
    <cellStyle name="Normal 61 2 2 3 3 5 2" xfId="0"/>
    <cellStyle name="Normal 61 2 2 3 3 5 2 2" xfId="0"/>
    <cellStyle name="Normal 61 2 2 3 3 5 3" xfId="0"/>
    <cellStyle name="Normal 61 2 2 3 3 6" xfId="0"/>
    <cellStyle name="Normal 61 2 2 3 3 6 2" xfId="0"/>
    <cellStyle name="Normal 61 2 2 3 3 6 2 2" xfId="0"/>
    <cellStyle name="Normal 61 2 2 3 3 6 3" xfId="0"/>
    <cellStyle name="Normal 61 2 2 3 3 7" xfId="0"/>
    <cellStyle name="Normal 61 2 2 3 3 7 2" xfId="0"/>
    <cellStyle name="Normal 61 2 2 3 3 8" xfId="0"/>
    <cellStyle name="Normal 61 2 2 3 4" xfId="0"/>
    <cellStyle name="Normal 61 2 2 3 4 2" xfId="0"/>
    <cellStyle name="Normal 61 2 2 3 4 2 2" xfId="0"/>
    <cellStyle name="Normal 61 2 2 3 4 2 2 2" xfId="0"/>
    <cellStyle name="Normal 61 2 2 3 4 2 2 2 2" xfId="0"/>
    <cellStyle name="Normal 61 2 2 3 4 2 2 2 2 2" xfId="0"/>
    <cellStyle name="Normal 61 2 2 3 4 2 2 2 3" xfId="0"/>
    <cellStyle name="Normal 61 2 2 3 4 2 2 3" xfId="0"/>
    <cellStyle name="Normal 61 2 2 3 4 2 2 3 2" xfId="0"/>
    <cellStyle name="Normal 61 2 2 3 4 2 2 3 2 2" xfId="0"/>
    <cellStyle name="Normal 61 2 2 3 4 2 2 3 3" xfId="0"/>
    <cellStyle name="Normal 61 2 2 3 4 2 2 4" xfId="0"/>
    <cellStyle name="Normal 61 2 2 3 4 2 2 4 2" xfId="0"/>
    <cellStyle name="Normal 61 2 2 3 4 2 2 5" xfId="0"/>
    <cellStyle name="Normal 61 2 2 3 4 2 3" xfId="0"/>
    <cellStyle name="Normal 61 2 2 3 4 2 3 2" xfId="0"/>
    <cellStyle name="Normal 61 2 2 3 4 2 3 2 2" xfId="0"/>
    <cellStyle name="Normal 61 2 2 3 4 2 3 3" xfId="0"/>
    <cellStyle name="Normal 61 2 2 3 4 2 4" xfId="0"/>
    <cellStyle name="Normal 61 2 2 3 4 2 4 2" xfId="0"/>
    <cellStyle name="Normal 61 2 2 3 4 2 4 2 2" xfId="0"/>
    <cellStyle name="Normal 61 2 2 3 4 2 4 3" xfId="0"/>
    <cellStyle name="Normal 61 2 2 3 4 2 5" xfId="0"/>
    <cellStyle name="Normal 61 2 2 3 4 2 5 2" xfId="0"/>
    <cellStyle name="Normal 61 2 2 3 4 2 6" xfId="0"/>
    <cellStyle name="Normal 61 2 2 3 4 3" xfId="0"/>
    <cellStyle name="Normal 61 2 2 3 4 3 2" xfId="0"/>
    <cellStyle name="Normal 61 2 2 3 4 3 2 2" xfId="0"/>
    <cellStyle name="Normal 61 2 2 3 4 3 2 2 2" xfId="0"/>
    <cellStyle name="Normal 61 2 2 3 4 3 2 3" xfId="0"/>
    <cellStyle name="Normal 61 2 2 3 4 3 3" xfId="0"/>
    <cellStyle name="Normal 61 2 2 3 4 3 3 2" xfId="0"/>
    <cellStyle name="Normal 61 2 2 3 4 3 3 2 2" xfId="0"/>
    <cellStyle name="Normal 61 2 2 3 4 3 3 3" xfId="0"/>
    <cellStyle name="Normal 61 2 2 3 4 3 4" xfId="0"/>
    <cellStyle name="Normal 61 2 2 3 4 3 4 2" xfId="0"/>
    <cellStyle name="Normal 61 2 2 3 4 3 5" xfId="0"/>
    <cellStyle name="Normal 61 2 2 3 4 4" xfId="0"/>
    <cellStyle name="Normal 61 2 2 3 4 4 2" xfId="0"/>
    <cellStyle name="Normal 61 2 2 3 4 4 2 2" xfId="0"/>
    <cellStyle name="Normal 61 2 2 3 4 4 3" xfId="0"/>
    <cellStyle name="Normal 61 2 2 3 4 5" xfId="0"/>
    <cellStyle name="Normal 61 2 2 3 4 5 2" xfId="0"/>
    <cellStyle name="Normal 61 2 2 3 4 5 2 2" xfId="0"/>
    <cellStyle name="Normal 61 2 2 3 4 5 3" xfId="0"/>
    <cellStyle name="Normal 61 2 2 3 4 6" xfId="0"/>
    <cellStyle name="Normal 61 2 2 3 4 6 2" xfId="0"/>
    <cellStyle name="Normal 61 2 2 3 4 7" xfId="0"/>
    <cellStyle name="Normal 61 2 2 3 5" xfId="0"/>
    <cellStyle name="Normal 61 2 2 3 5 2" xfId="0"/>
    <cellStyle name="Normal 61 2 2 3 5 2 2" xfId="0"/>
    <cellStyle name="Normal 61 2 2 3 5 2 2 2" xfId="0"/>
    <cellStyle name="Normal 61 2 2 3 5 2 2 2 2" xfId="0"/>
    <cellStyle name="Normal 61 2 2 3 5 2 2 3" xfId="0"/>
    <cellStyle name="Normal 61 2 2 3 5 2 3" xfId="0"/>
    <cellStyle name="Normal 61 2 2 3 5 2 3 2" xfId="0"/>
    <cellStyle name="Normal 61 2 2 3 5 2 3 2 2" xfId="0"/>
    <cellStyle name="Normal 61 2 2 3 5 2 3 3" xfId="0"/>
    <cellStyle name="Normal 61 2 2 3 5 2 4" xfId="0"/>
    <cellStyle name="Normal 61 2 2 3 5 2 4 2" xfId="0"/>
    <cellStyle name="Normal 61 2 2 3 5 2 5" xfId="0"/>
    <cellStyle name="Normal 61 2 2 3 5 3" xfId="0"/>
    <cellStyle name="Normal 61 2 2 3 5 3 2" xfId="0"/>
    <cellStyle name="Normal 61 2 2 3 5 3 2 2" xfId="0"/>
    <cellStyle name="Normal 61 2 2 3 5 3 3" xfId="0"/>
    <cellStyle name="Normal 61 2 2 3 5 4" xfId="0"/>
    <cellStyle name="Normal 61 2 2 3 5 4 2" xfId="0"/>
    <cellStyle name="Normal 61 2 2 3 5 4 2 2" xfId="0"/>
    <cellStyle name="Normal 61 2 2 3 5 4 3" xfId="0"/>
    <cellStyle name="Normal 61 2 2 3 5 5" xfId="0"/>
    <cellStyle name="Normal 61 2 2 3 5 5 2" xfId="0"/>
    <cellStyle name="Normal 61 2 2 3 5 6" xfId="0"/>
    <cellStyle name="Normal 61 2 2 3 6" xfId="0"/>
    <cellStyle name="Normal 61 2 2 3 6 2" xfId="0"/>
    <cellStyle name="Normal 61 2 2 3 6 2 2" xfId="0"/>
    <cellStyle name="Normal 61 2 2 3 6 2 2 2" xfId="0"/>
    <cellStyle name="Normal 61 2 2 3 6 2 3" xfId="0"/>
    <cellStyle name="Normal 61 2 2 3 6 3" xfId="0"/>
    <cellStyle name="Normal 61 2 2 3 6 3 2" xfId="0"/>
    <cellStyle name="Normal 61 2 2 3 6 3 2 2" xfId="0"/>
    <cellStyle name="Normal 61 2 2 3 6 3 3" xfId="0"/>
    <cellStyle name="Normal 61 2 2 3 6 4" xfId="0"/>
    <cellStyle name="Normal 61 2 2 3 6 4 2" xfId="0"/>
    <cellStyle name="Normal 61 2 2 3 6 5" xfId="0"/>
    <cellStyle name="Normal 61 2 2 3 7" xfId="0"/>
    <cellStyle name="Normal 61 2 2 3 7 2" xfId="0"/>
    <cellStyle name="Normal 61 2 2 3 7 2 2" xfId="0"/>
    <cellStyle name="Normal 61 2 2 3 7 3" xfId="0"/>
    <cellStyle name="Normal 61 2 2 3 8" xfId="0"/>
    <cellStyle name="Normal 61 2 2 3 8 2" xfId="0"/>
    <cellStyle name="Normal 61 2 2 3 8 2 2" xfId="0"/>
    <cellStyle name="Normal 61 2 2 3 8 3" xfId="0"/>
    <cellStyle name="Normal 61 2 2 3 9" xfId="0"/>
    <cellStyle name="Normal 61 2 2 3 9 2" xfId="0"/>
    <cellStyle name="Normal 61 2 2 4" xfId="0"/>
    <cellStyle name="Normal 61 2 2 4 10" xfId="0"/>
    <cellStyle name="Normal 61 2 2 4 2" xfId="0"/>
    <cellStyle name="Normal 61 2 2 4 2 2" xfId="0"/>
    <cellStyle name="Normal 61 2 2 4 2 2 2" xfId="0"/>
    <cellStyle name="Normal 61 2 2 4 2 2 2 2" xfId="0"/>
    <cellStyle name="Normal 61 2 2 4 2 2 2 2 2" xfId="0"/>
    <cellStyle name="Normal 61 2 2 4 2 2 2 2 2 2" xfId="0"/>
    <cellStyle name="Normal 61 2 2 4 2 2 2 2 2 2 2" xfId="0"/>
    <cellStyle name="Normal 61 2 2 4 2 2 2 2 2 2 2 2" xfId="0"/>
    <cellStyle name="Normal 61 2 2 4 2 2 2 2 2 2 3" xfId="0"/>
    <cellStyle name="Normal 61 2 2 4 2 2 2 2 2 3" xfId="0"/>
    <cellStyle name="Normal 61 2 2 4 2 2 2 2 2 3 2" xfId="0"/>
    <cellStyle name="Normal 61 2 2 4 2 2 2 2 2 3 2 2" xfId="0"/>
    <cellStyle name="Normal 61 2 2 4 2 2 2 2 2 3 3" xfId="0"/>
    <cellStyle name="Normal 61 2 2 4 2 2 2 2 2 4" xfId="0"/>
    <cellStyle name="Normal 61 2 2 4 2 2 2 2 2 4 2" xfId="0"/>
    <cellStyle name="Normal 61 2 2 4 2 2 2 2 2 5" xfId="0"/>
    <cellStyle name="Normal 61 2 2 4 2 2 2 2 3" xfId="0"/>
    <cellStyle name="Normal 61 2 2 4 2 2 2 2 3 2" xfId="0"/>
    <cellStyle name="Normal 61 2 2 4 2 2 2 2 3 2 2" xfId="0"/>
    <cellStyle name="Normal 61 2 2 4 2 2 2 2 3 3" xfId="0"/>
    <cellStyle name="Normal 61 2 2 4 2 2 2 2 4" xfId="0"/>
    <cellStyle name="Normal 61 2 2 4 2 2 2 2 4 2" xfId="0"/>
    <cellStyle name="Normal 61 2 2 4 2 2 2 2 4 2 2" xfId="0"/>
    <cellStyle name="Normal 61 2 2 4 2 2 2 2 4 3" xfId="0"/>
    <cellStyle name="Normal 61 2 2 4 2 2 2 2 5" xfId="0"/>
    <cellStyle name="Normal 61 2 2 4 2 2 2 2 5 2" xfId="0"/>
    <cellStyle name="Normal 61 2 2 4 2 2 2 2 6" xfId="0"/>
    <cellStyle name="Normal 61 2 2 4 2 2 2 3" xfId="0"/>
    <cellStyle name="Normal 61 2 2 4 2 2 2 3 2" xfId="0"/>
    <cellStyle name="Normal 61 2 2 4 2 2 2 3 2 2" xfId="0"/>
    <cellStyle name="Normal 61 2 2 4 2 2 2 3 2 2 2" xfId="0"/>
    <cellStyle name="Normal 61 2 2 4 2 2 2 3 2 3" xfId="0"/>
    <cellStyle name="Normal 61 2 2 4 2 2 2 3 3" xfId="0"/>
    <cellStyle name="Normal 61 2 2 4 2 2 2 3 3 2" xfId="0"/>
    <cellStyle name="Normal 61 2 2 4 2 2 2 3 3 2 2" xfId="0"/>
    <cellStyle name="Normal 61 2 2 4 2 2 2 3 3 3" xfId="0"/>
    <cellStyle name="Normal 61 2 2 4 2 2 2 3 4" xfId="0"/>
    <cellStyle name="Normal 61 2 2 4 2 2 2 3 4 2" xfId="0"/>
    <cellStyle name="Normal 61 2 2 4 2 2 2 3 5" xfId="0"/>
    <cellStyle name="Normal 61 2 2 4 2 2 2 4" xfId="0"/>
    <cellStyle name="Normal 61 2 2 4 2 2 2 4 2" xfId="0"/>
    <cellStyle name="Normal 61 2 2 4 2 2 2 4 2 2" xfId="0"/>
    <cellStyle name="Normal 61 2 2 4 2 2 2 4 3" xfId="0"/>
    <cellStyle name="Normal 61 2 2 4 2 2 2 5" xfId="0"/>
    <cellStyle name="Normal 61 2 2 4 2 2 2 5 2" xfId="0"/>
    <cellStyle name="Normal 61 2 2 4 2 2 2 5 2 2" xfId="0"/>
    <cellStyle name="Normal 61 2 2 4 2 2 2 5 3" xfId="0"/>
    <cellStyle name="Normal 61 2 2 4 2 2 2 6" xfId="0"/>
    <cellStyle name="Normal 61 2 2 4 2 2 2 6 2" xfId="0"/>
    <cellStyle name="Normal 61 2 2 4 2 2 2 7" xfId="0"/>
    <cellStyle name="Normal 61 2 2 4 2 2 3" xfId="0"/>
    <cellStyle name="Normal 61 2 2 4 2 2 3 2" xfId="0"/>
    <cellStyle name="Normal 61 2 2 4 2 2 3 2 2" xfId="0"/>
    <cellStyle name="Normal 61 2 2 4 2 2 3 2 2 2" xfId="0"/>
    <cellStyle name="Normal 61 2 2 4 2 2 3 2 2 2 2" xfId="0"/>
    <cellStyle name="Normal 61 2 2 4 2 2 3 2 2 3" xfId="0"/>
    <cellStyle name="Normal 61 2 2 4 2 2 3 2 3" xfId="0"/>
    <cellStyle name="Normal 61 2 2 4 2 2 3 2 3 2" xfId="0"/>
    <cellStyle name="Normal 61 2 2 4 2 2 3 2 3 2 2" xfId="0"/>
    <cellStyle name="Normal 61 2 2 4 2 2 3 2 3 3" xfId="0"/>
    <cellStyle name="Normal 61 2 2 4 2 2 3 2 4" xfId="0"/>
    <cellStyle name="Normal 61 2 2 4 2 2 3 2 4 2" xfId="0"/>
    <cellStyle name="Normal 61 2 2 4 2 2 3 2 5" xfId="0"/>
    <cellStyle name="Normal 61 2 2 4 2 2 3 3" xfId="0"/>
    <cellStyle name="Normal 61 2 2 4 2 2 3 3 2" xfId="0"/>
    <cellStyle name="Normal 61 2 2 4 2 2 3 3 2 2" xfId="0"/>
    <cellStyle name="Normal 61 2 2 4 2 2 3 3 3" xfId="0"/>
    <cellStyle name="Normal 61 2 2 4 2 2 3 4" xfId="0"/>
    <cellStyle name="Normal 61 2 2 4 2 2 3 4 2" xfId="0"/>
    <cellStyle name="Normal 61 2 2 4 2 2 3 4 2 2" xfId="0"/>
    <cellStyle name="Normal 61 2 2 4 2 2 3 4 3" xfId="0"/>
    <cellStyle name="Normal 61 2 2 4 2 2 3 5" xfId="0"/>
    <cellStyle name="Normal 61 2 2 4 2 2 3 5 2" xfId="0"/>
    <cellStyle name="Normal 61 2 2 4 2 2 3 6" xfId="0"/>
    <cellStyle name="Normal 61 2 2 4 2 2 4" xfId="0"/>
    <cellStyle name="Normal 61 2 2 4 2 2 4 2" xfId="0"/>
    <cellStyle name="Normal 61 2 2 4 2 2 4 2 2" xfId="0"/>
    <cellStyle name="Normal 61 2 2 4 2 2 4 2 2 2" xfId="0"/>
    <cellStyle name="Normal 61 2 2 4 2 2 4 2 3" xfId="0"/>
    <cellStyle name="Normal 61 2 2 4 2 2 4 3" xfId="0"/>
    <cellStyle name="Normal 61 2 2 4 2 2 4 3 2" xfId="0"/>
    <cellStyle name="Normal 61 2 2 4 2 2 4 3 2 2" xfId="0"/>
    <cellStyle name="Normal 61 2 2 4 2 2 4 3 3" xfId="0"/>
    <cellStyle name="Normal 61 2 2 4 2 2 4 4" xfId="0"/>
    <cellStyle name="Normal 61 2 2 4 2 2 4 4 2" xfId="0"/>
    <cellStyle name="Normal 61 2 2 4 2 2 4 5" xfId="0"/>
    <cellStyle name="Normal 61 2 2 4 2 2 5" xfId="0"/>
    <cellStyle name="Normal 61 2 2 4 2 2 5 2" xfId="0"/>
    <cellStyle name="Normal 61 2 2 4 2 2 5 2 2" xfId="0"/>
    <cellStyle name="Normal 61 2 2 4 2 2 5 3" xfId="0"/>
    <cellStyle name="Normal 61 2 2 4 2 2 6" xfId="0"/>
    <cellStyle name="Normal 61 2 2 4 2 2 6 2" xfId="0"/>
    <cellStyle name="Normal 61 2 2 4 2 2 6 2 2" xfId="0"/>
    <cellStyle name="Normal 61 2 2 4 2 2 6 3" xfId="0"/>
    <cellStyle name="Normal 61 2 2 4 2 2 7" xfId="0"/>
    <cellStyle name="Normal 61 2 2 4 2 2 7 2" xfId="0"/>
    <cellStyle name="Normal 61 2 2 4 2 2 8" xfId="0"/>
    <cellStyle name="Normal 61 2 2 4 2 3" xfId="0"/>
    <cellStyle name="Normal 61 2 2 4 2 3 2" xfId="0"/>
    <cellStyle name="Normal 61 2 2 4 2 3 2 2" xfId="0"/>
    <cellStyle name="Normal 61 2 2 4 2 3 2 2 2" xfId="0"/>
    <cellStyle name="Normal 61 2 2 4 2 3 2 2 2 2" xfId="0"/>
    <cellStyle name="Normal 61 2 2 4 2 3 2 2 2 2 2" xfId="0"/>
    <cellStyle name="Normal 61 2 2 4 2 3 2 2 2 3" xfId="0"/>
    <cellStyle name="Normal 61 2 2 4 2 3 2 2 3" xfId="0"/>
    <cellStyle name="Normal 61 2 2 4 2 3 2 2 3 2" xfId="0"/>
    <cellStyle name="Normal 61 2 2 4 2 3 2 2 3 2 2" xfId="0"/>
    <cellStyle name="Normal 61 2 2 4 2 3 2 2 3 3" xfId="0"/>
    <cellStyle name="Normal 61 2 2 4 2 3 2 2 4" xfId="0"/>
    <cellStyle name="Normal 61 2 2 4 2 3 2 2 4 2" xfId="0"/>
    <cellStyle name="Normal 61 2 2 4 2 3 2 2 5" xfId="0"/>
    <cellStyle name="Normal 61 2 2 4 2 3 2 3" xfId="0"/>
    <cellStyle name="Normal 61 2 2 4 2 3 2 3 2" xfId="0"/>
    <cellStyle name="Normal 61 2 2 4 2 3 2 3 2 2" xfId="0"/>
    <cellStyle name="Normal 61 2 2 4 2 3 2 3 3" xfId="0"/>
    <cellStyle name="Normal 61 2 2 4 2 3 2 4" xfId="0"/>
    <cellStyle name="Normal 61 2 2 4 2 3 2 4 2" xfId="0"/>
    <cellStyle name="Normal 61 2 2 4 2 3 2 4 2 2" xfId="0"/>
    <cellStyle name="Normal 61 2 2 4 2 3 2 4 3" xfId="0"/>
    <cellStyle name="Normal 61 2 2 4 2 3 2 5" xfId="0"/>
    <cellStyle name="Normal 61 2 2 4 2 3 2 5 2" xfId="0"/>
    <cellStyle name="Normal 61 2 2 4 2 3 2 6" xfId="0"/>
    <cellStyle name="Normal 61 2 2 4 2 3 3" xfId="0"/>
    <cellStyle name="Normal 61 2 2 4 2 3 3 2" xfId="0"/>
    <cellStyle name="Normal 61 2 2 4 2 3 3 2 2" xfId="0"/>
    <cellStyle name="Normal 61 2 2 4 2 3 3 2 2 2" xfId="0"/>
    <cellStyle name="Normal 61 2 2 4 2 3 3 2 3" xfId="0"/>
    <cellStyle name="Normal 61 2 2 4 2 3 3 3" xfId="0"/>
    <cellStyle name="Normal 61 2 2 4 2 3 3 3 2" xfId="0"/>
    <cellStyle name="Normal 61 2 2 4 2 3 3 3 2 2" xfId="0"/>
    <cellStyle name="Normal 61 2 2 4 2 3 3 3 3" xfId="0"/>
    <cellStyle name="Normal 61 2 2 4 2 3 3 4" xfId="0"/>
    <cellStyle name="Normal 61 2 2 4 2 3 3 4 2" xfId="0"/>
    <cellStyle name="Normal 61 2 2 4 2 3 3 5" xfId="0"/>
    <cellStyle name="Normal 61 2 2 4 2 3 4" xfId="0"/>
    <cellStyle name="Normal 61 2 2 4 2 3 4 2" xfId="0"/>
    <cellStyle name="Normal 61 2 2 4 2 3 4 2 2" xfId="0"/>
    <cellStyle name="Normal 61 2 2 4 2 3 4 3" xfId="0"/>
    <cellStyle name="Normal 61 2 2 4 2 3 5" xfId="0"/>
    <cellStyle name="Normal 61 2 2 4 2 3 5 2" xfId="0"/>
    <cellStyle name="Normal 61 2 2 4 2 3 5 2 2" xfId="0"/>
    <cellStyle name="Normal 61 2 2 4 2 3 5 3" xfId="0"/>
    <cellStyle name="Normal 61 2 2 4 2 3 6" xfId="0"/>
    <cellStyle name="Normal 61 2 2 4 2 3 6 2" xfId="0"/>
    <cellStyle name="Normal 61 2 2 4 2 3 7" xfId="0"/>
    <cellStyle name="Normal 61 2 2 4 2 4" xfId="0"/>
    <cellStyle name="Normal 61 2 2 4 2 4 2" xfId="0"/>
    <cellStyle name="Normal 61 2 2 4 2 4 2 2" xfId="0"/>
    <cellStyle name="Normal 61 2 2 4 2 4 2 2 2" xfId="0"/>
    <cellStyle name="Normal 61 2 2 4 2 4 2 2 2 2" xfId="0"/>
    <cellStyle name="Normal 61 2 2 4 2 4 2 2 3" xfId="0"/>
    <cellStyle name="Normal 61 2 2 4 2 4 2 3" xfId="0"/>
    <cellStyle name="Normal 61 2 2 4 2 4 2 3 2" xfId="0"/>
    <cellStyle name="Normal 61 2 2 4 2 4 2 3 2 2" xfId="0"/>
    <cellStyle name="Normal 61 2 2 4 2 4 2 3 3" xfId="0"/>
    <cellStyle name="Normal 61 2 2 4 2 4 2 4" xfId="0"/>
    <cellStyle name="Normal 61 2 2 4 2 4 2 4 2" xfId="0"/>
    <cellStyle name="Normal 61 2 2 4 2 4 2 5" xfId="0"/>
    <cellStyle name="Normal 61 2 2 4 2 4 3" xfId="0"/>
    <cellStyle name="Normal 61 2 2 4 2 4 3 2" xfId="0"/>
    <cellStyle name="Normal 61 2 2 4 2 4 3 2 2" xfId="0"/>
    <cellStyle name="Normal 61 2 2 4 2 4 3 3" xfId="0"/>
    <cellStyle name="Normal 61 2 2 4 2 4 4" xfId="0"/>
    <cellStyle name="Normal 61 2 2 4 2 4 4 2" xfId="0"/>
    <cellStyle name="Normal 61 2 2 4 2 4 4 2 2" xfId="0"/>
    <cellStyle name="Normal 61 2 2 4 2 4 4 3" xfId="0"/>
    <cellStyle name="Normal 61 2 2 4 2 4 5" xfId="0"/>
    <cellStyle name="Normal 61 2 2 4 2 4 5 2" xfId="0"/>
    <cellStyle name="Normal 61 2 2 4 2 4 6" xfId="0"/>
    <cellStyle name="Normal 61 2 2 4 2 5" xfId="0"/>
    <cellStyle name="Normal 61 2 2 4 2 5 2" xfId="0"/>
    <cellStyle name="Normal 61 2 2 4 2 5 2 2" xfId="0"/>
    <cellStyle name="Normal 61 2 2 4 2 5 2 2 2" xfId="0"/>
    <cellStyle name="Normal 61 2 2 4 2 5 2 3" xfId="0"/>
    <cellStyle name="Normal 61 2 2 4 2 5 3" xfId="0"/>
    <cellStyle name="Normal 61 2 2 4 2 5 3 2" xfId="0"/>
    <cellStyle name="Normal 61 2 2 4 2 5 3 2 2" xfId="0"/>
    <cellStyle name="Normal 61 2 2 4 2 5 3 3" xfId="0"/>
    <cellStyle name="Normal 61 2 2 4 2 5 4" xfId="0"/>
    <cellStyle name="Normal 61 2 2 4 2 5 4 2" xfId="0"/>
    <cellStyle name="Normal 61 2 2 4 2 5 5" xfId="0"/>
    <cellStyle name="Normal 61 2 2 4 2 6" xfId="0"/>
    <cellStyle name="Normal 61 2 2 4 2 6 2" xfId="0"/>
    <cellStyle name="Normal 61 2 2 4 2 6 2 2" xfId="0"/>
    <cellStyle name="Normal 61 2 2 4 2 6 3" xfId="0"/>
    <cellStyle name="Normal 61 2 2 4 2 7" xfId="0"/>
    <cellStyle name="Normal 61 2 2 4 2 7 2" xfId="0"/>
    <cellStyle name="Normal 61 2 2 4 2 7 2 2" xfId="0"/>
    <cellStyle name="Normal 61 2 2 4 2 7 3" xfId="0"/>
    <cellStyle name="Normal 61 2 2 4 2 8" xfId="0"/>
    <cellStyle name="Normal 61 2 2 4 2 8 2" xfId="0"/>
    <cellStyle name="Normal 61 2 2 4 2 9" xfId="0"/>
    <cellStyle name="Normal 61 2 2 4 3" xfId="0"/>
    <cellStyle name="Normal 61 2 2 4 3 2" xfId="0"/>
    <cellStyle name="Normal 61 2 2 4 3 2 2" xfId="0"/>
    <cellStyle name="Normal 61 2 2 4 3 2 2 2" xfId="0"/>
    <cellStyle name="Normal 61 2 2 4 3 2 2 2 2" xfId="0"/>
    <cellStyle name="Normal 61 2 2 4 3 2 2 2 2 2" xfId="0"/>
    <cellStyle name="Normal 61 2 2 4 3 2 2 2 2 2 2" xfId="0"/>
    <cellStyle name="Normal 61 2 2 4 3 2 2 2 2 3" xfId="0"/>
    <cellStyle name="Normal 61 2 2 4 3 2 2 2 3" xfId="0"/>
    <cellStyle name="Normal 61 2 2 4 3 2 2 2 3 2" xfId="0"/>
    <cellStyle name="Normal 61 2 2 4 3 2 2 2 3 2 2" xfId="0"/>
    <cellStyle name="Normal 61 2 2 4 3 2 2 2 3 3" xfId="0"/>
    <cellStyle name="Normal 61 2 2 4 3 2 2 2 4" xfId="0"/>
    <cellStyle name="Normal 61 2 2 4 3 2 2 2 4 2" xfId="0"/>
    <cellStyle name="Normal 61 2 2 4 3 2 2 2 5" xfId="0"/>
    <cellStyle name="Normal 61 2 2 4 3 2 2 3" xfId="0"/>
    <cellStyle name="Normal 61 2 2 4 3 2 2 3 2" xfId="0"/>
    <cellStyle name="Normal 61 2 2 4 3 2 2 3 2 2" xfId="0"/>
    <cellStyle name="Normal 61 2 2 4 3 2 2 3 3" xfId="0"/>
    <cellStyle name="Normal 61 2 2 4 3 2 2 4" xfId="0"/>
    <cellStyle name="Normal 61 2 2 4 3 2 2 4 2" xfId="0"/>
    <cellStyle name="Normal 61 2 2 4 3 2 2 4 2 2" xfId="0"/>
    <cellStyle name="Normal 61 2 2 4 3 2 2 4 3" xfId="0"/>
    <cellStyle name="Normal 61 2 2 4 3 2 2 5" xfId="0"/>
    <cellStyle name="Normal 61 2 2 4 3 2 2 5 2" xfId="0"/>
    <cellStyle name="Normal 61 2 2 4 3 2 2 6" xfId="0"/>
    <cellStyle name="Normal 61 2 2 4 3 2 3" xfId="0"/>
    <cellStyle name="Normal 61 2 2 4 3 2 3 2" xfId="0"/>
    <cellStyle name="Normal 61 2 2 4 3 2 3 2 2" xfId="0"/>
    <cellStyle name="Normal 61 2 2 4 3 2 3 2 2 2" xfId="0"/>
    <cellStyle name="Normal 61 2 2 4 3 2 3 2 3" xfId="0"/>
    <cellStyle name="Normal 61 2 2 4 3 2 3 3" xfId="0"/>
    <cellStyle name="Normal 61 2 2 4 3 2 3 3 2" xfId="0"/>
    <cellStyle name="Normal 61 2 2 4 3 2 3 3 2 2" xfId="0"/>
    <cellStyle name="Normal 61 2 2 4 3 2 3 3 3" xfId="0"/>
    <cellStyle name="Normal 61 2 2 4 3 2 3 4" xfId="0"/>
    <cellStyle name="Normal 61 2 2 4 3 2 3 4 2" xfId="0"/>
    <cellStyle name="Normal 61 2 2 4 3 2 3 5" xfId="0"/>
    <cellStyle name="Normal 61 2 2 4 3 2 4" xfId="0"/>
    <cellStyle name="Normal 61 2 2 4 3 2 4 2" xfId="0"/>
    <cellStyle name="Normal 61 2 2 4 3 2 4 2 2" xfId="0"/>
    <cellStyle name="Normal 61 2 2 4 3 2 4 3" xfId="0"/>
    <cellStyle name="Normal 61 2 2 4 3 2 5" xfId="0"/>
    <cellStyle name="Normal 61 2 2 4 3 2 5 2" xfId="0"/>
    <cellStyle name="Normal 61 2 2 4 3 2 5 2 2" xfId="0"/>
    <cellStyle name="Normal 61 2 2 4 3 2 5 3" xfId="0"/>
    <cellStyle name="Normal 61 2 2 4 3 2 6" xfId="0"/>
    <cellStyle name="Normal 61 2 2 4 3 2 6 2" xfId="0"/>
    <cellStyle name="Normal 61 2 2 4 3 2 7" xfId="0"/>
    <cellStyle name="Normal 61 2 2 4 3 3" xfId="0"/>
    <cellStyle name="Normal 61 2 2 4 3 3 2" xfId="0"/>
    <cellStyle name="Normal 61 2 2 4 3 3 2 2" xfId="0"/>
    <cellStyle name="Normal 61 2 2 4 3 3 2 2 2" xfId="0"/>
    <cellStyle name="Normal 61 2 2 4 3 3 2 2 2 2" xfId="0"/>
    <cellStyle name="Normal 61 2 2 4 3 3 2 2 3" xfId="0"/>
    <cellStyle name="Normal 61 2 2 4 3 3 2 3" xfId="0"/>
    <cellStyle name="Normal 61 2 2 4 3 3 2 3 2" xfId="0"/>
    <cellStyle name="Normal 61 2 2 4 3 3 2 3 2 2" xfId="0"/>
    <cellStyle name="Normal 61 2 2 4 3 3 2 3 3" xfId="0"/>
    <cellStyle name="Normal 61 2 2 4 3 3 2 4" xfId="0"/>
    <cellStyle name="Normal 61 2 2 4 3 3 2 4 2" xfId="0"/>
    <cellStyle name="Normal 61 2 2 4 3 3 2 5" xfId="0"/>
    <cellStyle name="Normal 61 2 2 4 3 3 3" xfId="0"/>
    <cellStyle name="Normal 61 2 2 4 3 3 3 2" xfId="0"/>
    <cellStyle name="Normal 61 2 2 4 3 3 3 2 2" xfId="0"/>
    <cellStyle name="Normal 61 2 2 4 3 3 3 3" xfId="0"/>
    <cellStyle name="Normal 61 2 2 4 3 3 4" xfId="0"/>
    <cellStyle name="Normal 61 2 2 4 3 3 4 2" xfId="0"/>
    <cellStyle name="Normal 61 2 2 4 3 3 4 2 2" xfId="0"/>
    <cellStyle name="Normal 61 2 2 4 3 3 4 3" xfId="0"/>
    <cellStyle name="Normal 61 2 2 4 3 3 5" xfId="0"/>
    <cellStyle name="Normal 61 2 2 4 3 3 5 2" xfId="0"/>
    <cellStyle name="Normal 61 2 2 4 3 3 6" xfId="0"/>
    <cellStyle name="Normal 61 2 2 4 3 4" xfId="0"/>
    <cellStyle name="Normal 61 2 2 4 3 4 2" xfId="0"/>
    <cellStyle name="Normal 61 2 2 4 3 4 2 2" xfId="0"/>
    <cellStyle name="Normal 61 2 2 4 3 4 2 2 2" xfId="0"/>
    <cellStyle name="Normal 61 2 2 4 3 4 2 3" xfId="0"/>
    <cellStyle name="Normal 61 2 2 4 3 4 3" xfId="0"/>
    <cellStyle name="Normal 61 2 2 4 3 4 3 2" xfId="0"/>
    <cellStyle name="Normal 61 2 2 4 3 4 3 2 2" xfId="0"/>
    <cellStyle name="Normal 61 2 2 4 3 4 3 3" xfId="0"/>
    <cellStyle name="Normal 61 2 2 4 3 4 4" xfId="0"/>
    <cellStyle name="Normal 61 2 2 4 3 4 4 2" xfId="0"/>
    <cellStyle name="Normal 61 2 2 4 3 4 5" xfId="0"/>
    <cellStyle name="Normal 61 2 2 4 3 5" xfId="0"/>
    <cellStyle name="Normal 61 2 2 4 3 5 2" xfId="0"/>
    <cellStyle name="Normal 61 2 2 4 3 5 2 2" xfId="0"/>
    <cellStyle name="Normal 61 2 2 4 3 5 3" xfId="0"/>
    <cellStyle name="Normal 61 2 2 4 3 6" xfId="0"/>
    <cellStyle name="Normal 61 2 2 4 3 6 2" xfId="0"/>
    <cellStyle name="Normal 61 2 2 4 3 6 2 2" xfId="0"/>
    <cellStyle name="Normal 61 2 2 4 3 6 3" xfId="0"/>
    <cellStyle name="Normal 61 2 2 4 3 7" xfId="0"/>
    <cellStyle name="Normal 61 2 2 4 3 7 2" xfId="0"/>
    <cellStyle name="Normal 61 2 2 4 3 8" xfId="0"/>
    <cellStyle name="Normal 61 2 2 4 4" xfId="0"/>
    <cellStyle name="Normal 61 2 2 4 4 2" xfId="0"/>
    <cellStyle name="Normal 61 2 2 4 4 2 2" xfId="0"/>
    <cellStyle name="Normal 61 2 2 4 4 2 2 2" xfId="0"/>
    <cellStyle name="Normal 61 2 2 4 4 2 2 2 2" xfId="0"/>
    <cellStyle name="Normal 61 2 2 4 4 2 2 2 2 2" xfId="0"/>
    <cellStyle name="Normal 61 2 2 4 4 2 2 2 3" xfId="0"/>
    <cellStyle name="Normal 61 2 2 4 4 2 2 3" xfId="0"/>
    <cellStyle name="Normal 61 2 2 4 4 2 2 3 2" xfId="0"/>
    <cellStyle name="Normal 61 2 2 4 4 2 2 3 2 2" xfId="0"/>
    <cellStyle name="Normal 61 2 2 4 4 2 2 3 3" xfId="0"/>
    <cellStyle name="Normal 61 2 2 4 4 2 2 4" xfId="0"/>
    <cellStyle name="Normal 61 2 2 4 4 2 2 4 2" xfId="0"/>
    <cellStyle name="Normal 61 2 2 4 4 2 2 5" xfId="0"/>
    <cellStyle name="Normal 61 2 2 4 4 2 3" xfId="0"/>
    <cellStyle name="Normal 61 2 2 4 4 2 3 2" xfId="0"/>
    <cellStyle name="Normal 61 2 2 4 4 2 3 2 2" xfId="0"/>
    <cellStyle name="Normal 61 2 2 4 4 2 3 3" xfId="0"/>
    <cellStyle name="Normal 61 2 2 4 4 2 4" xfId="0"/>
    <cellStyle name="Normal 61 2 2 4 4 2 4 2" xfId="0"/>
    <cellStyle name="Normal 61 2 2 4 4 2 4 2 2" xfId="0"/>
    <cellStyle name="Normal 61 2 2 4 4 2 4 3" xfId="0"/>
    <cellStyle name="Normal 61 2 2 4 4 2 5" xfId="0"/>
    <cellStyle name="Normal 61 2 2 4 4 2 5 2" xfId="0"/>
    <cellStyle name="Normal 61 2 2 4 4 2 6" xfId="0"/>
    <cellStyle name="Normal 61 2 2 4 4 3" xfId="0"/>
    <cellStyle name="Normal 61 2 2 4 4 3 2" xfId="0"/>
    <cellStyle name="Normal 61 2 2 4 4 3 2 2" xfId="0"/>
    <cellStyle name="Normal 61 2 2 4 4 3 2 2 2" xfId="0"/>
    <cellStyle name="Normal 61 2 2 4 4 3 2 3" xfId="0"/>
    <cellStyle name="Normal 61 2 2 4 4 3 3" xfId="0"/>
    <cellStyle name="Normal 61 2 2 4 4 3 3 2" xfId="0"/>
    <cellStyle name="Normal 61 2 2 4 4 3 3 2 2" xfId="0"/>
    <cellStyle name="Normal 61 2 2 4 4 3 3 3" xfId="0"/>
    <cellStyle name="Normal 61 2 2 4 4 3 4" xfId="0"/>
    <cellStyle name="Normal 61 2 2 4 4 3 4 2" xfId="0"/>
    <cellStyle name="Normal 61 2 2 4 4 3 5" xfId="0"/>
    <cellStyle name="Normal 61 2 2 4 4 4" xfId="0"/>
    <cellStyle name="Normal 61 2 2 4 4 4 2" xfId="0"/>
    <cellStyle name="Normal 61 2 2 4 4 4 2 2" xfId="0"/>
    <cellStyle name="Normal 61 2 2 4 4 4 3" xfId="0"/>
    <cellStyle name="Normal 61 2 2 4 4 5" xfId="0"/>
    <cellStyle name="Normal 61 2 2 4 4 5 2" xfId="0"/>
    <cellStyle name="Normal 61 2 2 4 4 5 2 2" xfId="0"/>
    <cellStyle name="Normal 61 2 2 4 4 5 3" xfId="0"/>
    <cellStyle name="Normal 61 2 2 4 4 6" xfId="0"/>
    <cellStyle name="Normal 61 2 2 4 4 6 2" xfId="0"/>
    <cellStyle name="Normal 61 2 2 4 4 7" xfId="0"/>
    <cellStyle name="Normal 61 2 2 4 5" xfId="0"/>
    <cellStyle name="Normal 61 2 2 4 5 2" xfId="0"/>
    <cellStyle name="Normal 61 2 2 4 5 2 2" xfId="0"/>
    <cellStyle name="Normal 61 2 2 4 5 2 2 2" xfId="0"/>
    <cellStyle name="Normal 61 2 2 4 5 2 2 2 2" xfId="0"/>
    <cellStyle name="Normal 61 2 2 4 5 2 2 3" xfId="0"/>
    <cellStyle name="Normal 61 2 2 4 5 2 3" xfId="0"/>
    <cellStyle name="Normal 61 2 2 4 5 2 3 2" xfId="0"/>
    <cellStyle name="Normal 61 2 2 4 5 2 3 2 2" xfId="0"/>
    <cellStyle name="Normal 61 2 2 4 5 2 3 3" xfId="0"/>
    <cellStyle name="Normal 61 2 2 4 5 2 4" xfId="0"/>
    <cellStyle name="Normal 61 2 2 4 5 2 4 2" xfId="0"/>
    <cellStyle name="Normal 61 2 2 4 5 2 5" xfId="0"/>
    <cellStyle name="Normal 61 2 2 4 5 3" xfId="0"/>
    <cellStyle name="Normal 61 2 2 4 5 3 2" xfId="0"/>
    <cellStyle name="Normal 61 2 2 4 5 3 2 2" xfId="0"/>
    <cellStyle name="Normal 61 2 2 4 5 3 3" xfId="0"/>
    <cellStyle name="Normal 61 2 2 4 5 4" xfId="0"/>
    <cellStyle name="Normal 61 2 2 4 5 4 2" xfId="0"/>
    <cellStyle name="Normal 61 2 2 4 5 4 2 2" xfId="0"/>
    <cellStyle name="Normal 61 2 2 4 5 4 3" xfId="0"/>
    <cellStyle name="Normal 61 2 2 4 5 5" xfId="0"/>
    <cellStyle name="Normal 61 2 2 4 5 5 2" xfId="0"/>
    <cellStyle name="Normal 61 2 2 4 5 6" xfId="0"/>
    <cellStyle name="Normal 61 2 2 4 6" xfId="0"/>
    <cellStyle name="Normal 61 2 2 4 6 2" xfId="0"/>
    <cellStyle name="Normal 61 2 2 4 6 2 2" xfId="0"/>
    <cellStyle name="Normal 61 2 2 4 6 2 2 2" xfId="0"/>
    <cellStyle name="Normal 61 2 2 4 6 2 3" xfId="0"/>
    <cellStyle name="Normal 61 2 2 4 6 3" xfId="0"/>
    <cellStyle name="Normal 61 2 2 4 6 3 2" xfId="0"/>
    <cellStyle name="Normal 61 2 2 4 6 3 2 2" xfId="0"/>
    <cellStyle name="Normal 61 2 2 4 6 3 3" xfId="0"/>
    <cellStyle name="Normal 61 2 2 4 6 4" xfId="0"/>
    <cellStyle name="Normal 61 2 2 4 6 4 2" xfId="0"/>
    <cellStyle name="Normal 61 2 2 4 6 5" xfId="0"/>
    <cellStyle name="Normal 61 2 2 4 7" xfId="0"/>
    <cellStyle name="Normal 61 2 2 4 7 2" xfId="0"/>
    <cellStyle name="Normal 61 2 2 4 7 2 2" xfId="0"/>
    <cellStyle name="Normal 61 2 2 4 7 3" xfId="0"/>
    <cellStyle name="Normal 61 2 2 4 8" xfId="0"/>
    <cellStyle name="Normal 61 2 2 4 8 2" xfId="0"/>
    <cellStyle name="Normal 61 2 2 4 8 2 2" xfId="0"/>
    <cellStyle name="Normal 61 2 2 4 8 3" xfId="0"/>
    <cellStyle name="Normal 61 2 2 4 9" xfId="0"/>
    <cellStyle name="Normal 61 2 2 4 9 2" xfId="0"/>
    <cellStyle name="Normal 61 2 2 5" xfId="0"/>
    <cellStyle name="Normal 61 2 2 5 2" xfId="0"/>
    <cellStyle name="Normal 61 2 2 5 2 2" xfId="0"/>
    <cellStyle name="Normal 61 2 2 5 2 2 2" xfId="0"/>
    <cellStyle name="Normal 61 2 2 5 2 2 2 2" xfId="0"/>
    <cellStyle name="Normal 61 2 2 5 2 2 2 2 2" xfId="0"/>
    <cellStyle name="Normal 61 2 2 5 2 2 2 2 2 2" xfId="0"/>
    <cellStyle name="Normal 61 2 2 5 2 2 2 2 2 2 2" xfId="0"/>
    <cellStyle name="Normal 61 2 2 5 2 2 2 2 2 3" xfId="0"/>
    <cellStyle name="Normal 61 2 2 5 2 2 2 2 3" xfId="0"/>
    <cellStyle name="Normal 61 2 2 5 2 2 2 2 3 2" xfId="0"/>
    <cellStyle name="Normal 61 2 2 5 2 2 2 2 3 2 2" xfId="0"/>
    <cellStyle name="Normal 61 2 2 5 2 2 2 2 3 3" xfId="0"/>
    <cellStyle name="Normal 61 2 2 5 2 2 2 2 4" xfId="0"/>
    <cellStyle name="Normal 61 2 2 5 2 2 2 2 4 2" xfId="0"/>
    <cellStyle name="Normal 61 2 2 5 2 2 2 2 5" xfId="0"/>
    <cellStyle name="Normal 61 2 2 5 2 2 2 3" xfId="0"/>
    <cellStyle name="Normal 61 2 2 5 2 2 2 3 2" xfId="0"/>
    <cellStyle name="Normal 61 2 2 5 2 2 2 3 2 2" xfId="0"/>
    <cellStyle name="Normal 61 2 2 5 2 2 2 3 3" xfId="0"/>
    <cellStyle name="Normal 61 2 2 5 2 2 2 4" xfId="0"/>
    <cellStyle name="Normal 61 2 2 5 2 2 2 4 2" xfId="0"/>
    <cellStyle name="Normal 61 2 2 5 2 2 2 4 2 2" xfId="0"/>
    <cellStyle name="Normal 61 2 2 5 2 2 2 4 3" xfId="0"/>
    <cellStyle name="Normal 61 2 2 5 2 2 2 5" xfId="0"/>
    <cellStyle name="Normal 61 2 2 5 2 2 2 5 2" xfId="0"/>
    <cellStyle name="Normal 61 2 2 5 2 2 2 6" xfId="0"/>
    <cellStyle name="Normal 61 2 2 5 2 2 3" xfId="0"/>
    <cellStyle name="Normal 61 2 2 5 2 2 3 2" xfId="0"/>
    <cellStyle name="Normal 61 2 2 5 2 2 3 2 2" xfId="0"/>
    <cellStyle name="Normal 61 2 2 5 2 2 3 2 2 2" xfId="0"/>
    <cellStyle name="Normal 61 2 2 5 2 2 3 2 3" xfId="0"/>
    <cellStyle name="Normal 61 2 2 5 2 2 3 3" xfId="0"/>
    <cellStyle name="Normal 61 2 2 5 2 2 3 3 2" xfId="0"/>
    <cellStyle name="Normal 61 2 2 5 2 2 3 3 2 2" xfId="0"/>
    <cellStyle name="Normal 61 2 2 5 2 2 3 3 3" xfId="0"/>
    <cellStyle name="Normal 61 2 2 5 2 2 3 4" xfId="0"/>
    <cellStyle name="Normal 61 2 2 5 2 2 3 4 2" xfId="0"/>
    <cellStyle name="Normal 61 2 2 5 2 2 3 5" xfId="0"/>
    <cellStyle name="Normal 61 2 2 5 2 2 4" xfId="0"/>
    <cellStyle name="Normal 61 2 2 5 2 2 4 2" xfId="0"/>
    <cellStyle name="Normal 61 2 2 5 2 2 4 2 2" xfId="0"/>
    <cellStyle name="Normal 61 2 2 5 2 2 4 3" xfId="0"/>
    <cellStyle name="Normal 61 2 2 5 2 2 5" xfId="0"/>
    <cellStyle name="Normal 61 2 2 5 2 2 5 2" xfId="0"/>
    <cellStyle name="Normal 61 2 2 5 2 2 5 2 2" xfId="0"/>
    <cellStyle name="Normal 61 2 2 5 2 2 5 3" xfId="0"/>
    <cellStyle name="Normal 61 2 2 5 2 2 6" xfId="0"/>
    <cellStyle name="Normal 61 2 2 5 2 2 6 2" xfId="0"/>
    <cellStyle name="Normal 61 2 2 5 2 2 7" xfId="0"/>
    <cellStyle name="Normal 61 2 2 5 2 3" xfId="0"/>
    <cellStyle name="Normal 61 2 2 5 2 3 2" xfId="0"/>
    <cellStyle name="Normal 61 2 2 5 2 3 2 2" xfId="0"/>
    <cellStyle name="Normal 61 2 2 5 2 3 2 2 2" xfId="0"/>
    <cellStyle name="Normal 61 2 2 5 2 3 2 2 2 2" xfId="0"/>
    <cellStyle name="Normal 61 2 2 5 2 3 2 2 3" xfId="0"/>
    <cellStyle name="Normal 61 2 2 5 2 3 2 3" xfId="0"/>
    <cellStyle name="Normal 61 2 2 5 2 3 2 3 2" xfId="0"/>
    <cellStyle name="Normal 61 2 2 5 2 3 2 3 2 2" xfId="0"/>
    <cellStyle name="Normal 61 2 2 5 2 3 2 3 3" xfId="0"/>
    <cellStyle name="Normal 61 2 2 5 2 3 2 4" xfId="0"/>
    <cellStyle name="Normal 61 2 2 5 2 3 2 4 2" xfId="0"/>
    <cellStyle name="Normal 61 2 2 5 2 3 2 5" xfId="0"/>
    <cellStyle name="Normal 61 2 2 5 2 3 3" xfId="0"/>
    <cellStyle name="Normal 61 2 2 5 2 3 3 2" xfId="0"/>
    <cellStyle name="Normal 61 2 2 5 2 3 3 2 2" xfId="0"/>
    <cellStyle name="Normal 61 2 2 5 2 3 3 3" xfId="0"/>
    <cellStyle name="Normal 61 2 2 5 2 3 4" xfId="0"/>
    <cellStyle name="Normal 61 2 2 5 2 3 4 2" xfId="0"/>
    <cellStyle name="Normal 61 2 2 5 2 3 4 2 2" xfId="0"/>
    <cellStyle name="Normal 61 2 2 5 2 3 4 3" xfId="0"/>
    <cellStyle name="Normal 61 2 2 5 2 3 5" xfId="0"/>
    <cellStyle name="Normal 61 2 2 5 2 3 5 2" xfId="0"/>
    <cellStyle name="Normal 61 2 2 5 2 3 6" xfId="0"/>
    <cellStyle name="Normal 61 2 2 5 2 4" xfId="0"/>
    <cellStyle name="Normal 61 2 2 5 2 4 2" xfId="0"/>
    <cellStyle name="Normal 61 2 2 5 2 4 2 2" xfId="0"/>
    <cellStyle name="Normal 61 2 2 5 2 4 2 2 2" xfId="0"/>
    <cellStyle name="Normal 61 2 2 5 2 4 2 3" xfId="0"/>
    <cellStyle name="Normal 61 2 2 5 2 4 3" xfId="0"/>
    <cellStyle name="Normal 61 2 2 5 2 4 3 2" xfId="0"/>
    <cellStyle name="Normal 61 2 2 5 2 4 3 2 2" xfId="0"/>
    <cellStyle name="Normal 61 2 2 5 2 4 3 3" xfId="0"/>
    <cellStyle name="Normal 61 2 2 5 2 4 4" xfId="0"/>
    <cellStyle name="Normal 61 2 2 5 2 4 4 2" xfId="0"/>
    <cellStyle name="Normal 61 2 2 5 2 4 5" xfId="0"/>
    <cellStyle name="Normal 61 2 2 5 2 5" xfId="0"/>
    <cellStyle name="Normal 61 2 2 5 2 5 2" xfId="0"/>
    <cellStyle name="Normal 61 2 2 5 2 5 2 2" xfId="0"/>
    <cellStyle name="Normal 61 2 2 5 2 5 3" xfId="0"/>
    <cellStyle name="Normal 61 2 2 5 2 6" xfId="0"/>
    <cellStyle name="Normal 61 2 2 5 2 6 2" xfId="0"/>
    <cellStyle name="Normal 61 2 2 5 2 6 2 2" xfId="0"/>
    <cellStyle name="Normal 61 2 2 5 2 6 3" xfId="0"/>
    <cellStyle name="Normal 61 2 2 5 2 7" xfId="0"/>
    <cellStyle name="Normal 61 2 2 5 2 7 2" xfId="0"/>
    <cellStyle name="Normal 61 2 2 5 2 8" xfId="0"/>
    <cellStyle name="Normal 61 2 2 5 3" xfId="0"/>
    <cellStyle name="Normal 61 2 2 5 3 2" xfId="0"/>
    <cellStyle name="Normal 61 2 2 5 3 2 2" xfId="0"/>
    <cellStyle name="Normal 61 2 2 5 3 2 2 2" xfId="0"/>
    <cellStyle name="Normal 61 2 2 5 3 2 2 2 2" xfId="0"/>
    <cellStyle name="Normal 61 2 2 5 3 2 2 2 2 2" xfId="0"/>
    <cellStyle name="Normal 61 2 2 5 3 2 2 2 3" xfId="0"/>
    <cellStyle name="Normal 61 2 2 5 3 2 2 3" xfId="0"/>
    <cellStyle name="Normal 61 2 2 5 3 2 2 3 2" xfId="0"/>
    <cellStyle name="Normal 61 2 2 5 3 2 2 3 2 2" xfId="0"/>
    <cellStyle name="Normal 61 2 2 5 3 2 2 3 3" xfId="0"/>
    <cellStyle name="Normal 61 2 2 5 3 2 2 4" xfId="0"/>
    <cellStyle name="Normal 61 2 2 5 3 2 2 4 2" xfId="0"/>
    <cellStyle name="Normal 61 2 2 5 3 2 2 5" xfId="0"/>
    <cellStyle name="Normal 61 2 2 5 3 2 3" xfId="0"/>
    <cellStyle name="Normal 61 2 2 5 3 2 3 2" xfId="0"/>
    <cellStyle name="Normal 61 2 2 5 3 2 3 2 2" xfId="0"/>
    <cellStyle name="Normal 61 2 2 5 3 2 3 3" xfId="0"/>
    <cellStyle name="Normal 61 2 2 5 3 2 4" xfId="0"/>
    <cellStyle name="Normal 61 2 2 5 3 2 4 2" xfId="0"/>
    <cellStyle name="Normal 61 2 2 5 3 2 4 2 2" xfId="0"/>
    <cellStyle name="Normal 61 2 2 5 3 2 4 3" xfId="0"/>
    <cellStyle name="Normal 61 2 2 5 3 2 5" xfId="0"/>
    <cellStyle name="Normal 61 2 2 5 3 2 5 2" xfId="0"/>
    <cellStyle name="Normal 61 2 2 5 3 2 6" xfId="0"/>
    <cellStyle name="Normal 61 2 2 5 3 3" xfId="0"/>
    <cellStyle name="Normal 61 2 2 5 3 3 2" xfId="0"/>
    <cellStyle name="Normal 61 2 2 5 3 3 2 2" xfId="0"/>
    <cellStyle name="Normal 61 2 2 5 3 3 2 2 2" xfId="0"/>
    <cellStyle name="Normal 61 2 2 5 3 3 2 3" xfId="0"/>
    <cellStyle name="Normal 61 2 2 5 3 3 3" xfId="0"/>
    <cellStyle name="Normal 61 2 2 5 3 3 3 2" xfId="0"/>
    <cellStyle name="Normal 61 2 2 5 3 3 3 2 2" xfId="0"/>
    <cellStyle name="Normal 61 2 2 5 3 3 3 3" xfId="0"/>
    <cellStyle name="Normal 61 2 2 5 3 3 4" xfId="0"/>
    <cellStyle name="Normal 61 2 2 5 3 3 4 2" xfId="0"/>
    <cellStyle name="Normal 61 2 2 5 3 3 5" xfId="0"/>
    <cellStyle name="Normal 61 2 2 5 3 4" xfId="0"/>
    <cellStyle name="Normal 61 2 2 5 3 4 2" xfId="0"/>
    <cellStyle name="Normal 61 2 2 5 3 4 2 2" xfId="0"/>
    <cellStyle name="Normal 61 2 2 5 3 4 3" xfId="0"/>
    <cellStyle name="Normal 61 2 2 5 3 5" xfId="0"/>
    <cellStyle name="Normal 61 2 2 5 3 5 2" xfId="0"/>
    <cellStyle name="Normal 61 2 2 5 3 5 2 2" xfId="0"/>
    <cellStyle name="Normal 61 2 2 5 3 5 3" xfId="0"/>
    <cellStyle name="Normal 61 2 2 5 3 6" xfId="0"/>
    <cellStyle name="Normal 61 2 2 5 3 6 2" xfId="0"/>
    <cellStyle name="Normal 61 2 2 5 3 7" xfId="0"/>
    <cellStyle name="Normal 61 2 2 5 4" xfId="0"/>
    <cellStyle name="Normal 61 2 2 5 4 2" xfId="0"/>
    <cellStyle name="Normal 61 2 2 5 4 2 2" xfId="0"/>
    <cellStyle name="Normal 61 2 2 5 4 2 2 2" xfId="0"/>
    <cellStyle name="Normal 61 2 2 5 4 2 2 2 2" xfId="0"/>
    <cellStyle name="Normal 61 2 2 5 4 2 2 3" xfId="0"/>
    <cellStyle name="Normal 61 2 2 5 4 2 3" xfId="0"/>
    <cellStyle name="Normal 61 2 2 5 4 2 3 2" xfId="0"/>
    <cellStyle name="Normal 61 2 2 5 4 2 3 2 2" xfId="0"/>
    <cellStyle name="Normal 61 2 2 5 4 2 3 3" xfId="0"/>
    <cellStyle name="Normal 61 2 2 5 4 2 4" xfId="0"/>
    <cellStyle name="Normal 61 2 2 5 4 2 4 2" xfId="0"/>
    <cellStyle name="Normal 61 2 2 5 4 2 5" xfId="0"/>
    <cellStyle name="Normal 61 2 2 5 4 3" xfId="0"/>
    <cellStyle name="Normal 61 2 2 5 4 3 2" xfId="0"/>
    <cellStyle name="Normal 61 2 2 5 4 3 2 2" xfId="0"/>
    <cellStyle name="Normal 61 2 2 5 4 3 3" xfId="0"/>
    <cellStyle name="Normal 61 2 2 5 4 4" xfId="0"/>
    <cellStyle name="Normal 61 2 2 5 4 4 2" xfId="0"/>
    <cellStyle name="Normal 61 2 2 5 4 4 2 2" xfId="0"/>
    <cellStyle name="Normal 61 2 2 5 4 4 3" xfId="0"/>
    <cellStyle name="Normal 61 2 2 5 4 5" xfId="0"/>
    <cellStyle name="Normal 61 2 2 5 4 5 2" xfId="0"/>
    <cellStyle name="Normal 61 2 2 5 4 6" xfId="0"/>
    <cellStyle name="Normal 61 2 2 5 5" xfId="0"/>
    <cellStyle name="Normal 61 2 2 5 5 2" xfId="0"/>
    <cellStyle name="Normal 61 2 2 5 5 2 2" xfId="0"/>
    <cellStyle name="Normal 61 2 2 5 5 2 2 2" xfId="0"/>
    <cellStyle name="Normal 61 2 2 5 5 2 3" xfId="0"/>
    <cellStyle name="Normal 61 2 2 5 5 3" xfId="0"/>
    <cellStyle name="Normal 61 2 2 5 5 3 2" xfId="0"/>
    <cellStyle name="Normal 61 2 2 5 5 3 2 2" xfId="0"/>
    <cellStyle name="Normal 61 2 2 5 5 3 3" xfId="0"/>
    <cellStyle name="Normal 61 2 2 5 5 4" xfId="0"/>
    <cellStyle name="Normal 61 2 2 5 5 4 2" xfId="0"/>
    <cellStyle name="Normal 61 2 2 5 5 5" xfId="0"/>
    <cellStyle name="Normal 61 2 2 5 6" xfId="0"/>
    <cellStyle name="Normal 61 2 2 5 6 2" xfId="0"/>
    <cellStyle name="Normal 61 2 2 5 6 2 2" xfId="0"/>
    <cellStyle name="Normal 61 2 2 5 6 3" xfId="0"/>
    <cellStyle name="Normal 61 2 2 5 7" xfId="0"/>
    <cellStyle name="Normal 61 2 2 5 7 2" xfId="0"/>
    <cellStyle name="Normal 61 2 2 5 7 2 2" xfId="0"/>
    <cellStyle name="Normal 61 2 2 5 7 3" xfId="0"/>
    <cellStyle name="Normal 61 2 2 5 8" xfId="0"/>
    <cellStyle name="Normal 61 2 2 5 8 2" xfId="0"/>
    <cellStyle name="Normal 61 2 2 5 9" xfId="0"/>
    <cellStyle name="Normal 61 2 2 6" xfId="0"/>
    <cellStyle name="Normal 61 2 2 6 2" xfId="0"/>
    <cellStyle name="Normal 61 2 2 6 2 2" xfId="0"/>
    <cellStyle name="Normal 61 2 2 6 2 2 2" xfId="0"/>
    <cellStyle name="Normal 61 2 2 6 2 2 2 2" xfId="0"/>
    <cellStyle name="Normal 61 2 2 6 2 2 2 2 2" xfId="0"/>
    <cellStyle name="Normal 61 2 2 6 2 2 2 2 2 2" xfId="0"/>
    <cellStyle name="Normal 61 2 2 6 2 2 2 2 3" xfId="0"/>
    <cellStyle name="Normal 61 2 2 6 2 2 2 3" xfId="0"/>
    <cellStyle name="Normal 61 2 2 6 2 2 2 3 2" xfId="0"/>
    <cellStyle name="Normal 61 2 2 6 2 2 2 3 2 2" xfId="0"/>
    <cellStyle name="Normal 61 2 2 6 2 2 2 3 3" xfId="0"/>
    <cellStyle name="Normal 61 2 2 6 2 2 2 4" xfId="0"/>
    <cellStyle name="Normal 61 2 2 6 2 2 2 4 2" xfId="0"/>
    <cellStyle name="Normal 61 2 2 6 2 2 2 5" xfId="0"/>
    <cellStyle name="Normal 61 2 2 6 2 2 3" xfId="0"/>
    <cellStyle name="Normal 61 2 2 6 2 2 3 2" xfId="0"/>
    <cellStyle name="Normal 61 2 2 6 2 2 3 2 2" xfId="0"/>
    <cellStyle name="Normal 61 2 2 6 2 2 3 3" xfId="0"/>
    <cellStyle name="Normal 61 2 2 6 2 2 4" xfId="0"/>
    <cellStyle name="Normal 61 2 2 6 2 2 4 2" xfId="0"/>
    <cellStyle name="Normal 61 2 2 6 2 2 4 2 2" xfId="0"/>
    <cellStyle name="Normal 61 2 2 6 2 2 4 3" xfId="0"/>
    <cellStyle name="Normal 61 2 2 6 2 2 5" xfId="0"/>
    <cellStyle name="Normal 61 2 2 6 2 2 5 2" xfId="0"/>
    <cellStyle name="Normal 61 2 2 6 2 2 6" xfId="0"/>
    <cellStyle name="Normal 61 2 2 6 2 3" xfId="0"/>
    <cellStyle name="Normal 61 2 2 6 2 3 2" xfId="0"/>
    <cellStyle name="Normal 61 2 2 6 2 3 2 2" xfId="0"/>
    <cellStyle name="Normal 61 2 2 6 2 3 2 2 2" xfId="0"/>
    <cellStyle name="Normal 61 2 2 6 2 3 2 3" xfId="0"/>
    <cellStyle name="Normal 61 2 2 6 2 3 3" xfId="0"/>
    <cellStyle name="Normal 61 2 2 6 2 3 3 2" xfId="0"/>
    <cellStyle name="Normal 61 2 2 6 2 3 3 2 2" xfId="0"/>
    <cellStyle name="Normal 61 2 2 6 2 3 3 3" xfId="0"/>
    <cellStyle name="Normal 61 2 2 6 2 3 4" xfId="0"/>
    <cellStyle name="Normal 61 2 2 6 2 3 4 2" xfId="0"/>
    <cellStyle name="Normal 61 2 2 6 2 3 5" xfId="0"/>
    <cellStyle name="Normal 61 2 2 6 2 4" xfId="0"/>
    <cellStyle name="Normal 61 2 2 6 2 4 2" xfId="0"/>
    <cellStyle name="Normal 61 2 2 6 2 4 2 2" xfId="0"/>
    <cellStyle name="Normal 61 2 2 6 2 4 3" xfId="0"/>
    <cellStyle name="Normal 61 2 2 6 2 5" xfId="0"/>
    <cellStyle name="Normal 61 2 2 6 2 5 2" xfId="0"/>
    <cellStyle name="Normal 61 2 2 6 2 5 2 2" xfId="0"/>
    <cellStyle name="Normal 61 2 2 6 2 5 3" xfId="0"/>
    <cellStyle name="Normal 61 2 2 6 2 6" xfId="0"/>
    <cellStyle name="Normal 61 2 2 6 2 6 2" xfId="0"/>
    <cellStyle name="Normal 61 2 2 6 2 7" xfId="0"/>
    <cellStyle name="Normal 61 2 2 6 3" xfId="0"/>
    <cellStyle name="Normal 61 2 2 6 3 2" xfId="0"/>
    <cellStyle name="Normal 61 2 2 6 3 2 2" xfId="0"/>
    <cellStyle name="Normal 61 2 2 6 3 2 2 2" xfId="0"/>
    <cellStyle name="Normal 61 2 2 6 3 2 2 2 2" xfId="0"/>
    <cellStyle name="Normal 61 2 2 6 3 2 2 3" xfId="0"/>
    <cellStyle name="Normal 61 2 2 6 3 2 3" xfId="0"/>
    <cellStyle name="Normal 61 2 2 6 3 2 3 2" xfId="0"/>
    <cellStyle name="Normal 61 2 2 6 3 2 3 2 2" xfId="0"/>
    <cellStyle name="Normal 61 2 2 6 3 2 3 3" xfId="0"/>
    <cellStyle name="Normal 61 2 2 6 3 2 4" xfId="0"/>
    <cellStyle name="Normal 61 2 2 6 3 2 4 2" xfId="0"/>
    <cellStyle name="Normal 61 2 2 6 3 2 5" xfId="0"/>
    <cellStyle name="Normal 61 2 2 6 3 3" xfId="0"/>
    <cellStyle name="Normal 61 2 2 6 3 3 2" xfId="0"/>
    <cellStyle name="Normal 61 2 2 6 3 3 2 2" xfId="0"/>
    <cellStyle name="Normal 61 2 2 6 3 3 3" xfId="0"/>
    <cellStyle name="Normal 61 2 2 6 3 4" xfId="0"/>
    <cellStyle name="Normal 61 2 2 6 3 4 2" xfId="0"/>
    <cellStyle name="Normal 61 2 2 6 3 4 2 2" xfId="0"/>
    <cellStyle name="Normal 61 2 2 6 3 4 3" xfId="0"/>
    <cellStyle name="Normal 61 2 2 6 3 5" xfId="0"/>
    <cellStyle name="Normal 61 2 2 6 3 5 2" xfId="0"/>
    <cellStyle name="Normal 61 2 2 6 3 6" xfId="0"/>
    <cellStyle name="Normal 61 2 2 6 4" xfId="0"/>
    <cellStyle name="Normal 61 2 2 6 4 2" xfId="0"/>
    <cellStyle name="Normal 61 2 2 6 4 2 2" xfId="0"/>
    <cellStyle name="Normal 61 2 2 6 4 2 2 2" xfId="0"/>
    <cellStyle name="Normal 61 2 2 6 4 2 3" xfId="0"/>
    <cellStyle name="Normal 61 2 2 6 4 3" xfId="0"/>
    <cellStyle name="Normal 61 2 2 6 4 3 2" xfId="0"/>
    <cellStyle name="Normal 61 2 2 6 4 3 2 2" xfId="0"/>
    <cellStyle name="Normal 61 2 2 6 4 3 3" xfId="0"/>
    <cellStyle name="Normal 61 2 2 6 4 4" xfId="0"/>
    <cellStyle name="Normal 61 2 2 6 4 4 2" xfId="0"/>
    <cellStyle name="Normal 61 2 2 6 4 5" xfId="0"/>
    <cellStyle name="Normal 61 2 2 6 5" xfId="0"/>
    <cellStyle name="Normal 61 2 2 6 5 2" xfId="0"/>
    <cellStyle name="Normal 61 2 2 6 5 2 2" xfId="0"/>
    <cellStyle name="Normal 61 2 2 6 5 3" xfId="0"/>
    <cellStyle name="Normal 61 2 2 6 6" xfId="0"/>
    <cellStyle name="Normal 61 2 2 6 6 2" xfId="0"/>
    <cellStyle name="Normal 61 2 2 6 6 2 2" xfId="0"/>
    <cellStyle name="Normal 61 2 2 6 6 3" xfId="0"/>
    <cellStyle name="Normal 61 2 2 6 7" xfId="0"/>
    <cellStyle name="Normal 61 2 2 6 7 2" xfId="0"/>
    <cellStyle name="Normal 61 2 2 6 8" xfId="0"/>
    <cellStyle name="Normal 61 2 2 7" xfId="0"/>
    <cellStyle name="Normal 61 2 2 7 2" xfId="0"/>
    <cellStyle name="Normal 61 2 2 7 2 2" xfId="0"/>
    <cellStyle name="Normal 61 2 2 7 2 2 2" xfId="0"/>
    <cellStyle name="Normal 61 2 2 7 2 2 2 2" xfId="0"/>
    <cellStyle name="Normal 61 2 2 7 2 2 2 2 2" xfId="0"/>
    <cellStyle name="Normal 61 2 2 7 2 2 2 3" xfId="0"/>
    <cellStyle name="Normal 61 2 2 7 2 2 3" xfId="0"/>
    <cellStyle name="Normal 61 2 2 7 2 2 3 2" xfId="0"/>
    <cellStyle name="Normal 61 2 2 7 2 2 3 2 2" xfId="0"/>
    <cellStyle name="Normal 61 2 2 7 2 2 3 3" xfId="0"/>
    <cellStyle name="Normal 61 2 2 7 2 2 4" xfId="0"/>
    <cellStyle name="Normal 61 2 2 7 2 2 4 2" xfId="0"/>
    <cellStyle name="Normal 61 2 2 7 2 2 5" xfId="0"/>
    <cellStyle name="Normal 61 2 2 7 2 3" xfId="0"/>
    <cellStyle name="Normal 61 2 2 7 2 3 2" xfId="0"/>
    <cellStyle name="Normal 61 2 2 7 2 3 2 2" xfId="0"/>
    <cellStyle name="Normal 61 2 2 7 2 3 3" xfId="0"/>
    <cellStyle name="Normal 61 2 2 7 2 4" xfId="0"/>
    <cellStyle name="Normal 61 2 2 7 2 4 2" xfId="0"/>
    <cellStyle name="Normal 61 2 2 7 2 4 2 2" xfId="0"/>
    <cellStyle name="Normal 61 2 2 7 2 4 3" xfId="0"/>
    <cellStyle name="Normal 61 2 2 7 2 5" xfId="0"/>
    <cellStyle name="Normal 61 2 2 7 2 5 2" xfId="0"/>
    <cellStyle name="Normal 61 2 2 7 2 6" xfId="0"/>
    <cellStyle name="Normal 61 2 2 7 3" xfId="0"/>
    <cellStyle name="Normal 61 2 2 7 3 2" xfId="0"/>
    <cellStyle name="Normal 61 2 2 7 3 2 2" xfId="0"/>
    <cellStyle name="Normal 61 2 2 7 3 2 2 2" xfId="0"/>
    <cellStyle name="Normal 61 2 2 7 3 2 3" xfId="0"/>
    <cellStyle name="Normal 61 2 2 7 3 3" xfId="0"/>
    <cellStyle name="Normal 61 2 2 7 3 3 2" xfId="0"/>
    <cellStyle name="Normal 61 2 2 7 3 3 2 2" xfId="0"/>
    <cellStyle name="Normal 61 2 2 7 3 3 3" xfId="0"/>
    <cellStyle name="Normal 61 2 2 7 3 4" xfId="0"/>
    <cellStyle name="Normal 61 2 2 7 3 4 2" xfId="0"/>
    <cellStyle name="Normal 61 2 2 7 3 5" xfId="0"/>
    <cellStyle name="Normal 61 2 2 7 4" xfId="0"/>
    <cellStyle name="Normal 61 2 2 7 4 2" xfId="0"/>
    <cellStyle name="Normal 61 2 2 7 4 2 2" xfId="0"/>
    <cellStyle name="Normal 61 2 2 7 4 3" xfId="0"/>
    <cellStyle name="Normal 61 2 2 7 5" xfId="0"/>
    <cellStyle name="Normal 61 2 2 7 5 2" xfId="0"/>
    <cellStyle name="Normal 61 2 2 7 5 2 2" xfId="0"/>
    <cellStyle name="Normal 61 2 2 7 5 3" xfId="0"/>
    <cellStyle name="Normal 61 2 2 7 6" xfId="0"/>
    <cellStyle name="Normal 61 2 2 7 6 2" xfId="0"/>
    <cellStyle name="Normal 61 2 2 7 7" xfId="0"/>
    <cellStyle name="Normal 61 2 2 8" xfId="0"/>
    <cellStyle name="Normal 61 2 2 8 2" xfId="0"/>
    <cellStyle name="Normal 61 2 2 8 2 2" xfId="0"/>
    <cellStyle name="Normal 61 2 2 8 2 2 2" xfId="0"/>
    <cellStyle name="Normal 61 2 2 8 2 2 2 2" xfId="0"/>
    <cellStyle name="Normal 61 2 2 8 2 2 3" xfId="0"/>
    <cellStyle name="Normal 61 2 2 8 2 3" xfId="0"/>
    <cellStyle name="Normal 61 2 2 8 2 3 2" xfId="0"/>
    <cellStyle name="Normal 61 2 2 8 2 3 2 2" xfId="0"/>
    <cellStyle name="Normal 61 2 2 8 2 3 3" xfId="0"/>
    <cellStyle name="Normal 61 2 2 8 2 4" xfId="0"/>
    <cellStyle name="Normal 61 2 2 8 2 4 2" xfId="0"/>
    <cellStyle name="Normal 61 2 2 8 2 5" xfId="0"/>
    <cellStyle name="Normal 61 2 2 8 3" xfId="0"/>
    <cellStyle name="Normal 61 2 2 8 3 2" xfId="0"/>
    <cellStyle name="Normal 61 2 2 8 3 2 2" xfId="0"/>
    <cellStyle name="Normal 61 2 2 8 3 3" xfId="0"/>
    <cellStyle name="Normal 61 2 2 8 4" xfId="0"/>
    <cellStyle name="Normal 61 2 2 8 4 2" xfId="0"/>
    <cellStyle name="Normal 61 2 2 8 4 2 2" xfId="0"/>
    <cellStyle name="Normal 61 2 2 8 4 3" xfId="0"/>
    <cellStyle name="Normal 61 2 2 8 5" xfId="0"/>
    <cellStyle name="Normal 61 2 2 8 5 2" xfId="0"/>
    <cellStyle name="Normal 61 2 2 8 6" xfId="0"/>
    <cellStyle name="Normal 61 2 2 9" xfId="0"/>
    <cellStyle name="Normal 61 2 2 9 2" xfId="0"/>
    <cellStyle name="Normal 61 2 2 9 2 2" xfId="0"/>
    <cellStyle name="Normal 61 2 2 9 2 2 2" xfId="0"/>
    <cellStyle name="Normal 61 2 2 9 2 3" xfId="0"/>
    <cellStyle name="Normal 61 2 2 9 3" xfId="0"/>
    <cellStyle name="Normal 61 2 2 9 3 2" xfId="0"/>
    <cellStyle name="Normal 61 2 2 9 3 2 2" xfId="0"/>
    <cellStyle name="Normal 61 2 2 9 3 3" xfId="0"/>
    <cellStyle name="Normal 61 2 2 9 4" xfId="0"/>
    <cellStyle name="Normal 61 2 2 9 4 2" xfId="0"/>
    <cellStyle name="Normal 61 2 2 9 5" xfId="0"/>
    <cellStyle name="Normal 61 2 3" xfId="0"/>
    <cellStyle name="Normal 61 2 3 10" xfId="0"/>
    <cellStyle name="Normal 61 2 3 10 2" xfId="0"/>
    <cellStyle name="Normal 61 2 3 10 2 2" xfId="0"/>
    <cellStyle name="Normal 61 2 3 10 3" xfId="0"/>
    <cellStyle name="Normal 61 2 3 11" xfId="0"/>
    <cellStyle name="Normal 61 2 3 11 2" xfId="0"/>
    <cellStyle name="Normal 61 2 3 11 2 2" xfId="0"/>
    <cellStyle name="Normal 61 2 3 11 3" xfId="0"/>
    <cellStyle name="Normal 61 2 3 12" xfId="0"/>
    <cellStyle name="Normal 61 2 3 12 2" xfId="0"/>
    <cellStyle name="Normal 61 2 3 13" xfId="0"/>
    <cellStyle name="Normal 61 2 3 2" xfId="0"/>
    <cellStyle name="Normal 61 2 3 2 10" xfId="0"/>
    <cellStyle name="Normal 61 2 3 2 10 2" xfId="0"/>
    <cellStyle name="Normal 61 2 3 2 10 2 2" xfId="0"/>
    <cellStyle name="Normal 61 2 3 2 10 3" xfId="0"/>
    <cellStyle name="Normal 61 2 3 2 11" xfId="0"/>
    <cellStyle name="Normal 61 2 3 2 11 2" xfId="0"/>
    <cellStyle name="Normal 61 2 3 2 12" xfId="0"/>
    <cellStyle name="Normal 61 2 3 2 2" xfId="0"/>
    <cellStyle name="Normal 61 2 3 2 2 10" xfId="0"/>
    <cellStyle name="Normal 61 2 3 2 2 2" xfId="0"/>
    <cellStyle name="Normal 61 2 3 2 2 2 2" xfId="0"/>
    <cellStyle name="Normal 61 2 3 2 2 2 2 2" xfId="0"/>
    <cellStyle name="Normal 61 2 3 2 2 2 2 2 2" xfId="0"/>
    <cellStyle name="Normal 61 2 3 2 2 2 2 2 2 2" xfId="0"/>
    <cellStyle name="Normal 61 2 3 2 2 2 2 2 2 2 2" xfId="0"/>
    <cellStyle name="Normal 61 2 3 2 2 2 2 2 2 2 2 2" xfId="0"/>
    <cellStyle name="Normal 61 2 3 2 2 2 2 2 2 2 2 2 2" xfId="0"/>
    <cellStyle name="Normal 61 2 3 2 2 2 2 2 2 2 2 3" xfId="0"/>
    <cellStyle name="Normal 61 2 3 2 2 2 2 2 2 2 3" xfId="0"/>
    <cellStyle name="Normal 61 2 3 2 2 2 2 2 2 2 3 2" xfId="0"/>
    <cellStyle name="Normal 61 2 3 2 2 2 2 2 2 2 3 2 2" xfId="0"/>
    <cellStyle name="Normal 61 2 3 2 2 2 2 2 2 2 3 3" xfId="0"/>
    <cellStyle name="Normal 61 2 3 2 2 2 2 2 2 2 4" xfId="0"/>
    <cellStyle name="Normal 61 2 3 2 2 2 2 2 2 2 4 2" xfId="0"/>
    <cellStyle name="Normal 61 2 3 2 2 2 2 2 2 2 5" xfId="0"/>
    <cellStyle name="Normal 61 2 3 2 2 2 2 2 2 3" xfId="0"/>
    <cellStyle name="Normal 61 2 3 2 2 2 2 2 2 3 2" xfId="0"/>
    <cellStyle name="Normal 61 2 3 2 2 2 2 2 2 3 2 2" xfId="0"/>
    <cellStyle name="Normal 61 2 3 2 2 2 2 2 2 3 3" xfId="0"/>
    <cellStyle name="Normal 61 2 3 2 2 2 2 2 2 4" xfId="0"/>
    <cellStyle name="Normal 61 2 3 2 2 2 2 2 2 4 2" xfId="0"/>
    <cellStyle name="Normal 61 2 3 2 2 2 2 2 2 4 2 2" xfId="0"/>
    <cellStyle name="Normal 61 2 3 2 2 2 2 2 2 4 3" xfId="0"/>
    <cellStyle name="Normal 61 2 3 2 2 2 2 2 2 5" xfId="0"/>
    <cellStyle name="Normal 61 2 3 2 2 2 2 2 2 5 2" xfId="0"/>
    <cellStyle name="Normal 61 2 3 2 2 2 2 2 2 6" xfId="0"/>
    <cellStyle name="Normal 61 2 3 2 2 2 2 2 3" xfId="0"/>
    <cellStyle name="Normal 61 2 3 2 2 2 2 2 3 2" xfId="0"/>
    <cellStyle name="Normal 61 2 3 2 2 2 2 2 3 2 2" xfId="0"/>
    <cellStyle name="Normal 61 2 3 2 2 2 2 2 3 2 2 2" xfId="0"/>
    <cellStyle name="Normal 61 2 3 2 2 2 2 2 3 2 3" xfId="0"/>
    <cellStyle name="Normal 61 2 3 2 2 2 2 2 3 3" xfId="0"/>
    <cellStyle name="Normal 61 2 3 2 2 2 2 2 3 3 2" xfId="0"/>
    <cellStyle name="Normal 61 2 3 2 2 2 2 2 3 3 2 2" xfId="0"/>
    <cellStyle name="Normal 61 2 3 2 2 2 2 2 3 3 3" xfId="0"/>
    <cellStyle name="Normal 61 2 3 2 2 2 2 2 3 4" xfId="0"/>
    <cellStyle name="Normal 61 2 3 2 2 2 2 2 3 4 2" xfId="0"/>
    <cellStyle name="Normal 61 2 3 2 2 2 2 2 3 5" xfId="0"/>
    <cellStyle name="Normal 61 2 3 2 2 2 2 2 4" xfId="0"/>
    <cellStyle name="Normal 61 2 3 2 2 2 2 2 4 2" xfId="0"/>
    <cellStyle name="Normal 61 2 3 2 2 2 2 2 4 2 2" xfId="0"/>
    <cellStyle name="Normal 61 2 3 2 2 2 2 2 4 3" xfId="0"/>
    <cellStyle name="Normal 61 2 3 2 2 2 2 2 5" xfId="0"/>
    <cellStyle name="Normal 61 2 3 2 2 2 2 2 5 2" xfId="0"/>
    <cellStyle name="Normal 61 2 3 2 2 2 2 2 5 2 2" xfId="0"/>
    <cellStyle name="Normal 61 2 3 2 2 2 2 2 5 3" xfId="0"/>
    <cellStyle name="Normal 61 2 3 2 2 2 2 2 6" xfId="0"/>
    <cellStyle name="Normal 61 2 3 2 2 2 2 2 6 2" xfId="0"/>
    <cellStyle name="Normal 61 2 3 2 2 2 2 2 7" xfId="0"/>
    <cellStyle name="Normal 61 2 3 2 2 2 2 3" xfId="0"/>
    <cellStyle name="Normal 61 2 3 2 2 2 2 3 2" xfId="0"/>
    <cellStyle name="Normal 61 2 3 2 2 2 2 3 2 2" xfId="0"/>
    <cellStyle name="Normal 61 2 3 2 2 2 2 3 2 2 2" xfId="0"/>
    <cellStyle name="Normal 61 2 3 2 2 2 2 3 2 2 2 2" xfId="0"/>
    <cellStyle name="Normal 61 2 3 2 2 2 2 3 2 2 3" xfId="0"/>
    <cellStyle name="Normal 61 2 3 2 2 2 2 3 2 3" xfId="0"/>
    <cellStyle name="Normal 61 2 3 2 2 2 2 3 2 3 2" xfId="0"/>
    <cellStyle name="Normal 61 2 3 2 2 2 2 3 2 3 2 2" xfId="0"/>
    <cellStyle name="Normal 61 2 3 2 2 2 2 3 2 3 3" xfId="0"/>
    <cellStyle name="Normal 61 2 3 2 2 2 2 3 2 4" xfId="0"/>
    <cellStyle name="Normal 61 2 3 2 2 2 2 3 2 4 2" xfId="0"/>
    <cellStyle name="Normal 61 2 3 2 2 2 2 3 2 5" xfId="0"/>
    <cellStyle name="Normal 61 2 3 2 2 2 2 3 3" xfId="0"/>
    <cellStyle name="Normal 61 2 3 2 2 2 2 3 3 2" xfId="0"/>
    <cellStyle name="Normal 61 2 3 2 2 2 2 3 3 2 2" xfId="0"/>
    <cellStyle name="Normal 61 2 3 2 2 2 2 3 3 3" xfId="0"/>
    <cellStyle name="Normal 61 2 3 2 2 2 2 3 4" xfId="0"/>
    <cellStyle name="Normal 61 2 3 2 2 2 2 3 4 2" xfId="0"/>
    <cellStyle name="Normal 61 2 3 2 2 2 2 3 4 2 2" xfId="0"/>
    <cellStyle name="Normal 61 2 3 2 2 2 2 3 4 3" xfId="0"/>
    <cellStyle name="Normal 61 2 3 2 2 2 2 3 5" xfId="0"/>
    <cellStyle name="Normal 61 2 3 2 2 2 2 3 5 2" xfId="0"/>
    <cellStyle name="Normal 61 2 3 2 2 2 2 3 6" xfId="0"/>
    <cellStyle name="Normal 61 2 3 2 2 2 2 4" xfId="0"/>
    <cellStyle name="Normal 61 2 3 2 2 2 2 4 2" xfId="0"/>
    <cellStyle name="Normal 61 2 3 2 2 2 2 4 2 2" xfId="0"/>
    <cellStyle name="Normal 61 2 3 2 2 2 2 4 2 2 2" xfId="0"/>
    <cellStyle name="Normal 61 2 3 2 2 2 2 4 2 3" xfId="0"/>
    <cellStyle name="Normal 61 2 3 2 2 2 2 4 3" xfId="0"/>
    <cellStyle name="Normal 61 2 3 2 2 2 2 4 3 2" xfId="0"/>
    <cellStyle name="Normal 61 2 3 2 2 2 2 4 3 2 2" xfId="0"/>
    <cellStyle name="Normal 61 2 3 2 2 2 2 4 3 3" xfId="0"/>
    <cellStyle name="Normal 61 2 3 2 2 2 2 4 4" xfId="0"/>
    <cellStyle name="Normal 61 2 3 2 2 2 2 4 4 2" xfId="0"/>
    <cellStyle name="Normal 61 2 3 2 2 2 2 4 5" xfId="0"/>
    <cellStyle name="Normal 61 2 3 2 2 2 2 5" xfId="0"/>
    <cellStyle name="Normal 61 2 3 2 2 2 2 5 2" xfId="0"/>
    <cellStyle name="Normal 61 2 3 2 2 2 2 5 2 2" xfId="0"/>
    <cellStyle name="Normal 61 2 3 2 2 2 2 5 3" xfId="0"/>
    <cellStyle name="Normal 61 2 3 2 2 2 2 6" xfId="0"/>
    <cellStyle name="Normal 61 2 3 2 2 2 2 6 2" xfId="0"/>
    <cellStyle name="Normal 61 2 3 2 2 2 2 6 2 2" xfId="0"/>
    <cellStyle name="Normal 61 2 3 2 2 2 2 6 3" xfId="0"/>
    <cellStyle name="Normal 61 2 3 2 2 2 2 7" xfId="0"/>
    <cellStyle name="Normal 61 2 3 2 2 2 2 7 2" xfId="0"/>
    <cellStyle name="Normal 61 2 3 2 2 2 2 8" xfId="0"/>
    <cellStyle name="Normal 61 2 3 2 2 2 3" xfId="0"/>
    <cellStyle name="Normal 61 2 3 2 2 2 3 2" xfId="0"/>
    <cellStyle name="Normal 61 2 3 2 2 2 3 2 2" xfId="0"/>
    <cellStyle name="Normal 61 2 3 2 2 2 3 2 2 2" xfId="0"/>
    <cellStyle name="Normal 61 2 3 2 2 2 3 2 2 2 2" xfId="0"/>
    <cellStyle name="Normal 61 2 3 2 2 2 3 2 2 2 2 2" xfId="0"/>
    <cellStyle name="Normal 61 2 3 2 2 2 3 2 2 2 3" xfId="0"/>
    <cellStyle name="Normal 61 2 3 2 2 2 3 2 2 3" xfId="0"/>
    <cellStyle name="Normal 61 2 3 2 2 2 3 2 2 3 2" xfId="0"/>
    <cellStyle name="Normal 61 2 3 2 2 2 3 2 2 3 2 2" xfId="0"/>
    <cellStyle name="Normal 61 2 3 2 2 2 3 2 2 3 3" xfId="0"/>
    <cellStyle name="Normal 61 2 3 2 2 2 3 2 2 4" xfId="0"/>
    <cellStyle name="Normal 61 2 3 2 2 2 3 2 2 4 2" xfId="0"/>
    <cellStyle name="Normal 61 2 3 2 2 2 3 2 2 5" xfId="0"/>
    <cellStyle name="Normal 61 2 3 2 2 2 3 2 3" xfId="0"/>
    <cellStyle name="Normal 61 2 3 2 2 2 3 2 3 2" xfId="0"/>
    <cellStyle name="Normal 61 2 3 2 2 2 3 2 3 2 2" xfId="0"/>
    <cellStyle name="Normal 61 2 3 2 2 2 3 2 3 3" xfId="0"/>
    <cellStyle name="Normal 61 2 3 2 2 2 3 2 4" xfId="0"/>
    <cellStyle name="Normal 61 2 3 2 2 2 3 2 4 2" xfId="0"/>
    <cellStyle name="Normal 61 2 3 2 2 2 3 2 4 2 2" xfId="0"/>
    <cellStyle name="Normal 61 2 3 2 2 2 3 2 4 3" xfId="0"/>
    <cellStyle name="Normal 61 2 3 2 2 2 3 2 5" xfId="0"/>
    <cellStyle name="Normal 61 2 3 2 2 2 3 2 5 2" xfId="0"/>
    <cellStyle name="Normal 61 2 3 2 2 2 3 2 6" xfId="0"/>
    <cellStyle name="Normal 61 2 3 2 2 2 3 3" xfId="0"/>
    <cellStyle name="Normal 61 2 3 2 2 2 3 3 2" xfId="0"/>
    <cellStyle name="Normal 61 2 3 2 2 2 3 3 2 2" xfId="0"/>
    <cellStyle name="Normal 61 2 3 2 2 2 3 3 2 2 2" xfId="0"/>
    <cellStyle name="Normal 61 2 3 2 2 2 3 3 2 3" xfId="0"/>
    <cellStyle name="Normal 61 2 3 2 2 2 3 3 3" xfId="0"/>
    <cellStyle name="Normal 61 2 3 2 2 2 3 3 3 2" xfId="0"/>
    <cellStyle name="Normal 61 2 3 2 2 2 3 3 3 2 2" xfId="0"/>
    <cellStyle name="Normal 61 2 3 2 2 2 3 3 3 3" xfId="0"/>
    <cellStyle name="Normal 61 2 3 2 2 2 3 3 4" xfId="0"/>
    <cellStyle name="Normal 61 2 3 2 2 2 3 3 4 2" xfId="0"/>
    <cellStyle name="Normal 61 2 3 2 2 2 3 3 5" xfId="0"/>
    <cellStyle name="Normal 61 2 3 2 2 2 3 4" xfId="0"/>
    <cellStyle name="Normal 61 2 3 2 2 2 3 4 2" xfId="0"/>
    <cellStyle name="Normal 61 2 3 2 2 2 3 4 2 2" xfId="0"/>
    <cellStyle name="Normal 61 2 3 2 2 2 3 4 3" xfId="0"/>
    <cellStyle name="Normal 61 2 3 2 2 2 3 5" xfId="0"/>
    <cellStyle name="Normal 61 2 3 2 2 2 3 5 2" xfId="0"/>
    <cellStyle name="Normal 61 2 3 2 2 2 3 5 2 2" xfId="0"/>
    <cellStyle name="Normal 61 2 3 2 2 2 3 5 3" xfId="0"/>
    <cellStyle name="Normal 61 2 3 2 2 2 3 6" xfId="0"/>
    <cellStyle name="Normal 61 2 3 2 2 2 3 6 2" xfId="0"/>
    <cellStyle name="Normal 61 2 3 2 2 2 3 7" xfId="0"/>
    <cellStyle name="Normal 61 2 3 2 2 2 4" xfId="0"/>
    <cellStyle name="Normal 61 2 3 2 2 2 4 2" xfId="0"/>
    <cellStyle name="Normal 61 2 3 2 2 2 4 2 2" xfId="0"/>
    <cellStyle name="Normal 61 2 3 2 2 2 4 2 2 2" xfId="0"/>
    <cellStyle name="Normal 61 2 3 2 2 2 4 2 2 2 2" xfId="0"/>
    <cellStyle name="Normal 61 2 3 2 2 2 4 2 2 3" xfId="0"/>
    <cellStyle name="Normal 61 2 3 2 2 2 4 2 3" xfId="0"/>
    <cellStyle name="Normal 61 2 3 2 2 2 4 2 3 2" xfId="0"/>
    <cellStyle name="Normal 61 2 3 2 2 2 4 2 3 2 2" xfId="0"/>
    <cellStyle name="Normal 61 2 3 2 2 2 4 2 3 3" xfId="0"/>
    <cellStyle name="Normal 61 2 3 2 2 2 4 2 4" xfId="0"/>
    <cellStyle name="Normal 61 2 3 2 2 2 4 2 4 2" xfId="0"/>
    <cellStyle name="Normal 61 2 3 2 2 2 4 2 5" xfId="0"/>
    <cellStyle name="Normal 61 2 3 2 2 2 4 3" xfId="0"/>
    <cellStyle name="Normal 61 2 3 2 2 2 4 3 2" xfId="0"/>
    <cellStyle name="Normal 61 2 3 2 2 2 4 3 2 2" xfId="0"/>
    <cellStyle name="Normal 61 2 3 2 2 2 4 3 3" xfId="0"/>
    <cellStyle name="Normal 61 2 3 2 2 2 4 4" xfId="0"/>
    <cellStyle name="Normal 61 2 3 2 2 2 4 4 2" xfId="0"/>
    <cellStyle name="Normal 61 2 3 2 2 2 4 4 2 2" xfId="0"/>
    <cellStyle name="Normal 61 2 3 2 2 2 4 4 3" xfId="0"/>
    <cellStyle name="Normal 61 2 3 2 2 2 4 5" xfId="0"/>
    <cellStyle name="Normal 61 2 3 2 2 2 4 5 2" xfId="0"/>
    <cellStyle name="Normal 61 2 3 2 2 2 4 6" xfId="0"/>
    <cellStyle name="Normal 61 2 3 2 2 2 5" xfId="0"/>
    <cellStyle name="Normal 61 2 3 2 2 2 5 2" xfId="0"/>
    <cellStyle name="Normal 61 2 3 2 2 2 5 2 2" xfId="0"/>
    <cellStyle name="Normal 61 2 3 2 2 2 5 2 2 2" xfId="0"/>
    <cellStyle name="Normal 61 2 3 2 2 2 5 2 3" xfId="0"/>
    <cellStyle name="Normal 61 2 3 2 2 2 5 3" xfId="0"/>
    <cellStyle name="Normal 61 2 3 2 2 2 5 3 2" xfId="0"/>
    <cellStyle name="Normal 61 2 3 2 2 2 5 3 2 2" xfId="0"/>
    <cellStyle name="Normal 61 2 3 2 2 2 5 3 3" xfId="0"/>
    <cellStyle name="Normal 61 2 3 2 2 2 5 4" xfId="0"/>
    <cellStyle name="Normal 61 2 3 2 2 2 5 4 2" xfId="0"/>
    <cellStyle name="Normal 61 2 3 2 2 2 5 5" xfId="0"/>
    <cellStyle name="Normal 61 2 3 2 2 2 6" xfId="0"/>
    <cellStyle name="Normal 61 2 3 2 2 2 6 2" xfId="0"/>
    <cellStyle name="Normal 61 2 3 2 2 2 6 2 2" xfId="0"/>
    <cellStyle name="Normal 61 2 3 2 2 2 6 3" xfId="0"/>
    <cellStyle name="Normal 61 2 3 2 2 2 7" xfId="0"/>
    <cellStyle name="Normal 61 2 3 2 2 2 7 2" xfId="0"/>
    <cellStyle name="Normal 61 2 3 2 2 2 7 2 2" xfId="0"/>
    <cellStyle name="Normal 61 2 3 2 2 2 7 3" xfId="0"/>
    <cellStyle name="Normal 61 2 3 2 2 2 8" xfId="0"/>
    <cellStyle name="Normal 61 2 3 2 2 2 8 2" xfId="0"/>
    <cellStyle name="Normal 61 2 3 2 2 2 9" xfId="0"/>
    <cellStyle name="Normal 61 2 3 2 2 3" xfId="0"/>
    <cellStyle name="Normal 61 2 3 2 2 3 2" xfId="0"/>
    <cellStyle name="Normal 61 2 3 2 2 3 2 2" xfId="0"/>
    <cellStyle name="Normal 61 2 3 2 2 3 2 2 2" xfId="0"/>
    <cellStyle name="Normal 61 2 3 2 2 3 2 2 2 2" xfId="0"/>
    <cellStyle name="Normal 61 2 3 2 2 3 2 2 2 2 2" xfId="0"/>
    <cellStyle name="Normal 61 2 3 2 2 3 2 2 2 2 2 2" xfId="0"/>
    <cellStyle name="Normal 61 2 3 2 2 3 2 2 2 2 3" xfId="0"/>
    <cellStyle name="Normal 61 2 3 2 2 3 2 2 2 3" xfId="0"/>
    <cellStyle name="Normal 61 2 3 2 2 3 2 2 2 3 2" xfId="0"/>
    <cellStyle name="Normal 61 2 3 2 2 3 2 2 2 3 2 2" xfId="0"/>
    <cellStyle name="Normal 61 2 3 2 2 3 2 2 2 3 3" xfId="0"/>
    <cellStyle name="Normal 61 2 3 2 2 3 2 2 2 4" xfId="0"/>
    <cellStyle name="Normal 61 2 3 2 2 3 2 2 2 4 2" xfId="0"/>
    <cellStyle name="Normal 61 2 3 2 2 3 2 2 2 5" xfId="0"/>
    <cellStyle name="Normal 61 2 3 2 2 3 2 2 3" xfId="0"/>
    <cellStyle name="Normal 61 2 3 2 2 3 2 2 3 2" xfId="0"/>
    <cellStyle name="Normal 61 2 3 2 2 3 2 2 3 2 2" xfId="0"/>
    <cellStyle name="Normal 61 2 3 2 2 3 2 2 3 3" xfId="0"/>
    <cellStyle name="Normal 61 2 3 2 2 3 2 2 4" xfId="0"/>
    <cellStyle name="Normal 61 2 3 2 2 3 2 2 4 2" xfId="0"/>
    <cellStyle name="Normal 61 2 3 2 2 3 2 2 4 2 2" xfId="0"/>
    <cellStyle name="Normal 61 2 3 2 2 3 2 2 4 3" xfId="0"/>
    <cellStyle name="Normal 61 2 3 2 2 3 2 2 5" xfId="0"/>
    <cellStyle name="Normal 61 2 3 2 2 3 2 2 5 2" xfId="0"/>
    <cellStyle name="Normal 61 2 3 2 2 3 2 2 6" xfId="0"/>
    <cellStyle name="Normal 61 2 3 2 2 3 2 3" xfId="0"/>
    <cellStyle name="Normal 61 2 3 2 2 3 2 3 2" xfId="0"/>
    <cellStyle name="Normal 61 2 3 2 2 3 2 3 2 2" xfId="0"/>
    <cellStyle name="Normal 61 2 3 2 2 3 2 3 2 2 2" xfId="0"/>
    <cellStyle name="Normal 61 2 3 2 2 3 2 3 2 3" xfId="0"/>
    <cellStyle name="Normal 61 2 3 2 2 3 2 3 3" xfId="0"/>
    <cellStyle name="Normal 61 2 3 2 2 3 2 3 3 2" xfId="0"/>
    <cellStyle name="Normal 61 2 3 2 2 3 2 3 3 2 2" xfId="0"/>
    <cellStyle name="Normal 61 2 3 2 2 3 2 3 3 3" xfId="0"/>
    <cellStyle name="Normal 61 2 3 2 2 3 2 3 4" xfId="0"/>
    <cellStyle name="Normal 61 2 3 2 2 3 2 3 4 2" xfId="0"/>
    <cellStyle name="Normal 61 2 3 2 2 3 2 3 5" xfId="0"/>
    <cellStyle name="Normal 61 2 3 2 2 3 2 4" xfId="0"/>
    <cellStyle name="Normal 61 2 3 2 2 3 2 4 2" xfId="0"/>
    <cellStyle name="Normal 61 2 3 2 2 3 2 4 2 2" xfId="0"/>
    <cellStyle name="Normal 61 2 3 2 2 3 2 4 3" xfId="0"/>
    <cellStyle name="Normal 61 2 3 2 2 3 2 5" xfId="0"/>
    <cellStyle name="Normal 61 2 3 2 2 3 2 5 2" xfId="0"/>
    <cellStyle name="Normal 61 2 3 2 2 3 2 5 2 2" xfId="0"/>
    <cellStyle name="Normal 61 2 3 2 2 3 2 5 3" xfId="0"/>
    <cellStyle name="Normal 61 2 3 2 2 3 2 6" xfId="0"/>
    <cellStyle name="Normal 61 2 3 2 2 3 2 6 2" xfId="0"/>
    <cellStyle name="Normal 61 2 3 2 2 3 2 7" xfId="0"/>
    <cellStyle name="Normal 61 2 3 2 2 3 3" xfId="0"/>
    <cellStyle name="Normal 61 2 3 2 2 3 3 2" xfId="0"/>
    <cellStyle name="Normal 61 2 3 2 2 3 3 2 2" xfId="0"/>
    <cellStyle name="Normal 61 2 3 2 2 3 3 2 2 2" xfId="0"/>
    <cellStyle name="Normal 61 2 3 2 2 3 3 2 2 2 2" xfId="0"/>
    <cellStyle name="Normal 61 2 3 2 2 3 3 2 2 3" xfId="0"/>
    <cellStyle name="Normal 61 2 3 2 2 3 3 2 3" xfId="0"/>
    <cellStyle name="Normal 61 2 3 2 2 3 3 2 3 2" xfId="0"/>
    <cellStyle name="Normal 61 2 3 2 2 3 3 2 3 2 2" xfId="0"/>
    <cellStyle name="Normal 61 2 3 2 2 3 3 2 3 3" xfId="0"/>
    <cellStyle name="Normal 61 2 3 2 2 3 3 2 4" xfId="0"/>
    <cellStyle name="Normal 61 2 3 2 2 3 3 2 4 2" xfId="0"/>
    <cellStyle name="Normal 61 2 3 2 2 3 3 2 5" xfId="0"/>
    <cellStyle name="Normal 61 2 3 2 2 3 3 3" xfId="0"/>
    <cellStyle name="Normal 61 2 3 2 2 3 3 3 2" xfId="0"/>
    <cellStyle name="Normal 61 2 3 2 2 3 3 3 2 2" xfId="0"/>
    <cellStyle name="Normal 61 2 3 2 2 3 3 3 3" xfId="0"/>
    <cellStyle name="Normal 61 2 3 2 2 3 3 4" xfId="0"/>
    <cellStyle name="Normal 61 2 3 2 2 3 3 4 2" xfId="0"/>
    <cellStyle name="Normal 61 2 3 2 2 3 3 4 2 2" xfId="0"/>
    <cellStyle name="Normal 61 2 3 2 2 3 3 4 3" xfId="0"/>
    <cellStyle name="Normal 61 2 3 2 2 3 3 5" xfId="0"/>
    <cellStyle name="Normal 61 2 3 2 2 3 3 5 2" xfId="0"/>
    <cellStyle name="Normal 61 2 3 2 2 3 3 6" xfId="0"/>
    <cellStyle name="Normal 61 2 3 2 2 3 4" xfId="0"/>
    <cellStyle name="Normal 61 2 3 2 2 3 4 2" xfId="0"/>
    <cellStyle name="Normal 61 2 3 2 2 3 4 2 2" xfId="0"/>
    <cellStyle name="Normal 61 2 3 2 2 3 4 2 2 2" xfId="0"/>
    <cellStyle name="Normal 61 2 3 2 2 3 4 2 3" xfId="0"/>
    <cellStyle name="Normal 61 2 3 2 2 3 4 3" xfId="0"/>
    <cellStyle name="Normal 61 2 3 2 2 3 4 3 2" xfId="0"/>
    <cellStyle name="Normal 61 2 3 2 2 3 4 3 2 2" xfId="0"/>
    <cellStyle name="Normal 61 2 3 2 2 3 4 3 3" xfId="0"/>
    <cellStyle name="Normal 61 2 3 2 2 3 4 4" xfId="0"/>
    <cellStyle name="Normal 61 2 3 2 2 3 4 4 2" xfId="0"/>
    <cellStyle name="Normal 61 2 3 2 2 3 4 5" xfId="0"/>
    <cellStyle name="Normal 61 2 3 2 2 3 5" xfId="0"/>
    <cellStyle name="Normal 61 2 3 2 2 3 5 2" xfId="0"/>
    <cellStyle name="Normal 61 2 3 2 2 3 5 2 2" xfId="0"/>
    <cellStyle name="Normal 61 2 3 2 2 3 5 3" xfId="0"/>
    <cellStyle name="Normal 61 2 3 2 2 3 6" xfId="0"/>
    <cellStyle name="Normal 61 2 3 2 2 3 6 2" xfId="0"/>
    <cellStyle name="Normal 61 2 3 2 2 3 6 2 2" xfId="0"/>
    <cellStyle name="Normal 61 2 3 2 2 3 6 3" xfId="0"/>
    <cellStyle name="Normal 61 2 3 2 2 3 7" xfId="0"/>
    <cellStyle name="Normal 61 2 3 2 2 3 7 2" xfId="0"/>
    <cellStyle name="Normal 61 2 3 2 2 3 8" xfId="0"/>
    <cellStyle name="Normal 61 2 3 2 2 4" xfId="0"/>
    <cellStyle name="Normal 61 2 3 2 2 4 2" xfId="0"/>
    <cellStyle name="Normal 61 2 3 2 2 4 2 2" xfId="0"/>
    <cellStyle name="Normal 61 2 3 2 2 4 2 2 2" xfId="0"/>
    <cellStyle name="Normal 61 2 3 2 2 4 2 2 2 2" xfId="0"/>
    <cellStyle name="Normal 61 2 3 2 2 4 2 2 2 2 2" xfId="0"/>
    <cellStyle name="Normal 61 2 3 2 2 4 2 2 2 3" xfId="0"/>
    <cellStyle name="Normal 61 2 3 2 2 4 2 2 3" xfId="0"/>
    <cellStyle name="Normal 61 2 3 2 2 4 2 2 3 2" xfId="0"/>
    <cellStyle name="Normal 61 2 3 2 2 4 2 2 3 2 2" xfId="0"/>
    <cellStyle name="Normal 61 2 3 2 2 4 2 2 3 3" xfId="0"/>
    <cellStyle name="Normal 61 2 3 2 2 4 2 2 4" xfId="0"/>
    <cellStyle name="Normal 61 2 3 2 2 4 2 2 4 2" xfId="0"/>
    <cellStyle name="Normal 61 2 3 2 2 4 2 2 5" xfId="0"/>
    <cellStyle name="Normal 61 2 3 2 2 4 2 3" xfId="0"/>
    <cellStyle name="Normal 61 2 3 2 2 4 2 3 2" xfId="0"/>
    <cellStyle name="Normal 61 2 3 2 2 4 2 3 2 2" xfId="0"/>
    <cellStyle name="Normal 61 2 3 2 2 4 2 3 3" xfId="0"/>
    <cellStyle name="Normal 61 2 3 2 2 4 2 4" xfId="0"/>
    <cellStyle name="Normal 61 2 3 2 2 4 2 4 2" xfId="0"/>
    <cellStyle name="Normal 61 2 3 2 2 4 2 4 2 2" xfId="0"/>
    <cellStyle name="Normal 61 2 3 2 2 4 2 4 3" xfId="0"/>
    <cellStyle name="Normal 61 2 3 2 2 4 2 5" xfId="0"/>
    <cellStyle name="Normal 61 2 3 2 2 4 2 5 2" xfId="0"/>
    <cellStyle name="Normal 61 2 3 2 2 4 2 6" xfId="0"/>
    <cellStyle name="Normal 61 2 3 2 2 4 3" xfId="0"/>
    <cellStyle name="Normal 61 2 3 2 2 4 3 2" xfId="0"/>
    <cellStyle name="Normal 61 2 3 2 2 4 3 2 2" xfId="0"/>
    <cellStyle name="Normal 61 2 3 2 2 4 3 2 2 2" xfId="0"/>
    <cellStyle name="Normal 61 2 3 2 2 4 3 2 3" xfId="0"/>
    <cellStyle name="Normal 61 2 3 2 2 4 3 3" xfId="0"/>
    <cellStyle name="Normal 61 2 3 2 2 4 3 3 2" xfId="0"/>
    <cellStyle name="Normal 61 2 3 2 2 4 3 3 2 2" xfId="0"/>
    <cellStyle name="Normal 61 2 3 2 2 4 3 3 3" xfId="0"/>
    <cellStyle name="Normal 61 2 3 2 2 4 3 4" xfId="0"/>
    <cellStyle name="Normal 61 2 3 2 2 4 3 4 2" xfId="0"/>
    <cellStyle name="Normal 61 2 3 2 2 4 3 5" xfId="0"/>
    <cellStyle name="Normal 61 2 3 2 2 4 4" xfId="0"/>
    <cellStyle name="Normal 61 2 3 2 2 4 4 2" xfId="0"/>
    <cellStyle name="Normal 61 2 3 2 2 4 4 2 2" xfId="0"/>
    <cellStyle name="Normal 61 2 3 2 2 4 4 3" xfId="0"/>
    <cellStyle name="Normal 61 2 3 2 2 4 5" xfId="0"/>
    <cellStyle name="Normal 61 2 3 2 2 4 5 2" xfId="0"/>
    <cellStyle name="Normal 61 2 3 2 2 4 5 2 2" xfId="0"/>
    <cellStyle name="Normal 61 2 3 2 2 4 5 3" xfId="0"/>
    <cellStyle name="Normal 61 2 3 2 2 4 6" xfId="0"/>
    <cellStyle name="Normal 61 2 3 2 2 4 6 2" xfId="0"/>
    <cellStyle name="Normal 61 2 3 2 2 4 7" xfId="0"/>
    <cellStyle name="Normal 61 2 3 2 2 5" xfId="0"/>
    <cellStyle name="Normal 61 2 3 2 2 5 2" xfId="0"/>
    <cellStyle name="Normal 61 2 3 2 2 5 2 2" xfId="0"/>
    <cellStyle name="Normal 61 2 3 2 2 5 2 2 2" xfId="0"/>
    <cellStyle name="Normal 61 2 3 2 2 5 2 2 2 2" xfId="0"/>
    <cellStyle name="Normal 61 2 3 2 2 5 2 2 3" xfId="0"/>
    <cellStyle name="Normal 61 2 3 2 2 5 2 3" xfId="0"/>
    <cellStyle name="Normal 61 2 3 2 2 5 2 3 2" xfId="0"/>
    <cellStyle name="Normal 61 2 3 2 2 5 2 3 2 2" xfId="0"/>
    <cellStyle name="Normal 61 2 3 2 2 5 2 3 3" xfId="0"/>
    <cellStyle name="Normal 61 2 3 2 2 5 2 4" xfId="0"/>
    <cellStyle name="Normal 61 2 3 2 2 5 2 4 2" xfId="0"/>
    <cellStyle name="Normal 61 2 3 2 2 5 2 5" xfId="0"/>
    <cellStyle name="Normal 61 2 3 2 2 5 3" xfId="0"/>
    <cellStyle name="Normal 61 2 3 2 2 5 3 2" xfId="0"/>
    <cellStyle name="Normal 61 2 3 2 2 5 3 2 2" xfId="0"/>
    <cellStyle name="Normal 61 2 3 2 2 5 3 3" xfId="0"/>
    <cellStyle name="Normal 61 2 3 2 2 5 4" xfId="0"/>
    <cellStyle name="Normal 61 2 3 2 2 5 4 2" xfId="0"/>
    <cellStyle name="Normal 61 2 3 2 2 5 4 2 2" xfId="0"/>
    <cellStyle name="Normal 61 2 3 2 2 5 4 3" xfId="0"/>
    <cellStyle name="Normal 61 2 3 2 2 5 5" xfId="0"/>
    <cellStyle name="Normal 61 2 3 2 2 5 5 2" xfId="0"/>
    <cellStyle name="Normal 61 2 3 2 2 5 6" xfId="0"/>
    <cellStyle name="Normal 61 2 3 2 2 6" xfId="0"/>
    <cellStyle name="Normal 61 2 3 2 2 6 2" xfId="0"/>
    <cellStyle name="Normal 61 2 3 2 2 6 2 2" xfId="0"/>
    <cellStyle name="Normal 61 2 3 2 2 6 2 2 2" xfId="0"/>
    <cellStyle name="Normal 61 2 3 2 2 6 2 3" xfId="0"/>
    <cellStyle name="Normal 61 2 3 2 2 6 3" xfId="0"/>
    <cellStyle name="Normal 61 2 3 2 2 6 3 2" xfId="0"/>
    <cellStyle name="Normal 61 2 3 2 2 6 3 2 2" xfId="0"/>
    <cellStyle name="Normal 61 2 3 2 2 6 3 3" xfId="0"/>
    <cellStyle name="Normal 61 2 3 2 2 6 4" xfId="0"/>
    <cellStyle name="Normal 61 2 3 2 2 6 4 2" xfId="0"/>
    <cellStyle name="Normal 61 2 3 2 2 6 5" xfId="0"/>
    <cellStyle name="Normal 61 2 3 2 2 7" xfId="0"/>
    <cellStyle name="Normal 61 2 3 2 2 7 2" xfId="0"/>
    <cellStyle name="Normal 61 2 3 2 2 7 2 2" xfId="0"/>
    <cellStyle name="Normal 61 2 3 2 2 7 3" xfId="0"/>
    <cellStyle name="Normal 61 2 3 2 2 8" xfId="0"/>
    <cellStyle name="Normal 61 2 3 2 2 8 2" xfId="0"/>
    <cellStyle name="Normal 61 2 3 2 2 8 2 2" xfId="0"/>
    <cellStyle name="Normal 61 2 3 2 2 8 3" xfId="0"/>
    <cellStyle name="Normal 61 2 3 2 2 9" xfId="0"/>
    <cellStyle name="Normal 61 2 3 2 2 9 2" xfId="0"/>
    <cellStyle name="Normal 61 2 3 2 3" xfId="0"/>
    <cellStyle name="Normal 61 2 3 2 3 10" xfId="0"/>
    <cellStyle name="Normal 61 2 3 2 3 2" xfId="0"/>
    <cellStyle name="Normal 61 2 3 2 3 2 2" xfId="0"/>
    <cellStyle name="Normal 61 2 3 2 3 2 2 2" xfId="0"/>
    <cellStyle name="Normal 61 2 3 2 3 2 2 2 2" xfId="0"/>
    <cellStyle name="Normal 61 2 3 2 3 2 2 2 2 2" xfId="0"/>
    <cellStyle name="Normal 61 2 3 2 3 2 2 2 2 2 2" xfId="0"/>
    <cellStyle name="Normal 61 2 3 2 3 2 2 2 2 2 2 2" xfId="0"/>
    <cellStyle name="Normal 61 2 3 2 3 2 2 2 2 2 2 2 2" xfId="0"/>
    <cellStyle name="Normal 61 2 3 2 3 2 2 2 2 2 2 3" xfId="0"/>
    <cellStyle name="Normal 61 2 3 2 3 2 2 2 2 2 3" xfId="0"/>
    <cellStyle name="Normal 61 2 3 2 3 2 2 2 2 2 3 2" xfId="0"/>
    <cellStyle name="Normal 61 2 3 2 3 2 2 2 2 2 3 2 2" xfId="0"/>
    <cellStyle name="Normal 61 2 3 2 3 2 2 2 2 2 3 3" xfId="0"/>
    <cellStyle name="Normal 61 2 3 2 3 2 2 2 2 2 4" xfId="0"/>
    <cellStyle name="Normal 61 2 3 2 3 2 2 2 2 2 4 2" xfId="0"/>
    <cellStyle name="Normal 61 2 3 2 3 2 2 2 2 2 5" xfId="0"/>
    <cellStyle name="Normal 61 2 3 2 3 2 2 2 2 3" xfId="0"/>
    <cellStyle name="Normal 61 2 3 2 3 2 2 2 2 3 2" xfId="0"/>
    <cellStyle name="Normal 61 2 3 2 3 2 2 2 2 3 2 2" xfId="0"/>
    <cellStyle name="Normal 61 2 3 2 3 2 2 2 2 3 3" xfId="0"/>
    <cellStyle name="Normal 61 2 3 2 3 2 2 2 2 4" xfId="0"/>
    <cellStyle name="Normal 61 2 3 2 3 2 2 2 2 4 2" xfId="0"/>
    <cellStyle name="Normal 61 2 3 2 3 2 2 2 2 4 2 2" xfId="0"/>
    <cellStyle name="Normal 61 2 3 2 3 2 2 2 2 4 3" xfId="0"/>
    <cellStyle name="Normal 61 2 3 2 3 2 2 2 2 5" xfId="0"/>
    <cellStyle name="Normal 61 2 3 2 3 2 2 2 2 5 2" xfId="0"/>
    <cellStyle name="Normal 61 2 3 2 3 2 2 2 2 6" xfId="0"/>
    <cellStyle name="Normal 61 2 3 2 3 2 2 2 3" xfId="0"/>
    <cellStyle name="Normal 61 2 3 2 3 2 2 2 3 2" xfId="0"/>
    <cellStyle name="Normal 61 2 3 2 3 2 2 2 3 2 2" xfId="0"/>
    <cellStyle name="Normal 61 2 3 2 3 2 2 2 3 2 2 2" xfId="0"/>
    <cellStyle name="Normal 61 2 3 2 3 2 2 2 3 2 3" xfId="0"/>
    <cellStyle name="Normal 61 2 3 2 3 2 2 2 3 3" xfId="0"/>
    <cellStyle name="Normal 61 2 3 2 3 2 2 2 3 3 2" xfId="0"/>
    <cellStyle name="Normal 61 2 3 2 3 2 2 2 3 3 2 2" xfId="0"/>
    <cellStyle name="Normal 61 2 3 2 3 2 2 2 3 3 3" xfId="0"/>
    <cellStyle name="Normal 61 2 3 2 3 2 2 2 3 4" xfId="0"/>
    <cellStyle name="Normal 61 2 3 2 3 2 2 2 3 4 2" xfId="0"/>
    <cellStyle name="Normal 61 2 3 2 3 2 2 2 3 5" xfId="0"/>
    <cellStyle name="Normal 61 2 3 2 3 2 2 2 4" xfId="0"/>
    <cellStyle name="Normal 61 2 3 2 3 2 2 2 4 2" xfId="0"/>
    <cellStyle name="Normal 61 2 3 2 3 2 2 2 4 2 2" xfId="0"/>
    <cellStyle name="Normal 61 2 3 2 3 2 2 2 4 3" xfId="0"/>
    <cellStyle name="Normal 61 2 3 2 3 2 2 2 5" xfId="0"/>
    <cellStyle name="Normal 61 2 3 2 3 2 2 2 5 2" xfId="0"/>
    <cellStyle name="Normal 61 2 3 2 3 2 2 2 5 2 2" xfId="0"/>
    <cellStyle name="Normal 61 2 3 2 3 2 2 2 5 3" xfId="0"/>
    <cellStyle name="Normal 61 2 3 2 3 2 2 2 6" xfId="0"/>
    <cellStyle name="Normal 61 2 3 2 3 2 2 2 6 2" xfId="0"/>
    <cellStyle name="Normal 61 2 3 2 3 2 2 2 7" xfId="0"/>
    <cellStyle name="Normal 61 2 3 2 3 2 2 3" xfId="0"/>
    <cellStyle name="Normal 61 2 3 2 3 2 2 3 2" xfId="0"/>
    <cellStyle name="Normal 61 2 3 2 3 2 2 3 2 2" xfId="0"/>
    <cellStyle name="Normal 61 2 3 2 3 2 2 3 2 2 2" xfId="0"/>
    <cellStyle name="Normal 61 2 3 2 3 2 2 3 2 2 2 2" xfId="0"/>
    <cellStyle name="Normal 61 2 3 2 3 2 2 3 2 2 3" xfId="0"/>
    <cellStyle name="Normal 61 2 3 2 3 2 2 3 2 3" xfId="0"/>
    <cellStyle name="Normal 61 2 3 2 3 2 2 3 2 3 2" xfId="0"/>
    <cellStyle name="Normal 61 2 3 2 3 2 2 3 2 3 2 2" xfId="0"/>
    <cellStyle name="Normal 61 2 3 2 3 2 2 3 2 3 3" xfId="0"/>
    <cellStyle name="Normal 61 2 3 2 3 2 2 3 2 4" xfId="0"/>
    <cellStyle name="Normal 61 2 3 2 3 2 2 3 2 4 2" xfId="0"/>
    <cellStyle name="Normal 61 2 3 2 3 2 2 3 2 5" xfId="0"/>
    <cellStyle name="Normal 61 2 3 2 3 2 2 3 3" xfId="0"/>
    <cellStyle name="Normal 61 2 3 2 3 2 2 3 3 2" xfId="0"/>
    <cellStyle name="Normal 61 2 3 2 3 2 2 3 3 2 2" xfId="0"/>
    <cellStyle name="Normal 61 2 3 2 3 2 2 3 3 3" xfId="0"/>
    <cellStyle name="Normal 61 2 3 2 3 2 2 3 4" xfId="0"/>
    <cellStyle name="Normal 61 2 3 2 3 2 2 3 4 2" xfId="0"/>
    <cellStyle name="Normal 61 2 3 2 3 2 2 3 4 2 2" xfId="0"/>
    <cellStyle name="Normal 61 2 3 2 3 2 2 3 4 3" xfId="0"/>
    <cellStyle name="Normal 61 2 3 2 3 2 2 3 5" xfId="0"/>
    <cellStyle name="Normal 61 2 3 2 3 2 2 3 5 2" xfId="0"/>
    <cellStyle name="Normal 61 2 3 2 3 2 2 3 6" xfId="0"/>
    <cellStyle name="Normal 61 2 3 2 3 2 2 4" xfId="0"/>
    <cellStyle name="Normal 61 2 3 2 3 2 2 4 2" xfId="0"/>
    <cellStyle name="Normal 61 2 3 2 3 2 2 4 2 2" xfId="0"/>
    <cellStyle name="Normal 61 2 3 2 3 2 2 4 2 2 2" xfId="0"/>
    <cellStyle name="Normal 61 2 3 2 3 2 2 4 2 3" xfId="0"/>
    <cellStyle name="Normal 61 2 3 2 3 2 2 4 3" xfId="0"/>
    <cellStyle name="Normal 61 2 3 2 3 2 2 4 3 2" xfId="0"/>
    <cellStyle name="Normal 61 2 3 2 3 2 2 4 3 2 2" xfId="0"/>
    <cellStyle name="Normal 61 2 3 2 3 2 2 4 3 3" xfId="0"/>
    <cellStyle name="Normal 61 2 3 2 3 2 2 4 4" xfId="0"/>
    <cellStyle name="Normal 61 2 3 2 3 2 2 4 4 2" xfId="0"/>
    <cellStyle name="Normal 61 2 3 2 3 2 2 4 5" xfId="0"/>
    <cellStyle name="Normal 61 2 3 2 3 2 2 5" xfId="0"/>
    <cellStyle name="Normal 61 2 3 2 3 2 2 5 2" xfId="0"/>
    <cellStyle name="Normal 61 2 3 2 3 2 2 5 2 2" xfId="0"/>
    <cellStyle name="Normal 61 2 3 2 3 2 2 5 3" xfId="0"/>
    <cellStyle name="Normal 61 2 3 2 3 2 2 6" xfId="0"/>
    <cellStyle name="Normal 61 2 3 2 3 2 2 6 2" xfId="0"/>
    <cellStyle name="Normal 61 2 3 2 3 2 2 6 2 2" xfId="0"/>
    <cellStyle name="Normal 61 2 3 2 3 2 2 6 3" xfId="0"/>
    <cellStyle name="Normal 61 2 3 2 3 2 2 7" xfId="0"/>
    <cellStyle name="Normal 61 2 3 2 3 2 2 7 2" xfId="0"/>
    <cellStyle name="Normal 61 2 3 2 3 2 2 8" xfId="0"/>
    <cellStyle name="Normal 61 2 3 2 3 2 3" xfId="0"/>
    <cellStyle name="Normal 61 2 3 2 3 2 3 2" xfId="0"/>
    <cellStyle name="Normal 61 2 3 2 3 2 3 2 2" xfId="0"/>
    <cellStyle name="Normal 61 2 3 2 3 2 3 2 2 2" xfId="0"/>
    <cellStyle name="Normal 61 2 3 2 3 2 3 2 2 2 2" xfId="0"/>
    <cellStyle name="Normal 61 2 3 2 3 2 3 2 2 2 2 2" xfId="0"/>
    <cellStyle name="Normal 61 2 3 2 3 2 3 2 2 2 3" xfId="0"/>
    <cellStyle name="Normal 61 2 3 2 3 2 3 2 2 3" xfId="0"/>
    <cellStyle name="Normal 61 2 3 2 3 2 3 2 2 3 2" xfId="0"/>
    <cellStyle name="Normal 61 2 3 2 3 2 3 2 2 3 2 2" xfId="0"/>
    <cellStyle name="Normal 61 2 3 2 3 2 3 2 2 3 3" xfId="0"/>
    <cellStyle name="Normal 61 2 3 2 3 2 3 2 2 4" xfId="0"/>
    <cellStyle name="Normal 61 2 3 2 3 2 3 2 2 4 2" xfId="0"/>
    <cellStyle name="Normal 61 2 3 2 3 2 3 2 2 5" xfId="0"/>
    <cellStyle name="Normal 61 2 3 2 3 2 3 2 3" xfId="0"/>
    <cellStyle name="Normal 61 2 3 2 3 2 3 2 3 2" xfId="0"/>
    <cellStyle name="Normal 61 2 3 2 3 2 3 2 3 2 2" xfId="0"/>
    <cellStyle name="Normal 61 2 3 2 3 2 3 2 3 3" xfId="0"/>
    <cellStyle name="Normal 61 2 3 2 3 2 3 2 4" xfId="0"/>
    <cellStyle name="Normal 61 2 3 2 3 2 3 2 4 2" xfId="0"/>
    <cellStyle name="Normal 61 2 3 2 3 2 3 2 4 2 2" xfId="0"/>
    <cellStyle name="Normal 61 2 3 2 3 2 3 2 4 3" xfId="0"/>
    <cellStyle name="Normal 61 2 3 2 3 2 3 2 5" xfId="0"/>
    <cellStyle name="Normal 61 2 3 2 3 2 3 2 5 2" xfId="0"/>
    <cellStyle name="Normal 61 2 3 2 3 2 3 2 6" xfId="0"/>
    <cellStyle name="Normal 61 2 3 2 3 2 3 3" xfId="0"/>
    <cellStyle name="Normal 61 2 3 2 3 2 3 3 2" xfId="0"/>
    <cellStyle name="Normal 61 2 3 2 3 2 3 3 2 2" xfId="0"/>
    <cellStyle name="Normal 61 2 3 2 3 2 3 3 2 2 2" xfId="0"/>
    <cellStyle name="Normal 61 2 3 2 3 2 3 3 2 3" xfId="0"/>
    <cellStyle name="Normal 61 2 3 2 3 2 3 3 3" xfId="0"/>
    <cellStyle name="Normal 61 2 3 2 3 2 3 3 3 2" xfId="0"/>
    <cellStyle name="Normal 61 2 3 2 3 2 3 3 3 2 2" xfId="0"/>
    <cellStyle name="Normal 61 2 3 2 3 2 3 3 3 3" xfId="0"/>
    <cellStyle name="Normal 61 2 3 2 3 2 3 3 4" xfId="0"/>
    <cellStyle name="Normal 61 2 3 2 3 2 3 3 4 2" xfId="0"/>
    <cellStyle name="Normal 61 2 3 2 3 2 3 3 5" xfId="0"/>
    <cellStyle name="Normal 61 2 3 2 3 2 3 4" xfId="0"/>
    <cellStyle name="Normal 61 2 3 2 3 2 3 4 2" xfId="0"/>
    <cellStyle name="Normal 61 2 3 2 3 2 3 4 2 2" xfId="0"/>
    <cellStyle name="Normal 61 2 3 2 3 2 3 4 3" xfId="0"/>
    <cellStyle name="Normal 61 2 3 2 3 2 3 5" xfId="0"/>
    <cellStyle name="Normal 61 2 3 2 3 2 3 5 2" xfId="0"/>
    <cellStyle name="Normal 61 2 3 2 3 2 3 5 2 2" xfId="0"/>
    <cellStyle name="Normal 61 2 3 2 3 2 3 5 3" xfId="0"/>
    <cellStyle name="Normal 61 2 3 2 3 2 3 6" xfId="0"/>
    <cellStyle name="Normal 61 2 3 2 3 2 3 6 2" xfId="0"/>
    <cellStyle name="Normal 61 2 3 2 3 2 3 7" xfId="0"/>
    <cellStyle name="Normal 61 2 3 2 3 2 4" xfId="0"/>
    <cellStyle name="Normal 61 2 3 2 3 2 4 2" xfId="0"/>
    <cellStyle name="Normal 61 2 3 2 3 2 4 2 2" xfId="0"/>
    <cellStyle name="Normal 61 2 3 2 3 2 4 2 2 2" xfId="0"/>
    <cellStyle name="Normal 61 2 3 2 3 2 4 2 2 2 2" xfId="0"/>
    <cellStyle name="Normal 61 2 3 2 3 2 4 2 2 3" xfId="0"/>
    <cellStyle name="Normal 61 2 3 2 3 2 4 2 3" xfId="0"/>
    <cellStyle name="Normal 61 2 3 2 3 2 4 2 3 2" xfId="0"/>
    <cellStyle name="Normal 61 2 3 2 3 2 4 2 3 2 2" xfId="0"/>
    <cellStyle name="Normal 61 2 3 2 3 2 4 2 3 3" xfId="0"/>
    <cellStyle name="Normal 61 2 3 2 3 2 4 2 4" xfId="0"/>
    <cellStyle name="Normal 61 2 3 2 3 2 4 2 4 2" xfId="0"/>
    <cellStyle name="Normal 61 2 3 2 3 2 4 2 5" xfId="0"/>
    <cellStyle name="Normal 61 2 3 2 3 2 4 3" xfId="0"/>
    <cellStyle name="Normal 61 2 3 2 3 2 4 3 2" xfId="0"/>
    <cellStyle name="Normal 61 2 3 2 3 2 4 3 2 2" xfId="0"/>
    <cellStyle name="Normal 61 2 3 2 3 2 4 3 3" xfId="0"/>
    <cellStyle name="Normal 61 2 3 2 3 2 4 4" xfId="0"/>
    <cellStyle name="Normal 61 2 3 2 3 2 4 4 2" xfId="0"/>
    <cellStyle name="Normal 61 2 3 2 3 2 4 4 2 2" xfId="0"/>
    <cellStyle name="Normal 61 2 3 2 3 2 4 4 3" xfId="0"/>
    <cellStyle name="Normal 61 2 3 2 3 2 4 5" xfId="0"/>
    <cellStyle name="Normal 61 2 3 2 3 2 4 5 2" xfId="0"/>
    <cellStyle name="Normal 61 2 3 2 3 2 4 6" xfId="0"/>
    <cellStyle name="Normal 61 2 3 2 3 2 5" xfId="0"/>
    <cellStyle name="Normal 61 2 3 2 3 2 5 2" xfId="0"/>
    <cellStyle name="Normal 61 2 3 2 3 2 5 2 2" xfId="0"/>
    <cellStyle name="Normal 61 2 3 2 3 2 5 2 2 2" xfId="0"/>
    <cellStyle name="Normal 61 2 3 2 3 2 5 2 3" xfId="0"/>
    <cellStyle name="Normal 61 2 3 2 3 2 5 3" xfId="0"/>
    <cellStyle name="Normal 61 2 3 2 3 2 5 3 2" xfId="0"/>
    <cellStyle name="Normal 61 2 3 2 3 2 5 3 2 2" xfId="0"/>
    <cellStyle name="Normal 61 2 3 2 3 2 5 3 3" xfId="0"/>
    <cellStyle name="Normal 61 2 3 2 3 2 5 4" xfId="0"/>
    <cellStyle name="Normal 61 2 3 2 3 2 5 4 2" xfId="0"/>
    <cellStyle name="Normal 61 2 3 2 3 2 5 5" xfId="0"/>
    <cellStyle name="Normal 61 2 3 2 3 2 6" xfId="0"/>
    <cellStyle name="Normal 61 2 3 2 3 2 6 2" xfId="0"/>
    <cellStyle name="Normal 61 2 3 2 3 2 6 2 2" xfId="0"/>
    <cellStyle name="Normal 61 2 3 2 3 2 6 3" xfId="0"/>
    <cellStyle name="Normal 61 2 3 2 3 2 7" xfId="0"/>
    <cellStyle name="Normal 61 2 3 2 3 2 7 2" xfId="0"/>
    <cellStyle name="Normal 61 2 3 2 3 2 7 2 2" xfId="0"/>
    <cellStyle name="Normal 61 2 3 2 3 2 7 3" xfId="0"/>
    <cellStyle name="Normal 61 2 3 2 3 2 8" xfId="0"/>
    <cellStyle name="Normal 61 2 3 2 3 2 8 2" xfId="0"/>
    <cellStyle name="Normal 61 2 3 2 3 2 9" xfId="0"/>
    <cellStyle name="Normal 61 2 3 2 3 3" xfId="0"/>
    <cellStyle name="Normal 61 2 3 2 3 3 2" xfId="0"/>
    <cellStyle name="Normal 61 2 3 2 3 3 2 2" xfId="0"/>
    <cellStyle name="Normal 61 2 3 2 3 3 2 2 2" xfId="0"/>
    <cellStyle name="Normal 61 2 3 2 3 3 2 2 2 2" xfId="0"/>
    <cellStyle name="Normal 61 2 3 2 3 3 2 2 2 2 2" xfId="0"/>
    <cellStyle name="Normal 61 2 3 2 3 3 2 2 2 2 2 2" xfId="0"/>
    <cellStyle name="Normal 61 2 3 2 3 3 2 2 2 2 3" xfId="0"/>
    <cellStyle name="Normal 61 2 3 2 3 3 2 2 2 3" xfId="0"/>
    <cellStyle name="Normal 61 2 3 2 3 3 2 2 2 3 2" xfId="0"/>
    <cellStyle name="Normal 61 2 3 2 3 3 2 2 2 3 2 2" xfId="0"/>
    <cellStyle name="Normal 61 2 3 2 3 3 2 2 2 3 3" xfId="0"/>
    <cellStyle name="Normal 61 2 3 2 3 3 2 2 2 4" xfId="0"/>
    <cellStyle name="Normal 61 2 3 2 3 3 2 2 2 4 2" xfId="0"/>
    <cellStyle name="Normal 61 2 3 2 3 3 2 2 2 5" xfId="0"/>
    <cellStyle name="Normal 61 2 3 2 3 3 2 2 3" xfId="0"/>
    <cellStyle name="Normal 61 2 3 2 3 3 2 2 3 2" xfId="0"/>
    <cellStyle name="Normal 61 2 3 2 3 3 2 2 3 2 2" xfId="0"/>
    <cellStyle name="Normal 61 2 3 2 3 3 2 2 3 3" xfId="0"/>
    <cellStyle name="Normal 61 2 3 2 3 3 2 2 4" xfId="0"/>
    <cellStyle name="Normal 61 2 3 2 3 3 2 2 4 2" xfId="0"/>
    <cellStyle name="Normal 61 2 3 2 3 3 2 2 4 2 2" xfId="0"/>
    <cellStyle name="Normal 61 2 3 2 3 3 2 2 4 3" xfId="0"/>
    <cellStyle name="Normal 61 2 3 2 3 3 2 2 5" xfId="0"/>
    <cellStyle name="Normal 61 2 3 2 3 3 2 2 5 2" xfId="0"/>
    <cellStyle name="Normal 61 2 3 2 3 3 2 2 6" xfId="0"/>
    <cellStyle name="Normal 61 2 3 2 3 3 2 3" xfId="0"/>
    <cellStyle name="Normal 61 2 3 2 3 3 2 3 2" xfId="0"/>
    <cellStyle name="Normal 61 2 3 2 3 3 2 3 2 2" xfId="0"/>
    <cellStyle name="Normal 61 2 3 2 3 3 2 3 2 2 2" xfId="0"/>
    <cellStyle name="Normal 61 2 3 2 3 3 2 3 2 3" xfId="0"/>
    <cellStyle name="Normal 61 2 3 2 3 3 2 3 3" xfId="0"/>
    <cellStyle name="Normal 61 2 3 2 3 3 2 3 3 2" xfId="0"/>
    <cellStyle name="Normal 61 2 3 2 3 3 2 3 3 2 2" xfId="0"/>
    <cellStyle name="Normal 61 2 3 2 3 3 2 3 3 3" xfId="0"/>
    <cellStyle name="Normal 61 2 3 2 3 3 2 3 4" xfId="0"/>
    <cellStyle name="Normal 61 2 3 2 3 3 2 3 4 2" xfId="0"/>
    <cellStyle name="Normal 61 2 3 2 3 3 2 3 5" xfId="0"/>
    <cellStyle name="Normal 61 2 3 2 3 3 2 4" xfId="0"/>
    <cellStyle name="Normal 61 2 3 2 3 3 2 4 2" xfId="0"/>
    <cellStyle name="Normal 61 2 3 2 3 3 2 4 2 2" xfId="0"/>
    <cellStyle name="Normal 61 2 3 2 3 3 2 4 3" xfId="0"/>
    <cellStyle name="Normal 61 2 3 2 3 3 2 5" xfId="0"/>
    <cellStyle name="Normal 61 2 3 2 3 3 2 5 2" xfId="0"/>
    <cellStyle name="Normal 61 2 3 2 3 3 2 5 2 2" xfId="0"/>
    <cellStyle name="Normal 61 2 3 2 3 3 2 5 3" xfId="0"/>
    <cellStyle name="Normal 61 2 3 2 3 3 2 6" xfId="0"/>
    <cellStyle name="Normal 61 2 3 2 3 3 2 6 2" xfId="0"/>
    <cellStyle name="Normal 61 2 3 2 3 3 2 7" xfId="0"/>
    <cellStyle name="Normal 61 2 3 2 3 3 3" xfId="0"/>
    <cellStyle name="Normal 61 2 3 2 3 3 3 2" xfId="0"/>
    <cellStyle name="Normal 61 2 3 2 3 3 3 2 2" xfId="0"/>
    <cellStyle name="Normal 61 2 3 2 3 3 3 2 2 2" xfId="0"/>
    <cellStyle name="Normal 61 2 3 2 3 3 3 2 2 2 2" xfId="0"/>
    <cellStyle name="Normal 61 2 3 2 3 3 3 2 2 3" xfId="0"/>
    <cellStyle name="Normal 61 2 3 2 3 3 3 2 3" xfId="0"/>
    <cellStyle name="Normal 61 2 3 2 3 3 3 2 3 2" xfId="0"/>
    <cellStyle name="Normal 61 2 3 2 3 3 3 2 3 2 2" xfId="0"/>
    <cellStyle name="Normal 61 2 3 2 3 3 3 2 3 3" xfId="0"/>
    <cellStyle name="Normal 61 2 3 2 3 3 3 2 4" xfId="0"/>
    <cellStyle name="Normal 61 2 3 2 3 3 3 2 4 2" xfId="0"/>
    <cellStyle name="Normal 61 2 3 2 3 3 3 2 5" xfId="0"/>
    <cellStyle name="Normal 61 2 3 2 3 3 3 3" xfId="0"/>
    <cellStyle name="Normal 61 2 3 2 3 3 3 3 2" xfId="0"/>
    <cellStyle name="Normal 61 2 3 2 3 3 3 3 2 2" xfId="0"/>
    <cellStyle name="Normal 61 2 3 2 3 3 3 3 3" xfId="0"/>
    <cellStyle name="Normal 61 2 3 2 3 3 3 4" xfId="0"/>
    <cellStyle name="Normal 61 2 3 2 3 3 3 4 2" xfId="0"/>
    <cellStyle name="Normal 61 2 3 2 3 3 3 4 2 2" xfId="0"/>
    <cellStyle name="Normal 61 2 3 2 3 3 3 4 3" xfId="0"/>
    <cellStyle name="Normal 61 2 3 2 3 3 3 5" xfId="0"/>
    <cellStyle name="Normal 61 2 3 2 3 3 3 5 2" xfId="0"/>
    <cellStyle name="Normal 61 2 3 2 3 3 3 6" xfId="0"/>
    <cellStyle name="Normal 61 2 3 2 3 3 4" xfId="0"/>
    <cellStyle name="Normal 61 2 3 2 3 3 4 2" xfId="0"/>
    <cellStyle name="Normal 61 2 3 2 3 3 4 2 2" xfId="0"/>
    <cellStyle name="Normal 61 2 3 2 3 3 4 2 2 2" xfId="0"/>
    <cellStyle name="Normal 61 2 3 2 3 3 4 2 3" xfId="0"/>
    <cellStyle name="Normal 61 2 3 2 3 3 4 3" xfId="0"/>
    <cellStyle name="Normal 61 2 3 2 3 3 4 3 2" xfId="0"/>
    <cellStyle name="Normal 61 2 3 2 3 3 4 3 2 2" xfId="0"/>
    <cellStyle name="Normal 61 2 3 2 3 3 4 3 3" xfId="0"/>
    <cellStyle name="Normal 61 2 3 2 3 3 4 4" xfId="0"/>
    <cellStyle name="Normal 61 2 3 2 3 3 4 4 2" xfId="0"/>
    <cellStyle name="Normal 61 2 3 2 3 3 4 5" xfId="0"/>
    <cellStyle name="Normal 61 2 3 2 3 3 5" xfId="0"/>
    <cellStyle name="Normal 61 2 3 2 3 3 5 2" xfId="0"/>
    <cellStyle name="Normal 61 2 3 2 3 3 5 2 2" xfId="0"/>
    <cellStyle name="Normal 61 2 3 2 3 3 5 3" xfId="0"/>
    <cellStyle name="Normal 61 2 3 2 3 3 6" xfId="0"/>
    <cellStyle name="Normal 61 2 3 2 3 3 6 2" xfId="0"/>
    <cellStyle name="Normal 61 2 3 2 3 3 6 2 2" xfId="0"/>
    <cellStyle name="Normal 61 2 3 2 3 3 6 3" xfId="0"/>
    <cellStyle name="Normal 61 2 3 2 3 3 7" xfId="0"/>
    <cellStyle name="Normal 61 2 3 2 3 3 7 2" xfId="0"/>
    <cellStyle name="Normal 61 2 3 2 3 3 8" xfId="0"/>
    <cellStyle name="Normal 61 2 3 2 3 4" xfId="0"/>
    <cellStyle name="Normal 61 2 3 2 3 4 2" xfId="0"/>
    <cellStyle name="Normal 61 2 3 2 3 4 2 2" xfId="0"/>
    <cellStyle name="Normal 61 2 3 2 3 4 2 2 2" xfId="0"/>
    <cellStyle name="Normal 61 2 3 2 3 4 2 2 2 2" xfId="0"/>
    <cellStyle name="Normal 61 2 3 2 3 4 2 2 2 2 2" xfId="0"/>
    <cellStyle name="Normal 61 2 3 2 3 4 2 2 2 3" xfId="0"/>
    <cellStyle name="Normal 61 2 3 2 3 4 2 2 3" xfId="0"/>
    <cellStyle name="Normal 61 2 3 2 3 4 2 2 3 2" xfId="0"/>
    <cellStyle name="Normal 61 2 3 2 3 4 2 2 3 2 2" xfId="0"/>
    <cellStyle name="Normal 61 2 3 2 3 4 2 2 3 3" xfId="0"/>
    <cellStyle name="Normal 61 2 3 2 3 4 2 2 4" xfId="0"/>
    <cellStyle name="Normal 61 2 3 2 3 4 2 2 4 2" xfId="0"/>
    <cellStyle name="Normal 61 2 3 2 3 4 2 2 5" xfId="0"/>
    <cellStyle name="Normal 61 2 3 2 3 4 2 3" xfId="0"/>
    <cellStyle name="Normal 61 2 3 2 3 4 2 3 2" xfId="0"/>
    <cellStyle name="Normal 61 2 3 2 3 4 2 3 2 2" xfId="0"/>
    <cellStyle name="Normal 61 2 3 2 3 4 2 3 3" xfId="0"/>
    <cellStyle name="Normal 61 2 3 2 3 4 2 4" xfId="0"/>
    <cellStyle name="Normal 61 2 3 2 3 4 2 4 2" xfId="0"/>
    <cellStyle name="Normal 61 2 3 2 3 4 2 4 2 2" xfId="0"/>
    <cellStyle name="Normal 61 2 3 2 3 4 2 4 3" xfId="0"/>
    <cellStyle name="Normal 61 2 3 2 3 4 2 5" xfId="0"/>
    <cellStyle name="Normal 61 2 3 2 3 4 2 5 2" xfId="0"/>
    <cellStyle name="Normal 61 2 3 2 3 4 2 6" xfId="0"/>
    <cellStyle name="Normal 61 2 3 2 3 4 3" xfId="0"/>
    <cellStyle name="Normal 61 2 3 2 3 4 3 2" xfId="0"/>
    <cellStyle name="Normal 61 2 3 2 3 4 3 2 2" xfId="0"/>
    <cellStyle name="Normal 61 2 3 2 3 4 3 2 2 2" xfId="0"/>
    <cellStyle name="Normal 61 2 3 2 3 4 3 2 3" xfId="0"/>
    <cellStyle name="Normal 61 2 3 2 3 4 3 3" xfId="0"/>
    <cellStyle name="Normal 61 2 3 2 3 4 3 3 2" xfId="0"/>
    <cellStyle name="Normal 61 2 3 2 3 4 3 3 2 2" xfId="0"/>
    <cellStyle name="Normal 61 2 3 2 3 4 3 3 3" xfId="0"/>
    <cellStyle name="Normal 61 2 3 2 3 4 3 4" xfId="0"/>
    <cellStyle name="Normal 61 2 3 2 3 4 3 4 2" xfId="0"/>
    <cellStyle name="Normal 61 2 3 2 3 4 3 5" xfId="0"/>
    <cellStyle name="Normal 61 2 3 2 3 4 4" xfId="0"/>
    <cellStyle name="Normal 61 2 3 2 3 4 4 2" xfId="0"/>
    <cellStyle name="Normal 61 2 3 2 3 4 4 2 2" xfId="0"/>
    <cellStyle name="Normal 61 2 3 2 3 4 4 3" xfId="0"/>
    <cellStyle name="Normal 61 2 3 2 3 4 5" xfId="0"/>
    <cellStyle name="Normal 61 2 3 2 3 4 5 2" xfId="0"/>
    <cellStyle name="Normal 61 2 3 2 3 4 5 2 2" xfId="0"/>
    <cellStyle name="Normal 61 2 3 2 3 4 5 3" xfId="0"/>
    <cellStyle name="Normal 61 2 3 2 3 4 6" xfId="0"/>
    <cellStyle name="Normal 61 2 3 2 3 4 6 2" xfId="0"/>
    <cellStyle name="Normal 61 2 3 2 3 4 7" xfId="0"/>
    <cellStyle name="Normal 61 2 3 2 3 5" xfId="0"/>
    <cellStyle name="Normal 61 2 3 2 3 5 2" xfId="0"/>
    <cellStyle name="Normal 61 2 3 2 3 5 2 2" xfId="0"/>
    <cellStyle name="Normal 61 2 3 2 3 5 2 2 2" xfId="0"/>
    <cellStyle name="Normal 61 2 3 2 3 5 2 2 2 2" xfId="0"/>
    <cellStyle name="Normal 61 2 3 2 3 5 2 2 3" xfId="0"/>
    <cellStyle name="Normal 61 2 3 2 3 5 2 3" xfId="0"/>
    <cellStyle name="Normal 61 2 3 2 3 5 2 3 2" xfId="0"/>
    <cellStyle name="Normal 61 2 3 2 3 5 2 3 2 2" xfId="0"/>
    <cellStyle name="Normal 61 2 3 2 3 5 2 3 3" xfId="0"/>
    <cellStyle name="Normal 61 2 3 2 3 5 2 4" xfId="0"/>
    <cellStyle name="Normal 61 2 3 2 3 5 2 4 2" xfId="0"/>
    <cellStyle name="Normal 61 2 3 2 3 5 2 5" xfId="0"/>
    <cellStyle name="Normal 61 2 3 2 3 5 3" xfId="0"/>
    <cellStyle name="Normal 61 2 3 2 3 5 3 2" xfId="0"/>
    <cellStyle name="Normal 61 2 3 2 3 5 3 2 2" xfId="0"/>
    <cellStyle name="Normal 61 2 3 2 3 5 3 3" xfId="0"/>
    <cellStyle name="Normal 61 2 3 2 3 5 4" xfId="0"/>
    <cellStyle name="Normal 61 2 3 2 3 5 4 2" xfId="0"/>
    <cellStyle name="Normal 61 2 3 2 3 5 4 2 2" xfId="0"/>
    <cellStyle name="Normal 61 2 3 2 3 5 4 3" xfId="0"/>
    <cellStyle name="Normal 61 2 3 2 3 5 5" xfId="0"/>
    <cellStyle name="Normal 61 2 3 2 3 5 5 2" xfId="0"/>
    <cellStyle name="Normal 61 2 3 2 3 5 6" xfId="0"/>
    <cellStyle name="Normal 61 2 3 2 3 6" xfId="0"/>
    <cellStyle name="Normal 61 2 3 2 3 6 2" xfId="0"/>
    <cellStyle name="Normal 61 2 3 2 3 6 2 2" xfId="0"/>
    <cellStyle name="Normal 61 2 3 2 3 6 2 2 2" xfId="0"/>
    <cellStyle name="Normal 61 2 3 2 3 6 2 3" xfId="0"/>
    <cellStyle name="Normal 61 2 3 2 3 6 3" xfId="0"/>
    <cellStyle name="Normal 61 2 3 2 3 6 3 2" xfId="0"/>
    <cellStyle name="Normal 61 2 3 2 3 6 3 2 2" xfId="0"/>
    <cellStyle name="Normal 61 2 3 2 3 6 3 3" xfId="0"/>
    <cellStyle name="Normal 61 2 3 2 3 6 4" xfId="0"/>
    <cellStyle name="Normal 61 2 3 2 3 6 4 2" xfId="0"/>
    <cellStyle name="Normal 61 2 3 2 3 6 5" xfId="0"/>
    <cellStyle name="Normal 61 2 3 2 3 7" xfId="0"/>
    <cellStyle name="Normal 61 2 3 2 3 7 2" xfId="0"/>
    <cellStyle name="Normal 61 2 3 2 3 7 2 2" xfId="0"/>
    <cellStyle name="Normal 61 2 3 2 3 7 3" xfId="0"/>
    <cellStyle name="Normal 61 2 3 2 3 8" xfId="0"/>
    <cellStyle name="Normal 61 2 3 2 3 8 2" xfId="0"/>
    <cellStyle name="Normal 61 2 3 2 3 8 2 2" xfId="0"/>
    <cellStyle name="Normal 61 2 3 2 3 8 3" xfId="0"/>
    <cellStyle name="Normal 61 2 3 2 3 9" xfId="0"/>
    <cellStyle name="Normal 61 2 3 2 3 9 2" xfId="0"/>
    <cellStyle name="Normal 61 2 3 2 4" xfId="0"/>
    <cellStyle name="Normal 61 2 3 2 4 2" xfId="0"/>
    <cellStyle name="Normal 61 2 3 2 4 2 2" xfId="0"/>
    <cellStyle name="Normal 61 2 3 2 4 2 2 2" xfId="0"/>
    <cellStyle name="Normal 61 2 3 2 4 2 2 2 2" xfId="0"/>
    <cellStyle name="Normal 61 2 3 2 4 2 2 2 2 2" xfId="0"/>
    <cellStyle name="Normal 61 2 3 2 4 2 2 2 2 2 2" xfId="0"/>
    <cellStyle name="Normal 61 2 3 2 4 2 2 2 2 2 2 2" xfId="0"/>
    <cellStyle name="Normal 61 2 3 2 4 2 2 2 2 2 3" xfId="0"/>
    <cellStyle name="Normal 61 2 3 2 4 2 2 2 2 3" xfId="0"/>
    <cellStyle name="Normal 61 2 3 2 4 2 2 2 2 3 2" xfId="0"/>
    <cellStyle name="Normal 61 2 3 2 4 2 2 2 2 3 2 2" xfId="0"/>
    <cellStyle name="Normal 61 2 3 2 4 2 2 2 2 3 3" xfId="0"/>
    <cellStyle name="Normal 61 2 3 2 4 2 2 2 2 4" xfId="0"/>
    <cellStyle name="Normal 61 2 3 2 4 2 2 2 2 4 2" xfId="0"/>
    <cellStyle name="Normal 61 2 3 2 4 2 2 2 2 5" xfId="0"/>
    <cellStyle name="Normal 61 2 3 2 4 2 2 2 3" xfId="0"/>
    <cellStyle name="Normal 61 2 3 2 4 2 2 2 3 2" xfId="0"/>
    <cellStyle name="Normal 61 2 3 2 4 2 2 2 3 2 2" xfId="0"/>
    <cellStyle name="Normal 61 2 3 2 4 2 2 2 3 3" xfId="0"/>
    <cellStyle name="Normal 61 2 3 2 4 2 2 2 4" xfId="0"/>
    <cellStyle name="Normal 61 2 3 2 4 2 2 2 4 2" xfId="0"/>
    <cellStyle name="Normal 61 2 3 2 4 2 2 2 4 2 2" xfId="0"/>
    <cellStyle name="Normal 61 2 3 2 4 2 2 2 4 3" xfId="0"/>
    <cellStyle name="Normal 61 2 3 2 4 2 2 2 5" xfId="0"/>
    <cellStyle name="Normal 61 2 3 2 4 2 2 2 5 2" xfId="0"/>
    <cellStyle name="Normal 61 2 3 2 4 2 2 2 6" xfId="0"/>
    <cellStyle name="Normal 61 2 3 2 4 2 2 3" xfId="0"/>
    <cellStyle name="Normal 61 2 3 2 4 2 2 3 2" xfId="0"/>
    <cellStyle name="Normal 61 2 3 2 4 2 2 3 2 2" xfId="0"/>
    <cellStyle name="Normal 61 2 3 2 4 2 2 3 2 2 2" xfId="0"/>
    <cellStyle name="Normal 61 2 3 2 4 2 2 3 2 3" xfId="0"/>
    <cellStyle name="Normal 61 2 3 2 4 2 2 3 3" xfId="0"/>
    <cellStyle name="Normal 61 2 3 2 4 2 2 3 3 2" xfId="0"/>
    <cellStyle name="Normal 61 2 3 2 4 2 2 3 3 2 2" xfId="0"/>
    <cellStyle name="Normal 61 2 3 2 4 2 2 3 3 3" xfId="0"/>
    <cellStyle name="Normal 61 2 3 2 4 2 2 3 4" xfId="0"/>
    <cellStyle name="Normal 61 2 3 2 4 2 2 3 4 2" xfId="0"/>
    <cellStyle name="Normal 61 2 3 2 4 2 2 3 5" xfId="0"/>
    <cellStyle name="Normal 61 2 3 2 4 2 2 4" xfId="0"/>
    <cellStyle name="Normal 61 2 3 2 4 2 2 4 2" xfId="0"/>
    <cellStyle name="Normal 61 2 3 2 4 2 2 4 2 2" xfId="0"/>
    <cellStyle name="Normal 61 2 3 2 4 2 2 4 3" xfId="0"/>
    <cellStyle name="Normal 61 2 3 2 4 2 2 5" xfId="0"/>
    <cellStyle name="Normal 61 2 3 2 4 2 2 5 2" xfId="0"/>
    <cellStyle name="Normal 61 2 3 2 4 2 2 5 2 2" xfId="0"/>
    <cellStyle name="Normal 61 2 3 2 4 2 2 5 3" xfId="0"/>
    <cellStyle name="Normal 61 2 3 2 4 2 2 6" xfId="0"/>
    <cellStyle name="Normal 61 2 3 2 4 2 2 6 2" xfId="0"/>
    <cellStyle name="Normal 61 2 3 2 4 2 2 7" xfId="0"/>
    <cellStyle name="Normal 61 2 3 2 4 2 3" xfId="0"/>
    <cellStyle name="Normal 61 2 3 2 4 2 3 2" xfId="0"/>
    <cellStyle name="Normal 61 2 3 2 4 2 3 2 2" xfId="0"/>
    <cellStyle name="Normal 61 2 3 2 4 2 3 2 2 2" xfId="0"/>
    <cellStyle name="Normal 61 2 3 2 4 2 3 2 2 2 2" xfId="0"/>
    <cellStyle name="Normal 61 2 3 2 4 2 3 2 2 3" xfId="0"/>
    <cellStyle name="Normal 61 2 3 2 4 2 3 2 3" xfId="0"/>
    <cellStyle name="Normal 61 2 3 2 4 2 3 2 3 2" xfId="0"/>
    <cellStyle name="Normal 61 2 3 2 4 2 3 2 3 2 2" xfId="0"/>
    <cellStyle name="Normal 61 2 3 2 4 2 3 2 3 3" xfId="0"/>
    <cellStyle name="Normal 61 2 3 2 4 2 3 2 4" xfId="0"/>
    <cellStyle name="Normal 61 2 3 2 4 2 3 2 4 2" xfId="0"/>
    <cellStyle name="Normal 61 2 3 2 4 2 3 2 5" xfId="0"/>
    <cellStyle name="Normal 61 2 3 2 4 2 3 3" xfId="0"/>
    <cellStyle name="Normal 61 2 3 2 4 2 3 3 2" xfId="0"/>
    <cellStyle name="Normal 61 2 3 2 4 2 3 3 2 2" xfId="0"/>
    <cellStyle name="Normal 61 2 3 2 4 2 3 3 3" xfId="0"/>
    <cellStyle name="Normal 61 2 3 2 4 2 3 4" xfId="0"/>
    <cellStyle name="Normal 61 2 3 2 4 2 3 4 2" xfId="0"/>
    <cellStyle name="Normal 61 2 3 2 4 2 3 4 2 2" xfId="0"/>
    <cellStyle name="Normal 61 2 3 2 4 2 3 4 3" xfId="0"/>
    <cellStyle name="Normal 61 2 3 2 4 2 3 5" xfId="0"/>
    <cellStyle name="Normal 61 2 3 2 4 2 3 5 2" xfId="0"/>
    <cellStyle name="Normal 61 2 3 2 4 2 3 6" xfId="0"/>
    <cellStyle name="Normal 61 2 3 2 4 2 4" xfId="0"/>
    <cellStyle name="Normal 61 2 3 2 4 2 4 2" xfId="0"/>
    <cellStyle name="Normal 61 2 3 2 4 2 4 2 2" xfId="0"/>
    <cellStyle name="Normal 61 2 3 2 4 2 4 2 2 2" xfId="0"/>
    <cellStyle name="Normal 61 2 3 2 4 2 4 2 3" xfId="0"/>
    <cellStyle name="Normal 61 2 3 2 4 2 4 3" xfId="0"/>
    <cellStyle name="Normal 61 2 3 2 4 2 4 3 2" xfId="0"/>
    <cellStyle name="Normal 61 2 3 2 4 2 4 3 2 2" xfId="0"/>
    <cellStyle name="Normal 61 2 3 2 4 2 4 3 3" xfId="0"/>
    <cellStyle name="Normal 61 2 3 2 4 2 4 4" xfId="0"/>
    <cellStyle name="Normal 61 2 3 2 4 2 4 4 2" xfId="0"/>
    <cellStyle name="Normal 61 2 3 2 4 2 4 5" xfId="0"/>
    <cellStyle name="Normal 61 2 3 2 4 2 5" xfId="0"/>
    <cellStyle name="Normal 61 2 3 2 4 2 5 2" xfId="0"/>
    <cellStyle name="Normal 61 2 3 2 4 2 5 2 2" xfId="0"/>
    <cellStyle name="Normal 61 2 3 2 4 2 5 3" xfId="0"/>
    <cellStyle name="Normal 61 2 3 2 4 2 6" xfId="0"/>
    <cellStyle name="Normal 61 2 3 2 4 2 6 2" xfId="0"/>
    <cellStyle name="Normal 61 2 3 2 4 2 6 2 2" xfId="0"/>
    <cellStyle name="Normal 61 2 3 2 4 2 6 3" xfId="0"/>
    <cellStyle name="Normal 61 2 3 2 4 2 7" xfId="0"/>
    <cellStyle name="Normal 61 2 3 2 4 2 7 2" xfId="0"/>
    <cellStyle name="Normal 61 2 3 2 4 2 8" xfId="0"/>
    <cellStyle name="Normal 61 2 3 2 4 3" xfId="0"/>
    <cellStyle name="Normal 61 2 3 2 4 3 2" xfId="0"/>
    <cellStyle name="Normal 61 2 3 2 4 3 2 2" xfId="0"/>
    <cellStyle name="Normal 61 2 3 2 4 3 2 2 2" xfId="0"/>
    <cellStyle name="Normal 61 2 3 2 4 3 2 2 2 2" xfId="0"/>
    <cellStyle name="Normal 61 2 3 2 4 3 2 2 2 2 2" xfId="0"/>
    <cellStyle name="Normal 61 2 3 2 4 3 2 2 2 3" xfId="0"/>
    <cellStyle name="Normal 61 2 3 2 4 3 2 2 3" xfId="0"/>
    <cellStyle name="Normal 61 2 3 2 4 3 2 2 3 2" xfId="0"/>
    <cellStyle name="Normal 61 2 3 2 4 3 2 2 3 2 2" xfId="0"/>
    <cellStyle name="Normal 61 2 3 2 4 3 2 2 3 3" xfId="0"/>
    <cellStyle name="Normal 61 2 3 2 4 3 2 2 4" xfId="0"/>
    <cellStyle name="Normal 61 2 3 2 4 3 2 2 4 2" xfId="0"/>
    <cellStyle name="Normal 61 2 3 2 4 3 2 2 5" xfId="0"/>
    <cellStyle name="Normal 61 2 3 2 4 3 2 3" xfId="0"/>
    <cellStyle name="Normal 61 2 3 2 4 3 2 3 2" xfId="0"/>
    <cellStyle name="Normal 61 2 3 2 4 3 2 3 2 2" xfId="0"/>
    <cellStyle name="Normal 61 2 3 2 4 3 2 3 3" xfId="0"/>
    <cellStyle name="Normal 61 2 3 2 4 3 2 4" xfId="0"/>
    <cellStyle name="Normal 61 2 3 2 4 3 2 4 2" xfId="0"/>
    <cellStyle name="Normal 61 2 3 2 4 3 2 4 2 2" xfId="0"/>
    <cellStyle name="Normal 61 2 3 2 4 3 2 4 3" xfId="0"/>
    <cellStyle name="Normal 61 2 3 2 4 3 2 5" xfId="0"/>
    <cellStyle name="Normal 61 2 3 2 4 3 2 5 2" xfId="0"/>
    <cellStyle name="Normal 61 2 3 2 4 3 2 6" xfId="0"/>
    <cellStyle name="Normal 61 2 3 2 4 3 3" xfId="0"/>
    <cellStyle name="Normal 61 2 3 2 4 3 3 2" xfId="0"/>
    <cellStyle name="Normal 61 2 3 2 4 3 3 2 2" xfId="0"/>
    <cellStyle name="Normal 61 2 3 2 4 3 3 2 2 2" xfId="0"/>
    <cellStyle name="Normal 61 2 3 2 4 3 3 2 3" xfId="0"/>
    <cellStyle name="Normal 61 2 3 2 4 3 3 3" xfId="0"/>
    <cellStyle name="Normal 61 2 3 2 4 3 3 3 2" xfId="0"/>
    <cellStyle name="Normal 61 2 3 2 4 3 3 3 2 2" xfId="0"/>
    <cellStyle name="Normal 61 2 3 2 4 3 3 3 3" xfId="0"/>
    <cellStyle name="Normal 61 2 3 2 4 3 3 4" xfId="0"/>
    <cellStyle name="Normal 61 2 3 2 4 3 3 4 2" xfId="0"/>
    <cellStyle name="Normal 61 2 3 2 4 3 3 5" xfId="0"/>
    <cellStyle name="Normal 61 2 3 2 4 3 4" xfId="0"/>
    <cellStyle name="Normal 61 2 3 2 4 3 4 2" xfId="0"/>
    <cellStyle name="Normal 61 2 3 2 4 3 4 2 2" xfId="0"/>
    <cellStyle name="Normal 61 2 3 2 4 3 4 3" xfId="0"/>
    <cellStyle name="Normal 61 2 3 2 4 3 5" xfId="0"/>
    <cellStyle name="Normal 61 2 3 2 4 3 5 2" xfId="0"/>
    <cellStyle name="Normal 61 2 3 2 4 3 5 2 2" xfId="0"/>
    <cellStyle name="Normal 61 2 3 2 4 3 5 3" xfId="0"/>
    <cellStyle name="Normal 61 2 3 2 4 3 6" xfId="0"/>
    <cellStyle name="Normal 61 2 3 2 4 3 6 2" xfId="0"/>
    <cellStyle name="Normal 61 2 3 2 4 3 7" xfId="0"/>
    <cellStyle name="Normal 61 2 3 2 4 4" xfId="0"/>
    <cellStyle name="Normal 61 2 3 2 4 4 2" xfId="0"/>
    <cellStyle name="Normal 61 2 3 2 4 4 2 2" xfId="0"/>
    <cellStyle name="Normal 61 2 3 2 4 4 2 2 2" xfId="0"/>
    <cellStyle name="Normal 61 2 3 2 4 4 2 2 2 2" xfId="0"/>
    <cellStyle name="Normal 61 2 3 2 4 4 2 2 3" xfId="0"/>
    <cellStyle name="Normal 61 2 3 2 4 4 2 3" xfId="0"/>
    <cellStyle name="Normal 61 2 3 2 4 4 2 3 2" xfId="0"/>
    <cellStyle name="Normal 61 2 3 2 4 4 2 3 2 2" xfId="0"/>
    <cellStyle name="Normal 61 2 3 2 4 4 2 3 3" xfId="0"/>
    <cellStyle name="Normal 61 2 3 2 4 4 2 4" xfId="0"/>
    <cellStyle name="Normal 61 2 3 2 4 4 2 4 2" xfId="0"/>
    <cellStyle name="Normal 61 2 3 2 4 4 2 5" xfId="0"/>
    <cellStyle name="Normal 61 2 3 2 4 4 3" xfId="0"/>
    <cellStyle name="Normal 61 2 3 2 4 4 3 2" xfId="0"/>
    <cellStyle name="Normal 61 2 3 2 4 4 3 2 2" xfId="0"/>
    <cellStyle name="Normal 61 2 3 2 4 4 3 3" xfId="0"/>
    <cellStyle name="Normal 61 2 3 2 4 4 4" xfId="0"/>
    <cellStyle name="Normal 61 2 3 2 4 4 4 2" xfId="0"/>
    <cellStyle name="Normal 61 2 3 2 4 4 4 2 2" xfId="0"/>
    <cellStyle name="Normal 61 2 3 2 4 4 4 3" xfId="0"/>
    <cellStyle name="Normal 61 2 3 2 4 4 5" xfId="0"/>
    <cellStyle name="Normal 61 2 3 2 4 4 5 2" xfId="0"/>
    <cellStyle name="Normal 61 2 3 2 4 4 6" xfId="0"/>
    <cellStyle name="Normal 61 2 3 2 4 5" xfId="0"/>
    <cellStyle name="Normal 61 2 3 2 4 5 2" xfId="0"/>
    <cellStyle name="Normal 61 2 3 2 4 5 2 2" xfId="0"/>
    <cellStyle name="Normal 61 2 3 2 4 5 2 2 2" xfId="0"/>
    <cellStyle name="Normal 61 2 3 2 4 5 2 3" xfId="0"/>
    <cellStyle name="Normal 61 2 3 2 4 5 3" xfId="0"/>
    <cellStyle name="Normal 61 2 3 2 4 5 3 2" xfId="0"/>
    <cellStyle name="Normal 61 2 3 2 4 5 3 2 2" xfId="0"/>
    <cellStyle name="Normal 61 2 3 2 4 5 3 3" xfId="0"/>
    <cellStyle name="Normal 61 2 3 2 4 5 4" xfId="0"/>
    <cellStyle name="Normal 61 2 3 2 4 5 4 2" xfId="0"/>
    <cellStyle name="Normal 61 2 3 2 4 5 5" xfId="0"/>
    <cellStyle name="Normal 61 2 3 2 4 6" xfId="0"/>
    <cellStyle name="Normal 61 2 3 2 4 6 2" xfId="0"/>
    <cellStyle name="Normal 61 2 3 2 4 6 2 2" xfId="0"/>
    <cellStyle name="Normal 61 2 3 2 4 6 3" xfId="0"/>
    <cellStyle name="Normal 61 2 3 2 4 7" xfId="0"/>
    <cellStyle name="Normal 61 2 3 2 4 7 2" xfId="0"/>
    <cellStyle name="Normal 61 2 3 2 4 7 2 2" xfId="0"/>
    <cellStyle name="Normal 61 2 3 2 4 7 3" xfId="0"/>
    <cellStyle name="Normal 61 2 3 2 4 8" xfId="0"/>
    <cellStyle name="Normal 61 2 3 2 4 8 2" xfId="0"/>
    <cellStyle name="Normal 61 2 3 2 4 9" xfId="0"/>
    <cellStyle name="Normal 61 2 3 2 5" xfId="0"/>
    <cellStyle name="Normal 61 2 3 2 5 2" xfId="0"/>
    <cellStyle name="Normal 61 2 3 2 5 2 2" xfId="0"/>
    <cellStyle name="Normal 61 2 3 2 5 2 2 2" xfId="0"/>
    <cellStyle name="Normal 61 2 3 2 5 2 2 2 2" xfId="0"/>
    <cellStyle name="Normal 61 2 3 2 5 2 2 2 2 2" xfId="0"/>
    <cellStyle name="Normal 61 2 3 2 5 2 2 2 2 2 2" xfId="0"/>
    <cellStyle name="Normal 61 2 3 2 5 2 2 2 2 3" xfId="0"/>
    <cellStyle name="Normal 61 2 3 2 5 2 2 2 3" xfId="0"/>
    <cellStyle name="Normal 61 2 3 2 5 2 2 2 3 2" xfId="0"/>
    <cellStyle name="Normal 61 2 3 2 5 2 2 2 3 2 2" xfId="0"/>
    <cellStyle name="Normal 61 2 3 2 5 2 2 2 3 3" xfId="0"/>
    <cellStyle name="Normal 61 2 3 2 5 2 2 2 4" xfId="0"/>
    <cellStyle name="Normal 61 2 3 2 5 2 2 2 4 2" xfId="0"/>
    <cellStyle name="Normal 61 2 3 2 5 2 2 2 5" xfId="0"/>
    <cellStyle name="Normal 61 2 3 2 5 2 2 3" xfId="0"/>
    <cellStyle name="Normal 61 2 3 2 5 2 2 3 2" xfId="0"/>
    <cellStyle name="Normal 61 2 3 2 5 2 2 3 2 2" xfId="0"/>
    <cellStyle name="Normal 61 2 3 2 5 2 2 3 3" xfId="0"/>
    <cellStyle name="Normal 61 2 3 2 5 2 2 4" xfId="0"/>
    <cellStyle name="Normal 61 2 3 2 5 2 2 4 2" xfId="0"/>
    <cellStyle name="Normal 61 2 3 2 5 2 2 4 2 2" xfId="0"/>
    <cellStyle name="Normal 61 2 3 2 5 2 2 4 3" xfId="0"/>
    <cellStyle name="Normal 61 2 3 2 5 2 2 5" xfId="0"/>
    <cellStyle name="Normal 61 2 3 2 5 2 2 5 2" xfId="0"/>
    <cellStyle name="Normal 61 2 3 2 5 2 2 6" xfId="0"/>
    <cellStyle name="Normal 61 2 3 2 5 2 3" xfId="0"/>
    <cellStyle name="Normal 61 2 3 2 5 2 3 2" xfId="0"/>
    <cellStyle name="Normal 61 2 3 2 5 2 3 2 2" xfId="0"/>
    <cellStyle name="Normal 61 2 3 2 5 2 3 2 2 2" xfId="0"/>
    <cellStyle name="Normal 61 2 3 2 5 2 3 2 3" xfId="0"/>
    <cellStyle name="Normal 61 2 3 2 5 2 3 3" xfId="0"/>
    <cellStyle name="Normal 61 2 3 2 5 2 3 3 2" xfId="0"/>
    <cellStyle name="Normal 61 2 3 2 5 2 3 3 2 2" xfId="0"/>
    <cellStyle name="Normal 61 2 3 2 5 2 3 3 3" xfId="0"/>
    <cellStyle name="Normal 61 2 3 2 5 2 3 4" xfId="0"/>
    <cellStyle name="Normal 61 2 3 2 5 2 3 4 2" xfId="0"/>
    <cellStyle name="Normal 61 2 3 2 5 2 3 5" xfId="0"/>
    <cellStyle name="Normal 61 2 3 2 5 2 4" xfId="0"/>
    <cellStyle name="Normal 61 2 3 2 5 2 4 2" xfId="0"/>
    <cellStyle name="Normal 61 2 3 2 5 2 4 2 2" xfId="0"/>
    <cellStyle name="Normal 61 2 3 2 5 2 4 3" xfId="0"/>
    <cellStyle name="Normal 61 2 3 2 5 2 5" xfId="0"/>
    <cellStyle name="Normal 61 2 3 2 5 2 5 2" xfId="0"/>
    <cellStyle name="Normal 61 2 3 2 5 2 5 2 2" xfId="0"/>
    <cellStyle name="Normal 61 2 3 2 5 2 5 3" xfId="0"/>
    <cellStyle name="Normal 61 2 3 2 5 2 6" xfId="0"/>
    <cellStyle name="Normal 61 2 3 2 5 2 6 2" xfId="0"/>
    <cellStyle name="Normal 61 2 3 2 5 2 7" xfId="0"/>
    <cellStyle name="Normal 61 2 3 2 5 3" xfId="0"/>
    <cellStyle name="Normal 61 2 3 2 5 3 2" xfId="0"/>
    <cellStyle name="Normal 61 2 3 2 5 3 2 2" xfId="0"/>
    <cellStyle name="Normal 61 2 3 2 5 3 2 2 2" xfId="0"/>
    <cellStyle name="Normal 61 2 3 2 5 3 2 2 2 2" xfId="0"/>
    <cellStyle name="Normal 61 2 3 2 5 3 2 2 3" xfId="0"/>
    <cellStyle name="Normal 61 2 3 2 5 3 2 3" xfId="0"/>
    <cellStyle name="Normal 61 2 3 2 5 3 2 3 2" xfId="0"/>
    <cellStyle name="Normal 61 2 3 2 5 3 2 3 2 2" xfId="0"/>
    <cellStyle name="Normal 61 2 3 2 5 3 2 3 3" xfId="0"/>
    <cellStyle name="Normal 61 2 3 2 5 3 2 4" xfId="0"/>
    <cellStyle name="Normal 61 2 3 2 5 3 2 4 2" xfId="0"/>
    <cellStyle name="Normal 61 2 3 2 5 3 2 5" xfId="0"/>
    <cellStyle name="Normal 61 2 3 2 5 3 3" xfId="0"/>
    <cellStyle name="Normal 61 2 3 2 5 3 3 2" xfId="0"/>
    <cellStyle name="Normal 61 2 3 2 5 3 3 2 2" xfId="0"/>
    <cellStyle name="Normal 61 2 3 2 5 3 3 3" xfId="0"/>
    <cellStyle name="Normal 61 2 3 2 5 3 4" xfId="0"/>
    <cellStyle name="Normal 61 2 3 2 5 3 4 2" xfId="0"/>
    <cellStyle name="Normal 61 2 3 2 5 3 4 2 2" xfId="0"/>
    <cellStyle name="Normal 61 2 3 2 5 3 4 3" xfId="0"/>
    <cellStyle name="Normal 61 2 3 2 5 3 5" xfId="0"/>
    <cellStyle name="Normal 61 2 3 2 5 3 5 2" xfId="0"/>
    <cellStyle name="Normal 61 2 3 2 5 3 6" xfId="0"/>
    <cellStyle name="Normal 61 2 3 2 5 4" xfId="0"/>
    <cellStyle name="Normal 61 2 3 2 5 4 2" xfId="0"/>
    <cellStyle name="Normal 61 2 3 2 5 4 2 2" xfId="0"/>
    <cellStyle name="Normal 61 2 3 2 5 4 2 2 2" xfId="0"/>
    <cellStyle name="Normal 61 2 3 2 5 4 2 3" xfId="0"/>
    <cellStyle name="Normal 61 2 3 2 5 4 3" xfId="0"/>
    <cellStyle name="Normal 61 2 3 2 5 4 3 2" xfId="0"/>
    <cellStyle name="Normal 61 2 3 2 5 4 3 2 2" xfId="0"/>
    <cellStyle name="Normal 61 2 3 2 5 4 3 3" xfId="0"/>
    <cellStyle name="Normal 61 2 3 2 5 4 4" xfId="0"/>
    <cellStyle name="Normal 61 2 3 2 5 4 4 2" xfId="0"/>
    <cellStyle name="Normal 61 2 3 2 5 4 5" xfId="0"/>
    <cellStyle name="Normal 61 2 3 2 5 5" xfId="0"/>
    <cellStyle name="Normal 61 2 3 2 5 5 2" xfId="0"/>
    <cellStyle name="Normal 61 2 3 2 5 5 2 2" xfId="0"/>
    <cellStyle name="Normal 61 2 3 2 5 5 3" xfId="0"/>
    <cellStyle name="Normal 61 2 3 2 5 6" xfId="0"/>
    <cellStyle name="Normal 61 2 3 2 5 6 2" xfId="0"/>
    <cellStyle name="Normal 61 2 3 2 5 6 2 2" xfId="0"/>
    <cellStyle name="Normal 61 2 3 2 5 6 3" xfId="0"/>
    <cellStyle name="Normal 61 2 3 2 5 7" xfId="0"/>
    <cellStyle name="Normal 61 2 3 2 5 7 2" xfId="0"/>
    <cellStyle name="Normal 61 2 3 2 5 8" xfId="0"/>
    <cellStyle name="Normal 61 2 3 2 6" xfId="0"/>
    <cellStyle name="Normal 61 2 3 2 6 2" xfId="0"/>
    <cellStyle name="Normal 61 2 3 2 6 2 2" xfId="0"/>
    <cellStyle name="Normal 61 2 3 2 6 2 2 2" xfId="0"/>
    <cellStyle name="Normal 61 2 3 2 6 2 2 2 2" xfId="0"/>
    <cellStyle name="Normal 61 2 3 2 6 2 2 2 2 2" xfId="0"/>
    <cellStyle name="Normal 61 2 3 2 6 2 2 2 3" xfId="0"/>
    <cellStyle name="Normal 61 2 3 2 6 2 2 3" xfId="0"/>
    <cellStyle name="Normal 61 2 3 2 6 2 2 3 2" xfId="0"/>
    <cellStyle name="Normal 61 2 3 2 6 2 2 3 2 2" xfId="0"/>
    <cellStyle name="Normal 61 2 3 2 6 2 2 3 3" xfId="0"/>
    <cellStyle name="Normal 61 2 3 2 6 2 2 4" xfId="0"/>
    <cellStyle name="Normal 61 2 3 2 6 2 2 4 2" xfId="0"/>
    <cellStyle name="Normal 61 2 3 2 6 2 2 5" xfId="0"/>
    <cellStyle name="Normal 61 2 3 2 6 2 3" xfId="0"/>
    <cellStyle name="Normal 61 2 3 2 6 2 3 2" xfId="0"/>
    <cellStyle name="Normal 61 2 3 2 6 2 3 2 2" xfId="0"/>
    <cellStyle name="Normal 61 2 3 2 6 2 3 3" xfId="0"/>
    <cellStyle name="Normal 61 2 3 2 6 2 4" xfId="0"/>
    <cellStyle name="Normal 61 2 3 2 6 2 4 2" xfId="0"/>
    <cellStyle name="Normal 61 2 3 2 6 2 4 2 2" xfId="0"/>
    <cellStyle name="Normal 61 2 3 2 6 2 4 3" xfId="0"/>
    <cellStyle name="Normal 61 2 3 2 6 2 5" xfId="0"/>
    <cellStyle name="Normal 61 2 3 2 6 2 5 2" xfId="0"/>
    <cellStyle name="Normal 61 2 3 2 6 2 6" xfId="0"/>
    <cellStyle name="Normal 61 2 3 2 6 3" xfId="0"/>
    <cellStyle name="Normal 61 2 3 2 6 3 2" xfId="0"/>
    <cellStyle name="Normal 61 2 3 2 6 3 2 2" xfId="0"/>
    <cellStyle name="Normal 61 2 3 2 6 3 2 2 2" xfId="0"/>
    <cellStyle name="Normal 61 2 3 2 6 3 2 3" xfId="0"/>
    <cellStyle name="Normal 61 2 3 2 6 3 3" xfId="0"/>
    <cellStyle name="Normal 61 2 3 2 6 3 3 2" xfId="0"/>
    <cellStyle name="Normal 61 2 3 2 6 3 3 2 2" xfId="0"/>
    <cellStyle name="Normal 61 2 3 2 6 3 3 3" xfId="0"/>
    <cellStyle name="Normal 61 2 3 2 6 3 4" xfId="0"/>
    <cellStyle name="Normal 61 2 3 2 6 3 4 2" xfId="0"/>
    <cellStyle name="Normal 61 2 3 2 6 3 5" xfId="0"/>
    <cellStyle name="Normal 61 2 3 2 6 4" xfId="0"/>
    <cellStyle name="Normal 61 2 3 2 6 4 2" xfId="0"/>
    <cellStyle name="Normal 61 2 3 2 6 4 2 2" xfId="0"/>
    <cellStyle name="Normal 61 2 3 2 6 4 3" xfId="0"/>
    <cellStyle name="Normal 61 2 3 2 6 5" xfId="0"/>
    <cellStyle name="Normal 61 2 3 2 6 5 2" xfId="0"/>
    <cellStyle name="Normal 61 2 3 2 6 5 2 2" xfId="0"/>
    <cellStyle name="Normal 61 2 3 2 6 5 3" xfId="0"/>
    <cellStyle name="Normal 61 2 3 2 6 6" xfId="0"/>
    <cellStyle name="Normal 61 2 3 2 6 6 2" xfId="0"/>
    <cellStyle name="Normal 61 2 3 2 6 7" xfId="0"/>
    <cellStyle name="Normal 61 2 3 2 7" xfId="0"/>
    <cellStyle name="Normal 61 2 3 2 7 2" xfId="0"/>
    <cellStyle name="Normal 61 2 3 2 7 2 2" xfId="0"/>
    <cellStyle name="Normal 61 2 3 2 7 2 2 2" xfId="0"/>
    <cellStyle name="Normal 61 2 3 2 7 2 2 2 2" xfId="0"/>
    <cellStyle name="Normal 61 2 3 2 7 2 2 3" xfId="0"/>
    <cellStyle name="Normal 61 2 3 2 7 2 3" xfId="0"/>
    <cellStyle name="Normal 61 2 3 2 7 2 3 2" xfId="0"/>
    <cellStyle name="Normal 61 2 3 2 7 2 3 2 2" xfId="0"/>
    <cellStyle name="Normal 61 2 3 2 7 2 3 3" xfId="0"/>
    <cellStyle name="Normal 61 2 3 2 7 2 4" xfId="0"/>
    <cellStyle name="Normal 61 2 3 2 7 2 4 2" xfId="0"/>
    <cellStyle name="Normal 61 2 3 2 7 2 5" xfId="0"/>
    <cellStyle name="Normal 61 2 3 2 7 3" xfId="0"/>
    <cellStyle name="Normal 61 2 3 2 7 3 2" xfId="0"/>
    <cellStyle name="Normal 61 2 3 2 7 3 2 2" xfId="0"/>
    <cellStyle name="Normal 61 2 3 2 7 3 3" xfId="0"/>
    <cellStyle name="Normal 61 2 3 2 7 4" xfId="0"/>
    <cellStyle name="Normal 61 2 3 2 7 4 2" xfId="0"/>
    <cellStyle name="Normal 61 2 3 2 7 4 2 2" xfId="0"/>
    <cellStyle name="Normal 61 2 3 2 7 4 3" xfId="0"/>
    <cellStyle name="Normal 61 2 3 2 7 5" xfId="0"/>
    <cellStyle name="Normal 61 2 3 2 7 5 2" xfId="0"/>
    <cellStyle name="Normal 61 2 3 2 7 6" xfId="0"/>
    <cellStyle name="Normal 61 2 3 2 8" xfId="0"/>
    <cellStyle name="Normal 61 2 3 2 8 2" xfId="0"/>
    <cellStyle name="Normal 61 2 3 2 8 2 2" xfId="0"/>
    <cellStyle name="Normal 61 2 3 2 8 2 2 2" xfId="0"/>
    <cellStyle name="Normal 61 2 3 2 8 2 3" xfId="0"/>
    <cellStyle name="Normal 61 2 3 2 8 3" xfId="0"/>
    <cellStyle name="Normal 61 2 3 2 8 3 2" xfId="0"/>
    <cellStyle name="Normal 61 2 3 2 8 3 2 2" xfId="0"/>
    <cellStyle name="Normal 61 2 3 2 8 3 3" xfId="0"/>
    <cellStyle name="Normal 61 2 3 2 8 4" xfId="0"/>
    <cellStyle name="Normal 61 2 3 2 8 4 2" xfId="0"/>
    <cellStyle name="Normal 61 2 3 2 8 5" xfId="0"/>
    <cellStyle name="Normal 61 2 3 2 9" xfId="0"/>
    <cellStyle name="Normal 61 2 3 2 9 2" xfId="0"/>
    <cellStyle name="Normal 61 2 3 2 9 2 2" xfId="0"/>
    <cellStyle name="Normal 61 2 3 2 9 3" xfId="0"/>
    <cellStyle name="Normal 61 2 3 3" xfId="0"/>
    <cellStyle name="Normal 61 2 3 3 10" xfId="0"/>
    <cellStyle name="Normal 61 2 3 3 2" xfId="0"/>
    <cellStyle name="Normal 61 2 3 3 2 2" xfId="0"/>
    <cellStyle name="Normal 61 2 3 3 2 2 2" xfId="0"/>
    <cellStyle name="Normal 61 2 3 3 2 2 2 2" xfId="0"/>
    <cellStyle name="Normal 61 2 3 3 2 2 2 2 2" xfId="0"/>
    <cellStyle name="Normal 61 2 3 3 2 2 2 2 2 2" xfId="0"/>
    <cellStyle name="Normal 61 2 3 3 2 2 2 2 2 2 2" xfId="0"/>
    <cellStyle name="Normal 61 2 3 3 2 2 2 2 2 2 2 2" xfId="0"/>
    <cellStyle name="Normal 61 2 3 3 2 2 2 2 2 2 3" xfId="0"/>
    <cellStyle name="Normal 61 2 3 3 2 2 2 2 2 3" xfId="0"/>
    <cellStyle name="Normal 61 2 3 3 2 2 2 2 2 3 2" xfId="0"/>
    <cellStyle name="Normal 61 2 3 3 2 2 2 2 2 3 2 2" xfId="0"/>
    <cellStyle name="Normal 61 2 3 3 2 2 2 2 2 3 3" xfId="0"/>
    <cellStyle name="Normal 61 2 3 3 2 2 2 2 2 4" xfId="0"/>
    <cellStyle name="Normal 61 2 3 3 2 2 2 2 2 4 2" xfId="0"/>
    <cellStyle name="Normal 61 2 3 3 2 2 2 2 2 5" xfId="0"/>
    <cellStyle name="Normal 61 2 3 3 2 2 2 2 3" xfId="0"/>
    <cellStyle name="Normal 61 2 3 3 2 2 2 2 3 2" xfId="0"/>
    <cellStyle name="Normal 61 2 3 3 2 2 2 2 3 2 2" xfId="0"/>
    <cellStyle name="Normal 61 2 3 3 2 2 2 2 3 3" xfId="0"/>
    <cellStyle name="Normal 61 2 3 3 2 2 2 2 4" xfId="0"/>
    <cellStyle name="Normal 61 2 3 3 2 2 2 2 4 2" xfId="0"/>
    <cellStyle name="Normal 61 2 3 3 2 2 2 2 4 2 2" xfId="0"/>
    <cellStyle name="Normal 61 2 3 3 2 2 2 2 4 3" xfId="0"/>
    <cellStyle name="Normal 61 2 3 3 2 2 2 2 5" xfId="0"/>
    <cellStyle name="Normal 61 2 3 3 2 2 2 2 5 2" xfId="0"/>
    <cellStyle name="Normal 61 2 3 3 2 2 2 2 6" xfId="0"/>
    <cellStyle name="Normal 61 2 3 3 2 2 2 3" xfId="0"/>
    <cellStyle name="Normal 61 2 3 3 2 2 2 3 2" xfId="0"/>
    <cellStyle name="Normal 61 2 3 3 2 2 2 3 2 2" xfId="0"/>
    <cellStyle name="Normal 61 2 3 3 2 2 2 3 2 2 2" xfId="0"/>
    <cellStyle name="Normal 61 2 3 3 2 2 2 3 2 3" xfId="0"/>
    <cellStyle name="Normal 61 2 3 3 2 2 2 3 3" xfId="0"/>
    <cellStyle name="Normal 61 2 3 3 2 2 2 3 3 2" xfId="0"/>
    <cellStyle name="Normal 61 2 3 3 2 2 2 3 3 2 2" xfId="0"/>
    <cellStyle name="Normal 61 2 3 3 2 2 2 3 3 3" xfId="0"/>
    <cellStyle name="Normal 61 2 3 3 2 2 2 3 4" xfId="0"/>
    <cellStyle name="Normal 61 2 3 3 2 2 2 3 4 2" xfId="0"/>
    <cellStyle name="Normal 61 2 3 3 2 2 2 3 5" xfId="0"/>
    <cellStyle name="Normal 61 2 3 3 2 2 2 4" xfId="0"/>
    <cellStyle name="Normal 61 2 3 3 2 2 2 4 2" xfId="0"/>
    <cellStyle name="Normal 61 2 3 3 2 2 2 4 2 2" xfId="0"/>
    <cellStyle name="Normal 61 2 3 3 2 2 2 4 3" xfId="0"/>
    <cellStyle name="Normal 61 2 3 3 2 2 2 5" xfId="0"/>
    <cellStyle name="Normal 61 2 3 3 2 2 2 5 2" xfId="0"/>
    <cellStyle name="Normal 61 2 3 3 2 2 2 5 2 2" xfId="0"/>
    <cellStyle name="Normal 61 2 3 3 2 2 2 5 3" xfId="0"/>
    <cellStyle name="Normal 61 2 3 3 2 2 2 6" xfId="0"/>
    <cellStyle name="Normal 61 2 3 3 2 2 2 6 2" xfId="0"/>
    <cellStyle name="Normal 61 2 3 3 2 2 2 7" xfId="0"/>
    <cellStyle name="Normal 61 2 3 3 2 2 3" xfId="0"/>
    <cellStyle name="Normal 61 2 3 3 2 2 3 2" xfId="0"/>
    <cellStyle name="Normal 61 2 3 3 2 2 3 2 2" xfId="0"/>
    <cellStyle name="Normal 61 2 3 3 2 2 3 2 2 2" xfId="0"/>
    <cellStyle name="Normal 61 2 3 3 2 2 3 2 2 2 2" xfId="0"/>
    <cellStyle name="Normal 61 2 3 3 2 2 3 2 2 3" xfId="0"/>
    <cellStyle name="Normal 61 2 3 3 2 2 3 2 3" xfId="0"/>
    <cellStyle name="Normal 61 2 3 3 2 2 3 2 3 2" xfId="0"/>
    <cellStyle name="Normal 61 2 3 3 2 2 3 2 3 2 2" xfId="0"/>
    <cellStyle name="Normal 61 2 3 3 2 2 3 2 3 3" xfId="0"/>
    <cellStyle name="Normal 61 2 3 3 2 2 3 2 4" xfId="0"/>
    <cellStyle name="Normal 61 2 3 3 2 2 3 2 4 2" xfId="0"/>
    <cellStyle name="Normal 61 2 3 3 2 2 3 2 5" xfId="0"/>
    <cellStyle name="Normal 61 2 3 3 2 2 3 3" xfId="0"/>
    <cellStyle name="Normal 61 2 3 3 2 2 3 3 2" xfId="0"/>
    <cellStyle name="Normal 61 2 3 3 2 2 3 3 2 2" xfId="0"/>
    <cellStyle name="Normal 61 2 3 3 2 2 3 3 3" xfId="0"/>
    <cellStyle name="Normal 61 2 3 3 2 2 3 4" xfId="0"/>
    <cellStyle name="Normal 61 2 3 3 2 2 3 4 2" xfId="0"/>
    <cellStyle name="Normal 61 2 3 3 2 2 3 4 2 2" xfId="0"/>
    <cellStyle name="Normal 61 2 3 3 2 2 3 4 3" xfId="0"/>
    <cellStyle name="Normal 61 2 3 3 2 2 3 5" xfId="0"/>
    <cellStyle name="Normal 61 2 3 3 2 2 3 5 2" xfId="0"/>
    <cellStyle name="Normal 61 2 3 3 2 2 3 6" xfId="0"/>
    <cellStyle name="Normal 61 2 3 3 2 2 4" xfId="0"/>
    <cellStyle name="Normal 61 2 3 3 2 2 4 2" xfId="0"/>
    <cellStyle name="Normal 61 2 3 3 2 2 4 2 2" xfId="0"/>
    <cellStyle name="Normal 61 2 3 3 2 2 4 2 2 2" xfId="0"/>
    <cellStyle name="Normal 61 2 3 3 2 2 4 2 3" xfId="0"/>
    <cellStyle name="Normal 61 2 3 3 2 2 4 3" xfId="0"/>
    <cellStyle name="Normal 61 2 3 3 2 2 4 3 2" xfId="0"/>
    <cellStyle name="Normal 61 2 3 3 2 2 4 3 2 2" xfId="0"/>
    <cellStyle name="Normal 61 2 3 3 2 2 4 3 3" xfId="0"/>
    <cellStyle name="Normal 61 2 3 3 2 2 4 4" xfId="0"/>
    <cellStyle name="Normal 61 2 3 3 2 2 4 4 2" xfId="0"/>
    <cellStyle name="Normal 61 2 3 3 2 2 4 5" xfId="0"/>
    <cellStyle name="Normal 61 2 3 3 2 2 5" xfId="0"/>
    <cellStyle name="Normal 61 2 3 3 2 2 5 2" xfId="0"/>
    <cellStyle name="Normal 61 2 3 3 2 2 5 2 2" xfId="0"/>
    <cellStyle name="Normal 61 2 3 3 2 2 5 3" xfId="0"/>
    <cellStyle name="Normal 61 2 3 3 2 2 6" xfId="0"/>
    <cellStyle name="Normal 61 2 3 3 2 2 6 2" xfId="0"/>
    <cellStyle name="Normal 61 2 3 3 2 2 6 2 2" xfId="0"/>
    <cellStyle name="Normal 61 2 3 3 2 2 6 3" xfId="0"/>
    <cellStyle name="Normal 61 2 3 3 2 2 7" xfId="0"/>
    <cellStyle name="Normal 61 2 3 3 2 2 7 2" xfId="0"/>
    <cellStyle name="Normal 61 2 3 3 2 2 8" xfId="0"/>
    <cellStyle name="Normal 61 2 3 3 2 3" xfId="0"/>
    <cellStyle name="Normal 61 2 3 3 2 3 2" xfId="0"/>
    <cellStyle name="Normal 61 2 3 3 2 3 2 2" xfId="0"/>
    <cellStyle name="Normal 61 2 3 3 2 3 2 2 2" xfId="0"/>
    <cellStyle name="Normal 61 2 3 3 2 3 2 2 2 2" xfId="0"/>
    <cellStyle name="Normal 61 2 3 3 2 3 2 2 2 2 2" xfId="0"/>
    <cellStyle name="Normal 61 2 3 3 2 3 2 2 2 3" xfId="0"/>
    <cellStyle name="Normal 61 2 3 3 2 3 2 2 3" xfId="0"/>
    <cellStyle name="Normal 61 2 3 3 2 3 2 2 3 2" xfId="0"/>
    <cellStyle name="Normal 61 2 3 3 2 3 2 2 3 2 2" xfId="0"/>
    <cellStyle name="Normal 61 2 3 3 2 3 2 2 3 3" xfId="0"/>
    <cellStyle name="Normal 61 2 3 3 2 3 2 2 4" xfId="0"/>
    <cellStyle name="Normal 61 2 3 3 2 3 2 2 4 2" xfId="0"/>
    <cellStyle name="Normal 61 2 3 3 2 3 2 2 5" xfId="0"/>
    <cellStyle name="Normal 61 2 3 3 2 3 2 3" xfId="0"/>
    <cellStyle name="Normal 61 2 3 3 2 3 2 3 2" xfId="0"/>
    <cellStyle name="Normal 61 2 3 3 2 3 2 3 2 2" xfId="0"/>
    <cellStyle name="Normal 61 2 3 3 2 3 2 3 3" xfId="0"/>
    <cellStyle name="Normal 61 2 3 3 2 3 2 4" xfId="0"/>
    <cellStyle name="Normal 61 2 3 3 2 3 2 4 2" xfId="0"/>
    <cellStyle name="Normal 61 2 3 3 2 3 2 4 2 2" xfId="0"/>
    <cellStyle name="Normal 61 2 3 3 2 3 2 4 3" xfId="0"/>
    <cellStyle name="Normal 61 2 3 3 2 3 2 5" xfId="0"/>
    <cellStyle name="Normal 61 2 3 3 2 3 2 5 2" xfId="0"/>
    <cellStyle name="Normal 61 2 3 3 2 3 2 6" xfId="0"/>
    <cellStyle name="Normal 61 2 3 3 2 3 3" xfId="0"/>
    <cellStyle name="Normal 61 2 3 3 2 3 3 2" xfId="0"/>
    <cellStyle name="Normal 61 2 3 3 2 3 3 2 2" xfId="0"/>
    <cellStyle name="Normal 61 2 3 3 2 3 3 2 2 2" xfId="0"/>
    <cellStyle name="Normal 61 2 3 3 2 3 3 2 3" xfId="0"/>
    <cellStyle name="Normal 61 2 3 3 2 3 3 3" xfId="0"/>
    <cellStyle name="Normal 61 2 3 3 2 3 3 3 2" xfId="0"/>
    <cellStyle name="Normal 61 2 3 3 2 3 3 3 2 2" xfId="0"/>
    <cellStyle name="Normal 61 2 3 3 2 3 3 3 3" xfId="0"/>
    <cellStyle name="Normal 61 2 3 3 2 3 3 4" xfId="0"/>
    <cellStyle name="Normal 61 2 3 3 2 3 3 4 2" xfId="0"/>
    <cellStyle name="Normal 61 2 3 3 2 3 3 5" xfId="0"/>
    <cellStyle name="Normal 61 2 3 3 2 3 4" xfId="0"/>
    <cellStyle name="Normal 61 2 3 3 2 3 4 2" xfId="0"/>
    <cellStyle name="Normal 61 2 3 3 2 3 4 2 2" xfId="0"/>
    <cellStyle name="Normal 61 2 3 3 2 3 4 3" xfId="0"/>
    <cellStyle name="Normal 61 2 3 3 2 3 5" xfId="0"/>
    <cellStyle name="Normal 61 2 3 3 2 3 5 2" xfId="0"/>
    <cellStyle name="Normal 61 2 3 3 2 3 5 2 2" xfId="0"/>
    <cellStyle name="Normal 61 2 3 3 2 3 5 3" xfId="0"/>
    <cellStyle name="Normal 61 2 3 3 2 3 6" xfId="0"/>
    <cellStyle name="Normal 61 2 3 3 2 3 6 2" xfId="0"/>
    <cellStyle name="Normal 61 2 3 3 2 3 7" xfId="0"/>
    <cellStyle name="Normal 61 2 3 3 2 4" xfId="0"/>
    <cellStyle name="Normal 61 2 3 3 2 4 2" xfId="0"/>
    <cellStyle name="Normal 61 2 3 3 2 4 2 2" xfId="0"/>
    <cellStyle name="Normal 61 2 3 3 2 4 2 2 2" xfId="0"/>
    <cellStyle name="Normal 61 2 3 3 2 4 2 2 2 2" xfId="0"/>
    <cellStyle name="Normal 61 2 3 3 2 4 2 2 3" xfId="0"/>
    <cellStyle name="Normal 61 2 3 3 2 4 2 3" xfId="0"/>
    <cellStyle name="Normal 61 2 3 3 2 4 2 3 2" xfId="0"/>
    <cellStyle name="Normal 61 2 3 3 2 4 2 3 2 2" xfId="0"/>
    <cellStyle name="Normal 61 2 3 3 2 4 2 3 3" xfId="0"/>
    <cellStyle name="Normal 61 2 3 3 2 4 2 4" xfId="0"/>
    <cellStyle name="Normal 61 2 3 3 2 4 2 4 2" xfId="0"/>
    <cellStyle name="Normal 61 2 3 3 2 4 2 5" xfId="0"/>
    <cellStyle name="Normal 61 2 3 3 2 4 3" xfId="0"/>
    <cellStyle name="Normal 61 2 3 3 2 4 3 2" xfId="0"/>
    <cellStyle name="Normal 61 2 3 3 2 4 3 2 2" xfId="0"/>
    <cellStyle name="Normal 61 2 3 3 2 4 3 3" xfId="0"/>
    <cellStyle name="Normal 61 2 3 3 2 4 4" xfId="0"/>
    <cellStyle name="Normal 61 2 3 3 2 4 4 2" xfId="0"/>
    <cellStyle name="Normal 61 2 3 3 2 4 4 2 2" xfId="0"/>
    <cellStyle name="Normal 61 2 3 3 2 4 4 3" xfId="0"/>
    <cellStyle name="Normal 61 2 3 3 2 4 5" xfId="0"/>
    <cellStyle name="Normal 61 2 3 3 2 4 5 2" xfId="0"/>
    <cellStyle name="Normal 61 2 3 3 2 4 6" xfId="0"/>
    <cellStyle name="Normal 61 2 3 3 2 5" xfId="0"/>
    <cellStyle name="Normal 61 2 3 3 2 5 2" xfId="0"/>
    <cellStyle name="Normal 61 2 3 3 2 5 2 2" xfId="0"/>
    <cellStyle name="Normal 61 2 3 3 2 5 2 2 2" xfId="0"/>
    <cellStyle name="Normal 61 2 3 3 2 5 2 3" xfId="0"/>
    <cellStyle name="Normal 61 2 3 3 2 5 3" xfId="0"/>
    <cellStyle name="Normal 61 2 3 3 2 5 3 2" xfId="0"/>
    <cellStyle name="Normal 61 2 3 3 2 5 3 2 2" xfId="0"/>
    <cellStyle name="Normal 61 2 3 3 2 5 3 3" xfId="0"/>
    <cellStyle name="Normal 61 2 3 3 2 5 4" xfId="0"/>
    <cellStyle name="Normal 61 2 3 3 2 5 4 2" xfId="0"/>
    <cellStyle name="Normal 61 2 3 3 2 5 5" xfId="0"/>
    <cellStyle name="Normal 61 2 3 3 2 6" xfId="0"/>
    <cellStyle name="Normal 61 2 3 3 2 6 2" xfId="0"/>
    <cellStyle name="Normal 61 2 3 3 2 6 2 2" xfId="0"/>
    <cellStyle name="Normal 61 2 3 3 2 6 3" xfId="0"/>
    <cellStyle name="Normal 61 2 3 3 2 7" xfId="0"/>
    <cellStyle name="Normal 61 2 3 3 2 7 2" xfId="0"/>
    <cellStyle name="Normal 61 2 3 3 2 7 2 2" xfId="0"/>
    <cellStyle name="Normal 61 2 3 3 2 7 3" xfId="0"/>
    <cellStyle name="Normal 61 2 3 3 2 8" xfId="0"/>
    <cellStyle name="Normal 61 2 3 3 2 8 2" xfId="0"/>
    <cellStyle name="Normal 61 2 3 3 2 9" xfId="0"/>
    <cellStyle name="Normal 61 2 3 3 3" xfId="0"/>
    <cellStyle name="Normal 61 2 3 3 3 2" xfId="0"/>
    <cellStyle name="Normal 61 2 3 3 3 2 2" xfId="0"/>
    <cellStyle name="Normal 61 2 3 3 3 2 2 2" xfId="0"/>
    <cellStyle name="Normal 61 2 3 3 3 2 2 2 2" xfId="0"/>
    <cellStyle name="Normal 61 2 3 3 3 2 2 2 2 2" xfId="0"/>
    <cellStyle name="Normal 61 2 3 3 3 2 2 2 2 2 2" xfId="0"/>
    <cellStyle name="Normal 61 2 3 3 3 2 2 2 2 3" xfId="0"/>
    <cellStyle name="Normal 61 2 3 3 3 2 2 2 3" xfId="0"/>
    <cellStyle name="Normal 61 2 3 3 3 2 2 2 3 2" xfId="0"/>
    <cellStyle name="Normal 61 2 3 3 3 2 2 2 3 2 2" xfId="0"/>
    <cellStyle name="Normal 61 2 3 3 3 2 2 2 3 3" xfId="0"/>
    <cellStyle name="Normal 61 2 3 3 3 2 2 2 4" xfId="0"/>
    <cellStyle name="Normal 61 2 3 3 3 2 2 2 4 2" xfId="0"/>
    <cellStyle name="Normal 61 2 3 3 3 2 2 2 5" xfId="0"/>
    <cellStyle name="Normal 61 2 3 3 3 2 2 3" xfId="0"/>
    <cellStyle name="Normal 61 2 3 3 3 2 2 3 2" xfId="0"/>
    <cellStyle name="Normal 61 2 3 3 3 2 2 3 2 2" xfId="0"/>
    <cellStyle name="Normal 61 2 3 3 3 2 2 3 3" xfId="0"/>
    <cellStyle name="Normal 61 2 3 3 3 2 2 4" xfId="0"/>
    <cellStyle name="Normal 61 2 3 3 3 2 2 4 2" xfId="0"/>
    <cellStyle name="Normal 61 2 3 3 3 2 2 4 2 2" xfId="0"/>
    <cellStyle name="Normal 61 2 3 3 3 2 2 4 3" xfId="0"/>
    <cellStyle name="Normal 61 2 3 3 3 2 2 5" xfId="0"/>
    <cellStyle name="Normal 61 2 3 3 3 2 2 5 2" xfId="0"/>
    <cellStyle name="Normal 61 2 3 3 3 2 2 6" xfId="0"/>
    <cellStyle name="Normal 61 2 3 3 3 2 3" xfId="0"/>
    <cellStyle name="Normal 61 2 3 3 3 2 3 2" xfId="0"/>
    <cellStyle name="Normal 61 2 3 3 3 2 3 2 2" xfId="0"/>
    <cellStyle name="Normal 61 2 3 3 3 2 3 2 2 2" xfId="0"/>
    <cellStyle name="Normal 61 2 3 3 3 2 3 2 3" xfId="0"/>
    <cellStyle name="Normal 61 2 3 3 3 2 3 3" xfId="0"/>
    <cellStyle name="Normal 61 2 3 3 3 2 3 3 2" xfId="0"/>
    <cellStyle name="Normal 61 2 3 3 3 2 3 3 2 2" xfId="0"/>
    <cellStyle name="Normal 61 2 3 3 3 2 3 3 3" xfId="0"/>
    <cellStyle name="Normal 61 2 3 3 3 2 3 4" xfId="0"/>
    <cellStyle name="Normal 61 2 3 3 3 2 3 4 2" xfId="0"/>
    <cellStyle name="Normal 61 2 3 3 3 2 3 5" xfId="0"/>
    <cellStyle name="Normal 61 2 3 3 3 2 4" xfId="0"/>
    <cellStyle name="Normal 61 2 3 3 3 2 4 2" xfId="0"/>
    <cellStyle name="Normal 61 2 3 3 3 2 4 2 2" xfId="0"/>
    <cellStyle name="Normal 61 2 3 3 3 2 4 3" xfId="0"/>
    <cellStyle name="Normal 61 2 3 3 3 2 5" xfId="0"/>
    <cellStyle name="Normal 61 2 3 3 3 2 5 2" xfId="0"/>
    <cellStyle name="Normal 61 2 3 3 3 2 5 2 2" xfId="0"/>
    <cellStyle name="Normal 61 2 3 3 3 2 5 3" xfId="0"/>
    <cellStyle name="Normal 61 2 3 3 3 2 6" xfId="0"/>
    <cellStyle name="Normal 61 2 3 3 3 2 6 2" xfId="0"/>
    <cellStyle name="Normal 61 2 3 3 3 2 7" xfId="0"/>
    <cellStyle name="Normal 61 2 3 3 3 3" xfId="0"/>
    <cellStyle name="Normal 61 2 3 3 3 3 2" xfId="0"/>
    <cellStyle name="Normal 61 2 3 3 3 3 2 2" xfId="0"/>
    <cellStyle name="Normal 61 2 3 3 3 3 2 2 2" xfId="0"/>
    <cellStyle name="Normal 61 2 3 3 3 3 2 2 2 2" xfId="0"/>
    <cellStyle name="Normal 61 2 3 3 3 3 2 2 3" xfId="0"/>
    <cellStyle name="Normal 61 2 3 3 3 3 2 3" xfId="0"/>
    <cellStyle name="Normal 61 2 3 3 3 3 2 3 2" xfId="0"/>
    <cellStyle name="Normal 61 2 3 3 3 3 2 3 2 2" xfId="0"/>
    <cellStyle name="Normal 61 2 3 3 3 3 2 3 3" xfId="0"/>
    <cellStyle name="Normal 61 2 3 3 3 3 2 4" xfId="0"/>
    <cellStyle name="Normal 61 2 3 3 3 3 2 4 2" xfId="0"/>
    <cellStyle name="Normal 61 2 3 3 3 3 2 5" xfId="0"/>
    <cellStyle name="Normal 61 2 3 3 3 3 3" xfId="0"/>
    <cellStyle name="Normal 61 2 3 3 3 3 3 2" xfId="0"/>
    <cellStyle name="Normal 61 2 3 3 3 3 3 2 2" xfId="0"/>
    <cellStyle name="Normal 61 2 3 3 3 3 3 3" xfId="0"/>
    <cellStyle name="Normal 61 2 3 3 3 3 4" xfId="0"/>
    <cellStyle name="Normal 61 2 3 3 3 3 4 2" xfId="0"/>
    <cellStyle name="Normal 61 2 3 3 3 3 4 2 2" xfId="0"/>
    <cellStyle name="Normal 61 2 3 3 3 3 4 3" xfId="0"/>
    <cellStyle name="Normal 61 2 3 3 3 3 5" xfId="0"/>
    <cellStyle name="Normal 61 2 3 3 3 3 5 2" xfId="0"/>
    <cellStyle name="Normal 61 2 3 3 3 3 6" xfId="0"/>
    <cellStyle name="Normal 61 2 3 3 3 4" xfId="0"/>
    <cellStyle name="Normal 61 2 3 3 3 4 2" xfId="0"/>
    <cellStyle name="Normal 61 2 3 3 3 4 2 2" xfId="0"/>
    <cellStyle name="Normal 61 2 3 3 3 4 2 2 2" xfId="0"/>
    <cellStyle name="Normal 61 2 3 3 3 4 2 3" xfId="0"/>
    <cellStyle name="Normal 61 2 3 3 3 4 3" xfId="0"/>
    <cellStyle name="Normal 61 2 3 3 3 4 3 2" xfId="0"/>
    <cellStyle name="Normal 61 2 3 3 3 4 3 2 2" xfId="0"/>
    <cellStyle name="Normal 61 2 3 3 3 4 3 3" xfId="0"/>
    <cellStyle name="Normal 61 2 3 3 3 4 4" xfId="0"/>
    <cellStyle name="Normal 61 2 3 3 3 4 4 2" xfId="0"/>
    <cellStyle name="Normal 61 2 3 3 3 4 5" xfId="0"/>
    <cellStyle name="Normal 61 2 3 3 3 5" xfId="0"/>
    <cellStyle name="Normal 61 2 3 3 3 5 2" xfId="0"/>
    <cellStyle name="Normal 61 2 3 3 3 5 2 2" xfId="0"/>
    <cellStyle name="Normal 61 2 3 3 3 5 3" xfId="0"/>
    <cellStyle name="Normal 61 2 3 3 3 6" xfId="0"/>
    <cellStyle name="Normal 61 2 3 3 3 6 2" xfId="0"/>
    <cellStyle name="Normal 61 2 3 3 3 6 2 2" xfId="0"/>
    <cellStyle name="Normal 61 2 3 3 3 6 3" xfId="0"/>
    <cellStyle name="Normal 61 2 3 3 3 7" xfId="0"/>
    <cellStyle name="Normal 61 2 3 3 3 7 2" xfId="0"/>
    <cellStyle name="Normal 61 2 3 3 3 8" xfId="0"/>
    <cellStyle name="Normal 61 2 3 3 4" xfId="0"/>
    <cellStyle name="Normal 61 2 3 3 4 2" xfId="0"/>
    <cellStyle name="Normal 61 2 3 3 4 2 2" xfId="0"/>
    <cellStyle name="Normal 61 2 3 3 4 2 2 2" xfId="0"/>
    <cellStyle name="Normal 61 2 3 3 4 2 2 2 2" xfId="0"/>
    <cellStyle name="Normal 61 2 3 3 4 2 2 2 2 2" xfId="0"/>
    <cellStyle name="Normal 61 2 3 3 4 2 2 2 3" xfId="0"/>
    <cellStyle name="Normal 61 2 3 3 4 2 2 3" xfId="0"/>
    <cellStyle name="Normal 61 2 3 3 4 2 2 3 2" xfId="0"/>
    <cellStyle name="Normal 61 2 3 3 4 2 2 3 2 2" xfId="0"/>
    <cellStyle name="Normal 61 2 3 3 4 2 2 3 3" xfId="0"/>
    <cellStyle name="Normal 61 2 3 3 4 2 2 4" xfId="0"/>
    <cellStyle name="Normal 61 2 3 3 4 2 2 4 2" xfId="0"/>
    <cellStyle name="Normal 61 2 3 3 4 2 2 5" xfId="0"/>
    <cellStyle name="Normal 61 2 3 3 4 2 3" xfId="0"/>
    <cellStyle name="Normal 61 2 3 3 4 2 3 2" xfId="0"/>
    <cellStyle name="Normal 61 2 3 3 4 2 3 2 2" xfId="0"/>
    <cellStyle name="Normal 61 2 3 3 4 2 3 3" xfId="0"/>
    <cellStyle name="Normal 61 2 3 3 4 2 4" xfId="0"/>
    <cellStyle name="Normal 61 2 3 3 4 2 4 2" xfId="0"/>
    <cellStyle name="Normal 61 2 3 3 4 2 4 2 2" xfId="0"/>
    <cellStyle name="Normal 61 2 3 3 4 2 4 3" xfId="0"/>
    <cellStyle name="Normal 61 2 3 3 4 2 5" xfId="0"/>
    <cellStyle name="Normal 61 2 3 3 4 2 5 2" xfId="0"/>
    <cellStyle name="Normal 61 2 3 3 4 2 6" xfId="0"/>
    <cellStyle name="Normal 61 2 3 3 4 3" xfId="0"/>
    <cellStyle name="Normal 61 2 3 3 4 3 2" xfId="0"/>
    <cellStyle name="Normal 61 2 3 3 4 3 2 2" xfId="0"/>
    <cellStyle name="Normal 61 2 3 3 4 3 2 2 2" xfId="0"/>
    <cellStyle name="Normal 61 2 3 3 4 3 2 3" xfId="0"/>
    <cellStyle name="Normal 61 2 3 3 4 3 3" xfId="0"/>
    <cellStyle name="Normal 61 2 3 3 4 3 3 2" xfId="0"/>
    <cellStyle name="Normal 61 2 3 3 4 3 3 2 2" xfId="0"/>
    <cellStyle name="Normal 61 2 3 3 4 3 3 3" xfId="0"/>
    <cellStyle name="Normal 61 2 3 3 4 3 4" xfId="0"/>
    <cellStyle name="Normal 61 2 3 3 4 3 4 2" xfId="0"/>
    <cellStyle name="Normal 61 2 3 3 4 3 5" xfId="0"/>
    <cellStyle name="Normal 61 2 3 3 4 4" xfId="0"/>
    <cellStyle name="Normal 61 2 3 3 4 4 2" xfId="0"/>
    <cellStyle name="Normal 61 2 3 3 4 4 2 2" xfId="0"/>
    <cellStyle name="Normal 61 2 3 3 4 4 3" xfId="0"/>
    <cellStyle name="Normal 61 2 3 3 4 5" xfId="0"/>
    <cellStyle name="Normal 61 2 3 3 4 5 2" xfId="0"/>
    <cellStyle name="Normal 61 2 3 3 4 5 2 2" xfId="0"/>
    <cellStyle name="Normal 61 2 3 3 4 5 3" xfId="0"/>
    <cellStyle name="Normal 61 2 3 3 4 6" xfId="0"/>
    <cellStyle name="Normal 61 2 3 3 4 6 2" xfId="0"/>
    <cellStyle name="Normal 61 2 3 3 4 7" xfId="0"/>
    <cellStyle name="Normal 61 2 3 3 5" xfId="0"/>
    <cellStyle name="Normal 61 2 3 3 5 2" xfId="0"/>
    <cellStyle name="Normal 61 2 3 3 5 2 2" xfId="0"/>
    <cellStyle name="Normal 61 2 3 3 5 2 2 2" xfId="0"/>
    <cellStyle name="Normal 61 2 3 3 5 2 2 2 2" xfId="0"/>
    <cellStyle name="Normal 61 2 3 3 5 2 2 3" xfId="0"/>
    <cellStyle name="Normal 61 2 3 3 5 2 3" xfId="0"/>
    <cellStyle name="Normal 61 2 3 3 5 2 3 2" xfId="0"/>
    <cellStyle name="Normal 61 2 3 3 5 2 3 2 2" xfId="0"/>
    <cellStyle name="Normal 61 2 3 3 5 2 3 3" xfId="0"/>
    <cellStyle name="Normal 61 2 3 3 5 2 4" xfId="0"/>
    <cellStyle name="Normal 61 2 3 3 5 2 4 2" xfId="0"/>
    <cellStyle name="Normal 61 2 3 3 5 2 5" xfId="0"/>
    <cellStyle name="Normal 61 2 3 3 5 3" xfId="0"/>
    <cellStyle name="Normal 61 2 3 3 5 3 2" xfId="0"/>
    <cellStyle name="Normal 61 2 3 3 5 3 2 2" xfId="0"/>
    <cellStyle name="Normal 61 2 3 3 5 3 3" xfId="0"/>
    <cellStyle name="Normal 61 2 3 3 5 4" xfId="0"/>
    <cellStyle name="Normal 61 2 3 3 5 4 2" xfId="0"/>
    <cellStyle name="Normal 61 2 3 3 5 4 2 2" xfId="0"/>
    <cellStyle name="Normal 61 2 3 3 5 4 3" xfId="0"/>
    <cellStyle name="Normal 61 2 3 3 5 5" xfId="0"/>
    <cellStyle name="Normal 61 2 3 3 5 5 2" xfId="0"/>
    <cellStyle name="Normal 61 2 3 3 5 6" xfId="0"/>
    <cellStyle name="Normal 61 2 3 3 6" xfId="0"/>
    <cellStyle name="Normal 61 2 3 3 6 2" xfId="0"/>
    <cellStyle name="Normal 61 2 3 3 6 2 2" xfId="0"/>
    <cellStyle name="Normal 61 2 3 3 6 2 2 2" xfId="0"/>
    <cellStyle name="Normal 61 2 3 3 6 2 3" xfId="0"/>
    <cellStyle name="Normal 61 2 3 3 6 3" xfId="0"/>
    <cellStyle name="Normal 61 2 3 3 6 3 2" xfId="0"/>
    <cellStyle name="Normal 61 2 3 3 6 3 2 2" xfId="0"/>
    <cellStyle name="Normal 61 2 3 3 6 3 3" xfId="0"/>
    <cellStyle name="Normal 61 2 3 3 6 4" xfId="0"/>
    <cellStyle name="Normal 61 2 3 3 6 4 2" xfId="0"/>
    <cellStyle name="Normal 61 2 3 3 6 5" xfId="0"/>
    <cellStyle name="Normal 61 2 3 3 7" xfId="0"/>
    <cellStyle name="Normal 61 2 3 3 7 2" xfId="0"/>
    <cellStyle name="Normal 61 2 3 3 7 2 2" xfId="0"/>
    <cellStyle name="Normal 61 2 3 3 7 3" xfId="0"/>
    <cellStyle name="Normal 61 2 3 3 8" xfId="0"/>
    <cellStyle name="Normal 61 2 3 3 8 2" xfId="0"/>
    <cellStyle name="Normal 61 2 3 3 8 2 2" xfId="0"/>
    <cellStyle name="Normal 61 2 3 3 8 3" xfId="0"/>
    <cellStyle name="Normal 61 2 3 3 9" xfId="0"/>
    <cellStyle name="Normal 61 2 3 3 9 2" xfId="0"/>
    <cellStyle name="Normal 61 2 3 4" xfId="0"/>
    <cellStyle name="Normal 61 2 3 4 10" xfId="0"/>
    <cellStyle name="Normal 61 2 3 4 2" xfId="0"/>
    <cellStyle name="Normal 61 2 3 4 2 2" xfId="0"/>
    <cellStyle name="Normal 61 2 3 4 2 2 2" xfId="0"/>
    <cellStyle name="Normal 61 2 3 4 2 2 2 2" xfId="0"/>
    <cellStyle name="Normal 61 2 3 4 2 2 2 2 2" xfId="0"/>
    <cellStyle name="Normal 61 2 3 4 2 2 2 2 2 2" xfId="0"/>
    <cellStyle name="Normal 61 2 3 4 2 2 2 2 2 2 2" xfId="0"/>
    <cellStyle name="Normal 61 2 3 4 2 2 2 2 2 2 2 2" xfId="0"/>
    <cellStyle name="Normal 61 2 3 4 2 2 2 2 2 2 3" xfId="0"/>
    <cellStyle name="Normal 61 2 3 4 2 2 2 2 2 3" xfId="0"/>
    <cellStyle name="Normal 61 2 3 4 2 2 2 2 2 3 2" xfId="0"/>
    <cellStyle name="Normal 61 2 3 4 2 2 2 2 2 3 2 2" xfId="0"/>
    <cellStyle name="Normal 61 2 3 4 2 2 2 2 2 3 3" xfId="0"/>
    <cellStyle name="Normal 61 2 3 4 2 2 2 2 2 4" xfId="0"/>
    <cellStyle name="Normal 61 2 3 4 2 2 2 2 2 4 2" xfId="0"/>
    <cellStyle name="Normal 61 2 3 4 2 2 2 2 2 5" xfId="0"/>
    <cellStyle name="Normal 61 2 3 4 2 2 2 2 3" xfId="0"/>
    <cellStyle name="Normal 61 2 3 4 2 2 2 2 3 2" xfId="0"/>
    <cellStyle name="Normal 61 2 3 4 2 2 2 2 3 2 2" xfId="0"/>
    <cellStyle name="Normal 61 2 3 4 2 2 2 2 3 3" xfId="0"/>
    <cellStyle name="Normal 61 2 3 4 2 2 2 2 4" xfId="0"/>
    <cellStyle name="Normal 61 2 3 4 2 2 2 2 4 2" xfId="0"/>
    <cellStyle name="Normal 61 2 3 4 2 2 2 2 4 2 2" xfId="0"/>
    <cellStyle name="Normal 61 2 3 4 2 2 2 2 4 3" xfId="0"/>
    <cellStyle name="Normal 61 2 3 4 2 2 2 2 5" xfId="0"/>
    <cellStyle name="Normal 61 2 3 4 2 2 2 2 5 2" xfId="0"/>
    <cellStyle name="Normal 61 2 3 4 2 2 2 2 6" xfId="0"/>
    <cellStyle name="Normal 61 2 3 4 2 2 2 3" xfId="0"/>
    <cellStyle name="Normal 61 2 3 4 2 2 2 3 2" xfId="0"/>
    <cellStyle name="Normal 61 2 3 4 2 2 2 3 2 2" xfId="0"/>
    <cellStyle name="Normal 61 2 3 4 2 2 2 3 2 2 2" xfId="0"/>
    <cellStyle name="Normal 61 2 3 4 2 2 2 3 2 3" xfId="0"/>
    <cellStyle name="Normal 61 2 3 4 2 2 2 3 3" xfId="0"/>
    <cellStyle name="Normal 61 2 3 4 2 2 2 3 3 2" xfId="0"/>
    <cellStyle name="Normal 61 2 3 4 2 2 2 3 3 2 2" xfId="0"/>
    <cellStyle name="Normal 61 2 3 4 2 2 2 3 3 3" xfId="0"/>
    <cellStyle name="Normal 61 2 3 4 2 2 2 3 4" xfId="0"/>
    <cellStyle name="Normal 61 2 3 4 2 2 2 3 4 2" xfId="0"/>
    <cellStyle name="Normal 61 2 3 4 2 2 2 3 5" xfId="0"/>
    <cellStyle name="Normal 61 2 3 4 2 2 2 4" xfId="0"/>
    <cellStyle name="Normal 61 2 3 4 2 2 2 4 2" xfId="0"/>
    <cellStyle name="Normal 61 2 3 4 2 2 2 4 2 2" xfId="0"/>
    <cellStyle name="Normal 61 2 3 4 2 2 2 4 3" xfId="0"/>
    <cellStyle name="Normal 61 2 3 4 2 2 2 5" xfId="0"/>
    <cellStyle name="Normal 61 2 3 4 2 2 2 5 2" xfId="0"/>
    <cellStyle name="Normal 61 2 3 4 2 2 2 5 2 2" xfId="0"/>
    <cellStyle name="Normal 61 2 3 4 2 2 2 5 3" xfId="0"/>
    <cellStyle name="Normal 61 2 3 4 2 2 2 6" xfId="0"/>
    <cellStyle name="Normal 61 2 3 4 2 2 2 6 2" xfId="0"/>
    <cellStyle name="Normal 61 2 3 4 2 2 2 7" xfId="0"/>
    <cellStyle name="Normal 61 2 3 4 2 2 3" xfId="0"/>
    <cellStyle name="Normal 61 2 3 4 2 2 3 2" xfId="0"/>
    <cellStyle name="Normal 61 2 3 4 2 2 3 2 2" xfId="0"/>
    <cellStyle name="Normal 61 2 3 4 2 2 3 2 2 2" xfId="0"/>
    <cellStyle name="Normal 61 2 3 4 2 2 3 2 2 2 2" xfId="0"/>
    <cellStyle name="Normal 61 2 3 4 2 2 3 2 2 3" xfId="0"/>
    <cellStyle name="Normal 61 2 3 4 2 2 3 2 3" xfId="0"/>
    <cellStyle name="Normal 61 2 3 4 2 2 3 2 3 2" xfId="0"/>
    <cellStyle name="Normal 61 2 3 4 2 2 3 2 3 2 2" xfId="0"/>
    <cellStyle name="Normal 61 2 3 4 2 2 3 2 3 3" xfId="0"/>
    <cellStyle name="Normal 61 2 3 4 2 2 3 2 4" xfId="0"/>
    <cellStyle name="Normal 61 2 3 4 2 2 3 2 4 2" xfId="0"/>
    <cellStyle name="Normal 61 2 3 4 2 2 3 2 5" xfId="0"/>
    <cellStyle name="Normal 61 2 3 4 2 2 3 3" xfId="0"/>
    <cellStyle name="Normal 61 2 3 4 2 2 3 3 2" xfId="0"/>
    <cellStyle name="Normal 61 2 3 4 2 2 3 3 2 2" xfId="0"/>
    <cellStyle name="Normal 61 2 3 4 2 2 3 3 3" xfId="0"/>
    <cellStyle name="Normal 61 2 3 4 2 2 3 4" xfId="0"/>
    <cellStyle name="Normal 61 2 3 4 2 2 3 4 2" xfId="0"/>
    <cellStyle name="Normal 61 2 3 4 2 2 3 4 2 2" xfId="0"/>
    <cellStyle name="Normal 61 2 3 4 2 2 3 4 3" xfId="0"/>
    <cellStyle name="Normal 61 2 3 4 2 2 3 5" xfId="0"/>
    <cellStyle name="Normal 61 2 3 4 2 2 3 5 2" xfId="0"/>
    <cellStyle name="Normal 61 2 3 4 2 2 3 6" xfId="0"/>
    <cellStyle name="Normal 61 2 3 4 2 2 4" xfId="0"/>
    <cellStyle name="Normal 61 2 3 4 2 2 4 2" xfId="0"/>
    <cellStyle name="Normal 61 2 3 4 2 2 4 2 2" xfId="0"/>
    <cellStyle name="Normal 61 2 3 4 2 2 4 2 2 2" xfId="0"/>
    <cellStyle name="Normal 61 2 3 4 2 2 4 2 3" xfId="0"/>
    <cellStyle name="Normal 61 2 3 4 2 2 4 3" xfId="0"/>
    <cellStyle name="Normal 61 2 3 4 2 2 4 3 2" xfId="0"/>
    <cellStyle name="Normal 61 2 3 4 2 2 4 3 2 2" xfId="0"/>
    <cellStyle name="Normal 61 2 3 4 2 2 4 3 3" xfId="0"/>
    <cellStyle name="Normal 61 2 3 4 2 2 4 4" xfId="0"/>
    <cellStyle name="Normal 61 2 3 4 2 2 4 4 2" xfId="0"/>
    <cellStyle name="Normal 61 2 3 4 2 2 4 5" xfId="0"/>
    <cellStyle name="Normal 61 2 3 4 2 2 5" xfId="0"/>
    <cellStyle name="Normal 61 2 3 4 2 2 5 2" xfId="0"/>
    <cellStyle name="Normal 61 2 3 4 2 2 5 2 2" xfId="0"/>
    <cellStyle name="Normal 61 2 3 4 2 2 5 3" xfId="0"/>
    <cellStyle name="Normal 61 2 3 4 2 2 6" xfId="0"/>
    <cellStyle name="Normal 61 2 3 4 2 2 6 2" xfId="0"/>
    <cellStyle name="Normal 61 2 3 4 2 2 6 2 2" xfId="0"/>
    <cellStyle name="Normal 61 2 3 4 2 2 6 3" xfId="0"/>
    <cellStyle name="Normal 61 2 3 4 2 2 7" xfId="0"/>
    <cellStyle name="Normal 61 2 3 4 2 2 7 2" xfId="0"/>
    <cellStyle name="Normal 61 2 3 4 2 2 8" xfId="0"/>
    <cellStyle name="Normal 61 2 3 4 2 3" xfId="0"/>
    <cellStyle name="Normal 61 2 3 4 2 3 2" xfId="0"/>
    <cellStyle name="Normal 61 2 3 4 2 3 2 2" xfId="0"/>
    <cellStyle name="Normal 61 2 3 4 2 3 2 2 2" xfId="0"/>
    <cellStyle name="Normal 61 2 3 4 2 3 2 2 2 2" xfId="0"/>
    <cellStyle name="Normal 61 2 3 4 2 3 2 2 2 2 2" xfId="0"/>
    <cellStyle name="Normal 61 2 3 4 2 3 2 2 2 3" xfId="0"/>
    <cellStyle name="Normal 61 2 3 4 2 3 2 2 3" xfId="0"/>
    <cellStyle name="Normal 61 2 3 4 2 3 2 2 3 2" xfId="0"/>
    <cellStyle name="Normal 61 2 3 4 2 3 2 2 3 2 2" xfId="0"/>
    <cellStyle name="Normal 61 2 3 4 2 3 2 2 3 3" xfId="0"/>
    <cellStyle name="Normal 61 2 3 4 2 3 2 2 4" xfId="0"/>
    <cellStyle name="Normal 61 2 3 4 2 3 2 2 4 2" xfId="0"/>
    <cellStyle name="Normal 61 2 3 4 2 3 2 2 5" xfId="0"/>
    <cellStyle name="Normal 61 2 3 4 2 3 2 3" xfId="0"/>
    <cellStyle name="Normal 61 2 3 4 2 3 2 3 2" xfId="0"/>
    <cellStyle name="Normal 61 2 3 4 2 3 2 3 2 2" xfId="0"/>
    <cellStyle name="Normal 61 2 3 4 2 3 2 3 3" xfId="0"/>
    <cellStyle name="Normal 61 2 3 4 2 3 2 4" xfId="0"/>
    <cellStyle name="Normal 61 2 3 4 2 3 2 4 2" xfId="0"/>
    <cellStyle name="Normal 61 2 3 4 2 3 2 4 2 2" xfId="0"/>
    <cellStyle name="Normal 61 2 3 4 2 3 2 4 3" xfId="0"/>
    <cellStyle name="Normal 61 2 3 4 2 3 2 5" xfId="0"/>
    <cellStyle name="Normal 61 2 3 4 2 3 2 5 2" xfId="0"/>
    <cellStyle name="Normal 61 2 3 4 2 3 2 6" xfId="0"/>
    <cellStyle name="Normal 61 2 3 4 2 3 3" xfId="0"/>
    <cellStyle name="Normal 61 2 3 4 2 3 3 2" xfId="0"/>
    <cellStyle name="Normal 61 2 3 4 2 3 3 2 2" xfId="0"/>
    <cellStyle name="Normal 61 2 3 4 2 3 3 2 2 2" xfId="0"/>
    <cellStyle name="Normal 61 2 3 4 2 3 3 2 3" xfId="0"/>
    <cellStyle name="Normal 61 2 3 4 2 3 3 3" xfId="0"/>
    <cellStyle name="Normal 61 2 3 4 2 3 3 3 2" xfId="0"/>
    <cellStyle name="Normal 61 2 3 4 2 3 3 3 2 2" xfId="0"/>
    <cellStyle name="Normal 61 2 3 4 2 3 3 3 3" xfId="0"/>
    <cellStyle name="Normal 61 2 3 4 2 3 3 4" xfId="0"/>
    <cellStyle name="Normal 61 2 3 4 2 3 3 4 2" xfId="0"/>
    <cellStyle name="Normal 61 2 3 4 2 3 3 5" xfId="0"/>
    <cellStyle name="Normal 61 2 3 4 2 3 4" xfId="0"/>
    <cellStyle name="Normal 61 2 3 4 2 3 4 2" xfId="0"/>
    <cellStyle name="Normal 61 2 3 4 2 3 4 2 2" xfId="0"/>
    <cellStyle name="Normal 61 2 3 4 2 3 4 3" xfId="0"/>
    <cellStyle name="Normal 61 2 3 4 2 3 5" xfId="0"/>
    <cellStyle name="Normal 61 2 3 4 2 3 5 2" xfId="0"/>
    <cellStyle name="Normal 61 2 3 4 2 3 5 2 2" xfId="0"/>
    <cellStyle name="Normal 61 2 3 4 2 3 5 3" xfId="0"/>
    <cellStyle name="Normal 61 2 3 4 2 3 6" xfId="0"/>
    <cellStyle name="Normal 61 2 3 4 2 3 6 2" xfId="0"/>
    <cellStyle name="Normal 61 2 3 4 2 3 7" xfId="0"/>
    <cellStyle name="Normal 61 2 3 4 2 4" xfId="0"/>
    <cellStyle name="Normal 61 2 3 4 2 4 2" xfId="0"/>
    <cellStyle name="Normal 61 2 3 4 2 4 2 2" xfId="0"/>
    <cellStyle name="Normal 61 2 3 4 2 4 2 2 2" xfId="0"/>
    <cellStyle name="Normal 61 2 3 4 2 4 2 2 2 2" xfId="0"/>
    <cellStyle name="Normal 61 2 3 4 2 4 2 2 3" xfId="0"/>
    <cellStyle name="Normal 61 2 3 4 2 4 2 3" xfId="0"/>
    <cellStyle name="Normal 61 2 3 4 2 4 2 3 2" xfId="0"/>
    <cellStyle name="Normal 61 2 3 4 2 4 2 3 2 2" xfId="0"/>
    <cellStyle name="Normal 61 2 3 4 2 4 2 3 3" xfId="0"/>
    <cellStyle name="Normal 61 2 3 4 2 4 2 4" xfId="0"/>
    <cellStyle name="Normal 61 2 3 4 2 4 2 4 2" xfId="0"/>
    <cellStyle name="Normal 61 2 3 4 2 4 2 5" xfId="0"/>
    <cellStyle name="Normal 61 2 3 4 2 4 3" xfId="0"/>
    <cellStyle name="Normal 61 2 3 4 2 4 3 2" xfId="0"/>
    <cellStyle name="Normal 61 2 3 4 2 4 3 2 2" xfId="0"/>
    <cellStyle name="Normal 61 2 3 4 2 4 3 3" xfId="0"/>
    <cellStyle name="Normal 61 2 3 4 2 4 4" xfId="0"/>
    <cellStyle name="Normal 61 2 3 4 2 4 4 2" xfId="0"/>
    <cellStyle name="Normal 61 2 3 4 2 4 4 2 2" xfId="0"/>
    <cellStyle name="Normal 61 2 3 4 2 4 4 3" xfId="0"/>
    <cellStyle name="Normal 61 2 3 4 2 4 5" xfId="0"/>
    <cellStyle name="Normal 61 2 3 4 2 4 5 2" xfId="0"/>
    <cellStyle name="Normal 61 2 3 4 2 4 6" xfId="0"/>
    <cellStyle name="Normal 61 2 3 4 2 5" xfId="0"/>
    <cellStyle name="Normal 61 2 3 4 2 5 2" xfId="0"/>
    <cellStyle name="Normal 61 2 3 4 2 5 2 2" xfId="0"/>
    <cellStyle name="Normal 61 2 3 4 2 5 2 2 2" xfId="0"/>
    <cellStyle name="Normal 61 2 3 4 2 5 2 3" xfId="0"/>
    <cellStyle name="Normal 61 2 3 4 2 5 3" xfId="0"/>
    <cellStyle name="Normal 61 2 3 4 2 5 3 2" xfId="0"/>
    <cellStyle name="Normal 61 2 3 4 2 5 3 2 2" xfId="0"/>
    <cellStyle name="Normal 61 2 3 4 2 5 3 3" xfId="0"/>
    <cellStyle name="Normal 61 2 3 4 2 5 4" xfId="0"/>
    <cellStyle name="Normal 61 2 3 4 2 5 4 2" xfId="0"/>
    <cellStyle name="Normal 61 2 3 4 2 5 5" xfId="0"/>
    <cellStyle name="Normal 61 2 3 4 2 6" xfId="0"/>
    <cellStyle name="Normal 61 2 3 4 2 6 2" xfId="0"/>
    <cellStyle name="Normal 61 2 3 4 2 6 2 2" xfId="0"/>
    <cellStyle name="Normal 61 2 3 4 2 6 3" xfId="0"/>
    <cellStyle name="Normal 61 2 3 4 2 7" xfId="0"/>
    <cellStyle name="Normal 61 2 3 4 2 7 2" xfId="0"/>
    <cellStyle name="Normal 61 2 3 4 2 7 2 2" xfId="0"/>
    <cellStyle name="Normal 61 2 3 4 2 7 3" xfId="0"/>
    <cellStyle name="Normal 61 2 3 4 2 8" xfId="0"/>
    <cellStyle name="Normal 61 2 3 4 2 8 2" xfId="0"/>
    <cellStyle name="Normal 61 2 3 4 2 9" xfId="0"/>
    <cellStyle name="Normal 61 2 3 4 3" xfId="0"/>
    <cellStyle name="Normal 61 2 3 4 3 2" xfId="0"/>
    <cellStyle name="Normal 61 2 3 4 3 2 2" xfId="0"/>
    <cellStyle name="Normal 61 2 3 4 3 2 2 2" xfId="0"/>
    <cellStyle name="Normal 61 2 3 4 3 2 2 2 2" xfId="0"/>
    <cellStyle name="Normal 61 2 3 4 3 2 2 2 2 2" xfId="0"/>
    <cellStyle name="Normal 61 2 3 4 3 2 2 2 2 2 2" xfId="0"/>
    <cellStyle name="Normal 61 2 3 4 3 2 2 2 2 3" xfId="0"/>
    <cellStyle name="Normal 61 2 3 4 3 2 2 2 3" xfId="0"/>
    <cellStyle name="Normal 61 2 3 4 3 2 2 2 3 2" xfId="0"/>
    <cellStyle name="Normal 61 2 3 4 3 2 2 2 3 2 2" xfId="0"/>
    <cellStyle name="Normal 61 2 3 4 3 2 2 2 3 3" xfId="0"/>
    <cellStyle name="Normal 61 2 3 4 3 2 2 2 4" xfId="0"/>
    <cellStyle name="Normal 61 2 3 4 3 2 2 2 4 2" xfId="0"/>
    <cellStyle name="Normal 61 2 3 4 3 2 2 2 5" xfId="0"/>
    <cellStyle name="Normal 61 2 3 4 3 2 2 3" xfId="0"/>
    <cellStyle name="Normal 61 2 3 4 3 2 2 3 2" xfId="0"/>
    <cellStyle name="Normal 61 2 3 4 3 2 2 3 2 2" xfId="0"/>
    <cellStyle name="Normal 61 2 3 4 3 2 2 3 3" xfId="0"/>
    <cellStyle name="Normal 61 2 3 4 3 2 2 4" xfId="0"/>
    <cellStyle name="Normal 61 2 3 4 3 2 2 4 2" xfId="0"/>
    <cellStyle name="Normal 61 2 3 4 3 2 2 4 2 2" xfId="0"/>
    <cellStyle name="Normal 61 2 3 4 3 2 2 4 3" xfId="0"/>
    <cellStyle name="Normal 61 2 3 4 3 2 2 5" xfId="0"/>
    <cellStyle name="Normal 61 2 3 4 3 2 2 5 2" xfId="0"/>
    <cellStyle name="Normal 61 2 3 4 3 2 2 6" xfId="0"/>
    <cellStyle name="Normal 61 2 3 4 3 2 3" xfId="0"/>
    <cellStyle name="Normal 61 2 3 4 3 2 3 2" xfId="0"/>
    <cellStyle name="Normal 61 2 3 4 3 2 3 2 2" xfId="0"/>
    <cellStyle name="Normal 61 2 3 4 3 2 3 2 2 2" xfId="0"/>
    <cellStyle name="Normal 61 2 3 4 3 2 3 2 3" xfId="0"/>
    <cellStyle name="Normal 61 2 3 4 3 2 3 3" xfId="0"/>
    <cellStyle name="Normal 61 2 3 4 3 2 3 3 2" xfId="0"/>
    <cellStyle name="Normal 61 2 3 4 3 2 3 3 2 2" xfId="0"/>
    <cellStyle name="Normal 61 2 3 4 3 2 3 3 3" xfId="0"/>
    <cellStyle name="Normal 61 2 3 4 3 2 3 4" xfId="0"/>
    <cellStyle name="Normal 61 2 3 4 3 2 3 4 2" xfId="0"/>
    <cellStyle name="Normal 61 2 3 4 3 2 3 5" xfId="0"/>
    <cellStyle name="Normal 61 2 3 4 3 2 4" xfId="0"/>
    <cellStyle name="Normal 61 2 3 4 3 2 4 2" xfId="0"/>
    <cellStyle name="Normal 61 2 3 4 3 2 4 2 2" xfId="0"/>
    <cellStyle name="Normal 61 2 3 4 3 2 4 3" xfId="0"/>
    <cellStyle name="Normal 61 2 3 4 3 2 5" xfId="0"/>
    <cellStyle name="Normal 61 2 3 4 3 2 5 2" xfId="0"/>
    <cellStyle name="Normal 61 2 3 4 3 2 5 2 2" xfId="0"/>
    <cellStyle name="Normal 61 2 3 4 3 2 5 3" xfId="0"/>
    <cellStyle name="Normal 61 2 3 4 3 2 6" xfId="0"/>
    <cellStyle name="Normal 61 2 3 4 3 2 6 2" xfId="0"/>
    <cellStyle name="Normal 61 2 3 4 3 2 7" xfId="0"/>
    <cellStyle name="Normal 61 2 3 4 3 3" xfId="0"/>
    <cellStyle name="Normal 61 2 3 4 3 3 2" xfId="0"/>
    <cellStyle name="Normal 61 2 3 4 3 3 2 2" xfId="0"/>
    <cellStyle name="Normal 61 2 3 4 3 3 2 2 2" xfId="0"/>
    <cellStyle name="Normal 61 2 3 4 3 3 2 2 2 2" xfId="0"/>
    <cellStyle name="Normal 61 2 3 4 3 3 2 2 3" xfId="0"/>
    <cellStyle name="Normal 61 2 3 4 3 3 2 3" xfId="0"/>
    <cellStyle name="Normal 61 2 3 4 3 3 2 3 2" xfId="0"/>
    <cellStyle name="Normal 61 2 3 4 3 3 2 3 2 2" xfId="0"/>
    <cellStyle name="Normal 61 2 3 4 3 3 2 3 3" xfId="0"/>
    <cellStyle name="Normal 61 2 3 4 3 3 2 4" xfId="0"/>
    <cellStyle name="Normal 61 2 3 4 3 3 2 4 2" xfId="0"/>
    <cellStyle name="Normal 61 2 3 4 3 3 2 5" xfId="0"/>
    <cellStyle name="Normal 61 2 3 4 3 3 3" xfId="0"/>
    <cellStyle name="Normal 61 2 3 4 3 3 3 2" xfId="0"/>
    <cellStyle name="Normal 61 2 3 4 3 3 3 2 2" xfId="0"/>
    <cellStyle name="Normal 61 2 3 4 3 3 3 3" xfId="0"/>
    <cellStyle name="Normal 61 2 3 4 3 3 4" xfId="0"/>
    <cellStyle name="Normal 61 2 3 4 3 3 4 2" xfId="0"/>
    <cellStyle name="Normal 61 2 3 4 3 3 4 2 2" xfId="0"/>
    <cellStyle name="Normal 61 2 3 4 3 3 4 3" xfId="0"/>
    <cellStyle name="Normal 61 2 3 4 3 3 5" xfId="0"/>
    <cellStyle name="Normal 61 2 3 4 3 3 5 2" xfId="0"/>
    <cellStyle name="Normal 61 2 3 4 3 3 6" xfId="0"/>
    <cellStyle name="Normal 61 2 3 4 3 4" xfId="0"/>
    <cellStyle name="Normal 61 2 3 4 3 4 2" xfId="0"/>
    <cellStyle name="Normal 61 2 3 4 3 4 2 2" xfId="0"/>
    <cellStyle name="Normal 61 2 3 4 3 4 2 2 2" xfId="0"/>
    <cellStyle name="Normal 61 2 3 4 3 4 2 3" xfId="0"/>
    <cellStyle name="Normal 61 2 3 4 3 4 3" xfId="0"/>
    <cellStyle name="Normal 61 2 3 4 3 4 3 2" xfId="0"/>
    <cellStyle name="Normal 61 2 3 4 3 4 3 2 2" xfId="0"/>
    <cellStyle name="Normal 61 2 3 4 3 4 3 3" xfId="0"/>
    <cellStyle name="Normal 61 2 3 4 3 4 4" xfId="0"/>
    <cellStyle name="Normal 61 2 3 4 3 4 4 2" xfId="0"/>
    <cellStyle name="Normal 61 2 3 4 3 4 5" xfId="0"/>
    <cellStyle name="Normal 61 2 3 4 3 5" xfId="0"/>
    <cellStyle name="Normal 61 2 3 4 3 5 2" xfId="0"/>
    <cellStyle name="Normal 61 2 3 4 3 5 2 2" xfId="0"/>
    <cellStyle name="Normal 61 2 3 4 3 5 3" xfId="0"/>
    <cellStyle name="Normal 61 2 3 4 3 6" xfId="0"/>
    <cellStyle name="Normal 61 2 3 4 3 6 2" xfId="0"/>
    <cellStyle name="Normal 61 2 3 4 3 6 2 2" xfId="0"/>
    <cellStyle name="Normal 61 2 3 4 3 6 3" xfId="0"/>
    <cellStyle name="Normal 61 2 3 4 3 7" xfId="0"/>
    <cellStyle name="Normal 61 2 3 4 3 7 2" xfId="0"/>
    <cellStyle name="Normal 61 2 3 4 3 8" xfId="0"/>
    <cellStyle name="Normal 61 2 3 4 4" xfId="0"/>
    <cellStyle name="Normal 61 2 3 4 4 2" xfId="0"/>
    <cellStyle name="Normal 61 2 3 4 4 2 2" xfId="0"/>
    <cellStyle name="Normal 61 2 3 4 4 2 2 2" xfId="0"/>
    <cellStyle name="Normal 61 2 3 4 4 2 2 2 2" xfId="0"/>
    <cellStyle name="Normal 61 2 3 4 4 2 2 2 2 2" xfId="0"/>
    <cellStyle name="Normal 61 2 3 4 4 2 2 2 3" xfId="0"/>
    <cellStyle name="Normal 61 2 3 4 4 2 2 3" xfId="0"/>
    <cellStyle name="Normal 61 2 3 4 4 2 2 3 2" xfId="0"/>
    <cellStyle name="Normal 61 2 3 4 4 2 2 3 2 2" xfId="0"/>
    <cellStyle name="Normal 61 2 3 4 4 2 2 3 3" xfId="0"/>
    <cellStyle name="Normal 61 2 3 4 4 2 2 4" xfId="0"/>
    <cellStyle name="Normal 61 2 3 4 4 2 2 4 2" xfId="0"/>
    <cellStyle name="Normal 61 2 3 4 4 2 2 5" xfId="0"/>
    <cellStyle name="Normal 61 2 3 4 4 2 3" xfId="0"/>
    <cellStyle name="Normal 61 2 3 4 4 2 3 2" xfId="0"/>
    <cellStyle name="Normal 61 2 3 4 4 2 3 2 2" xfId="0"/>
    <cellStyle name="Normal 61 2 3 4 4 2 3 3" xfId="0"/>
    <cellStyle name="Normal 61 2 3 4 4 2 4" xfId="0"/>
    <cellStyle name="Normal 61 2 3 4 4 2 4 2" xfId="0"/>
    <cellStyle name="Normal 61 2 3 4 4 2 4 2 2" xfId="0"/>
    <cellStyle name="Normal 61 2 3 4 4 2 4 3" xfId="0"/>
    <cellStyle name="Normal 61 2 3 4 4 2 5" xfId="0"/>
    <cellStyle name="Normal 61 2 3 4 4 2 5 2" xfId="0"/>
    <cellStyle name="Normal 61 2 3 4 4 2 6" xfId="0"/>
    <cellStyle name="Normal 61 2 3 4 4 3" xfId="0"/>
    <cellStyle name="Normal 61 2 3 4 4 3 2" xfId="0"/>
    <cellStyle name="Normal 61 2 3 4 4 3 2 2" xfId="0"/>
    <cellStyle name="Normal 61 2 3 4 4 3 2 2 2" xfId="0"/>
    <cellStyle name="Normal 61 2 3 4 4 3 2 3" xfId="0"/>
    <cellStyle name="Normal 61 2 3 4 4 3 3" xfId="0"/>
    <cellStyle name="Normal 61 2 3 4 4 3 3 2" xfId="0"/>
    <cellStyle name="Normal 61 2 3 4 4 3 3 2 2" xfId="0"/>
    <cellStyle name="Normal 61 2 3 4 4 3 3 3" xfId="0"/>
    <cellStyle name="Normal 61 2 3 4 4 3 4" xfId="0"/>
    <cellStyle name="Normal 61 2 3 4 4 3 4 2" xfId="0"/>
    <cellStyle name="Normal 61 2 3 4 4 3 5" xfId="0"/>
    <cellStyle name="Normal 61 2 3 4 4 4" xfId="0"/>
    <cellStyle name="Normal 61 2 3 4 4 4 2" xfId="0"/>
    <cellStyle name="Normal 61 2 3 4 4 4 2 2" xfId="0"/>
    <cellStyle name="Normal 61 2 3 4 4 4 3" xfId="0"/>
    <cellStyle name="Normal 61 2 3 4 4 5" xfId="0"/>
    <cellStyle name="Normal 61 2 3 4 4 5 2" xfId="0"/>
    <cellStyle name="Normal 61 2 3 4 4 5 2 2" xfId="0"/>
    <cellStyle name="Normal 61 2 3 4 4 5 3" xfId="0"/>
    <cellStyle name="Normal 61 2 3 4 4 6" xfId="0"/>
    <cellStyle name="Normal 61 2 3 4 4 6 2" xfId="0"/>
    <cellStyle name="Normal 61 2 3 4 4 7" xfId="0"/>
    <cellStyle name="Normal 61 2 3 4 5" xfId="0"/>
    <cellStyle name="Normal 61 2 3 4 5 2" xfId="0"/>
    <cellStyle name="Normal 61 2 3 4 5 2 2" xfId="0"/>
    <cellStyle name="Normal 61 2 3 4 5 2 2 2" xfId="0"/>
    <cellStyle name="Normal 61 2 3 4 5 2 2 2 2" xfId="0"/>
    <cellStyle name="Normal 61 2 3 4 5 2 2 3" xfId="0"/>
    <cellStyle name="Normal 61 2 3 4 5 2 3" xfId="0"/>
    <cellStyle name="Normal 61 2 3 4 5 2 3 2" xfId="0"/>
    <cellStyle name="Normal 61 2 3 4 5 2 3 2 2" xfId="0"/>
    <cellStyle name="Normal 61 2 3 4 5 2 3 3" xfId="0"/>
    <cellStyle name="Normal 61 2 3 4 5 2 4" xfId="0"/>
    <cellStyle name="Normal 61 2 3 4 5 2 4 2" xfId="0"/>
    <cellStyle name="Normal 61 2 3 4 5 2 5" xfId="0"/>
    <cellStyle name="Normal 61 2 3 4 5 3" xfId="0"/>
    <cellStyle name="Normal 61 2 3 4 5 3 2" xfId="0"/>
    <cellStyle name="Normal 61 2 3 4 5 3 2 2" xfId="0"/>
    <cellStyle name="Normal 61 2 3 4 5 3 3" xfId="0"/>
    <cellStyle name="Normal 61 2 3 4 5 4" xfId="0"/>
    <cellStyle name="Normal 61 2 3 4 5 4 2" xfId="0"/>
    <cellStyle name="Normal 61 2 3 4 5 4 2 2" xfId="0"/>
    <cellStyle name="Normal 61 2 3 4 5 4 3" xfId="0"/>
    <cellStyle name="Normal 61 2 3 4 5 5" xfId="0"/>
    <cellStyle name="Normal 61 2 3 4 5 5 2" xfId="0"/>
    <cellStyle name="Normal 61 2 3 4 5 6" xfId="0"/>
    <cellStyle name="Normal 61 2 3 4 6" xfId="0"/>
    <cellStyle name="Normal 61 2 3 4 6 2" xfId="0"/>
    <cellStyle name="Normal 61 2 3 4 6 2 2" xfId="0"/>
    <cellStyle name="Normal 61 2 3 4 6 2 2 2" xfId="0"/>
    <cellStyle name="Normal 61 2 3 4 6 2 3" xfId="0"/>
    <cellStyle name="Normal 61 2 3 4 6 3" xfId="0"/>
    <cellStyle name="Normal 61 2 3 4 6 3 2" xfId="0"/>
    <cellStyle name="Normal 61 2 3 4 6 3 2 2" xfId="0"/>
    <cellStyle name="Normal 61 2 3 4 6 3 3" xfId="0"/>
    <cellStyle name="Normal 61 2 3 4 6 4" xfId="0"/>
    <cellStyle name="Normal 61 2 3 4 6 4 2" xfId="0"/>
    <cellStyle name="Normal 61 2 3 4 6 5" xfId="0"/>
    <cellStyle name="Normal 61 2 3 4 7" xfId="0"/>
    <cellStyle name="Normal 61 2 3 4 7 2" xfId="0"/>
    <cellStyle name="Normal 61 2 3 4 7 2 2" xfId="0"/>
    <cellStyle name="Normal 61 2 3 4 7 3" xfId="0"/>
    <cellStyle name="Normal 61 2 3 4 8" xfId="0"/>
    <cellStyle name="Normal 61 2 3 4 8 2" xfId="0"/>
    <cellStyle name="Normal 61 2 3 4 8 2 2" xfId="0"/>
    <cellStyle name="Normal 61 2 3 4 8 3" xfId="0"/>
    <cellStyle name="Normal 61 2 3 4 9" xfId="0"/>
    <cellStyle name="Normal 61 2 3 4 9 2" xfId="0"/>
    <cellStyle name="Normal 61 2 3 5" xfId="0"/>
    <cellStyle name="Normal 61 2 3 5 2" xfId="0"/>
    <cellStyle name="Normal 61 2 3 5 2 2" xfId="0"/>
    <cellStyle name="Normal 61 2 3 5 2 2 2" xfId="0"/>
    <cellStyle name="Normal 61 2 3 5 2 2 2 2" xfId="0"/>
    <cellStyle name="Normal 61 2 3 5 2 2 2 2 2" xfId="0"/>
    <cellStyle name="Normal 61 2 3 5 2 2 2 2 2 2" xfId="0"/>
    <cellStyle name="Normal 61 2 3 5 2 2 2 2 2 2 2" xfId="0"/>
    <cellStyle name="Normal 61 2 3 5 2 2 2 2 2 3" xfId="0"/>
    <cellStyle name="Normal 61 2 3 5 2 2 2 2 3" xfId="0"/>
    <cellStyle name="Normal 61 2 3 5 2 2 2 2 3 2" xfId="0"/>
    <cellStyle name="Normal 61 2 3 5 2 2 2 2 3 2 2" xfId="0"/>
    <cellStyle name="Normal 61 2 3 5 2 2 2 2 3 3" xfId="0"/>
    <cellStyle name="Normal 61 2 3 5 2 2 2 2 4" xfId="0"/>
    <cellStyle name="Normal 61 2 3 5 2 2 2 2 4 2" xfId="0"/>
    <cellStyle name="Normal 61 2 3 5 2 2 2 2 5" xfId="0"/>
    <cellStyle name="Normal 61 2 3 5 2 2 2 3" xfId="0"/>
    <cellStyle name="Normal 61 2 3 5 2 2 2 3 2" xfId="0"/>
    <cellStyle name="Normal 61 2 3 5 2 2 2 3 2 2" xfId="0"/>
    <cellStyle name="Normal 61 2 3 5 2 2 2 3 3" xfId="0"/>
    <cellStyle name="Normal 61 2 3 5 2 2 2 4" xfId="0"/>
    <cellStyle name="Normal 61 2 3 5 2 2 2 4 2" xfId="0"/>
    <cellStyle name="Normal 61 2 3 5 2 2 2 4 2 2" xfId="0"/>
    <cellStyle name="Normal 61 2 3 5 2 2 2 4 3" xfId="0"/>
    <cellStyle name="Normal 61 2 3 5 2 2 2 5" xfId="0"/>
    <cellStyle name="Normal 61 2 3 5 2 2 2 5 2" xfId="0"/>
    <cellStyle name="Normal 61 2 3 5 2 2 2 6" xfId="0"/>
    <cellStyle name="Normal 61 2 3 5 2 2 3" xfId="0"/>
    <cellStyle name="Normal 61 2 3 5 2 2 3 2" xfId="0"/>
    <cellStyle name="Normal 61 2 3 5 2 2 3 2 2" xfId="0"/>
    <cellStyle name="Normal 61 2 3 5 2 2 3 2 2 2" xfId="0"/>
    <cellStyle name="Normal 61 2 3 5 2 2 3 2 3" xfId="0"/>
    <cellStyle name="Normal 61 2 3 5 2 2 3 3" xfId="0"/>
    <cellStyle name="Normal 61 2 3 5 2 2 3 3 2" xfId="0"/>
    <cellStyle name="Normal 61 2 3 5 2 2 3 3 2 2" xfId="0"/>
    <cellStyle name="Normal 61 2 3 5 2 2 3 3 3" xfId="0"/>
    <cellStyle name="Normal 61 2 3 5 2 2 3 4" xfId="0"/>
    <cellStyle name="Normal 61 2 3 5 2 2 3 4 2" xfId="0"/>
    <cellStyle name="Normal 61 2 3 5 2 2 3 5" xfId="0"/>
    <cellStyle name="Normal 61 2 3 5 2 2 4" xfId="0"/>
    <cellStyle name="Normal 61 2 3 5 2 2 4 2" xfId="0"/>
    <cellStyle name="Normal 61 2 3 5 2 2 4 2 2" xfId="0"/>
    <cellStyle name="Normal 61 2 3 5 2 2 4 3" xfId="0"/>
    <cellStyle name="Normal 61 2 3 5 2 2 5" xfId="0"/>
    <cellStyle name="Normal 61 2 3 5 2 2 5 2" xfId="0"/>
    <cellStyle name="Normal 61 2 3 5 2 2 5 2 2" xfId="0"/>
    <cellStyle name="Normal 61 2 3 5 2 2 5 3" xfId="0"/>
    <cellStyle name="Normal 61 2 3 5 2 2 6" xfId="0"/>
    <cellStyle name="Normal 61 2 3 5 2 2 6 2" xfId="0"/>
    <cellStyle name="Normal 61 2 3 5 2 2 7" xfId="0"/>
    <cellStyle name="Normal 61 2 3 5 2 3" xfId="0"/>
    <cellStyle name="Normal 61 2 3 5 2 3 2" xfId="0"/>
    <cellStyle name="Normal 61 2 3 5 2 3 2 2" xfId="0"/>
    <cellStyle name="Normal 61 2 3 5 2 3 2 2 2" xfId="0"/>
    <cellStyle name="Normal 61 2 3 5 2 3 2 2 2 2" xfId="0"/>
    <cellStyle name="Normal 61 2 3 5 2 3 2 2 3" xfId="0"/>
    <cellStyle name="Normal 61 2 3 5 2 3 2 3" xfId="0"/>
    <cellStyle name="Normal 61 2 3 5 2 3 2 3 2" xfId="0"/>
    <cellStyle name="Normal 61 2 3 5 2 3 2 3 2 2" xfId="0"/>
    <cellStyle name="Normal 61 2 3 5 2 3 2 3 3" xfId="0"/>
    <cellStyle name="Normal 61 2 3 5 2 3 2 4" xfId="0"/>
    <cellStyle name="Normal 61 2 3 5 2 3 2 4 2" xfId="0"/>
    <cellStyle name="Normal 61 2 3 5 2 3 2 5" xfId="0"/>
    <cellStyle name="Normal 61 2 3 5 2 3 3" xfId="0"/>
    <cellStyle name="Normal 61 2 3 5 2 3 3 2" xfId="0"/>
    <cellStyle name="Normal 61 2 3 5 2 3 3 2 2" xfId="0"/>
    <cellStyle name="Normal 61 2 3 5 2 3 3 3" xfId="0"/>
    <cellStyle name="Normal 61 2 3 5 2 3 4" xfId="0"/>
    <cellStyle name="Normal 61 2 3 5 2 3 4 2" xfId="0"/>
    <cellStyle name="Normal 61 2 3 5 2 3 4 2 2" xfId="0"/>
    <cellStyle name="Normal 61 2 3 5 2 3 4 3" xfId="0"/>
    <cellStyle name="Normal 61 2 3 5 2 3 5" xfId="0"/>
    <cellStyle name="Normal 61 2 3 5 2 3 5 2" xfId="0"/>
    <cellStyle name="Normal 61 2 3 5 2 3 6" xfId="0"/>
    <cellStyle name="Normal 61 2 3 5 2 4" xfId="0"/>
    <cellStyle name="Normal 61 2 3 5 2 4 2" xfId="0"/>
    <cellStyle name="Normal 61 2 3 5 2 4 2 2" xfId="0"/>
    <cellStyle name="Normal 61 2 3 5 2 4 2 2 2" xfId="0"/>
    <cellStyle name="Normal 61 2 3 5 2 4 2 3" xfId="0"/>
    <cellStyle name="Normal 61 2 3 5 2 4 3" xfId="0"/>
    <cellStyle name="Normal 61 2 3 5 2 4 3 2" xfId="0"/>
    <cellStyle name="Normal 61 2 3 5 2 4 3 2 2" xfId="0"/>
    <cellStyle name="Normal 61 2 3 5 2 4 3 3" xfId="0"/>
    <cellStyle name="Normal 61 2 3 5 2 4 4" xfId="0"/>
    <cellStyle name="Normal 61 2 3 5 2 4 4 2" xfId="0"/>
    <cellStyle name="Normal 61 2 3 5 2 4 5" xfId="0"/>
    <cellStyle name="Normal 61 2 3 5 2 5" xfId="0"/>
    <cellStyle name="Normal 61 2 3 5 2 5 2" xfId="0"/>
    <cellStyle name="Normal 61 2 3 5 2 5 2 2" xfId="0"/>
    <cellStyle name="Normal 61 2 3 5 2 5 3" xfId="0"/>
    <cellStyle name="Normal 61 2 3 5 2 6" xfId="0"/>
    <cellStyle name="Normal 61 2 3 5 2 6 2" xfId="0"/>
    <cellStyle name="Normal 61 2 3 5 2 6 2 2" xfId="0"/>
    <cellStyle name="Normal 61 2 3 5 2 6 3" xfId="0"/>
    <cellStyle name="Normal 61 2 3 5 2 7" xfId="0"/>
    <cellStyle name="Normal 61 2 3 5 2 7 2" xfId="0"/>
    <cellStyle name="Normal 61 2 3 5 2 8" xfId="0"/>
    <cellStyle name="Normal 61 2 3 5 3" xfId="0"/>
    <cellStyle name="Normal 61 2 3 5 3 2" xfId="0"/>
    <cellStyle name="Normal 61 2 3 5 3 2 2" xfId="0"/>
    <cellStyle name="Normal 61 2 3 5 3 2 2 2" xfId="0"/>
    <cellStyle name="Normal 61 2 3 5 3 2 2 2 2" xfId="0"/>
    <cellStyle name="Normal 61 2 3 5 3 2 2 2 2 2" xfId="0"/>
    <cellStyle name="Normal 61 2 3 5 3 2 2 2 3" xfId="0"/>
    <cellStyle name="Normal 61 2 3 5 3 2 2 3" xfId="0"/>
    <cellStyle name="Normal 61 2 3 5 3 2 2 3 2" xfId="0"/>
    <cellStyle name="Normal 61 2 3 5 3 2 2 3 2 2" xfId="0"/>
    <cellStyle name="Normal 61 2 3 5 3 2 2 3 3" xfId="0"/>
    <cellStyle name="Normal 61 2 3 5 3 2 2 4" xfId="0"/>
    <cellStyle name="Normal 61 2 3 5 3 2 2 4 2" xfId="0"/>
    <cellStyle name="Normal 61 2 3 5 3 2 2 5" xfId="0"/>
    <cellStyle name="Normal 61 2 3 5 3 2 3" xfId="0"/>
    <cellStyle name="Normal 61 2 3 5 3 2 3 2" xfId="0"/>
    <cellStyle name="Normal 61 2 3 5 3 2 3 2 2" xfId="0"/>
    <cellStyle name="Normal 61 2 3 5 3 2 3 3" xfId="0"/>
    <cellStyle name="Normal 61 2 3 5 3 2 4" xfId="0"/>
    <cellStyle name="Normal 61 2 3 5 3 2 4 2" xfId="0"/>
    <cellStyle name="Normal 61 2 3 5 3 2 4 2 2" xfId="0"/>
    <cellStyle name="Normal 61 2 3 5 3 2 4 3" xfId="0"/>
    <cellStyle name="Normal 61 2 3 5 3 2 5" xfId="0"/>
    <cellStyle name="Normal 61 2 3 5 3 2 5 2" xfId="0"/>
    <cellStyle name="Normal 61 2 3 5 3 2 6" xfId="0"/>
    <cellStyle name="Normal 61 2 3 5 3 3" xfId="0"/>
    <cellStyle name="Normal 61 2 3 5 3 3 2" xfId="0"/>
    <cellStyle name="Normal 61 2 3 5 3 3 2 2" xfId="0"/>
    <cellStyle name="Normal 61 2 3 5 3 3 2 2 2" xfId="0"/>
    <cellStyle name="Normal 61 2 3 5 3 3 2 3" xfId="0"/>
    <cellStyle name="Normal 61 2 3 5 3 3 3" xfId="0"/>
    <cellStyle name="Normal 61 2 3 5 3 3 3 2" xfId="0"/>
    <cellStyle name="Normal 61 2 3 5 3 3 3 2 2" xfId="0"/>
    <cellStyle name="Normal 61 2 3 5 3 3 3 3" xfId="0"/>
    <cellStyle name="Normal 61 2 3 5 3 3 4" xfId="0"/>
    <cellStyle name="Normal 61 2 3 5 3 3 4 2" xfId="0"/>
    <cellStyle name="Normal 61 2 3 5 3 3 5" xfId="0"/>
    <cellStyle name="Normal 61 2 3 5 3 4" xfId="0"/>
    <cellStyle name="Normal 61 2 3 5 3 4 2" xfId="0"/>
    <cellStyle name="Normal 61 2 3 5 3 4 2 2" xfId="0"/>
    <cellStyle name="Normal 61 2 3 5 3 4 3" xfId="0"/>
    <cellStyle name="Normal 61 2 3 5 3 5" xfId="0"/>
    <cellStyle name="Normal 61 2 3 5 3 5 2" xfId="0"/>
    <cellStyle name="Normal 61 2 3 5 3 5 2 2" xfId="0"/>
    <cellStyle name="Normal 61 2 3 5 3 5 3" xfId="0"/>
    <cellStyle name="Normal 61 2 3 5 3 6" xfId="0"/>
    <cellStyle name="Normal 61 2 3 5 3 6 2" xfId="0"/>
    <cellStyle name="Normal 61 2 3 5 3 7" xfId="0"/>
    <cellStyle name="Normal 61 2 3 5 4" xfId="0"/>
    <cellStyle name="Normal 61 2 3 5 4 2" xfId="0"/>
    <cellStyle name="Normal 61 2 3 5 4 2 2" xfId="0"/>
    <cellStyle name="Normal 61 2 3 5 4 2 2 2" xfId="0"/>
    <cellStyle name="Normal 61 2 3 5 4 2 2 2 2" xfId="0"/>
    <cellStyle name="Normal 61 2 3 5 4 2 2 3" xfId="0"/>
    <cellStyle name="Normal 61 2 3 5 4 2 3" xfId="0"/>
    <cellStyle name="Normal 61 2 3 5 4 2 3 2" xfId="0"/>
    <cellStyle name="Normal 61 2 3 5 4 2 3 2 2" xfId="0"/>
    <cellStyle name="Normal 61 2 3 5 4 2 3 3" xfId="0"/>
    <cellStyle name="Normal 61 2 3 5 4 2 4" xfId="0"/>
    <cellStyle name="Normal 61 2 3 5 4 2 4 2" xfId="0"/>
    <cellStyle name="Normal 61 2 3 5 4 2 5" xfId="0"/>
    <cellStyle name="Normal 61 2 3 5 4 3" xfId="0"/>
    <cellStyle name="Normal 61 2 3 5 4 3 2" xfId="0"/>
    <cellStyle name="Normal 61 2 3 5 4 3 2 2" xfId="0"/>
    <cellStyle name="Normal 61 2 3 5 4 3 3" xfId="0"/>
    <cellStyle name="Normal 61 2 3 5 4 4" xfId="0"/>
    <cellStyle name="Normal 61 2 3 5 4 4 2" xfId="0"/>
    <cellStyle name="Normal 61 2 3 5 4 4 2 2" xfId="0"/>
    <cellStyle name="Normal 61 2 3 5 4 4 3" xfId="0"/>
    <cellStyle name="Normal 61 2 3 5 4 5" xfId="0"/>
    <cellStyle name="Normal 61 2 3 5 4 5 2" xfId="0"/>
    <cellStyle name="Normal 61 2 3 5 4 6" xfId="0"/>
    <cellStyle name="Normal 61 2 3 5 5" xfId="0"/>
    <cellStyle name="Normal 61 2 3 5 5 2" xfId="0"/>
    <cellStyle name="Normal 61 2 3 5 5 2 2" xfId="0"/>
    <cellStyle name="Normal 61 2 3 5 5 2 2 2" xfId="0"/>
    <cellStyle name="Normal 61 2 3 5 5 2 3" xfId="0"/>
    <cellStyle name="Normal 61 2 3 5 5 3" xfId="0"/>
    <cellStyle name="Normal 61 2 3 5 5 3 2" xfId="0"/>
    <cellStyle name="Normal 61 2 3 5 5 3 2 2" xfId="0"/>
    <cellStyle name="Normal 61 2 3 5 5 3 3" xfId="0"/>
    <cellStyle name="Normal 61 2 3 5 5 4" xfId="0"/>
    <cellStyle name="Normal 61 2 3 5 5 4 2" xfId="0"/>
    <cellStyle name="Normal 61 2 3 5 5 5" xfId="0"/>
    <cellStyle name="Normal 61 2 3 5 6" xfId="0"/>
    <cellStyle name="Normal 61 2 3 5 6 2" xfId="0"/>
    <cellStyle name="Normal 61 2 3 5 6 2 2" xfId="0"/>
    <cellStyle name="Normal 61 2 3 5 6 3" xfId="0"/>
    <cellStyle name="Normal 61 2 3 5 7" xfId="0"/>
    <cellStyle name="Normal 61 2 3 5 7 2" xfId="0"/>
    <cellStyle name="Normal 61 2 3 5 7 2 2" xfId="0"/>
    <cellStyle name="Normal 61 2 3 5 7 3" xfId="0"/>
    <cellStyle name="Normal 61 2 3 5 8" xfId="0"/>
    <cellStyle name="Normal 61 2 3 5 8 2" xfId="0"/>
    <cellStyle name="Normal 61 2 3 5 9" xfId="0"/>
    <cellStyle name="Normal 61 2 3 6" xfId="0"/>
    <cellStyle name="Normal 61 2 3 6 2" xfId="0"/>
    <cellStyle name="Normal 61 2 3 6 2 2" xfId="0"/>
    <cellStyle name="Normal 61 2 3 6 2 2 2" xfId="0"/>
    <cellStyle name="Normal 61 2 3 6 2 2 2 2" xfId="0"/>
    <cellStyle name="Normal 61 2 3 6 2 2 2 2 2" xfId="0"/>
    <cellStyle name="Normal 61 2 3 6 2 2 2 2 2 2" xfId="0"/>
    <cellStyle name="Normal 61 2 3 6 2 2 2 2 3" xfId="0"/>
    <cellStyle name="Normal 61 2 3 6 2 2 2 3" xfId="0"/>
    <cellStyle name="Normal 61 2 3 6 2 2 2 3 2" xfId="0"/>
    <cellStyle name="Normal 61 2 3 6 2 2 2 3 2 2" xfId="0"/>
    <cellStyle name="Normal 61 2 3 6 2 2 2 3 3" xfId="0"/>
    <cellStyle name="Normal 61 2 3 6 2 2 2 4" xfId="0"/>
    <cellStyle name="Normal 61 2 3 6 2 2 2 4 2" xfId="0"/>
    <cellStyle name="Normal 61 2 3 6 2 2 2 5" xfId="0"/>
    <cellStyle name="Normal 61 2 3 6 2 2 3" xfId="0"/>
    <cellStyle name="Normal 61 2 3 6 2 2 3 2" xfId="0"/>
    <cellStyle name="Normal 61 2 3 6 2 2 3 2 2" xfId="0"/>
    <cellStyle name="Normal 61 2 3 6 2 2 3 3" xfId="0"/>
    <cellStyle name="Normal 61 2 3 6 2 2 4" xfId="0"/>
    <cellStyle name="Normal 61 2 3 6 2 2 4 2" xfId="0"/>
    <cellStyle name="Normal 61 2 3 6 2 2 4 2 2" xfId="0"/>
    <cellStyle name="Normal 61 2 3 6 2 2 4 3" xfId="0"/>
    <cellStyle name="Normal 61 2 3 6 2 2 5" xfId="0"/>
    <cellStyle name="Normal 61 2 3 6 2 2 5 2" xfId="0"/>
    <cellStyle name="Normal 61 2 3 6 2 2 6" xfId="0"/>
    <cellStyle name="Normal 61 2 3 6 2 3" xfId="0"/>
    <cellStyle name="Normal 61 2 3 6 2 3 2" xfId="0"/>
    <cellStyle name="Normal 61 2 3 6 2 3 2 2" xfId="0"/>
    <cellStyle name="Normal 61 2 3 6 2 3 2 2 2" xfId="0"/>
    <cellStyle name="Normal 61 2 3 6 2 3 2 3" xfId="0"/>
    <cellStyle name="Normal 61 2 3 6 2 3 3" xfId="0"/>
    <cellStyle name="Normal 61 2 3 6 2 3 3 2" xfId="0"/>
    <cellStyle name="Normal 61 2 3 6 2 3 3 2 2" xfId="0"/>
    <cellStyle name="Normal 61 2 3 6 2 3 3 3" xfId="0"/>
    <cellStyle name="Normal 61 2 3 6 2 3 4" xfId="0"/>
    <cellStyle name="Normal 61 2 3 6 2 3 4 2" xfId="0"/>
    <cellStyle name="Normal 61 2 3 6 2 3 5" xfId="0"/>
    <cellStyle name="Normal 61 2 3 6 2 4" xfId="0"/>
    <cellStyle name="Normal 61 2 3 6 2 4 2" xfId="0"/>
    <cellStyle name="Normal 61 2 3 6 2 4 2 2" xfId="0"/>
    <cellStyle name="Normal 61 2 3 6 2 4 3" xfId="0"/>
    <cellStyle name="Normal 61 2 3 6 2 5" xfId="0"/>
    <cellStyle name="Normal 61 2 3 6 2 5 2" xfId="0"/>
    <cellStyle name="Normal 61 2 3 6 2 5 2 2" xfId="0"/>
    <cellStyle name="Normal 61 2 3 6 2 5 3" xfId="0"/>
    <cellStyle name="Normal 61 2 3 6 2 6" xfId="0"/>
    <cellStyle name="Normal 61 2 3 6 2 6 2" xfId="0"/>
    <cellStyle name="Normal 61 2 3 6 2 7" xfId="0"/>
    <cellStyle name="Normal 61 2 3 6 3" xfId="0"/>
    <cellStyle name="Normal 61 2 3 6 3 2" xfId="0"/>
    <cellStyle name="Normal 61 2 3 6 3 2 2" xfId="0"/>
    <cellStyle name="Normal 61 2 3 6 3 2 2 2" xfId="0"/>
    <cellStyle name="Normal 61 2 3 6 3 2 2 2 2" xfId="0"/>
    <cellStyle name="Normal 61 2 3 6 3 2 2 3" xfId="0"/>
    <cellStyle name="Normal 61 2 3 6 3 2 3" xfId="0"/>
    <cellStyle name="Normal 61 2 3 6 3 2 3 2" xfId="0"/>
    <cellStyle name="Normal 61 2 3 6 3 2 3 2 2" xfId="0"/>
    <cellStyle name="Normal 61 2 3 6 3 2 3 3" xfId="0"/>
    <cellStyle name="Normal 61 2 3 6 3 2 4" xfId="0"/>
    <cellStyle name="Normal 61 2 3 6 3 2 4 2" xfId="0"/>
    <cellStyle name="Normal 61 2 3 6 3 2 5" xfId="0"/>
    <cellStyle name="Normal 61 2 3 6 3 3" xfId="0"/>
    <cellStyle name="Normal 61 2 3 6 3 3 2" xfId="0"/>
    <cellStyle name="Normal 61 2 3 6 3 3 2 2" xfId="0"/>
    <cellStyle name="Normal 61 2 3 6 3 3 3" xfId="0"/>
    <cellStyle name="Normal 61 2 3 6 3 4" xfId="0"/>
    <cellStyle name="Normal 61 2 3 6 3 4 2" xfId="0"/>
    <cellStyle name="Normal 61 2 3 6 3 4 2 2" xfId="0"/>
    <cellStyle name="Normal 61 2 3 6 3 4 3" xfId="0"/>
    <cellStyle name="Normal 61 2 3 6 3 5" xfId="0"/>
    <cellStyle name="Normal 61 2 3 6 3 5 2" xfId="0"/>
    <cellStyle name="Normal 61 2 3 6 3 6" xfId="0"/>
    <cellStyle name="Normal 61 2 3 6 4" xfId="0"/>
    <cellStyle name="Normal 61 2 3 6 4 2" xfId="0"/>
    <cellStyle name="Normal 61 2 3 6 4 2 2" xfId="0"/>
    <cellStyle name="Normal 61 2 3 6 4 2 2 2" xfId="0"/>
    <cellStyle name="Normal 61 2 3 6 4 2 3" xfId="0"/>
    <cellStyle name="Normal 61 2 3 6 4 3" xfId="0"/>
    <cellStyle name="Normal 61 2 3 6 4 3 2" xfId="0"/>
    <cellStyle name="Normal 61 2 3 6 4 3 2 2" xfId="0"/>
    <cellStyle name="Normal 61 2 3 6 4 3 3" xfId="0"/>
    <cellStyle name="Normal 61 2 3 6 4 4" xfId="0"/>
    <cellStyle name="Normal 61 2 3 6 4 4 2" xfId="0"/>
    <cellStyle name="Normal 61 2 3 6 4 5" xfId="0"/>
    <cellStyle name="Normal 61 2 3 6 5" xfId="0"/>
    <cellStyle name="Normal 61 2 3 6 5 2" xfId="0"/>
    <cellStyle name="Normal 61 2 3 6 5 2 2" xfId="0"/>
    <cellStyle name="Normal 61 2 3 6 5 3" xfId="0"/>
    <cellStyle name="Normal 61 2 3 6 6" xfId="0"/>
    <cellStyle name="Normal 61 2 3 6 6 2" xfId="0"/>
    <cellStyle name="Normal 61 2 3 6 6 2 2" xfId="0"/>
    <cellStyle name="Normal 61 2 3 6 6 3" xfId="0"/>
    <cellStyle name="Normal 61 2 3 6 7" xfId="0"/>
    <cellStyle name="Normal 61 2 3 6 7 2" xfId="0"/>
    <cellStyle name="Normal 61 2 3 6 8" xfId="0"/>
    <cellStyle name="Normal 61 2 3 7" xfId="0"/>
    <cellStyle name="Normal 61 2 3 7 2" xfId="0"/>
    <cellStyle name="Normal 61 2 3 7 2 2" xfId="0"/>
    <cellStyle name="Normal 61 2 3 7 2 2 2" xfId="0"/>
    <cellStyle name="Normal 61 2 3 7 2 2 2 2" xfId="0"/>
    <cellStyle name="Normal 61 2 3 7 2 2 2 2 2" xfId="0"/>
    <cellStyle name="Normal 61 2 3 7 2 2 2 3" xfId="0"/>
    <cellStyle name="Normal 61 2 3 7 2 2 3" xfId="0"/>
    <cellStyle name="Normal 61 2 3 7 2 2 3 2" xfId="0"/>
    <cellStyle name="Normal 61 2 3 7 2 2 3 2 2" xfId="0"/>
    <cellStyle name="Normal 61 2 3 7 2 2 3 3" xfId="0"/>
    <cellStyle name="Normal 61 2 3 7 2 2 4" xfId="0"/>
    <cellStyle name="Normal 61 2 3 7 2 2 4 2" xfId="0"/>
    <cellStyle name="Normal 61 2 3 7 2 2 5" xfId="0"/>
    <cellStyle name="Normal 61 2 3 7 2 3" xfId="0"/>
    <cellStyle name="Normal 61 2 3 7 2 3 2" xfId="0"/>
    <cellStyle name="Normal 61 2 3 7 2 3 2 2" xfId="0"/>
    <cellStyle name="Normal 61 2 3 7 2 3 3" xfId="0"/>
    <cellStyle name="Normal 61 2 3 7 2 4" xfId="0"/>
    <cellStyle name="Normal 61 2 3 7 2 4 2" xfId="0"/>
    <cellStyle name="Normal 61 2 3 7 2 4 2 2" xfId="0"/>
    <cellStyle name="Normal 61 2 3 7 2 4 3" xfId="0"/>
    <cellStyle name="Normal 61 2 3 7 2 5" xfId="0"/>
    <cellStyle name="Normal 61 2 3 7 2 5 2" xfId="0"/>
    <cellStyle name="Normal 61 2 3 7 2 6" xfId="0"/>
    <cellStyle name="Normal 61 2 3 7 3" xfId="0"/>
    <cellStyle name="Normal 61 2 3 7 3 2" xfId="0"/>
    <cellStyle name="Normal 61 2 3 7 3 2 2" xfId="0"/>
    <cellStyle name="Normal 61 2 3 7 3 2 2 2" xfId="0"/>
    <cellStyle name="Normal 61 2 3 7 3 2 3" xfId="0"/>
    <cellStyle name="Normal 61 2 3 7 3 3" xfId="0"/>
    <cellStyle name="Normal 61 2 3 7 3 3 2" xfId="0"/>
    <cellStyle name="Normal 61 2 3 7 3 3 2 2" xfId="0"/>
    <cellStyle name="Normal 61 2 3 7 3 3 3" xfId="0"/>
    <cellStyle name="Normal 61 2 3 7 3 4" xfId="0"/>
    <cellStyle name="Normal 61 2 3 7 3 4 2" xfId="0"/>
    <cellStyle name="Normal 61 2 3 7 3 5" xfId="0"/>
    <cellStyle name="Normal 61 2 3 7 4" xfId="0"/>
    <cellStyle name="Normal 61 2 3 7 4 2" xfId="0"/>
    <cellStyle name="Normal 61 2 3 7 4 2 2" xfId="0"/>
    <cellStyle name="Normal 61 2 3 7 4 3" xfId="0"/>
    <cellStyle name="Normal 61 2 3 7 5" xfId="0"/>
    <cellStyle name="Normal 61 2 3 7 5 2" xfId="0"/>
    <cellStyle name="Normal 61 2 3 7 5 2 2" xfId="0"/>
    <cellStyle name="Normal 61 2 3 7 5 3" xfId="0"/>
    <cellStyle name="Normal 61 2 3 7 6" xfId="0"/>
    <cellStyle name="Normal 61 2 3 7 6 2" xfId="0"/>
    <cellStyle name="Normal 61 2 3 7 7" xfId="0"/>
    <cellStyle name="Normal 61 2 3 8" xfId="0"/>
    <cellStyle name="Normal 61 2 3 8 2" xfId="0"/>
    <cellStyle name="Normal 61 2 3 8 2 2" xfId="0"/>
    <cellStyle name="Normal 61 2 3 8 2 2 2" xfId="0"/>
    <cellStyle name="Normal 61 2 3 8 2 2 2 2" xfId="0"/>
    <cellStyle name="Normal 61 2 3 8 2 2 3" xfId="0"/>
    <cellStyle name="Normal 61 2 3 8 2 3" xfId="0"/>
    <cellStyle name="Normal 61 2 3 8 2 3 2" xfId="0"/>
    <cellStyle name="Normal 61 2 3 8 2 3 2 2" xfId="0"/>
    <cellStyle name="Normal 61 2 3 8 2 3 3" xfId="0"/>
    <cellStyle name="Normal 61 2 3 8 2 4" xfId="0"/>
    <cellStyle name="Normal 61 2 3 8 2 4 2" xfId="0"/>
    <cellStyle name="Normal 61 2 3 8 2 5" xfId="0"/>
    <cellStyle name="Normal 61 2 3 8 3" xfId="0"/>
    <cellStyle name="Normal 61 2 3 8 3 2" xfId="0"/>
    <cellStyle name="Normal 61 2 3 8 3 2 2" xfId="0"/>
    <cellStyle name="Normal 61 2 3 8 3 3" xfId="0"/>
    <cellStyle name="Normal 61 2 3 8 4" xfId="0"/>
    <cellStyle name="Normal 61 2 3 8 4 2" xfId="0"/>
    <cellStyle name="Normal 61 2 3 8 4 2 2" xfId="0"/>
    <cellStyle name="Normal 61 2 3 8 4 3" xfId="0"/>
    <cellStyle name="Normal 61 2 3 8 5" xfId="0"/>
    <cellStyle name="Normal 61 2 3 8 5 2" xfId="0"/>
    <cellStyle name="Normal 61 2 3 8 6" xfId="0"/>
    <cellStyle name="Normal 61 2 3 9" xfId="0"/>
    <cellStyle name="Normal 61 2 3 9 2" xfId="0"/>
    <cellStyle name="Normal 61 2 3 9 2 2" xfId="0"/>
    <cellStyle name="Normal 61 2 3 9 2 2 2" xfId="0"/>
    <cellStyle name="Normal 61 2 3 9 2 3" xfId="0"/>
    <cellStyle name="Normal 61 2 3 9 3" xfId="0"/>
    <cellStyle name="Normal 61 2 3 9 3 2" xfId="0"/>
    <cellStyle name="Normal 61 2 3 9 3 2 2" xfId="0"/>
    <cellStyle name="Normal 61 2 3 9 3 3" xfId="0"/>
    <cellStyle name="Normal 61 2 3 9 4" xfId="0"/>
    <cellStyle name="Normal 61 2 3 9 4 2" xfId="0"/>
    <cellStyle name="Normal 61 2 3 9 5" xfId="0"/>
    <cellStyle name="Normal 61 2 4" xfId="0"/>
    <cellStyle name="Normal 61 2 4 10" xfId="0"/>
    <cellStyle name="Normal 61 2 4 10 2" xfId="0"/>
    <cellStyle name="Normal 61 2 4 10 2 2" xfId="0"/>
    <cellStyle name="Normal 61 2 4 10 3" xfId="0"/>
    <cellStyle name="Normal 61 2 4 11" xfId="0"/>
    <cellStyle name="Normal 61 2 4 11 2" xfId="0"/>
    <cellStyle name="Normal 61 2 4 11 2 2" xfId="0"/>
    <cellStyle name="Normal 61 2 4 11 3" xfId="0"/>
    <cellStyle name="Normal 61 2 4 12" xfId="0"/>
    <cellStyle name="Normal 61 2 4 12 2" xfId="0"/>
    <cellStyle name="Normal 61 2 4 13" xfId="0"/>
    <cellStyle name="Normal 61 2 4 2" xfId="0"/>
    <cellStyle name="Normal 61 2 4 2 10" xfId="0"/>
    <cellStyle name="Normal 61 2 4 2 10 2" xfId="0"/>
    <cellStyle name="Normal 61 2 4 2 10 2 2" xfId="0"/>
    <cellStyle name="Normal 61 2 4 2 10 3" xfId="0"/>
    <cellStyle name="Normal 61 2 4 2 11" xfId="0"/>
    <cellStyle name="Normal 61 2 4 2 11 2" xfId="0"/>
    <cellStyle name="Normal 61 2 4 2 12" xfId="0"/>
    <cellStyle name="Normal 61 2 4 2 2" xfId="0"/>
    <cellStyle name="Normal 61 2 4 2 2 10" xfId="0"/>
    <cellStyle name="Normal 61 2 4 2 2 2" xfId="0"/>
    <cellStyle name="Normal 61 2 4 2 2 2 2" xfId="0"/>
    <cellStyle name="Normal 61 2 4 2 2 2 2 2" xfId="0"/>
    <cellStyle name="Normal 61 2 4 2 2 2 2 2 2" xfId="0"/>
    <cellStyle name="Normal 61 2 4 2 2 2 2 2 2 2" xfId="0"/>
    <cellStyle name="Normal 61 2 4 2 2 2 2 2 2 2 2" xfId="0"/>
    <cellStyle name="Normal 61 2 4 2 2 2 2 2 2 2 2 2" xfId="0"/>
    <cellStyle name="Normal 61 2 4 2 2 2 2 2 2 2 2 2 2" xfId="0"/>
    <cellStyle name="Normal 61 2 4 2 2 2 2 2 2 2 2 3" xfId="0"/>
    <cellStyle name="Normal 61 2 4 2 2 2 2 2 2 2 3" xfId="0"/>
    <cellStyle name="Normal 61 2 4 2 2 2 2 2 2 2 3 2" xfId="0"/>
    <cellStyle name="Normal 61 2 4 2 2 2 2 2 2 2 3 2 2" xfId="0"/>
    <cellStyle name="Normal 61 2 4 2 2 2 2 2 2 2 3 3" xfId="0"/>
    <cellStyle name="Normal 61 2 4 2 2 2 2 2 2 2 4" xfId="0"/>
    <cellStyle name="Normal 61 2 4 2 2 2 2 2 2 2 4 2" xfId="0"/>
    <cellStyle name="Normal 61 2 4 2 2 2 2 2 2 2 5" xfId="0"/>
    <cellStyle name="Normal 61 2 4 2 2 2 2 2 2 3" xfId="0"/>
    <cellStyle name="Normal 61 2 4 2 2 2 2 2 2 3 2" xfId="0"/>
    <cellStyle name="Normal 61 2 4 2 2 2 2 2 2 3 2 2" xfId="0"/>
    <cellStyle name="Normal 61 2 4 2 2 2 2 2 2 3 3" xfId="0"/>
    <cellStyle name="Normal 61 2 4 2 2 2 2 2 2 4" xfId="0"/>
    <cellStyle name="Normal 61 2 4 2 2 2 2 2 2 4 2" xfId="0"/>
    <cellStyle name="Normal 61 2 4 2 2 2 2 2 2 4 2 2" xfId="0"/>
    <cellStyle name="Normal 61 2 4 2 2 2 2 2 2 4 3" xfId="0"/>
    <cellStyle name="Normal 61 2 4 2 2 2 2 2 2 5" xfId="0"/>
    <cellStyle name="Normal 61 2 4 2 2 2 2 2 2 5 2" xfId="0"/>
    <cellStyle name="Normal 61 2 4 2 2 2 2 2 2 6" xfId="0"/>
    <cellStyle name="Normal 61 2 4 2 2 2 2 2 3" xfId="0"/>
    <cellStyle name="Normal 61 2 4 2 2 2 2 2 3 2" xfId="0"/>
    <cellStyle name="Normal 61 2 4 2 2 2 2 2 3 2 2" xfId="0"/>
    <cellStyle name="Normal 61 2 4 2 2 2 2 2 3 2 2 2" xfId="0"/>
    <cellStyle name="Normal 61 2 4 2 2 2 2 2 3 2 3" xfId="0"/>
    <cellStyle name="Normal 61 2 4 2 2 2 2 2 3 3" xfId="0"/>
    <cellStyle name="Normal 61 2 4 2 2 2 2 2 3 3 2" xfId="0"/>
    <cellStyle name="Normal 61 2 4 2 2 2 2 2 3 3 2 2" xfId="0"/>
    <cellStyle name="Normal 61 2 4 2 2 2 2 2 3 3 3" xfId="0"/>
    <cellStyle name="Normal 61 2 4 2 2 2 2 2 3 4" xfId="0"/>
    <cellStyle name="Normal 61 2 4 2 2 2 2 2 3 4 2" xfId="0"/>
    <cellStyle name="Normal 61 2 4 2 2 2 2 2 3 5" xfId="0"/>
    <cellStyle name="Normal 61 2 4 2 2 2 2 2 4" xfId="0"/>
    <cellStyle name="Normal 61 2 4 2 2 2 2 2 4 2" xfId="0"/>
    <cellStyle name="Normal 61 2 4 2 2 2 2 2 4 2 2" xfId="0"/>
    <cellStyle name="Normal 61 2 4 2 2 2 2 2 4 3" xfId="0"/>
    <cellStyle name="Normal 61 2 4 2 2 2 2 2 5" xfId="0"/>
    <cellStyle name="Normal 61 2 4 2 2 2 2 2 5 2" xfId="0"/>
    <cellStyle name="Normal 61 2 4 2 2 2 2 2 5 2 2" xfId="0"/>
    <cellStyle name="Normal 61 2 4 2 2 2 2 2 5 3" xfId="0"/>
    <cellStyle name="Normal 61 2 4 2 2 2 2 2 6" xfId="0"/>
    <cellStyle name="Normal 61 2 4 2 2 2 2 2 6 2" xfId="0"/>
    <cellStyle name="Normal 61 2 4 2 2 2 2 2 7" xfId="0"/>
    <cellStyle name="Normal 61 2 4 2 2 2 2 3" xfId="0"/>
    <cellStyle name="Normal 61 2 4 2 2 2 2 3 2" xfId="0"/>
    <cellStyle name="Normal 61 2 4 2 2 2 2 3 2 2" xfId="0"/>
    <cellStyle name="Normal 61 2 4 2 2 2 2 3 2 2 2" xfId="0"/>
    <cellStyle name="Normal 61 2 4 2 2 2 2 3 2 2 2 2" xfId="0"/>
    <cellStyle name="Normal 61 2 4 2 2 2 2 3 2 2 3" xfId="0"/>
    <cellStyle name="Normal 61 2 4 2 2 2 2 3 2 3" xfId="0"/>
    <cellStyle name="Normal 61 2 4 2 2 2 2 3 2 3 2" xfId="0"/>
    <cellStyle name="Normal 61 2 4 2 2 2 2 3 2 3 2 2" xfId="0"/>
    <cellStyle name="Normal 61 2 4 2 2 2 2 3 2 3 3" xfId="0"/>
    <cellStyle name="Normal 61 2 4 2 2 2 2 3 2 4" xfId="0"/>
    <cellStyle name="Normal 61 2 4 2 2 2 2 3 2 4 2" xfId="0"/>
    <cellStyle name="Normal 61 2 4 2 2 2 2 3 2 5" xfId="0"/>
    <cellStyle name="Normal 61 2 4 2 2 2 2 3 3" xfId="0"/>
    <cellStyle name="Normal 61 2 4 2 2 2 2 3 3 2" xfId="0"/>
    <cellStyle name="Normal 61 2 4 2 2 2 2 3 3 2 2" xfId="0"/>
    <cellStyle name="Normal 61 2 4 2 2 2 2 3 3 3" xfId="0"/>
    <cellStyle name="Normal 61 2 4 2 2 2 2 3 4" xfId="0"/>
    <cellStyle name="Normal 61 2 4 2 2 2 2 3 4 2" xfId="0"/>
    <cellStyle name="Normal 61 2 4 2 2 2 2 3 4 2 2" xfId="0"/>
    <cellStyle name="Normal 61 2 4 2 2 2 2 3 4 3" xfId="0"/>
    <cellStyle name="Normal 61 2 4 2 2 2 2 3 5" xfId="0"/>
    <cellStyle name="Normal 61 2 4 2 2 2 2 3 5 2" xfId="0"/>
    <cellStyle name="Normal 61 2 4 2 2 2 2 3 6" xfId="0"/>
    <cellStyle name="Normal 61 2 4 2 2 2 2 4" xfId="0"/>
    <cellStyle name="Normal 61 2 4 2 2 2 2 4 2" xfId="0"/>
    <cellStyle name="Normal 61 2 4 2 2 2 2 4 2 2" xfId="0"/>
    <cellStyle name="Normal 61 2 4 2 2 2 2 4 2 2 2" xfId="0"/>
    <cellStyle name="Normal 61 2 4 2 2 2 2 4 2 3" xfId="0"/>
    <cellStyle name="Normal 61 2 4 2 2 2 2 4 3" xfId="0"/>
    <cellStyle name="Normal 61 2 4 2 2 2 2 4 3 2" xfId="0"/>
    <cellStyle name="Normal 61 2 4 2 2 2 2 4 3 2 2" xfId="0"/>
    <cellStyle name="Normal 61 2 4 2 2 2 2 4 3 3" xfId="0"/>
    <cellStyle name="Normal 61 2 4 2 2 2 2 4 4" xfId="0"/>
    <cellStyle name="Normal 61 2 4 2 2 2 2 4 4 2" xfId="0"/>
    <cellStyle name="Normal 61 2 4 2 2 2 2 4 5" xfId="0"/>
    <cellStyle name="Normal 61 2 4 2 2 2 2 5" xfId="0"/>
    <cellStyle name="Normal 61 2 4 2 2 2 2 5 2" xfId="0"/>
    <cellStyle name="Normal 61 2 4 2 2 2 2 5 2 2" xfId="0"/>
    <cellStyle name="Normal 61 2 4 2 2 2 2 5 3" xfId="0"/>
    <cellStyle name="Normal 61 2 4 2 2 2 2 6" xfId="0"/>
    <cellStyle name="Normal 61 2 4 2 2 2 2 6 2" xfId="0"/>
    <cellStyle name="Normal 61 2 4 2 2 2 2 6 2 2" xfId="0"/>
    <cellStyle name="Normal 61 2 4 2 2 2 2 6 3" xfId="0"/>
    <cellStyle name="Normal 61 2 4 2 2 2 2 7" xfId="0"/>
    <cellStyle name="Normal 61 2 4 2 2 2 2 7 2" xfId="0"/>
    <cellStyle name="Normal 61 2 4 2 2 2 2 8" xfId="0"/>
    <cellStyle name="Normal 61 2 4 2 2 2 3" xfId="0"/>
    <cellStyle name="Normal 61 2 4 2 2 2 3 2" xfId="0"/>
    <cellStyle name="Normal 61 2 4 2 2 2 3 2 2" xfId="0"/>
    <cellStyle name="Normal 61 2 4 2 2 2 3 2 2 2" xfId="0"/>
    <cellStyle name="Normal 61 2 4 2 2 2 3 2 2 2 2" xfId="0"/>
    <cellStyle name="Normal 61 2 4 2 2 2 3 2 2 2 2 2" xfId="0"/>
    <cellStyle name="Normal 61 2 4 2 2 2 3 2 2 2 3" xfId="0"/>
    <cellStyle name="Normal 61 2 4 2 2 2 3 2 2 3" xfId="0"/>
    <cellStyle name="Normal 61 2 4 2 2 2 3 2 2 3 2" xfId="0"/>
    <cellStyle name="Normal 61 2 4 2 2 2 3 2 2 3 2 2" xfId="0"/>
    <cellStyle name="Normal 61 2 4 2 2 2 3 2 2 3 3" xfId="0"/>
    <cellStyle name="Normal 61 2 4 2 2 2 3 2 2 4" xfId="0"/>
    <cellStyle name="Normal 61 2 4 2 2 2 3 2 2 4 2" xfId="0"/>
    <cellStyle name="Normal 61 2 4 2 2 2 3 2 2 5" xfId="0"/>
    <cellStyle name="Normal 61 2 4 2 2 2 3 2 3" xfId="0"/>
    <cellStyle name="Normal 61 2 4 2 2 2 3 2 3 2" xfId="0"/>
    <cellStyle name="Normal 61 2 4 2 2 2 3 2 3 2 2" xfId="0"/>
    <cellStyle name="Normal 61 2 4 2 2 2 3 2 3 3" xfId="0"/>
    <cellStyle name="Normal 61 2 4 2 2 2 3 2 4" xfId="0"/>
    <cellStyle name="Normal 61 2 4 2 2 2 3 2 4 2" xfId="0"/>
    <cellStyle name="Normal 61 2 4 2 2 2 3 2 4 2 2" xfId="0"/>
    <cellStyle name="Normal 61 2 4 2 2 2 3 2 4 3" xfId="0"/>
    <cellStyle name="Normal 61 2 4 2 2 2 3 2 5" xfId="0"/>
    <cellStyle name="Normal 61 2 4 2 2 2 3 2 5 2" xfId="0"/>
    <cellStyle name="Normal 61 2 4 2 2 2 3 2 6" xfId="0"/>
    <cellStyle name="Normal 61 2 4 2 2 2 3 3" xfId="0"/>
    <cellStyle name="Normal 61 2 4 2 2 2 3 3 2" xfId="0"/>
    <cellStyle name="Normal 61 2 4 2 2 2 3 3 2 2" xfId="0"/>
    <cellStyle name="Normal 61 2 4 2 2 2 3 3 2 2 2" xfId="0"/>
    <cellStyle name="Normal 61 2 4 2 2 2 3 3 2 3" xfId="0"/>
    <cellStyle name="Normal 61 2 4 2 2 2 3 3 3" xfId="0"/>
    <cellStyle name="Normal 61 2 4 2 2 2 3 3 3 2" xfId="0"/>
    <cellStyle name="Normal 61 2 4 2 2 2 3 3 3 2 2" xfId="0"/>
    <cellStyle name="Normal 61 2 4 2 2 2 3 3 3 3" xfId="0"/>
    <cellStyle name="Normal 61 2 4 2 2 2 3 3 4" xfId="0"/>
    <cellStyle name="Normal 61 2 4 2 2 2 3 3 4 2" xfId="0"/>
    <cellStyle name="Normal 61 2 4 2 2 2 3 3 5" xfId="0"/>
    <cellStyle name="Normal 61 2 4 2 2 2 3 4" xfId="0"/>
    <cellStyle name="Normal 61 2 4 2 2 2 3 4 2" xfId="0"/>
    <cellStyle name="Normal 61 2 4 2 2 2 3 4 2 2" xfId="0"/>
    <cellStyle name="Normal 61 2 4 2 2 2 3 4 3" xfId="0"/>
    <cellStyle name="Normal 61 2 4 2 2 2 3 5" xfId="0"/>
    <cellStyle name="Normal 61 2 4 2 2 2 3 5 2" xfId="0"/>
    <cellStyle name="Normal 61 2 4 2 2 2 3 5 2 2" xfId="0"/>
    <cellStyle name="Normal 61 2 4 2 2 2 3 5 3" xfId="0"/>
    <cellStyle name="Normal 61 2 4 2 2 2 3 6" xfId="0"/>
    <cellStyle name="Normal 61 2 4 2 2 2 3 6 2" xfId="0"/>
    <cellStyle name="Normal 61 2 4 2 2 2 3 7" xfId="0"/>
    <cellStyle name="Normal 61 2 4 2 2 2 4" xfId="0"/>
    <cellStyle name="Normal 61 2 4 2 2 2 4 2" xfId="0"/>
    <cellStyle name="Normal 61 2 4 2 2 2 4 2 2" xfId="0"/>
    <cellStyle name="Normal 61 2 4 2 2 2 4 2 2 2" xfId="0"/>
    <cellStyle name="Normal 61 2 4 2 2 2 4 2 2 2 2" xfId="0"/>
    <cellStyle name="Normal 61 2 4 2 2 2 4 2 2 3" xfId="0"/>
    <cellStyle name="Normal 61 2 4 2 2 2 4 2 3" xfId="0"/>
    <cellStyle name="Normal 61 2 4 2 2 2 4 2 3 2" xfId="0"/>
    <cellStyle name="Normal 61 2 4 2 2 2 4 2 3 2 2" xfId="0"/>
    <cellStyle name="Normal 61 2 4 2 2 2 4 2 3 3" xfId="0"/>
    <cellStyle name="Normal 61 2 4 2 2 2 4 2 4" xfId="0"/>
    <cellStyle name="Normal 61 2 4 2 2 2 4 2 4 2" xfId="0"/>
    <cellStyle name="Normal 61 2 4 2 2 2 4 2 5" xfId="0"/>
    <cellStyle name="Normal 61 2 4 2 2 2 4 3" xfId="0"/>
    <cellStyle name="Normal 61 2 4 2 2 2 4 3 2" xfId="0"/>
    <cellStyle name="Normal 61 2 4 2 2 2 4 3 2 2" xfId="0"/>
    <cellStyle name="Normal 61 2 4 2 2 2 4 3 3" xfId="0"/>
    <cellStyle name="Normal 61 2 4 2 2 2 4 4" xfId="0"/>
    <cellStyle name="Normal 61 2 4 2 2 2 4 4 2" xfId="0"/>
    <cellStyle name="Normal 61 2 4 2 2 2 4 4 2 2" xfId="0"/>
    <cellStyle name="Normal 61 2 4 2 2 2 4 4 3" xfId="0"/>
    <cellStyle name="Normal 61 2 4 2 2 2 4 5" xfId="0"/>
    <cellStyle name="Normal 61 2 4 2 2 2 4 5 2" xfId="0"/>
    <cellStyle name="Normal 61 2 4 2 2 2 4 6" xfId="0"/>
    <cellStyle name="Normal 61 2 4 2 2 2 5" xfId="0"/>
    <cellStyle name="Normal 61 2 4 2 2 2 5 2" xfId="0"/>
    <cellStyle name="Normal 61 2 4 2 2 2 5 2 2" xfId="0"/>
    <cellStyle name="Normal 61 2 4 2 2 2 5 2 2 2" xfId="0"/>
    <cellStyle name="Normal 61 2 4 2 2 2 5 2 3" xfId="0"/>
    <cellStyle name="Normal 61 2 4 2 2 2 5 3" xfId="0"/>
    <cellStyle name="Normal 61 2 4 2 2 2 5 3 2" xfId="0"/>
    <cellStyle name="Normal 61 2 4 2 2 2 5 3 2 2" xfId="0"/>
    <cellStyle name="Normal 61 2 4 2 2 2 5 3 3" xfId="0"/>
    <cellStyle name="Normal 61 2 4 2 2 2 5 4" xfId="0"/>
    <cellStyle name="Normal 61 2 4 2 2 2 5 4 2" xfId="0"/>
    <cellStyle name="Normal 61 2 4 2 2 2 5 5" xfId="0"/>
    <cellStyle name="Normal 61 2 4 2 2 2 6" xfId="0"/>
    <cellStyle name="Normal 61 2 4 2 2 2 6 2" xfId="0"/>
    <cellStyle name="Normal 61 2 4 2 2 2 6 2 2" xfId="0"/>
    <cellStyle name="Normal 61 2 4 2 2 2 6 3" xfId="0"/>
    <cellStyle name="Normal 61 2 4 2 2 2 7" xfId="0"/>
    <cellStyle name="Normal 61 2 4 2 2 2 7 2" xfId="0"/>
    <cellStyle name="Normal 61 2 4 2 2 2 7 2 2" xfId="0"/>
    <cellStyle name="Normal 61 2 4 2 2 2 7 3" xfId="0"/>
    <cellStyle name="Normal 61 2 4 2 2 2 8" xfId="0"/>
    <cellStyle name="Normal 61 2 4 2 2 2 8 2" xfId="0"/>
    <cellStyle name="Normal 61 2 4 2 2 2 9" xfId="0"/>
    <cellStyle name="Normal 61 2 4 2 2 3" xfId="0"/>
    <cellStyle name="Normal 61 2 4 2 2 3 2" xfId="0"/>
    <cellStyle name="Normal 61 2 4 2 2 3 2 2" xfId="0"/>
    <cellStyle name="Normal 61 2 4 2 2 3 2 2 2" xfId="0"/>
    <cellStyle name="Normal 61 2 4 2 2 3 2 2 2 2" xfId="0"/>
    <cellStyle name="Normal 61 2 4 2 2 3 2 2 2 2 2" xfId="0"/>
    <cellStyle name="Normal 61 2 4 2 2 3 2 2 2 2 2 2" xfId="0"/>
    <cellStyle name="Normal 61 2 4 2 2 3 2 2 2 2 3" xfId="0"/>
    <cellStyle name="Normal 61 2 4 2 2 3 2 2 2 3" xfId="0"/>
    <cellStyle name="Normal 61 2 4 2 2 3 2 2 2 3 2" xfId="0"/>
    <cellStyle name="Normal 61 2 4 2 2 3 2 2 2 3 2 2" xfId="0"/>
    <cellStyle name="Normal 61 2 4 2 2 3 2 2 2 3 3" xfId="0"/>
    <cellStyle name="Normal 61 2 4 2 2 3 2 2 2 4" xfId="0"/>
    <cellStyle name="Normal 61 2 4 2 2 3 2 2 2 4 2" xfId="0"/>
    <cellStyle name="Normal 61 2 4 2 2 3 2 2 2 5" xfId="0"/>
    <cellStyle name="Normal 61 2 4 2 2 3 2 2 3" xfId="0"/>
    <cellStyle name="Normal 61 2 4 2 2 3 2 2 3 2" xfId="0"/>
    <cellStyle name="Normal 61 2 4 2 2 3 2 2 3 2 2" xfId="0"/>
    <cellStyle name="Normal 61 2 4 2 2 3 2 2 3 3" xfId="0"/>
    <cellStyle name="Normal 61 2 4 2 2 3 2 2 4" xfId="0"/>
    <cellStyle name="Normal 61 2 4 2 2 3 2 2 4 2" xfId="0"/>
    <cellStyle name="Normal 61 2 4 2 2 3 2 2 4 2 2" xfId="0"/>
    <cellStyle name="Normal 61 2 4 2 2 3 2 2 4 3" xfId="0"/>
    <cellStyle name="Normal 61 2 4 2 2 3 2 2 5" xfId="0"/>
    <cellStyle name="Normal 61 2 4 2 2 3 2 2 5 2" xfId="0"/>
    <cellStyle name="Normal 61 2 4 2 2 3 2 2 6" xfId="0"/>
    <cellStyle name="Normal 61 2 4 2 2 3 2 3" xfId="0"/>
    <cellStyle name="Normal 61 2 4 2 2 3 2 3 2" xfId="0"/>
    <cellStyle name="Normal 61 2 4 2 2 3 2 3 2 2" xfId="0"/>
    <cellStyle name="Normal 61 2 4 2 2 3 2 3 2 2 2" xfId="0"/>
    <cellStyle name="Normal 61 2 4 2 2 3 2 3 2 3" xfId="0"/>
    <cellStyle name="Normal 61 2 4 2 2 3 2 3 3" xfId="0"/>
    <cellStyle name="Normal 61 2 4 2 2 3 2 3 3 2" xfId="0"/>
    <cellStyle name="Normal 61 2 4 2 2 3 2 3 3 2 2" xfId="0"/>
    <cellStyle name="Normal 61 2 4 2 2 3 2 3 3 3" xfId="0"/>
    <cellStyle name="Normal 61 2 4 2 2 3 2 3 4" xfId="0"/>
    <cellStyle name="Normal 61 2 4 2 2 3 2 3 4 2" xfId="0"/>
    <cellStyle name="Normal 61 2 4 2 2 3 2 3 5" xfId="0"/>
    <cellStyle name="Normal 61 2 4 2 2 3 2 4" xfId="0"/>
    <cellStyle name="Normal 61 2 4 2 2 3 2 4 2" xfId="0"/>
    <cellStyle name="Normal 61 2 4 2 2 3 2 4 2 2" xfId="0"/>
    <cellStyle name="Normal 61 2 4 2 2 3 2 4 3" xfId="0"/>
    <cellStyle name="Normal 61 2 4 2 2 3 2 5" xfId="0"/>
    <cellStyle name="Normal 61 2 4 2 2 3 2 5 2" xfId="0"/>
    <cellStyle name="Normal 61 2 4 2 2 3 2 5 2 2" xfId="0"/>
    <cellStyle name="Normal 61 2 4 2 2 3 2 5 3" xfId="0"/>
    <cellStyle name="Normal 61 2 4 2 2 3 2 6" xfId="0"/>
    <cellStyle name="Normal 61 2 4 2 2 3 2 6 2" xfId="0"/>
    <cellStyle name="Normal 61 2 4 2 2 3 2 7" xfId="0"/>
    <cellStyle name="Normal 61 2 4 2 2 3 3" xfId="0"/>
    <cellStyle name="Normal 61 2 4 2 2 3 3 2" xfId="0"/>
    <cellStyle name="Normal 61 2 4 2 2 3 3 2 2" xfId="0"/>
    <cellStyle name="Normal 61 2 4 2 2 3 3 2 2 2" xfId="0"/>
    <cellStyle name="Normal 61 2 4 2 2 3 3 2 2 2 2" xfId="0"/>
    <cellStyle name="Normal 61 2 4 2 2 3 3 2 2 3" xfId="0"/>
    <cellStyle name="Normal 61 2 4 2 2 3 3 2 3" xfId="0"/>
    <cellStyle name="Normal 61 2 4 2 2 3 3 2 3 2" xfId="0"/>
    <cellStyle name="Normal 61 2 4 2 2 3 3 2 3 2 2" xfId="0"/>
    <cellStyle name="Normal 61 2 4 2 2 3 3 2 3 3" xfId="0"/>
    <cellStyle name="Normal 61 2 4 2 2 3 3 2 4" xfId="0"/>
    <cellStyle name="Normal 61 2 4 2 2 3 3 2 4 2" xfId="0"/>
    <cellStyle name="Normal 61 2 4 2 2 3 3 2 5" xfId="0"/>
    <cellStyle name="Normal 61 2 4 2 2 3 3 3" xfId="0"/>
    <cellStyle name="Normal 61 2 4 2 2 3 3 3 2" xfId="0"/>
    <cellStyle name="Normal 61 2 4 2 2 3 3 3 2 2" xfId="0"/>
    <cellStyle name="Normal 61 2 4 2 2 3 3 3 3" xfId="0"/>
    <cellStyle name="Normal 61 2 4 2 2 3 3 4" xfId="0"/>
    <cellStyle name="Normal 61 2 4 2 2 3 3 4 2" xfId="0"/>
    <cellStyle name="Normal 61 2 4 2 2 3 3 4 2 2" xfId="0"/>
    <cellStyle name="Normal 61 2 4 2 2 3 3 4 3" xfId="0"/>
    <cellStyle name="Normal 61 2 4 2 2 3 3 5" xfId="0"/>
    <cellStyle name="Normal 61 2 4 2 2 3 3 5 2" xfId="0"/>
    <cellStyle name="Normal 61 2 4 2 2 3 3 6" xfId="0"/>
    <cellStyle name="Normal 61 2 4 2 2 3 4" xfId="0"/>
    <cellStyle name="Normal 61 2 4 2 2 3 4 2" xfId="0"/>
    <cellStyle name="Normal 61 2 4 2 2 3 4 2 2" xfId="0"/>
    <cellStyle name="Normal 61 2 4 2 2 3 4 2 2 2" xfId="0"/>
    <cellStyle name="Normal 61 2 4 2 2 3 4 2 3" xfId="0"/>
    <cellStyle name="Normal 61 2 4 2 2 3 4 3" xfId="0"/>
    <cellStyle name="Normal 61 2 4 2 2 3 4 3 2" xfId="0"/>
    <cellStyle name="Normal 61 2 4 2 2 3 4 3 2 2" xfId="0"/>
    <cellStyle name="Normal 61 2 4 2 2 3 4 3 3" xfId="0"/>
    <cellStyle name="Normal 61 2 4 2 2 3 4 4" xfId="0"/>
    <cellStyle name="Normal 61 2 4 2 2 3 4 4 2" xfId="0"/>
    <cellStyle name="Normal 61 2 4 2 2 3 4 5" xfId="0"/>
    <cellStyle name="Normal 61 2 4 2 2 3 5" xfId="0"/>
    <cellStyle name="Normal 61 2 4 2 2 3 5 2" xfId="0"/>
    <cellStyle name="Normal 61 2 4 2 2 3 5 2 2" xfId="0"/>
    <cellStyle name="Normal 61 2 4 2 2 3 5 3" xfId="0"/>
    <cellStyle name="Normal 61 2 4 2 2 3 6" xfId="0"/>
    <cellStyle name="Normal 61 2 4 2 2 3 6 2" xfId="0"/>
    <cellStyle name="Normal 61 2 4 2 2 3 6 2 2" xfId="0"/>
    <cellStyle name="Normal 61 2 4 2 2 3 6 3" xfId="0"/>
    <cellStyle name="Normal 61 2 4 2 2 3 7" xfId="0"/>
    <cellStyle name="Normal 61 2 4 2 2 3 7 2" xfId="0"/>
    <cellStyle name="Normal 61 2 4 2 2 3 8" xfId="0"/>
    <cellStyle name="Normal 61 2 4 2 2 4" xfId="0"/>
    <cellStyle name="Normal 61 2 4 2 2 4 2" xfId="0"/>
    <cellStyle name="Normal 61 2 4 2 2 4 2 2" xfId="0"/>
    <cellStyle name="Normal 61 2 4 2 2 4 2 2 2" xfId="0"/>
    <cellStyle name="Normal 61 2 4 2 2 4 2 2 2 2" xfId="0"/>
    <cellStyle name="Normal 61 2 4 2 2 4 2 2 2 2 2" xfId="0"/>
    <cellStyle name="Normal 61 2 4 2 2 4 2 2 2 3" xfId="0"/>
    <cellStyle name="Normal 61 2 4 2 2 4 2 2 3" xfId="0"/>
    <cellStyle name="Normal 61 2 4 2 2 4 2 2 3 2" xfId="0"/>
    <cellStyle name="Normal 61 2 4 2 2 4 2 2 3 2 2" xfId="0"/>
    <cellStyle name="Normal 61 2 4 2 2 4 2 2 3 3" xfId="0"/>
    <cellStyle name="Normal 61 2 4 2 2 4 2 2 4" xfId="0"/>
    <cellStyle name="Normal 61 2 4 2 2 4 2 2 4 2" xfId="0"/>
    <cellStyle name="Normal 61 2 4 2 2 4 2 2 5" xfId="0"/>
    <cellStyle name="Normal 61 2 4 2 2 4 2 3" xfId="0"/>
    <cellStyle name="Normal 61 2 4 2 2 4 2 3 2" xfId="0"/>
    <cellStyle name="Normal 61 2 4 2 2 4 2 3 2 2" xfId="0"/>
    <cellStyle name="Normal 61 2 4 2 2 4 2 3 3" xfId="0"/>
    <cellStyle name="Normal 61 2 4 2 2 4 2 4" xfId="0"/>
    <cellStyle name="Normal 61 2 4 2 2 4 2 4 2" xfId="0"/>
    <cellStyle name="Normal 61 2 4 2 2 4 2 4 2 2" xfId="0"/>
    <cellStyle name="Normal 61 2 4 2 2 4 2 4 3" xfId="0"/>
    <cellStyle name="Normal 61 2 4 2 2 4 2 5" xfId="0"/>
    <cellStyle name="Normal 61 2 4 2 2 4 2 5 2" xfId="0"/>
    <cellStyle name="Normal 61 2 4 2 2 4 2 6" xfId="0"/>
    <cellStyle name="Normal 61 2 4 2 2 4 3" xfId="0"/>
    <cellStyle name="Normal 61 2 4 2 2 4 3 2" xfId="0"/>
    <cellStyle name="Normal 61 2 4 2 2 4 3 2 2" xfId="0"/>
    <cellStyle name="Normal 61 2 4 2 2 4 3 2 2 2" xfId="0"/>
    <cellStyle name="Normal 61 2 4 2 2 4 3 2 3" xfId="0"/>
    <cellStyle name="Normal 61 2 4 2 2 4 3 3" xfId="0"/>
    <cellStyle name="Normal 61 2 4 2 2 4 3 3 2" xfId="0"/>
    <cellStyle name="Normal 61 2 4 2 2 4 3 3 2 2" xfId="0"/>
    <cellStyle name="Normal 61 2 4 2 2 4 3 3 3" xfId="0"/>
    <cellStyle name="Normal 61 2 4 2 2 4 3 4" xfId="0"/>
    <cellStyle name="Normal 61 2 4 2 2 4 3 4 2" xfId="0"/>
    <cellStyle name="Normal 61 2 4 2 2 4 3 5" xfId="0"/>
    <cellStyle name="Normal 61 2 4 2 2 4 4" xfId="0"/>
    <cellStyle name="Normal 61 2 4 2 2 4 4 2" xfId="0"/>
    <cellStyle name="Normal 61 2 4 2 2 4 4 2 2" xfId="0"/>
    <cellStyle name="Normal 61 2 4 2 2 4 4 3" xfId="0"/>
    <cellStyle name="Normal 61 2 4 2 2 4 5" xfId="0"/>
    <cellStyle name="Normal 61 2 4 2 2 4 5 2" xfId="0"/>
    <cellStyle name="Normal 61 2 4 2 2 4 5 2 2" xfId="0"/>
    <cellStyle name="Normal 61 2 4 2 2 4 5 3" xfId="0"/>
    <cellStyle name="Normal 61 2 4 2 2 4 6" xfId="0"/>
    <cellStyle name="Normal 61 2 4 2 2 4 6 2" xfId="0"/>
    <cellStyle name="Normal 61 2 4 2 2 4 7" xfId="0"/>
    <cellStyle name="Normal 61 2 4 2 2 5" xfId="0"/>
    <cellStyle name="Normal 61 2 4 2 2 5 2" xfId="0"/>
    <cellStyle name="Normal 61 2 4 2 2 5 2 2" xfId="0"/>
    <cellStyle name="Normal 61 2 4 2 2 5 2 2 2" xfId="0"/>
    <cellStyle name="Normal 61 2 4 2 2 5 2 2 2 2" xfId="0"/>
    <cellStyle name="Normal 61 2 4 2 2 5 2 2 3" xfId="0"/>
    <cellStyle name="Normal 61 2 4 2 2 5 2 3" xfId="0"/>
    <cellStyle name="Normal 61 2 4 2 2 5 2 3 2" xfId="0"/>
    <cellStyle name="Normal 61 2 4 2 2 5 2 3 2 2" xfId="0"/>
    <cellStyle name="Normal 61 2 4 2 2 5 2 3 3" xfId="0"/>
    <cellStyle name="Normal 61 2 4 2 2 5 2 4" xfId="0"/>
    <cellStyle name="Normal 61 2 4 2 2 5 2 4 2" xfId="0"/>
    <cellStyle name="Normal 61 2 4 2 2 5 2 5" xfId="0"/>
    <cellStyle name="Normal 61 2 4 2 2 5 3" xfId="0"/>
    <cellStyle name="Normal 61 2 4 2 2 5 3 2" xfId="0"/>
    <cellStyle name="Normal 61 2 4 2 2 5 3 2 2" xfId="0"/>
    <cellStyle name="Normal 61 2 4 2 2 5 3 3" xfId="0"/>
    <cellStyle name="Normal 61 2 4 2 2 5 4" xfId="0"/>
    <cellStyle name="Normal 61 2 4 2 2 5 4 2" xfId="0"/>
    <cellStyle name="Normal 61 2 4 2 2 5 4 2 2" xfId="0"/>
    <cellStyle name="Normal 61 2 4 2 2 5 4 3" xfId="0"/>
    <cellStyle name="Normal 61 2 4 2 2 5 5" xfId="0"/>
    <cellStyle name="Normal 61 2 4 2 2 5 5 2" xfId="0"/>
    <cellStyle name="Normal 61 2 4 2 2 5 6" xfId="0"/>
    <cellStyle name="Normal 61 2 4 2 2 6" xfId="0"/>
    <cellStyle name="Normal 61 2 4 2 2 6 2" xfId="0"/>
    <cellStyle name="Normal 61 2 4 2 2 6 2 2" xfId="0"/>
    <cellStyle name="Normal 61 2 4 2 2 6 2 2 2" xfId="0"/>
    <cellStyle name="Normal 61 2 4 2 2 6 2 3" xfId="0"/>
    <cellStyle name="Normal 61 2 4 2 2 6 3" xfId="0"/>
    <cellStyle name="Normal 61 2 4 2 2 6 3 2" xfId="0"/>
    <cellStyle name="Normal 61 2 4 2 2 6 3 2 2" xfId="0"/>
    <cellStyle name="Normal 61 2 4 2 2 6 3 3" xfId="0"/>
    <cellStyle name="Normal 61 2 4 2 2 6 4" xfId="0"/>
    <cellStyle name="Normal 61 2 4 2 2 6 4 2" xfId="0"/>
    <cellStyle name="Normal 61 2 4 2 2 6 5" xfId="0"/>
    <cellStyle name="Normal 61 2 4 2 2 7" xfId="0"/>
    <cellStyle name="Normal 61 2 4 2 2 7 2" xfId="0"/>
    <cellStyle name="Normal 61 2 4 2 2 7 2 2" xfId="0"/>
    <cellStyle name="Normal 61 2 4 2 2 7 3" xfId="0"/>
    <cellStyle name="Normal 61 2 4 2 2 8" xfId="0"/>
    <cellStyle name="Normal 61 2 4 2 2 8 2" xfId="0"/>
    <cellStyle name="Normal 61 2 4 2 2 8 2 2" xfId="0"/>
    <cellStyle name="Normal 61 2 4 2 2 8 3" xfId="0"/>
    <cellStyle name="Normal 61 2 4 2 2 9" xfId="0"/>
    <cellStyle name="Normal 61 2 4 2 2 9 2" xfId="0"/>
    <cellStyle name="Normal 61 2 4 2 3" xfId="0"/>
    <cellStyle name="Normal 61 2 4 2 3 10" xfId="0"/>
    <cellStyle name="Normal 61 2 4 2 3 2" xfId="0"/>
    <cellStyle name="Normal 61 2 4 2 3 2 2" xfId="0"/>
    <cellStyle name="Normal 61 2 4 2 3 2 2 2" xfId="0"/>
    <cellStyle name="Normal 61 2 4 2 3 2 2 2 2" xfId="0"/>
    <cellStyle name="Normal 61 2 4 2 3 2 2 2 2 2" xfId="0"/>
    <cellStyle name="Normal 61 2 4 2 3 2 2 2 2 2 2" xfId="0"/>
    <cellStyle name="Normal 61 2 4 2 3 2 2 2 2 2 2 2" xfId="0"/>
    <cellStyle name="Normal 61 2 4 2 3 2 2 2 2 2 2 2 2" xfId="0"/>
    <cellStyle name="Normal 61 2 4 2 3 2 2 2 2 2 2 3" xfId="0"/>
    <cellStyle name="Normal 61 2 4 2 3 2 2 2 2 2 3" xfId="0"/>
    <cellStyle name="Normal 61 2 4 2 3 2 2 2 2 2 3 2" xfId="0"/>
    <cellStyle name="Normal 61 2 4 2 3 2 2 2 2 2 3 2 2" xfId="0"/>
    <cellStyle name="Normal 61 2 4 2 3 2 2 2 2 2 3 3" xfId="0"/>
    <cellStyle name="Normal 61 2 4 2 3 2 2 2 2 2 4" xfId="0"/>
    <cellStyle name="Normal 61 2 4 2 3 2 2 2 2 2 4 2" xfId="0"/>
    <cellStyle name="Normal 61 2 4 2 3 2 2 2 2 2 5" xfId="0"/>
    <cellStyle name="Normal 61 2 4 2 3 2 2 2 2 3" xfId="0"/>
    <cellStyle name="Normal 61 2 4 2 3 2 2 2 2 3 2" xfId="0"/>
    <cellStyle name="Normal 61 2 4 2 3 2 2 2 2 3 2 2" xfId="0"/>
    <cellStyle name="Normal 61 2 4 2 3 2 2 2 2 3 3" xfId="0"/>
    <cellStyle name="Normal 61 2 4 2 3 2 2 2 2 4" xfId="0"/>
    <cellStyle name="Normal 61 2 4 2 3 2 2 2 2 4 2" xfId="0"/>
    <cellStyle name="Normal 61 2 4 2 3 2 2 2 2 4 2 2" xfId="0"/>
    <cellStyle name="Normal 61 2 4 2 3 2 2 2 2 4 3" xfId="0"/>
    <cellStyle name="Normal 61 2 4 2 3 2 2 2 2 5" xfId="0"/>
    <cellStyle name="Normal 61 2 4 2 3 2 2 2 2 5 2" xfId="0"/>
    <cellStyle name="Normal 61 2 4 2 3 2 2 2 2 6" xfId="0"/>
    <cellStyle name="Normal 61 2 4 2 3 2 2 2 3" xfId="0"/>
    <cellStyle name="Normal 61 2 4 2 3 2 2 2 3 2" xfId="0"/>
    <cellStyle name="Normal 61 2 4 2 3 2 2 2 3 2 2" xfId="0"/>
    <cellStyle name="Normal 61 2 4 2 3 2 2 2 3 2 2 2" xfId="0"/>
    <cellStyle name="Normal 61 2 4 2 3 2 2 2 3 2 3" xfId="0"/>
    <cellStyle name="Normal 61 2 4 2 3 2 2 2 3 3" xfId="0"/>
    <cellStyle name="Normal 61 2 4 2 3 2 2 2 3 3 2" xfId="0"/>
    <cellStyle name="Normal 61 2 4 2 3 2 2 2 3 3 2 2" xfId="0"/>
    <cellStyle name="Normal 61 2 4 2 3 2 2 2 3 3 3" xfId="0"/>
    <cellStyle name="Normal 61 2 4 2 3 2 2 2 3 4" xfId="0"/>
    <cellStyle name="Normal 61 2 4 2 3 2 2 2 3 4 2" xfId="0"/>
    <cellStyle name="Normal 61 2 4 2 3 2 2 2 3 5" xfId="0"/>
    <cellStyle name="Normal 61 2 4 2 3 2 2 2 4" xfId="0"/>
    <cellStyle name="Normal 61 2 4 2 3 2 2 2 4 2" xfId="0"/>
    <cellStyle name="Normal 61 2 4 2 3 2 2 2 4 2 2" xfId="0"/>
    <cellStyle name="Normal 61 2 4 2 3 2 2 2 4 3" xfId="0"/>
    <cellStyle name="Normal 61 2 4 2 3 2 2 2 5" xfId="0"/>
    <cellStyle name="Normal 61 2 4 2 3 2 2 2 5 2" xfId="0"/>
    <cellStyle name="Normal 61 2 4 2 3 2 2 2 5 2 2" xfId="0"/>
    <cellStyle name="Normal 61 2 4 2 3 2 2 2 5 3" xfId="0"/>
    <cellStyle name="Normal 61 2 4 2 3 2 2 2 6" xfId="0"/>
    <cellStyle name="Normal 61 2 4 2 3 2 2 2 6 2" xfId="0"/>
    <cellStyle name="Normal 61 2 4 2 3 2 2 2 7" xfId="0"/>
    <cellStyle name="Normal 61 2 4 2 3 2 2 3" xfId="0"/>
    <cellStyle name="Normal 61 2 4 2 3 2 2 3 2" xfId="0"/>
    <cellStyle name="Normal 61 2 4 2 3 2 2 3 2 2" xfId="0"/>
    <cellStyle name="Normal 61 2 4 2 3 2 2 3 2 2 2" xfId="0"/>
    <cellStyle name="Normal 61 2 4 2 3 2 2 3 2 2 2 2" xfId="0"/>
    <cellStyle name="Normal 61 2 4 2 3 2 2 3 2 2 3" xfId="0"/>
    <cellStyle name="Normal 61 2 4 2 3 2 2 3 2 3" xfId="0"/>
    <cellStyle name="Normal 61 2 4 2 3 2 2 3 2 3 2" xfId="0"/>
    <cellStyle name="Normal 61 2 4 2 3 2 2 3 2 3 2 2" xfId="0"/>
    <cellStyle name="Normal 61 2 4 2 3 2 2 3 2 3 3" xfId="0"/>
    <cellStyle name="Normal 61 2 4 2 3 2 2 3 2 4" xfId="0"/>
    <cellStyle name="Normal 61 2 4 2 3 2 2 3 2 4 2" xfId="0"/>
    <cellStyle name="Normal 61 2 4 2 3 2 2 3 2 5" xfId="0"/>
    <cellStyle name="Normal 61 2 4 2 3 2 2 3 3" xfId="0"/>
    <cellStyle name="Normal 61 2 4 2 3 2 2 3 3 2" xfId="0"/>
    <cellStyle name="Normal 61 2 4 2 3 2 2 3 3 2 2" xfId="0"/>
    <cellStyle name="Normal 61 2 4 2 3 2 2 3 3 3" xfId="0"/>
    <cellStyle name="Normal 61 2 4 2 3 2 2 3 4" xfId="0"/>
    <cellStyle name="Normal 61 2 4 2 3 2 2 3 4 2" xfId="0"/>
    <cellStyle name="Normal 61 2 4 2 3 2 2 3 4 2 2" xfId="0"/>
    <cellStyle name="Normal 61 2 4 2 3 2 2 3 4 3" xfId="0"/>
    <cellStyle name="Normal 61 2 4 2 3 2 2 3 5" xfId="0"/>
    <cellStyle name="Normal 61 2 4 2 3 2 2 3 5 2" xfId="0"/>
    <cellStyle name="Normal 61 2 4 2 3 2 2 3 6" xfId="0"/>
    <cellStyle name="Normal 61 2 4 2 3 2 2 4" xfId="0"/>
    <cellStyle name="Normal 61 2 4 2 3 2 2 4 2" xfId="0"/>
    <cellStyle name="Normal 61 2 4 2 3 2 2 4 2 2" xfId="0"/>
    <cellStyle name="Normal 61 2 4 2 3 2 2 4 2 2 2" xfId="0"/>
    <cellStyle name="Normal 61 2 4 2 3 2 2 4 2 3" xfId="0"/>
    <cellStyle name="Normal 61 2 4 2 3 2 2 4 3" xfId="0"/>
    <cellStyle name="Normal 61 2 4 2 3 2 2 4 3 2" xfId="0"/>
    <cellStyle name="Normal 61 2 4 2 3 2 2 4 3 2 2" xfId="0"/>
    <cellStyle name="Normal 61 2 4 2 3 2 2 4 3 3" xfId="0"/>
    <cellStyle name="Normal 61 2 4 2 3 2 2 4 4" xfId="0"/>
    <cellStyle name="Normal 61 2 4 2 3 2 2 4 4 2" xfId="0"/>
    <cellStyle name="Normal 61 2 4 2 3 2 2 4 5" xfId="0"/>
    <cellStyle name="Normal 61 2 4 2 3 2 2 5" xfId="0"/>
    <cellStyle name="Normal 61 2 4 2 3 2 2 5 2" xfId="0"/>
    <cellStyle name="Normal 61 2 4 2 3 2 2 5 2 2" xfId="0"/>
    <cellStyle name="Normal 61 2 4 2 3 2 2 5 3" xfId="0"/>
    <cellStyle name="Normal 61 2 4 2 3 2 2 6" xfId="0"/>
    <cellStyle name="Normal 61 2 4 2 3 2 2 6 2" xfId="0"/>
    <cellStyle name="Normal 61 2 4 2 3 2 2 6 2 2" xfId="0"/>
    <cellStyle name="Normal 61 2 4 2 3 2 2 6 3" xfId="0"/>
    <cellStyle name="Normal 61 2 4 2 3 2 2 7" xfId="0"/>
    <cellStyle name="Normal 61 2 4 2 3 2 2 7 2" xfId="0"/>
    <cellStyle name="Normal 61 2 4 2 3 2 2 8" xfId="0"/>
    <cellStyle name="Normal 61 2 4 2 3 2 3" xfId="0"/>
    <cellStyle name="Normal 61 2 4 2 3 2 3 2" xfId="0"/>
    <cellStyle name="Normal 61 2 4 2 3 2 3 2 2" xfId="0"/>
    <cellStyle name="Normal 61 2 4 2 3 2 3 2 2 2" xfId="0"/>
    <cellStyle name="Normal 61 2 4 2 3 2 3 2 2 2 2" xfId="0"/>
    <cellStyle name="Normal 61 2 4 2 3 2 3 2 2 2 2 2" xfId="0"/>
    <cellStyle name="Normal 61 2 4 2 3 2 3 2 2 2 3" xfId="0"/>
    <cellStyle name="Normal 61 2 4 2 3 2 3 2 2 3" xfId="0"/>
    <cellStyle name="Normal 61 2 4 2 3 2 3 2 2 3 2" xfId="0"/>
    <cellStyle name="Normal 61 2 4 2 3 2 3 2 2 3 2 2" xfId="0"/>
    <cellStyle name="Normal 61 2 4 2 3 2 3 2 2 3 3" xfId="0"/>
    <cellStyle name="Normal 61 2 4 2 3 2 3 2 2 4" xfId="0"/>
    <cellStyle name="Normal 61 2 4 2 3 2 3 2 2 4 2" xfId="0"/>
    <cellStyle name="Normal 61 2 4 2 3 2 3 2 2 5" xfId="0"/>
    <cellStyle name="Normal 61 2 4 2 3 2 3 2 3" xfId="0"/>
    <cellStyle name="Normal 61 2 4 2 3 2 3 2 3 2" xfId="0"/>
    <cellStyle name="Normal 61 2 4 2 3 2 3 2 3 2 2" xfId="0"/>
    <cellStyle name="Normal 61 2 4 2 3 2 3 2 3 3" xfId="0"/>
    <cellStyle name="Normal 61 2 4 2 3 2 3 2 4" xfId="0"/>
    <cellStyle name="Normal 61 2 4 2 3 2 3 2 4 2" xfId="0"/>
    <cellStyle name="Normal 61 2 4 2 3 2 3 2 4 2 2" xfId="0"/>
    <cellStyle name="Normal 61 2 4 2 3 2 3 2 4 3" xfId="0"/>
    <cellStyle name="Normal 61 2 4 2 3 2 3 2 5" xfId="0"/>
    <cellStyle name="Normal 61 2 4 2 3 2 3 2 5 2" xfId="0"/>
    <cellStyle name="Normal 61 2 4 2 3 2 3 2 6" xfId="0"/>
    <cellStyle name="Normal 61 2 4 2 3 2 3 3" xfId="0"/>
    <cellStyle name="Normal 61 2 4 2 3 2 3 3 2" xfId="0"/>
    <cellStyle name="Normal 61 2 4 2 3 2 3 3 2 2" xfId="0"/>
    <cellStyle name="Normal 61 2 4 2 3 2 3 3 2 2 2" xfId="0"/>
    <cellStyle name="Normal 61 2 4 2 3 2 3 3 2 3" xfId="0"/>
    <cellStyle name="Normal 61 2 4 2 3 2 3 3 3" xfId="0"/>
    <cellStyle name="Normal 61 2 4 2 3 2 3 3 3 2" xfId="0"/>
    <cellStyle name="Normal 61 2 4 2 3 2 3 3 3 2 2" xfId="0"/>
    <cellStyle name="Normal 61 2 4 2 3 2 3 3 3 3" xfId="0"/>
    <cellStyle name="Normal 61 2 4 2 3 2 3 3 4" xfId="0"/>
    <cellStyle name="Normal 61 2 4 2 3 2 3 3 4 2" xfId="0"/>
    <cellStyle name="Normal 61 2 4 2 3 2 3 3 5" xfId="0"/>
    <cellStyle name="Normal 61 2 4 2 3 2 3 4" xfId="0"/>
    <cellStyle name="Normal 61 2 4 2 3 2 3 4 2" xfId="0"/>
    <cellStyle name="Normal 61 2 4 2 3 2 3 4 2 2" xfId="0"/>
    <cellStyle name="Normal 61 2 4 2 3 2 3 4 3" xfId="0"/>
    <cellStyle name="Normal 61 2 4 2 3 2 3 5" xfId="0"/>
    <cellStyle name="Normal 61 2 4 2 3 2 3 5 2" xfId="0"/>
    <cellStyle name="Normal 61 2 4 2 3 2 3 5 2 2" xfId="0"/>
    <cellStyle name="Normal 61 2 4 2 3 2 3 5 3" xfId="0"/>
    <cellStyle name="Normal 61 2 4 2 3 2 3 6" xfId="0"/>
    <cellStyle name="Normal 61 2 4 2 3 2 3 6 2" xfId="0"/>
    <cellStyle name="Normal 61 2 4 2 3 2 3 7" xfId="0"/>
    <cellStyle name="Normal 61 2 4 2 3 2 4" xfId="0"/>
    <cellStyle name="Normal 61 2 4 2 3 2 4 2" xfId="0"/>
    <cellStyle name="Normal 61 2 4 2 3 2 4 2 2" xfId="0"/>
    <cellStyle name="Normal 61 2 4 2 3 2 4 2 2 2" xfId="0"/>
    <cellStyle name="Normal 61 2 4 2 3 2 4 2 2 2 2" xfId="0"/>
    <cellStyle name="Normal 61 2 4 2 3 2 4 2 2 3" xfId="0"/>
    <cellStyle name="Normal 61 2 4 2 3 2 4 2 3" xfId="0"/>
    <cellStyle name="Normal 61 2 4 2 3 2 4 2 3 2" xfId="0"/>
    <cellStyle name="Normal 61 2 4 2 3 2 4 2 3 2 2" xfId="0"/>
    <cellStyle name="Normal 61 2 4 2 3 2 4 2 3 3" xfId="0"/>
    <cellStyle name="Normal 61 2 4 2 3 2 4 2 4" xfId="0"/>
    <cellStyle name="Normal 61 2 4 2 3 2 4 2 4 2" xfId="0"/>
    <cellStyle name="Normal 61 2 4 2 3 2 4 2 5" xfId="0"/>
    <cellStyle name="Normal 61 2 4 2 3 2 4 3" xfId="0"/>
    <cellStyle name="Normal 61 2 4 2 3 2 4 3 2" xfId="0"/>
    <cellStyle name="Normal 61 2 4 2 3 2 4 3 2 2" xfId="0"/>
    <cellStyle name="Normal 61 2 4 2 3 2 4 3 3" xfId="0"/>
    <cellStyle name="Normal 61 2 4 2 3 2 4 4" xfId="0"/>
    <cellStyle name="Normal 61 2 4 2 3 2 4 4 2" xfId="0"/>
    <cellStyle name="Normal 61 2 4 2 3 2 4 4 2 2" xfId="0"/>
    <cellStyle name="Normal 61 2 4 2 3 2 4 4 3" xfId="0"/>
    <cellStyle name="Normal 61 2 4 2 3 2 4 5" xfId="0"/>
    <cellStyle name="Normal 61 2 4 2 3 2 4 5 2" xfId="0"/>
    <cellStyle name="Normal 61 2 4 2 3 2 4 6" xfId="0"/>
    <cellStyle name="Normal 61 2 4 2 3 2 5" xfId="0"/>
    <cellStyle name="Normal 61 2 4 2 3 2 5 2" xfId="0"/>
    <cellStyle name="Normal 61 2 4 2 3 2 5 2 2" xfId="0"/>
    <cellStyle name="Normal 61 2 4 2 3 2 5 2 2 2" xfId="0"/>
    <cellStyle name="Normal 61 2 4 2 3 2 5 2 3" xfId="0"/>
    <cellStyle name="Normal 61 2 4 2 3 2 5 3" xfId="0"/>
    <cellStyle name="Normal 61 2 4 2 3 2 5 3 2" xfId="0"/>
    <cellStyle name="Normal 61 2 4 2 3 2 5 3 2 2" xfId="0"/>
    <cellStyle name="Normal 61 2 4 2 3 2 5 3 3" xfId="0"/>
    <cellStyle name="Normal 61 2 4 2 3 2 5 4" xfId="0"/>
    <cellStyle name="Normal 61 2 4 2 3 2 5 4 2" xfId="0"/>
    <cellStyle name="Normal 61 2 4 2 3 2 5 5" xfId="0"/>
    <cellStyle name="Normal 61 2 4 2 3 2 6" xfId="0"/>
    <cellStyle name="Normal 61 2 4 2 3 2 6 2" xfId="0"/>
    <cellStyle name="Normal 61 2 4 2 3 2 6 2 2" xfId="0"/>
    <cellStyle name="Normal 61 2 4 2 3 2 6 3" xfId="0"/>
    <cellStyle name="Normal 61 2 4 2 3 2 7" xfId="0"/>
    <cellStyle name="Normal 61 2 4 2 3 2 7 2" xfId="0"/>
    <cellStyle name="Normal 61 2 4 2 3 2 7 2 2" xfId="0"/>
    <cellStyle name="Normal 61 2 4 2 3 2 7 3" xfId="0"/>
    <cellStyle name="Normal 61 2 4 2 3 2 8" xfId="0"/>
    <cellStyle name="Normal 61 2 4 2 3 2 8 2" xfId="0"/>
    <cellStyle name="Normal 61 2 4 2 3 2 9" xfId="0"/>
    <cellStyle name="Normal 61 2 4 2 3 3" xfId="0"/>
    <cellStyle name="Normal 61 2 4 2 3 3 2" xfId="0"/>
    <cellStyle name="Normal 61 2 4 2 3 3 2 2" xfId="0"/>
    <cellStyle name="Normal 61 2 4 2 3 3 2 2 2" xfId="0"/>
    <cellStyle name="Normal 61 2 4 2 3 3 2 2 2 2" xfId="0"/>
    <cellStyle name="Normal 61 2 4 2 3 3 2 2 2 2 2" xfId="0"/>
    <cellStyle name="Normal 61 2 4 2 3 3 2 2 2 2 2 2" xfId="0"/>
    <cellStyle name="Normal 61 2 4 2 3 3 2 2 2 2 3" xfId="0"/>
    <cellStyle name="Normal 61 2 4 2 3 3 2 2 2 3" xfId="0"/>
    <cellStyle name="Normal 61 2 4 2 3 3 2 2 2 3 2" xfId="0"/>
    <cellStyle name="Normal 61 2 4 2 3 3 2 2 2 3 2 2" xfId="0"/>
    <cellStyle name="Normal 61 2 4 2 3 3 2 2 2 3 3" xfId="0"/>
    <cellStyle name="Normal 61 2 4 2 3 3 2 2 2 4" xfId="0"/>
    <cellStyle name="Normal 61 2 4 2 3 3 2 2 2 4 2" xfId="0"/>
    <cellStyle name="Normal 61 2 4 2 3 3 2 2 2 5" xfId="0"/>
    <cellStyle name="Normal 61 2 4 2 3 3 2 2 3" xfId="0"/>
    <cellStyle name="Normal 61 2 4 2 3 3 2 2 3 2" xfId="0"/>
    <cellStyle name="Normal 61 2 4 2 3 3 2 2 3 2 2" xfId="0"/>
    <cellStyle name="Normal 61 2 4 2 3 3 2 2 3 3" xfId="0"/>
    <cellStyle name="Normal 61 2 4 2 3 3 2 2 4" xfId="0"/>
    <cellStyle name="Normal 61 2 4 2 3 3 2 2 4 2" xfId="0"/>
    <cellStyle name="Normal 61 2 4 2 3 3 2 2 4 2 2" xfId="0"/>
    <cellStyle name="Normal 61 2 4 2 3 3 2 2 4 3" xfId="0"/>
    <cellStyle name="Normal 61 2 4 2 3 3 2 2 5" xfId="0"/>
    <cellStyle name="Normal 61 2 4 2 3 3 2 2 5 2" xfId="0"/>
    <cellStyle name="Normal 61 2 4 2 3 3 2 2 6" xfId="0"/>
    <cellStyle name="Normal 61 2 4 2 3 3 2 3" xfId="0"/>
    <cellStyle name="Normal 61 2 4 2 3 3 2 3 2" xfId="0"/>
    <cellStyle name="Normal 61 2 4 2 3 3 2 3 2 2" xfId="0"/>
    <cellStyle name="Normal 61 2 4 2 3 3 2 3 2 2 2" xfId="0"/>
    <cellStyle name="Normal 61 2 4 2 3 3 2 3 2 3" xfId="0"/>
    <cellStyle name="Normal 61 2 4 2 3 3 2 3 3" xfId="0"/>
    <cellStyle name="Normal 61 2 4 2 3 3 2 3 3 2" xfId="0"/>
    <cellStyle name="Normal 61 2 4 2 3 3 2 3 3 2 2" xfId="0"/>
    <cellStyle name="Normal 61 2 4 2 3 3 2 3 3 3" xfId="0"/>
    <cellStyle name="Normal 61 2 4 2 3 3 2 3 4" xfId="0"/>
    <cellStyle name="Normal 61 2 4 2 3 3 2 3 4 2" xfId="0"/>
    <cellStyle name="Normal 61 2 4 2 3 3 2 3 5" xfId="0"/>
    <cellStyle name="Normal 61 2 4 2 3 3 2 4" xfId="0"/>
    <cellStyle name="Normal 61 2 4 2 3 3 2 4 2" xfId="0"/>
    <cellStyle name="Normal 61 2 4 2 3 3 2 4 2 2" xfId="0"/>
    <cellStyle name="Normal 61 2 4 2 3 3 2 4 3" xfId="0"/>
    <cellStyle name="Normal 61 2 4 2 3 3 2 5" xfId="0"/>
    <cellStyle name="Normal 61 2 4 2 3 3 2 5 2" xfId="0"/>
    <cellStyle name="Normal 61 2 4 2 3 3 2 5 2 2" xfId="0"/>
    <cellStyle name="Normal 61 2 4 2 3 3 2 5 3" xfId="0"/>
    <cellStyle name="Normal 61 2 4 2 3 3 2 6" xfId="0"/>
    <cellStyle name="Normal 61 2 4 2 3 3 2 6 2" xfId="0"/>
    <cellStyle name="Normal 61 2 4 2 3 3 2 7" xfId="0"/>
    <cellStyle name="Normal 61 2 4 2 3 3 3" xfId="0"/>
    <cellStyle name="Normal 61 2 4 2 3 3 3 2" xfId="0"/>
    <cellStyle name="Normal 61 2 4 2 3 3 3 2 2" xfId="0"/>
    <cellStyle name="Normal 61 2 4 2 3 3 3 2 2 2" xfId="0"/>
    <cellStyle name="Normal 61 2 4 2 3 3 3 2 2 2 2" xfId="0"/>
    <cellStyle name="Normal 61 2 4 2 3 3 3 2 2 3" xfId="0"/>
    <cellStyle name="Normal 61 2 4 2 3 3 3 2 3" xfId="0"/>
    <cellStyle name="Normal 61 2 4 2 3 3 3 2 3 2" xfId="0"/>
    <cellStyle name="Normal 61 2 4 2 3 3 3 2 3 2 2" xfId="0"/>
    <cellStyle name="Normal 61 2 4 2 3 3 3 2 3 3" xfId="0"/>
    <cellStyle name="Normal 61 2 4 2 3 3 3 2 4" xfId="0"/>
    <cellStyle name="Normal 61 2 4 2 3 3 3 2 4 2" xfId="0"/>
    <cellStyle name="Normal 61 2 4 2 3 3 3 2 5" xfId="0"/>
    <cellStyle name="Normal 61 2 4 2 3 3 3 3" xfId="0"/>
    <cellStyle name="Normal 61 2 4 2 3 3 3 3 2" xfId="0"/>
    <cellStyle name="Normal 61 2 4 2 3 3 3 3 2 2" xfId="0"/>
    <cellStyle name="Normal 61 2 4 2 3 3 3 3 3" xfId="0"/>
    <cellStyle name="Normal 61 2 4 2 3 3 3 4" xfId="0"/>
    <cellStyle name="Normal 61 2 4 2 3 3 3 4 2" xfId="0"/>
    <cellStyle name="Normal 61 2 4 2 3 3 3 4 2 2" xfId="0"/>
    <cellStyle name="Normal 61 2 4 2 3 3 3 4 3" xfId="0"/>
    <cellStyle name="Normal 61 2 4 2 3 3 3 5" xfId="0"/>
    <cellStyle name="Normal 61 2 4 2 3 3 3 5 2" xfId="0"/>
    <cellStyle name="Normal 61 2 4 2 3 3 3 6" xfId="0"/>
    <cellStyle name="Normal 61 2 4 2 3 3 4" xfId="0"/>
    <cellStyle name="Normal 61 2 4 2 3 3 4 2" xfId="0"/>
    <cellStyle name="Normal 61 2 4 2 3 3 4 2 2" xfId="0"/>
    <cellStyle name="Normal 61 2 4 2 3 3 4 2 2 2" xfId="0"/>
    <cellStyle name="Normal 61 2 4 2 3 3 4 2 3" xfId="0"/>
    <cellStyle name="Normal 61 2 4 2 3 3 4 3" xfId="0"/>
    <cellStyle name="Normal 61 2 4 2 3 3 4 3 2" xfId="0"/>
    <cellStyle name="Normal 61 2 4 2 3 3 4 3 2 2" xfId="0"/>
    <cellStyle name="Normal 61 2 4 2 3 3 4 3 3" xfId="0"/>
    <cellStyle name="Normal 61 2 4 2 3 3 4 4" xfId="0"/>
    <cellStyle name="Normal 61 2 4 2 3 3 4 4 2" xfId="0"/>
    <cellStyle name="Normal 61 2 4 2 3 3 4 5" xfId="0"/>
    <cellStyle name="Normal 61 2 4 2 3 3 5" xfId="0"/>
    <cellStyle name="Normal 61 2 4 2 3 3 5 2" xfId="0"/>
    <cellStyle name="Normal 61 2 4 2 3 3 5 2 2" xfId="0"/>
    <cellStyle name="Normal 61 2 4 2 3 3 5 3" xfId="0"/>
    <cellStyle name="Normal 61 2 4 2 3 3 6" xfId="0"/>
    <cellStyle name="Normal 61 2 4 2 3 3 6 2" xfId="0"/>
    <cellStyle name="Normal 61 2 4 2 3 3 6 2 2" xfId="0"/>
    <cellStyle name="Normal 61 2 4 2 3 3 6 3" xfId="0"/>
    <cellStyle name="Normal 61 2 4 2 3 3 7" xfId="0"/>
    <cellStyle name="Normal 61 2 4 2 3 3 7 2" xfId="0"/>
    <cellStyle name="Normal 61 2 4 2 3 3 8" xfId="0"/>
    <cellStyle name="Normal 61 2 4 2 3 4" xfId="0"/>
    <cellStyle name="Normal 61 2 4 2 3 4 2" xfId="0"/>
    <cellStyle name="Normal 61 2 4 2 3 4 2 2" xfId="0"/>
    <cellStyle name="Normal 61 2 4 2 3 4 2 2 2" xfId="0"/>
    <cellStyle name="Normal 61 2 4 2 3 4 2 2 2 2" xfId="0"/>
    <cellStyle name="Normal 61 2 4 2 3 4 2 2 2 2 2" xfId="0"/>
    <cellStyle name="Normal 61 2 4 2 3 4 2 2 2 3" xfId="0"/>
    <cellStyle name="Normal 61 2 4 2 3 4 2 2 3" xfId="0"/>
    <cellStyle name="Normal 61 2 4 2 3 4 2 2 3 2" xfId="0"/>
    <cellStyle name="Normal 61 2 4 2 3 4 2 2 3 2 2" xfId="0"/>
    <cellStyle name="Normal 61 2 4 2 3 4 2 2 3 3" xfId="0"/>
    <cellStyle name="Normal 61 2 4 2 3 4 2 2 4" xfId="0"/>
    <cellStyle name="Normal 61 2 4 2 3 4 2 2 4 2" xfId="0"/>
    <cellStyle name="Normal 61 2 4 2 3 4 2 2 5" xfId="0"/>
    <cellStyle name="Normal 61 2 4 2 3 4 2 3" xfId="0"/>
    <cellStyle name="Normal 61 2 4 2 3 4 2 3 2" xfId="0"/>
    <cellStyle name="Normal 61 2 4 2 3 4 2 3 2 2" xfId="0"/>
    <cellStyle name="Normal 61 2 4 2 3 4 2 3 3" xfId="0"/>
    <cellStyle name="Normal 61 2 4 2 3 4 2 4" xfId="0"/>
    <cellStyle name="Normal 61 2 4 2 3 4 2 4 2" xfId="0"/>
    <cellStyle name="Normal 61 2 4 2 3 4 2 4 2 2" xfId="0"/>
    <cellStyle name="Normal 61 2 4 2 3 4 2 4 3" xfId="0"/>
    <cellStyle name="Normal 61 2 4 2 3 4 2 5" xfId="0"/>
    <cellStyle name="Normal 61 2 4 2 3 4 2 5 2" xfId="0"/>
    <cellStyle name="Normal 61 2 4 2 3 4 2 6" xfId="0"/>
    <cellStyle name="Normal 61 2 4 2 3 4 3" xfId="0"/>
    <cellStyle name="Normal 61 2 4 2 3 4 3 2" xfId="0"/>
    <cellStyle name="Normal 61 2 4 2 3 4 3 2 2" xfId="0"/>
    <cellStyle name="Normal 61 2 4 2 3 4 3 2 2 2" xfId="0"/>
    <cellStyle name="Normal 61 2 4 2 3 4 3 2 3" xfId="0"/>
    <cellStyle name="Normal 61 2 4 2 3 4 3 3" xfId="0"/>
    <cellStyle name="Normal 61 2 4 2 3 4 3 3 2" xfId="0"/>
    <cellStyle name="Normal 61 2 4 2 3 4 3 3 2 2" xfId="0"/>
    <cellStyle name="Normal 61 2 4 2 3 4 3 3 3" xfId="0"/>
    <cellStyle name="Normal 61 2 4 2 3 4 3 4" xfId="0"/>
    <cellStyle name="Normal 61 2 4 2 3 4 3 4 2" xfId="0"/>
    <cellStyle name="Normal 61 2 4 2 3 4 3 5" xfId="0"/>
    <cellStyle name="Normal 61 2 4 2 3 4 4" xfId="0"/>
    <cellStyle name="Normal 61 2 4 2 3 4 4 2" xfId="0"/>
    <cellStyle name="Normal 61 2 4 2 3 4 4 2 2" xfId="0"/>
    <cellStyle name="Normal 61 2 4 2 3 4 4 3" xfId="0"/>
    <cellStyle name="Normal 61 2 4 2 3 4 5" xfId="0"/>
    <cellStyle name="Normal 61 2 4 2 3 4 5 2" xfId="0"/>
    <cellStyle name="Normal 61 2 4 2 3 4 5 2 2" xfId="0"/>
    <cellStyle name="Normal 61 2 4 2 3 4 5 3" xfId="0"/>
    <cellStyle name="Normal 61 2 4 2 3 4 6" xfId="0"/>
    <cellStyle name="Normal 61 2 4 2 3 4 6 2" xfId="0"/>
    <cellStyle name="Normal 61 2 4 2 3 4 7" xfId="0"/>
    <cellStyle name="Normal 61 2 4 2 3 5" xfId="0"/>
    <cellStyle name="Normal 61 2 4 2 3 5 2" xfId="0"/>
    <cellStyle name="Normal 61 2 4 2 3 5 2 2" xfId="0"/>
    <cellStyle name="Normal 61 2 4 2 3 5 2 2 2" xfId="0"/>
    <cellStyle name="Normal 61 2 4 2 3 5 2 2 2 2" xfId="0"/>
    <cellStyle name="Normal 61 2 4 2 3 5 2 2 3" xfId="0"/>
    <cellStyle name="Normal 61 2 4 2 3 5 2 3" xfId="0"/>
    <cellStyle name="Normal 61 2 4 2 3 5 2 3 2" xfId="0"/>
    <cellStyle name="Normal 61 2 4 2 3 5 2 3 2 2" xfId="0"/>
    <cellStyle name="Normal 61 2 4 2 3 5 2 3 3" xfId="0"/>
    <cellStyle name="Normal 61 2 4 2 3 5 2 4" xfId="0"/>
    <cellStyle name="Normal 61 2 4 2 3 5 2 4 2" xfId="0"/>
    <cellStyle name="Normal 61 2 4 2 3 5 2 5" xfId="0"/>
    <cellStyle name="Normal 61 2 4 2 3 5 3" xfId="0"/>
    <cellStyle name="Normal 61 2 4 2 3 5 3 2" xfId="0"/>
    <cellStyle name="Normal 61 2 4 2 3 5 3 2 2" xfId="0"/>
    <cellStyle name="Normal 61 2 4 2 3 5 3 3" xfId="0"/>
    <cellStyle name="Normal 61 2 4 2 3 5 4" xfId="0"/>
    <cellStyle name="Normal 61 2 4 2 3 5 4 2" xfId="0"/>
    <cellStyle name="Normal 61 2 4 2 3 5 4 2 2" xfId="0"/>
    <cellStyle name="Normal 61 2 4 2 3 5 4 3" xfId="0"/>
    <cellStyle name="Normal 61 2 4 2 3 5 5" xfId="0"/>
    <cellStyle name="Normal 61 2 4 2 3 5 5 2" xfId="0"/>
    <cellStyle name="Normal 61 2 4 2 3 5 6" xfId="0"/>
    <cellStyle name="Normal 61 2 4 2 3 6" xfId="0"/>
    <cellStyle name="Normal 61 2 4 2 3 6 2" xfId="0"/>
    <cellStyle name="Normal 61 2 4 2 3 6 2 2" xfId="0"/>
    <cellStyle name="Normal 61 2 4 2 3 6 2 2 2" xfId="0"/>
    <cellStyle name="Normal 61 2 4 2 3 6 2 3" xfId="0"/>
    <cellStyle name="Normal 61 2 4 2 3 6 3" xfId="0"/>
    <cellStyle name="Normal 61 2 4 2 3 6 3 2" xfId="0"/>
    <cellStyle name="Normal 61 2 4 2 3 6 3 2 2" xfId="0"/>
    <cellStyle name="Normal 61 2 4 2 3 6 3 3" xfId="0"/>
    <cellStyle name="Normal 61 2 4 2 3 6 4" xfId="0"/>
    <cellStyle name="Normal 61 2 4 2 3 6 4 2" xfId="0"/>
    <cellStyle name="Normal 61 2 4 2 3 6 5" xfId="0"/>
    <cellStyle name="Normal 61 2 4 2 3 7" xfId="0"/>
    <cellStyle name="Normal 61 2 4 2 3 7 2" xfId="0"/>
    <cellStyle name="Normal 61 2 4 2 3 7 2 2" xfId="0"/>
    <cellStyle name="Normal 61 2 4 2 3 7 3" xfId="0"/>
    <cellStyle name="Normal 61 2 4 2 3 8" xfId="0"/>
    <cellStyle name="Normal 61 2 4 2 3 8 2" xfId="0"/>
    <cellStyle name="Normal 61 2 4 2 3 8 2 2" xfId="0"/>
    <cellStyle name="Normal 61 2 4 2 3 8 3" xfId="0"/>
    <cellStyle name="Normal 61 2 4 2 3 9" xfId="0"/>
    <cellStyle name="Normal 61 2 4 2 3 9 2" xfId="0"/>
    <cellStyle name="Normal 61 2 4 2 4" xfId="0"/>
    <cellStyle name="Normal 61 2 4 2 4 2" xfId="0"/>
    <cellStyle name="Normal 61 2 4 2 4 2 2" xfId="0"/>
    <cellStyle name="Normal 61 2 4 2 4 2 2 2" xfId="0"/>
    <cellStyle name="Normal 61 2 4 2 4 2 2 2 2" xfId="0"/>
    <cellStyle name="Normal 61 2 4 2 4 2 2 2 2 2" xfId="0"/>
    <cellStyle name="Normal 61 2 4 2 4 2 2 2 2 2 2" xfId="0"/>
    <cellStyle name="Normal 61 2 4 2 4 2 2 2 2 2 2 2" xfId="0"/>
    <cellStyle name="Normal 61 2 4 2 4 2 2 2 2 2 3" xfId="0"/>
    <cellStyle name="Normal 61 2 4 2 4 2 2 2 2 3" xfId="0"/>
    <cellStyle name="Normal 61 2 4 2 4 2 2 2 2 3 2" xfId="0"/>
    <cellStyle name="Normal 61 2 4 2 4 2 2 2 2 3 2 2" xfId="0"/>
    <cellStyle name="Normal 61 2 4 2 4 2 2 2 2 3 3" xfId="0"/>
    <cellStyle name="Normal 61 2 4 2 4 2 2 2 2 4" xfId="0"/>
    <cellStyle name="Normal 61 2 4 2 4 2 2 2 2 4 2" xfId="0"/>
    <cellStyle name="Normal 61 2 4 2 4 2 2 2 2 5" xfId="0"/>
    <cellStyle name="Normal 61 2 4 2 4 2 2 2 3" xfId="0"/>
    <cellStyle name="Normal 61 2 4 2 4 2 2 2 3 2" xfId="0"/>
    <cellStyle name="Normal 61 2 4 2 4 2 2 2 3 2 2" xfId="0"/>
    <cellStyle name="Normal 61 2 4 2 4 2 2 2 3 3" xfId="0"/>
    <cellStyle name="Normal 61 2 4 2 4 2 2 2 4" xfId="0"/>
    <cellStyle name="Normal 61 2 4 2 4 2 2 2 4 2" xfId="0"/>
    <cellStyle name="Normal 61 2 4 2 4 2 2 2 4 2 2" xfId="0"/>
    <cellStyle name="Normal 61 2 4 2 4 2 2 2 4 3" xfId="0"/>
    <cellStyle name="Normal 61 2 4 2 4 2 2 2 5" xfId="0"/>
    <cellStyle name="Normal 61 2 4 2 4 2 2 2 5 2" xfId="0"/>
    <cellStyle name="Normal 61 2 4 2 4 2 2 2 6" xfId="0"/>
    <cellStyle name="Normal 61 2 4 2 4 2 2 3" xfId="0"/>
    <cellStyle name="Normal 61 2 4 2 4 2 2 3 2" xfId="0"/>
    <cellStyle name="Normal 61 2 4 2 4 2 2 3 2 2" xfId="0"/>
    <cellStyle name="Normal 61 2 4 2 4 2 2 3 2 2 2" xfId="0"/>
    <cellStyle name="Normal 61 2 4 2 4 2 2 3 2 3" xfId="0"/>
    <cellStyle name="Normal 61 2 4 2 4 2 2 3 3" xfId="0"/>
    <cellStyle name="Normal 61 2 4 2 4 2 2 3 3 2" xfId="0"/>
    <cellStyle name="Normal 61 2 4 2 4 2 2 3 3 2 2" xfId="0"/>
    <cellStyle name="Normal 61 2 4 2 4 2 2 3 3 3" xfId="0"/>
    <cellStyle name="Normal 61 2 4 2 4 2 2 3 4" xfId="0"/>
    <cellStyle name="Normal 61 2 4 2 4 2 2 3 4 2" xfId="0"/>
    <cellStyle name="Normal 61 2 4 2 4 2 2 3 5" xfId="0"/>
    <cellStyle name="Normal 61 2 4 2 4 2 2 4" xfId="0"/>
    <cellStyle name="Normal 61 2 4 2 4 2 2 4 2" xfId="0"/>
    <cellStyle name="Normal 61 2 4 2 4 2 2 4 2 2" xfId="0"/>
    <cellStyle name="Normal 61 2 4 2 4 2 2 4 3" xfId="0"/>
    <cellStyle name="Normal 61 2 4 2 4 2 2 5" xfId="0"/>
    <cellStyle name="Normal 61 2 4 2 4 2 2 5 2" xfId="0"/>
    <cellStyle name="Normal 61 2 4 2 4 2 2 5 2 2" xfId="0"/>
    <cellStyle name="Normal 61 2 4 2 4 2 2 5 3" xfId="0"/>
    <cellStyle name="Normal 61 2 4 2 4 2 2 6" xfId="0"/>
    <cellStyle name="Normal 61 2 4 2 4 2 2 6 2" xfId="0"/>
    <cellStyle name="Normal 61 2 4 2 4 2 2 7" xfId="0"/>
    <cellStyle name="Normal 61 2 4 2 4 2 3" xfId="0"/>
    <cellStyle name="Normal 61 2 4 2 4 2 3 2" xfId="0"/>
    <cellStyle name="Normal 61 2 4 2 4 2 3 2 2" xfId="0"/>
    <cellStyle name="Normal 61 2 4 2 4 2 3 2 2 2" xfId="0"/>
    <cellStyle name="Normal 61 2 4 2 4 2 3 2 2 2 2" xfId="0"/>
    <cellStyle name="Normal 61 2 4 2 4 2 3 2 2 3" xfId="0"/>
    <cellStyle name="Normal 61 2 4 2 4 2 3 2 3" xfId="0"/>
    <cellStyle name="Normal 61 2 4 2 4 2 3 2 3 2" xfId="0"/>
    <cellStyle name="Normal 61 2 4 2 4 2 3 2 3 2 2" xfId="0"/>
    <cellStyle name="Normal 61 2 4 2 4 2 3 2 3 3" xfId="0"/>
    <cellStyle name="Normal 61 2 4 2 4 2 3 2 4" xfId="0"/>
    <cellStyle name="Normal 61 2 4 2 4 2 3 2 4 2" xfId="0"/>
    <cellStyle name="Normal 61 2 4 2 4 2 3 2 5" xfId="0"/>
    <cellStyle name="Normal 61 2 4 2 4 2 3 3" xfId="0"/>
    <cellStyle name="Normal 61 2 4 2 4 2 3 3 2" xfId="0"/>
    <cellStyle name="Normal 61 2 4 2 4 2 3 3 2 2" xfId="0"/>
    <cellStyle name="Normal 61 2 4 2 4 2 3 3 3" xfId="0"/>
    <cellStyle name="Normal 61 2 4 2 4 2 3 4" xfId="0"/>
    <cellStyle name="Normal 61 2 4 2 4 2 3 4 2" xfId="0"/>
    <cellStyle name="Normal 61 2 4 2 4 2 3 4 2 2" xfId="0"/>
    <cellStyle name="Normal 61 2 4 2 4 2 3 4 3" xfId="0"/>
    <cellStyle name="Normal 61 2 4 2 4 2 3 5" xfId="0"/>
    <cellStyle name="Normal 61 2 4 2 4 2 3 5 2" xfId="0"/>
    <cellStyle name="Normal 61 2 4 2 4 2 3 6" xfId="0"/>
    <cellStyle name="Normal 61 2 4 2 4 2 4" xfId="0"/>
    <cellStyle name="Normal 61 2 4 2 4 2 4 2" xfId="0"/>
    <cellStyle name="Normal 61 2 4 2 4 2 4 2 2" xfId="0"/>
    <cellStyle name="Normal 61 2 4 2 4 2 4 2 2 2" xfId="0"/>
    <cellStyle name="Normal 61 2 4 2 4 2 4 2 3" xfId="0"/>
    <cellStyle name="Normal 61 2 4 2 4 2 4 3" xfId="0"/>
    <cellStyle name="Normal 61 2 4 2 4 2 4 3 2" xfId="0"/>
    <cellStyle name="Normal 61 2 4 2 4 2 4 3 2 2" xfId="0"/>
    <cellStyle name="Normal 61 2 4 2 4 2 4 3 3" xfId="0"/>
    <cellStyle name="Normal 61 2 4 2 4 2 4 4" xfId="0"/>
    <cellStyle name="Normal 61 2 4 2 4 2 4 4 2" xfId="0"/>
    <cellStyle name="Normal 61 2 4 2 4 2 4 5" xfId="0"/>
    <cellStyle name="Normal 61 2 4 2 4 2 5" xfId="0"/>
    <cellStyle name="Normal 61 2 4 2 4 2 5 2" xfId="0"/>
    <cellStyle name="Normal 61 2 4 2 4 2 5 2 2" xfId="0"/>
    <cellStyle name="Normal 61 2 4 2 4 2 5 3" xfId="0"/>
    <cellStyle name="Normal 61 2 4 2 4 2 6" xfId="0"/>
    <cellStyle name="Normal 61 2 4 2 4 2 6 2" xfId="0"/>
    <cellStyle name="Normal 61 2 4 2 4 2 6 2 2" xfId="0"/>
    <cellStyle name="Normal 61 2 4 2 4 2 6 3" xfId="0"/>
    <cellStyle name="Normal 61 2 4 2 4 2 7" xfId="0"/>
    <cellStyle name="Normal 61 2 4 2 4 2 7 2" xfId="0"/>
    <cellStyle name="Normal 61 2 4 2 4 2 8" xfId="0"/>
    <cellStyle name="Normal 61 2 4 2 4 3" xfId="0"/>
    <cellStyle name="Normal 61 2 4 2 4 3 2" xfId="0"/>
    <cellStyle name="Normal 61 2 4 2 4 3 2 2" xfId="0"/>
    <cellStyle name="Normal 61 2 4 2 4 3 2 2 2" xfId="0"/>
    <cellStyle name="Normal 61 2 4 2 4 3 2 2 2 2" xfId="0"/>
    <cellStyle name="Normal 61 2 4 2 4 3 2 2 2 2 2" xfId="0"/>
    <cellStyle name="Normal 61 2 4 2 4 3 2 2 2 3" xfId="0"/>
    <cellStyle name="Normal 61 2 4 2 4 3 2 2 3" xfId="0"/>
    <cellStyle name="Normal 61 2 4 2 4 3 2 2 3 2" xfId="0"/>
    <cellStyle name="Normal 61 2 4 2 4 3 2 2 3 2 2" xfId="0"/>
    <cellStyle name="Normal 61 2 4 2 4 3 2 2 3 3" xfId="0"/>
    <cellStyle name="Normal 61 2 4 2 4 3 2 2 4" xfId="0"/>
    <cellStyle name="Normal 61 2 4 2 4 3 2 2 4 2" xfId="0"/>
    <cellStyle name="Normal 61 2 4 2 4 3 2 2 5" xfId="0"/>
    <cellStyle name="Normal 61 2 4 2 4 3 2 3" xfId="0"/>
    <cellStyle name="Normal 61 2 4 2 4 3 2 3 2" xfId="0"/>
    <cellStyle name="Normal 61 2 4 2 4 3 2 3 2 2" xfId="0"/>
    <cellStyle name="Normal 61 2 4 2 4 3 2 3 3" xfId="0"/>
    <cellStyle name="Normal 61 2 4 2 4 3 2 4" xfId="0"/>
    <cellStyle name="Normal 61 2 4 2 4 3 2 4 2" xfId="0"/>
    <cellStyle name="Normal 61 2 4 2 4 3 2 4 2 2" xfId="0"/>
    <cellStyle name="Normal 61 2 4 2 4 3 2 4 3" xfId="0"/>
    <cellStyle name="Normal 61 2 4 2 4 3 2 5" xfId="0"/>
    <cellStyle name="Normal 61 2 4 2 4 3 2 5 2" xfId="0"/>
    <cellStyle name="Normal 61 2 4 2 4 3 2 6" xfId="0"/>
    <cellStyle name="Normal 61 2 4 2 4 3 3" xfId="0"/>
    <cellStyle name="Normal 61 2 4 2 4 3 3 2" xfId="0"/>
    <cellStyle name="Normal 61 2 4 2 4 3 3 2 2" xfId="0"/>
    <cellStyle name="Normal 61 2 4 2 4 3 3 2 2 2" xfId="0"/>
    <cellStyle name="Normal 61 2 4 2 4 3 3 2 3" xfId="0"/>
    <cellStyle name="Normal 61 2 4 2 4 3 3 3" xfId="0"/>
    <cellStyle name="Normal 61 2 4 2 4 3 3 3 2" xfId="0"/>
    <cellStyle name="Normal 61 2 4 2 4 3 3 3 2 2" xfId="0"/>
    <cellStyle name="Normal 61 2 4 2 4 3 3 3 3" xfId="0"/>
    <cellStyle name="Normal 61 2 4 2 4 3 3 4" xfId="0"/>
    <cellStyle name="Normal 61 2 4 2 4 3 3 4 2" xfId="0"/>
    <cellStyle name="Normal 61 2 4 2 4 3 3 5" xfId="0"/>
    <cellStyle name="Normal 61 2 4 2 4 3 4" xfId="0"/>
    <cellStyle name="Normal 61 2 4 2 4 3 4 2" xfId="0"/>
    <cellStyle name="Normal 61 2 4 2 4 3 4 2 2" xfId="0"/>
    <cellStyle name="Normal 61 2 4 2 4 3 4 3" xfId="0"/>
    <cellStyle name="Normal 61 2 4 2 4 3 5" xfId="0"/>
    <cellStyle name="Normal 61 2 4 2 4 3 5 2" xfId="0"/>
    <cellStyle name="Normal 61 2 4 2 4 3 5 2 2" xfId="0"/>
    <cellStyle name="Normal 61 2 4 2 4 3 5 3" xfId="0"/>
    <cellStyle name="Normal 61 2 4 2 4 3 6" xfId="0"/>
    <cellStyle name="Normal 61 2 4 2 4 3 6 2" xfId="0"/>
    <cellStyle name="Normal 61 2 4 2 4 3 7" xfId="0"/>
    <cellStyle name="Normal 61 2 4 2 4 4" xfId="0"/>
    <cellStyle name="Normal 61 2 4 2 4 4 2" xfId="0"/>
    <cellStyle name="Normal 61 2 4 2 4 4 2 2" xfId="0"/>
    <cellStyle name="Normal 61 2 4 2 4 4 2 2 2" xfId="0"/>
    <cellStyle name="Normal 61 2 4 2 4 4 2 2 2 2" xfId="0"/>
    <cellStyle name="Normal 61 2 4 2 4 4 2 2 3" xfId="0"/>
    <cellStyle name="Normal 61 2 4 2 4 4 2 3" xfId="0"/>
    <cellStyle name="Normal 61 2 4 2 4 4 2 3 2" xfId="0"/>
    <cellStyle name="Normal 61 2 4 2 4 4 2 3 2 2" xfId="0"/>
    <cellStyle name="Normal 61 2 4 2 4 4 2 3 3" xfId="0"/>
    <cellStyle name="Normal 61 2 4 2 4 4 2 4" xfId="0"/>
    <cellStyle name="Normal 61 2 4 2 4 4 2 4 2" xfId="0"/>
    <cellStyle name="Normal 61 2 4 2 4 4 2 5" xfId="0"/>
    <cellStyle name="Normal 61 2 4 2 4 4 3" xfId="0"/>
    <cellStyle name="Normal 61 2 4 2 4 4 3 2" xfId="0"/>
    <cellStyle name="Normal 61 2 4 2 4 4 3 2 2" xfId="0"/>
    <cellStyle name="Normal 61 2 4 2 4 4 3 3" xfId="0"/>
    <cellStyle name="Normal 61 2 4 2 4 4 4" xfId="0"/>
    <cellStyle name="Normal 61 2 4 2 4 4 4 2" xfId="0"/>
    <cellStyle name="Normal 61 2 4 2 4 4 4 2 2" xfId="0"/>
    <cellStyle name="Normal 61 2 4 2 4 4 4 3" xfId="0"/>
    <cellStyle name="Normal 61 2 4 2 4 4 5" xfId="0"/>
    <cellStyle name="Normal 61 2 4 2 4 4 5 2" xfId="0"/>
    <cellStyle name="Normal 61 2 4 2 4 4 6" xfId="0"/>
    <cellStyle name="Normal 61 2 4 2 4 5" xfId="0"/>
    <cellStyle name="Normal 61 2 4 2 4 5 2" xfId="0"/>
    <cellStyle name="Normal 61 2 4 2 4 5 2 2" xfId="0"/>
    <cellStyle name="Normal 61 2 4 2 4 5 2 2 2" xfId="0"/>
    <cellStyle name="Normal 61 2 4 2 4 5 2 3" xfId="0"/>
    <cellStyle name="Normal 61 2 4 2 4 5 3" xfId="0"/>
    <cellStyle name="Normal 61 2 4 2 4 5 3 2" xfId="0"/>
    <cellStyle name="Normal 61 2 4 2 4 5 3 2 2" xfId="0"/>
    <cellStyle name="Normal 61 2 4 2 4 5 3 3" xfId="0"/>
    <cellStyle name="Normal 61 2 4 2 4 5 4" xfId="0"/>
    <cellStyle name="Normal 61 2 4 2 4 5 4 2" xfId="0"/>
    <cellStyle name="Normal 61 2 4 2 4 5 5" xfId="0"/>
    <cellStyle name="Normal 61 2 4 2 4 6" xfId="0"/>
    <cellStyle name="Normal 61 2 4 2 4 6 2" xfId="0"/>
    <cellStyle name="Normal 61 2 4 2 4 6 2 2" xfId="0"/>
    <cellStyle name="Normal 61 2 4 2 4 6 3" xfId="0"/>
    <cellStyle name="Normal 61 2 4 2 4 7" xfId="0"/>
    <cellStyle name="Normal 61 2 4 2 4 7 2" xfId="0"/>
    <cellStyle name="Normal 61 2 4 2 4 7 2 2" xfId="0"/>
    <cellStyle name="Normal 61 2 4 2 4 7 3" xfId="0"/>
    <cellStyle name="Normal 61 2 4 2 4 8" xfId="0"/>
    <cellStyle name="Normal 61 2 4 2 4 8 2" xfId="0"/>
    <cellStyle name="Normal 61 2 4 2 4 9" xfId="0"/>
    <cellStyle name="Normal 61 2 4 2 5" xfId="0"/>
    <cellStyle name="Normal 61 2 4 2 5 2" xfId="0"/>
    <cellStyle name="Normal 61 2 4 2 5 2 2" xfId="0"/>
    <cellStyle name="Normal 61 2 4 2 5 2 2 2" xfId="0"/>
    <cellStyle name="Normal 61 2 4 2 5 2 2 2 2" xfId="0"/>
    <cellStyle name="Normal 61 2 4 2 5 2 2 2 2 2" xfId="0"/>
    <cellStyle name="Normal 61 2 4 2 5 2 2 2 2 2 2" xfId="0"/>
    <cellStyle name="Normal 61 2 4 2 5 2 2 2 2 3" xfId="0"/>
    <cellStyle name="Normal 61 2 4 2 5 2 2 2 3" xfId="0"/>
    <cellStyle name="Normal 61 2 4 2 5 2 2 2 3 2" xfId="0"/>
    <cellStyle name="Normal 61 2 4 2 5 2 2 2 3 2 2" xfId="0"/>
    <cellStyle name="Normal 61 2 4 2 5 2 2 2 3 3" xfId="0"/>
    <cellStyle name="Normal 61 2 4 2 5 2 2 2 4" xfId="0"/>
    <cellStyle name="Normal 61 2 4 2 5 2 2 2 4 2" xfId="0"/>
    <cellStyle name="Normal 61 2 4 2 5 2 2 2 5" xfId="0"/>
    <cellStyle name="Normal 61 2 4 2 5 2 2 3" xfId="0"/>
    <cellStyle name="Normal 61 2 4 2 5 2 2 3 2" xfId="0"/>
    <cellStyle name="Normal 61 2 4 2 5 2 2 3 2 2" xfId="0"/>
    <cellStyle name="Normal 61 2 4 2 5 2 2 3 3" xfId="0"/>
    <cellStyle name="Normal 61 2 4 2 5 2 2 4" xfId="0"/>
    <cellStyle name="Normal 61 2 4 2 5 2 2 4 2" xfId="0"/>
    <cellStyle name="Normal 61 2 4 2 5 2 2 4 2 2" xfId="0"/>
    <cellStyle name="Normal 61 2 4 2 5 2 2 4 3" xfId="0"/>
    <cellStyle name="Normal 61 2 4 2 5 2 2 5" xfId="0"/>
    <cellStyle name="Normal 61 2 4 2 5 2 2 5 2" xfId="0"/>
    <cellStyle name="Normal 61 2 4 2 5 2 2 6" xfId="0"/>
    <cellStyle name="Normal 61 2 4 2 5 2 3" xfId="0"/>
    <cellStyle name="Normal 61 2 4 2 5 2 3 2" xfId="0"/>
    <cellStyle name="Normal 61 2 4 2 5 2 3 2 2" xfId="0"/>
    <cellStyle name="Normal 61 2 4 2 5 2 3 2 2 2" xfId="0"/>
    <cellStyle name="Normal 61 2 4 2 5 2 3 2 3" xfId="0"/>
    <cellStyle name="Normal 61 2 4 2 5 2 3 3" xfId="0"/>
    <cellStyle name="Normal 61 2 4 2 5 2 3 3 2" xfId="0"/>
    <cellStyle name="Normal 61 2 4 2 5 2 3 3 2 2" xfId="0"/>
    <cellStyle name="Normal 61 2 4 2 5 2 3 3 3" xfId="0"/>
    <cellStyle name="Normal 61 2 4 2 5 2 3 4" xfId="0"/>
    <cellStyle name="Normal 61 2 4 2 5 2 3 4 2" xfId="0"/>
    <cellStyle name="Normal 61 2 4 2 5 2 3 5" xfId="0"/>
    <cellStyle name="Normal 61 2 4 2 5 2 4" xfId="0"/>
    <cellStyle name="Normal 61 2 4 2 5 2 4 2" xfId="0"/>
    <cellStyle name="Normal 61 2 4 2 5 2 4 2 2" xfId="0"/>
    <cellStyle name="Normal 61 2 4 2 5 2 4 3" xfId="0"/>
    <cellStyle name="Normal 61 2 4 2 5 2 5" xfId="0"/>
    <cellStyle name="Normal 61 2 4 2 5 2 5 2" xfId="0"/>
    <cellStyle name="Normal 61 2 4 2 5 2 5 2 2" xfId="0"/>
    <cellStyle name="Normal 61 2 4 2 5 2 5 3" xfId="0"/>
    <cellStyle name="Normal 61 2 4 2 5 2 6" xfId="0"/>
    <cellStyle name="Normal 61 2 4 2 5 2 6 2" xfId="0"/>
    <cellStyle name="Normal 61 2 4 2 5 2 7" xfId="0"/>
    <cellStyle name="Normal 61 2 4 2 5 3" xfId="0"/>
    <cellStyle name="Normal 61 2 4 2 5 3 2" xfId="0"/>
    <cellStyle name="Normal 61 2 4 2 5 3 2 2" xfId="0"/>
    <cellStyle name="Normal 61 2 4 2 5 3 2 2 2" xfId="0"/>
    <cellStyle name="Normal 61 2 4 2 5 3 2 2 2 2" xfId="0"/>
    <cellStyle name="Normal 61 2 4 2 5 3 2 2 3" xfId="0"/>
    <cellStyle name="Normal 61 2 4 2 5 3 2 3" xfId="0"/>
    <cellStyle name="Normal 61 2 4 2 5 3 2 3 2" xfId="0"/>
    <cellStyle name="Normal 61 2 4 2 5 3 2 3 2 2" xfId="0"/>
    <cellStyle name="Normal 61 2 4 2 5 3 2 3 3" xfId="0"/>
    <cellStyle name="Normal 61 2 4 2 5 3 2 4" xfId="0"/>
    <cellStyle name="Normal 61 2 4 2 5 3 2 4 2" xfId="0"/>
    <cellStyle name="Normal 61 2 4 2 5 3 2 5" xfId="0"/>
    <cellStyle name="Normal 61 2 4 2 5 3 3" xfId="0"/>
    <cellStyle name="Normal 61 2 4 2 5 3 3 2" xfId="0"/>
    <cellStyle name="Normal 61 2 4 2 5 3 3 2 2" xfId="0"/>
    <cellStyle name="Normal 61 2 4 2 5 3 3 3" xfId="0"/>
    <cellStyle name="Normal 61 2 4 2 5 3 4" xfId="0"/>
    <cellStyle name="Normal 61 2 4 2 5 3 4 2" xfId="0"/>
    <cellStyle name="Normal 61 2 4 2 5 3 4 2 2" xfId="0"/>
    <cellStyle name="Normal 61 2 4 2 5 3 4 3" xfId="0"/>
    <cellStyle name="Normal 61 2 4 2 5 3 5" xfId="0"/>
    <cellStyle name="Normal 61 2 4 2 5 3 5 2" xfId="0"/>
    <cellStyle name="Normal 61 2 4 2 5 3 6" xfId="0"/>
    <cellStyle name="Normal 61 2 4 2 5 4" xfId="0"/>
    <cellStyle name="Normal 61 2 4 2 5 4 2" xfId="0"/>
    <cellStyle name="Normal 61 2 4 2 5 4 2 2" xfId="0"/>
    <cellStyle name="Normal 61 2 4 2 5 4 2 2 2" xfId="0"/>
    <cellStyle name="Normal 61 2 4 2 5 4 2 3" xfId="0"/>
    <cellStyle name="Normal 61 2 4 2 5 4 3" xfId="0"/>
    <cellStyle name="Normal 61 2 4 2 5 4 3 2" xfId="0"/>
    <cellStyle name="Normal 61 2 4 2 5 4 3 2 2" xfId="0"/>
    <cellStyle name="Normal 61 2 4 2 5 4 3 3" xfId="0"/>
    <cellStyle name="Normal 61 2 4 2 5 4 4" xfId="0"/>
    <cellStyle name="Normal 61 2 4 2 5 4 4 2" xfId="0"/>
    <cellStyle name="Normal 61 2 4 2 5 4 5" xfId="0"/>
    <cellStyle name="Normal 61 2 4 2 5 5" xfId="0"/>
    <cellStyle name="Normal 61 2 4 2 5 5 2" xfId="0"/>
    <cellStyle name="Normal 61 2 4 2 5 5 2 2" xfId="0"/>
    <cellStyle name="Normal 61 2 4 2 5 5 3" xfId="0"/>
    <cellStyle name="Normal 61 2 4 2 5 6" xfId="0"/>
    <cellStyle name="Normal 61 2 4 2 5 6 2" xfId="0"/>
    <cellStyle name="Normal 61 2 4 2 5 6 2 2" xfId="0"/>
    <cellStyle name="Normal 61 2 4 2 5 6 3" xfId="0"/>
    <cellStyle name="Normal 61 2 4 2 5 7" xfId="0"/>
    <cellStyle name="Normal 61 2 4 2 5 7 2" xfId="0"/>
    <cellStyle name="Normal 61 2 4 2 5 8" xfId="0"/>
    <cellStyle name="Normal 61 2 4 2 6" xfId="0"/>
    <cellStyle name="Normal 61 2 4 2 6 2" xfId="0"/>
    <cellStyle name="Normal 61 2 4 2 6 2 2" xfId="0"/>
    <cellStyle name="Normal 61 2 4 2 6 2 2 2" xfId="0"/>
    <cellStyle name="Normal 61 2 4 2 6 2 2 2 2" xfId="0"/>
    <cellStyle name="Normal 61 2 4 2 6 2 2 2 2 2" xfId="0"/>
    <cellStyle name="Normal 61 2 4 2 6 2 2 2 3" xfId="0"/>
    <cellStyle name="Normal 61 2 4 2 6 2 2 3" xfId="0"/>
    <cellStyle name="Normal 61 2 4 2 6 2 2 3 2" xfId="0"/>
    <cellStyle name="Normal 61 2 4 2 6 2 2 3 2 2" xfId="0"/>
    <cellStyle name="Normal 61 2 4 2 6 2 2 3 3" xfId="0"/>
    <cellStyle name="Normal 61 2 4 2 6 2 2 4" xfId="0"/>
    <cellStyle name="Normal 61 2 4 2 6 2 2 4 2" xfId="0"/>
    <cellStyle name="Normal 61 2 4 2 6 2 2 5" xfId="0"/>
    <cellStyle name="Normal 61 2 4 2 6 2 3" xfId="0"/>
    <cellStyle name="Normal 61 2 4 2 6 2 3 2" xfId="0"/>
    <cellStyle name="Normal 61 2 4 2 6 2 3 2 2" xfId="0"/>
    <cellStyle name="Normal 61 2 4 2 6 2 3 3" xfId="0"/>
    <cellStyle name="Normal 61 2 4 2 6 2 4" xfId="0"/>
    <cellStyle name="Normal 61 2 4 2 6 2 4 2" xfId="0"/>
    <cellStyle name="Normal 61 2 4 2 6 2 4 2 2" xfId="0"/>
    <cellStyle name="Normal 61 2 4 2 6 2 4 3" xfId="0"/>
    <cellStyle name="Normal 61 2 4 2 6 2 5" xfId="0"/>
    <cellStyle name="Normal 61 2 4 2 6 2 5 2" xfId="0"/>
    <cellStyle name="Normal 61 2 4 2 6 2 6" xfId="0"/>
    <cellStyle name="Normal 61 2 4 2 6 3" xfId="0"/>
    <cellStyle name="Normal 61 2 4 2 6 3 2" xfId="0"/>
    <cellStyle name="Normal 61 2 4 2 6 3 2 2" xfId="0"/>
    <cellStyle name="Normal 61 2 4 2 6 3 2 2 2" xfId="0"/>
    <cellStyle name="Normal 61 2 4 2 6 3 2 3" xfId="0"/>
    <cellStyle name="Normal 61 2 4 2 6 3 3" xfId="0"/>
    <cellStyle name="Normal 61 2 4 2 6 3 3 2" xfId="0"/>
    <cellStyle name="Normal 61 2 4 2 6 3 3 2 2" xfId="0"/>
    <cellStyle name="Normal 61 2 4 2 6 3 3 3" xfId="0"/>
    <cellStyle name="Normal 61 2 4 2 6 3 4" xfId="0"/>
    <cellStyle name="Normal 61 2 4 2 6 3 4 2" xfId="0"/>
    <cellStyle name="Normal 61 2 4 2 6 3 5" xfId="0"/>
    <cellStyle name="Normal 61 2 4 2 6 4" xfId="0"/>
    <cellStyle name="Normal 61 2 4 2 6 4 2" xfId="0"/>
    <cellStyle name="Normal 61 2 4 2 6 4 2 2" xfId="0"/>
    <cellStyle name="Normal 61 2 4 2 6 4 3" xfId="0"/>
    <cellStyle name="Normal 61 2 4 2 6 5" xfId="0"/>
    <cellStyle name="Normal 61 2 4 2 6 5 2" xfId="0"/>
    <cellStyle name="Normal 61 2 4 2 6 5 2 2" xfId="0"/>
    <cellStyle name="Normal 61 2 4 2 6 5 3" xfId="0"/>
    <cellStyle name="Normal 61 2 4 2 6 6" xfId="0"/>
    <cellStyle name="Normal 61 2 4 2 6 6 2" xfId="0"/>
    <cellStyle name="Normal 61 2 4 2 6 7" xfId="0"/>
    <cellStyle name="Normal 61 2 4 2 7" xfId="0"/>
    <cellStyle name="Normal 61 2 4 2 7 2" xfId="0"/>
    <cellStyle name="Normal 61 2 4 2 7 2 2" xfId="0"/>
    <cellStyle name="Normal 61 2 4 2 7 2 2 2" xfId="0"/>
    <cellStyle name="Normal 61 2 4 2 7 2 2 2 2" xfId="0"/>
    <cellStyle name="Normal 61 2 4 2 7 2 2 3" xfId="0"/>
    <cellStyle name="Normal 61 2 4 2 7 2 3" xfId="0"/>
    <cellStyle name="Normal 61 2 4 2 7 2 3 2" xfId="0"/>
    <cellStyle name="Normal 61 2 4 2 7 2 3 2 2" xfId="0"/>
    <cellStyle name="Normal 61 2 4 2 7 2 3 3" xfId="0"/>
    <cellStyle name="Normal 61 2 4 2 7 2 4" xfId="0"/>
    <cellStyle name="Normal 61 2 4 2 7 2 4 2" xfId="0"/>
    <cellStyle name="Normal 61 2 4 2 7 2 5" xfId="0"/>
    <cellStyle name="Normal 61 2 4 2 7 3" xfId="0"/>
    <cellStyle name="Normal 61 2 4 2 7 3 2" xfId="0"/>
    <cellStyle name="Normal 61 2 4 2 7 3 2 2" xfId="0"/>
    <cellStyle name="Normal 61 2 4 2 7 3 3" xfId="0"/>
    <cellStyle name="Normal 61 2 4 2 7 4" xfId="0"/>
    <cellStyle name="Normal 61 2 4 2 7 4 2" xfId="0"/>
    <cellStyle name="Normal 61 2 4 2 7 4 2 2" xfId="0"/>
    <cellStyle name="Normal 61 2 4 2 7 4 3" xfId="0"/>
    <cellStyle name="Normal 61 2 4 2 7 5" xfId="0"/>
    <cellStyle name="Normal 61 2 4 2 7 5 2" xfId="0"/>
    <cellStyle name="Normal 61 2 4 2 7 6" xfId="0"/>
    <cellStyle name="Normal 61 2 4 2 8" xfId="0"/>
    <cellStyle name="Normal 61 2 4 2 8 2" xfId="0"/>
    <cellStyle name="Normal 61 2 4 2 8 2 2" xfId="0"/>
    <cellStyle name="Normal 61 2 4 2 8 2 2 2" xfId="0"/>
    <cellStyle name="Normal 61 2 4 2 8 2 3" xfId="0"/>
    <cellStyle name="Normal 61 2 4 2 8 3" xfId="0"/>
    <cellStyle name="Normal 61 2 4 2 8 3 2" xfId="0"/>
    <cellStyle name="Normal 61 2 4 2 8 3 2 2" xfId="0"/>
    <cellStyle name="Normal 61 2 4 2 8 3 3" xfId="0"/>
    <cellStyle name="Normal 61 2 4 2 8 4" xfId="0"/>
    <cellStyle name="Normal 61 2 4 2 8 4 2" xfId="0"/>
    <cellStyle name="Normal 61 2 4 2 8 5" xfId="0"/>
    <cellStyle name="Normal 61 2 4 2 9" xfId="0"/>
    <cellStyle name="Normal 61 2 4 2 9 2" xfId="0"/>
    <cellStyle name="Normal 61 2 4 2 9 2 2" xfId="0"/>
    <cellStyle name="Normal 61 2 4 2 9 3" xfId="0"/>
    <cellStyle name="Normal 61 2 4 3" xfId="0"/>
    <cellStyle name="Normal 61 2 4 3 10" xfId="0"/>
    <cellStyle name="Normal 61 2 4 3 2" xfId="0"/>
    <cellStyle name="Normal 61 2 4 3 2 2" xfId="0"/>
    <cellStyle name="Normal 61 2 4 3 2 2 2" xfId="0"/>
    <cellStyle name="Normal 61 2 4 3 2 2 2 2" xfId="0"/>
    <cellStyle name="Normal 61 2 4 3 2 2 2 2 2" xfId="0"/>
    <cellStyle name="Normal 61 2 4 3 2 2 2 2 2 2" xfId="0"/>
    <cellStyle name="Normal 61 2 4 3 2 2 2 2 2 2 2" xfId="0"/>
    <cellStyle name="Normal 61 2 4 3 2 2 2 2 2 2 2 2" xfId="0"/>
    <cellStyle name="Normal 61 2 4 3 2 2 2 2 2 2 3" xfId="0"/>
    <cellStyle name="Normal 61 2 4 3 2 2 2 2 2 3" xfId="0"/>
    <cellStyle name="Normal 61 2 4 3 2 2 2 2 2 3 2" xfId="0"/>
    <cellStyle name="Normal 61 2 4 3 2 2 2 2 2 3 2 2" xfId="0"/>
    <cellStyle name="Normal 61 2 4 3 2 2 2 2 2 3 3" xfId="0"/>
    <cellStyle name="Normal 61 2 4 3 2 2 2 2 2 4" xfId="0"/>
    <cellStyle name="Normal 61 2 4 3 2 2 2 2 2 4 2" xfId="0"/>
    <cellStyle name="Normal 61 2 4 3 2 2 2 2 2 5" xfId="0"/>
    <cellStyle name="Normal 61 2 4 3 2 2 2 2 3" xfId="0"/>
    <cellStyle name="Normal 61 2 4 3 2 2 2 2 3 2" xfId="0"/>
    <cellStyle name="Normal 61 2 4 3 2 2 2 2 3 2 2" xfId="0"/>
    <cellStyle name="Normal 61 2 4 3 2 2 2 2 3 3" xfId="0"/>
    <cellStyle name="Normal 61 2 4 3 2 2 2 2 4" xfId="0"/>
    <cellStyle name="Normal 61 2 4 3 2 2 2 2 4 2" xfId="0"/>
    <cellStyle name="Normal 61 2 4 3 2 2 2 2 4 2 2" xfId="0"/>
    <cellStyle name="Normal 61 2 4 3 2 2 2 2 4 3" xfId="0"/>
    <cellStyle name="Normal 61 2 4 3 2 2 2 2 5" xfId="0"/>
    <cellStyle name="Normal 61 2 4 3 2 2 2 2 5 2" xfId="0"/>
    <cellStyle name="Normal 61 2 4 3 2 2 2 2 6" xfId="0"/>
    <cellStyle name="Normal 61 2 4 3 2 2 2 3" xfId="0"/>
    <cellStyle name="Normal 61 2 4 3 2 2 2 3 2" xfId="0"/>
    <cellStyle name="Normal 61 2 4 3 2 2 2 3 2 2" xfId="0"/>
    <cellStyle name="Normal 61 2 4 3 2 2 2 3 2 2 2" xfId="0"/>
    <cellStyle name="Normal 61 2 4 3 2 2 2 3 2 3" xfId="0"/>
    <cellStyle name="Normal 61 2 4 3 2 2 2 3 3" xfId="0"/>
    <cellStyle name="Normal 61 2 4 3 2 2 2 3 3 2" xfId="0"/>
    <cellStyle name="Normal 61 2 4 3 2 2 2 3 3 2 2" xfId="0"/>
    <cellStyle name="Normal 61 2 4 3 2 2 2 3 3 3" xfId="0"/>
    <cellStyle name="Normal 61 2 4 3 2 2 2 3 4" xfId="0"/>
    <cellStyle name="Normal 61 2 4 3 2 2 2 3 4 2" xfId="0"/>
    <cellStyle name="Normal 61 2 4 3 2 2 2 3 5" xfId="0"/>
    <cellStyle name="Normal 61 2 4 3 2 2 2 4" xfId="0"/>
    <cellStyle name="Normal 61 2 4 3 2 2 2 4 2" xfId="0"/>
    <cellStyle name="Normal 61 2 4 3 2 2 2 4 2 2" xfId="0"/>
    <cellStyle name="Normal 61 2 4 3 2 2 2 4 3" xfId="0"/>
    <cellStyle name="Normal 61 2 4 3 2 2 2 5" xfId="0"/>
    <cellStyle name="Normal 61 2 4 3 2 2 2 5 2" xfId="0"/>
    <cellStyle name="Normal 61 2 4 3 2 2 2 5 2 2" xfId="0"/>
    <cellStyle name="Normal 61 2 4 3 2 2 2 5 3" xfId="0"/>
    <cellStyle name="Normal 61 2 4 3 2 2 2 6" xfId="0"/>
    <cellStyle name="Normal 61 2 4 3 2 2 2 6 2" xfId="0"/>
    <cellStyle name="Normal 61 2 4 3 2 2 2 7" xfId="0"/>
    <cellStyle name="Normal 61 2 4 3 2 2 3" xfId="0"/>
    <cellStyle name="Normal 61 2 4 3 2 2 3 2" xfId="0"/>
    <cellStyle name="Normal 61 2 4 3 2 2 3 2 2" xfId="0"/>
    <cellStyle name="Normal 61 2 4 3 2 2 3 2 2 2" xfId="0"/>
    <cellStyle name="Normal 61 2 4 3 2 2 3 2 2 2 2" xfId="0"/>
    <cellStyle name="Normal 61 2 4 3 2 2 3 2 2 3" xfId="0"/>
    <cellStyle name="Normal 61 2 4 3 2 2 3 2 3" xfId="0"/>
    <cellStyle name="Normal 61 2 4 3 2 2 3 2 3 2" xfId="0"/>
    <cellStyle name="Normal 61 2 4 3 2 2 3 2 3 2 2" xfId="0"/>
    <cellStyle name="Normal 61 2 4 3 2 2 3 2 3 3" xfId="0"/>
    <cellStyle name="Normal 61 2 4 3 2 2 3 2 4" xfId="0"/>
    <cellStyle name="Normal 61 2 4 3 2 2 3 2 4 2" xfId="0"/>
    <cellStyle name="Normal 61 2 4 3 2 2 3 2 5" xfId="0"/>
    <cellStyle name="Normal 61 2 4 3 2 2 3 3" xfId="0"/>
    <cellStyle name="Normal 61 2 4 3 2 2 3 3 2" xfId="0"/>
    <cellStyle name="Normal 61 2 4 3 2 2 3 3 2 2" xfId="0"/>
    <cellStyle name="Normal 61 2 4 3 2 2 3 3 3" xfId="0"/>
    <cellStyle name="Normal 61 2 4 3 2 2 3 4" xfId="0"/>
    <cellStyle name="Normal 61 2 4 3 2 2 3 4 2" xfId="0"/>
    <cellStyle name="Normal 61 2 4 3 2 2 3 4 2 2" xfId="0"/>
    <cellStyle name="Normal 61 2 4 3 2 2 3 4 3" xfId="0"/>
    <cellStyle name="Normal 61 2 4 3 2 2 3 5" xfId="0"/>
    <cellStyle name="Normal 61 2 4 3 2 2 3 5 2" xfId="0"/>
    <cellStyle name="Normal 61 2 4 3 2 2 3 6" xfId="0"/>
    <cellStyle name="Normal 61 2 4 3 2 2 4" xfId="0"/>
    <cellStyle name="Normal 61 2 4 3 2 2 4 2" xfId="0"/>
    <cellStyle name="Normal 61 2 4 3 2 2 4 2 2" xfId="0"/>
    <cellStyle name="Normal 61 2 4 3 2 2 4 2 2 2" xfId="0"/>
    <cellStyle name="Normal 61 2 4 3 2 2 4 2 3" xfId="0"/>
    <cellStyle name="Normal 61 2 4 3 2 2 4 3" xfId="0"/>
    <cellStyle name="Normal 61 2 4 3 2 2 4 3 2" xfId="0"/>
    <cellStyle name="Normal 61 2 4 3 2 2 4 3 2 2" xfId="0"/>
    <cellStyle name="Normal 61 2 4 3 2 2 4 3 3" xfId="0"/>
    <cellStyle name="Normal 61 2 4 3 2 2 4 4" xfId="0"/>
    <cellStyle name="Normal 61 2 4 3 2 2 4 4 2" xfId="0"/>
    <cellStyle name="Normal 61 2 4 3 2 2 4 5" xfId="0"/>
    <cellStyle name="Normal 61 2 4 3 2 2 5" xfId="0"/>
    <cellStyle name="Normal 61 2 4 3 2 2 5 2" xfId="0"/>
    <cellStyle name="Normal 61 2 4 3 2 2 5 2 2" xfId="0"/>
    <cellStyle name="Normal 61 2 4 3 2 2 5 3" xfId="0"/>
    <cellStyle name="Normal 61 2 4 3 2 2 6" xfId="0"/>
    <cellStyle name="Normal 61 2 4 3 2 2 6 2" xfId="0"/>
    <cellStyle name="Normal 61 2 4 3 2 2 6 2 2" xfId="0"/>
    <cellStyle name="Normal 61 2 4 3 2 2 6 3" xfId="0"/>
    <cellStyle name="Normal 61 2 4 3 2 2 7" xfId="0"/>
    <cellStyle name="Normal 61 2 4 3 2 2 7 2" xfId="0"/>
    <cellStyle name="Normal 61 2 4 3 2 2 8" xfId="0"/>
    <cellStyle name="Normal 61 2 4 3 2 3" xfId="0"/>
    <cellStyle name="Normal 61 2 4 3 2 3 2" xfId="0"/>
    <cellStyle name="Normal 61 2 4 3 2 3 2 2" xfId="0"/>
    <cellStyle name="Normal 61 2 4 3 2 3 2 2 2" xfId="0"/>
    <cellStyle name="Normal 61 2 4 3 2 3 2 2 2 2" xfId="0"/>
    <cellStyle name="Normal 61 2 4 3 2 3 2 2 2 2 2" xfId="0"/>
    <cellStyle name="Normal 61 2 4 3 2 3 2 2 2 3" xfId="0"/>
    <cellStyle name="Normal 61 2 4 3 2 3 2 2 3" xfId="0"/>
    <cellStyle name="Normal 61 2 4 3 2 3 2 2 3 2" xfId="0"/>
    <cellStyle name="Normal 61 2 4 3 2 3 2 2 3 2 2" xfId="0"/>
    <cellStyle name="Normal 61 2 4 3 2 3 2 2 3 3" xfId="0"/>
    <cellStyle name="Normal 61 2 4 3 2 3 2 2 4" xfId="0"/>
    <cellStyle name="Normal 61 2 4 3 2 3 2 2 4 2" xfId="0"/>
    <cellStyle name="Normal 61 2 4 3 2 3 2 2 5" xfId="0"/>
    <cellStyle name="Normal 61 2 4 3 2 3 2 3" xfId="0"/>
    <cellStyle name="Normal 61 2 4 3 2 3 2 3 2" xfId="0"/>
    <cellStyle name="Normal 61 2 4 3 2 3 2 3 2 2" xfId="0"/>
    <cellStyle name="Normal 61 2 4 3 2 3 2 3 3" xfId="0"/>
    <cellStyle name="Normal 61 2 4 3 2 3 2 4" xfId="0"/>
    <cellStyle name="Normal 61 2 4 3 2 3 2 4 2" xfId="0"/>
    <cellStyle name="Normal 61 2 4 3 2 3 2 4 2 2" xfId="0"/>
    <cellStyle name="Normal 61 2 4 3 2 3 2 4 3" xfId="0"/>
    <cellStyle name="Normal 61 2 4 3 2 3 2 5" xfId="0"/>
    <cellStyle name="Normal 61 2 4 3 2 3 2 5 2" xfId="0"/>
    <cellStyle name="Normal 61 2 4 3 2 3 2 6" xfId="0"/>
    <cellStyle name="Normal 61 2 4 3 2 3 3" xfId="0"/>
    <cellStyle name="Normal 61 2 4 3 2 3 3 2" xfId="0"/>
    <cellStyle name="Normal 61 2 4 3 2 3 3 2 2" xfId="0"/>
    <cellStyle name="Normal 61 2 4 3 2 3 3 2 2 2" xfId="0"/>
    <cellStyle name="Normal 61 2 4 3 2 3 3 2 3" xfId="0"/>
    <cellStyle name="Normal 61 2 4 3 2 3 3 3" xfId="0"/>
    <cellStyle name="Normal 61 2 4 3 2 3 3 3 2" xfId="0"/>
    <cellStyle name="Normal 61 2 4 3 2 3 3 3 2 2" xfId="0"/>
    <cellStyle name="Normal 61 2 4 3 2 3 3 3 3" xfId="0"/>
    <cellStyle name="Normal 61 2 4 3 2 3 3 4" xfId="0"/>
    <cellStyle name="Normal 61 2 4 3 2 3 3 4 2" xfId="0"/>
    <cellStyle name="Normal 61 2 4 3 2 3 3 5" xfId="0"/>
    <cellStyle name="Normal 61 2 4 3 2 3 4" xfId="0"/>
    <cellStyle name="Normal 61 2 4 3 2 3 4 2" xfId="0"/>
    <cellStyle name="Normal 61 2 4 3 2 3 4 2 2" xfId="0"/>
    <cellStyle name="Normal 61 2 4 3 2 3 4 3" xfId="0"/>
    <cellStyle name="Normal 61 2 4 3 2 3 5" xfId="0"/>
    <cellStyle name="Normal 61 2 4 3 2 3 5 2" xfId="0"/>
    <cellStyle name="Normal 61 2 4 3 2 3 5 2 2" xfId="0"/>
    <cellStyle name="Normal 61 2 4 3 2 3 5 3" xfId="0"/>
    <cellStyle name="Normal 61 2 4 3 2 3 6" xfId="0"/>
    <cellStyle name="Normal 61 2 4 3 2 3 6 2" xfId="0"/>
    <cellStyle name="Normal 61 2 4 3 2 3 7" xfId="0"/>
    <cellStyle name="Normal 61 2 4 3 2 4" xfId="0"/>
    <cellStyle name="Normal 61 2 4 3 2 4 2" xfId="0"/>
    <cellStyle name="Normal 61 2 4 3 2 4 2 2" xfId="0"/>
    <cellStyle name="Normal 61 2 4 3 2 4 2 2 2" xfId="0"/>
    <cellStyle name="Normal 61 2 4 3 2 4 2 2 2 2" xfId="0"/>
    <cellStyle name="Normal 61 2 4 3 2 4 2 2 3" xfId="0"/>
    <cellStyle name="Normal 61 2 4 3 2 4 2 3" xfId="0"/>
    <cellStyle name="Normal 61 2 4 3 2 4 2 3 2" xfId="0"/>
    <cellStyle name="Normal 61 2 4 3 2 4 2 3 2 2" xfId="0"/>
    <cellStyle name="Normal 61 2 4 3 2 4 2 3 3" xfId="0"/>
    <cellStyle name="Normal 61 2 4 3 2 4 2 4" xfId="0"/>
    <cellStyle name="Normal 61 2 4 3 2 4 2 4 2" xfId="0"/>
    <cellStyle name="Normal 61 2 4 3 2 4 2 5" xfId="0"/>
    <cellStyle name="Normal 61 2 4 3 2 4 3" xfId="0"/>
    <cellStyle name="Normal 61 2 4 3 2 4 3 2" xfId="0"/>
    <cellStyle name="Normal 61 2 4 3 2 4 3 2 2" xfId="0"/>
    <cellStyle name="Normal 61 2 4 3 2 4 3 3" xfId="0"/>
    <cellStyle name="Normal 61 2 4 3 2 4 4" xfId="0"/>
    <cellStyle name="Normal 61 2 4 3 2 4 4 2" xfId="0"/>
    <cellStyle name="Normal 61 2 4 3 2 4 4 2 2" xfId="0"/>
    <cellStyle name="Normal 61 2 4 3 2 4 4 3" xfId="0"/>
    <cellStyle name="Normal 61 2 4 3 2 4 5" xfId="0"/>
    <cellStyle name="Normal 61 2 4 3 2 4 5 2" xfId="0"/>
    <cellStyle name="Normal 61 2 4 3 2 4 6" xfId="0"/>
    <cellStyle name="Normal 61 2 4 3 2 5" xfId="0"/>
    <cellStyle name="Normal 61 2 4 3 2 5 2" xfId="0"/>
    <cellStyle name="Normal 61 2 4 3 2 5 2 2" xfId="0"/>
    <cellStyle name="Normal 61 2 4 3 2 5 2 2 2" xfId="0"/>
    <cellStyle name="Normal 61 2 4 3 2 5 2 3" xfId="0"/>
    <cellStyle name="Normal 61 2 4 3 2 5 3" xfId="0"/>
    <cellStyle name="Normal 61 2 4 3 2 5 3 2" xfId="0"/>
    <cellStyle name="Normal 61 2 4 3 2 5 3 2 2" xfId="0"/>
    <cellStyle name="Normal 61 2 4 3 2 5 3 3" xfId="0"/>
    <cellStyle name="Normal 61 2 4 3 2 5 4" xfId="0"/>
    <cellStyle name="Normal 61 2 4 3 2 5 4 2" xfId="0"/>
    <cellStyle name="Normal 61 2 4 3 2 5 5" xfId="0"/>
    <cellStyle name="Normal 61 2 4 3 2 6" xfId="0"/>
    <cellStyle name="Normal 61 2 4 3 2 6 2" xfId="0"/>
    <cellStyle name="Normal 61 2 4 3 2 6 2 2" xfId="0"/>
    <cellStyle name="Normal 61 2 4 3 2 6 3" xfId="0"/>
    <cellStyle name="Normal 61 2 4 3 2 7" xfId="0"/>
    <cellStyle name="Normal 61 2 4 3 2 7 2" xfId="0"/>
    <cellStyle name="Normal 61 2 4 3 2 7 2 2" xfId="0"/>
    <cellStyle name="Normal 61 2 4 3 2 7 3" xfId="0"/>
    <cellStyle name="Normal 61 2 4 3 2 8" xfId="0"/>
    <cellStyle name="Normal 61 2 4 3 2 8 2" xfId="0"/>
    <cellStyle name="Normal 61 2 4 3 2 9" xfId="0"/>
    <cellStyle name="Normal 61 2 4 3 3" xfId="0"/>
    <cellStyle name="Normal 61 2 4 3 3 2" xfId="0"/>
    <cellStyle name="Normal 61 2 4 3 3 2 2" xfId="0"/>
    <cellStyle name="Normal 61 2 4 3 3 2 2 2" xfId="0"/>
    <cellStyle name="Normal 61 2 4 3 3 2 2 2 2" xfId="0"/>
    <cellStyle name="Normal 61 2 4 3 3 2 2 2 2 2" xfId="0"/>
    <cellStyle name="Normal 61 2 4 3 3 2 2 2 2 2 2" xfId="0"/>
    <cellStyle name="Normal 61 2 4 3 3 2 2 2 2 3" xfId="0"/>
    <cellStyle name="Normal 61 2 4 3 3 2 2 2 3" xfId="0"/>
    <cellStyle name="Normal 61 2 4 3 3 2 2 2 3 2" xfId="0"/>
    <cellStyle name="Normal 61 2 4 3 3 2 2 2 3 2 2" xfId="0"/>
    <cellStyle name="Normal 61 2 4 3 3 2 2 2 3 3" xfId="0"/>
    <cellStyle name="Normal 61 2 4 3 3 2 2 2 4" xfId="0"/>
    <cellStyle name="Normal 61 2 4 3 3 2 2 2 4 2" xfId="0"/>
    <cellStyle name="Normal 61 2 4 3 3 2 2 2 5" xfId="0"/>
    <cellStyle name="Normal 61 2 4 3 3 2 2 3" xfId="0"/>
    <cellStyle name="Normal 61 2 4 3 3 2 2 3 2" xfId="0"/>
    <cellStyle name="Normal 61 2 4 3 3 2 2 3 2 2" xfId="0"/>
    <cellStyle name="Normal 61 2 4 3 3 2 2 3 3" xfId="0"/>
    <cellStyle name="Normal 61 2 4 3 3 2 2 4" xfId="0"/>
    <cellStyle name="Normal 61 2 4 3 3 2 2 4 2" xfId="0"/>
    <cellStyle name="Normal 61 2 4 3 3 2 2 4 2 2" xfId="0"/>
    <cellStyle name="Normal 61 2 4 3 3 2 2 4 3" xfId="0"/>
    <cellStyle name="Normal 61 2 4 3 3 2 2 5" xfId="0"/>
    <cellStyle name="Normal 61 2 4 3 3 2 2 5 2" xfId="0"/>
    <cellStyle name="Normal 61 2 4 3 3 2 2 6" xfId="0"/>
    <cellStyle name="Normal 61 2 4 3 3 2 3" xfId="0"/>
    <cellStyle name="Normal 61 2 4 3 3 2 3 2" xfId="0"/>
    <cellStyle name="Normal 61 2 4 3 3 2 3 2 2" xfId="0"/>
    <cellStyle name="Normal 61 2 4 3 3 2 3 2 2 2" xfId="0"/>
    <cellStyle name="Normal 61 2 4 3 3 2 3 2 3" xfId="0"/>
    <cellStyle name="Normal 61 2 4 3 3 2 3 3" xfId="0"/>
    <cellStyle name="Normal 61 2 4 3 3 2 3 3 2" xfId="0"/>
    <cellStyle name="Normal 61 2 4 3 3 2 3 3 2 2" xfId="0"/>
    <cellStyle name="Normal 61 2 4 3 3 2 3 3 3" xfId="0"/>
    <cellStyle name="Normal 61 2 4 3 3 2 3 4" xfId="0"/>
    <cellStyle name="Normal 61 2 4 3 3 2 3 4 2" xfId="0"/>
    <cellStyle name="Normal 61 2 4 3 3 2 3 5" xfId="0"/>
    <cellStyle name="Normal 61 2 4 3 3 2 4" xfId="0"/>
    <cellStyle name="Normal 61 2 4 3 3 2 4 2" xfId="0"/>
    <cellStyle name="Normal 61 2 4 3 3 2 4 2 2" xfId="0"/>
    <cellStyle name="Normal 61 2 4 3 3 2 4 3" xfId="0"/>
    <cellStyle name="Normal 61 2 4 3 3 2 5" xfId="0"/>
    <cellStyle name="Normal 61 2 4 3 3 2 5 2" xfId="0"/>
    <cellStyle name="Normal 61 2 4 3 3 2 5 2 2" xfId="0"/>
    <cellStyle name="Normal 61 2 4 3 3 2 5 3" xfId="0"/>
    <cellStyle name="Normal 61 2 4 3 3 2 6" xfId="0"/>
    <cellStyle name="Normal 61 2 4 3 3 2 6 2" xfId="0"/>
    <cellStyle name="Normal 61 2 4 3 3 2 7" xfId="0"/>
    <cellStyle name="Normal 61 2 4 3 3 3" xfId="0"/>
    <cellStyle name="Normal 61 2 4 3 3 3 2" xfId="0"/>
    <cellStyle name="Normal 61 2 4 3 3 3 2 2" xfId="0"/>
    <cellStyle name="Normal 61 2 4 3 3 3 2 2 2" xfId="0"/>
    <cellStyle name="Normal 61 2 4 3 3 3 2 2 2 2" xfId="0"/>
    <cellStyle name="Normal 61 2 4 3 3 3 2 2 3" xfId="0"/>
    <cellStyle name="Normal 61 2 4 3 3 3 2 3" xfId="0"/>
    <cellStyle name="Normal 61 2 4 3 3 3 2 3 2" xfId="0"/>
    <cellStyle name="Normal 61 2 4 3 3 3 2 3 2 2" xfId="0"/>
    <cellStyle name="Normal 61 2 4 3 3 3 2 3 3" xfId="0"/>
    <cellStyle name="Normal 61 2 4 3 3 3 2 4" xfId="0"/>
    <cellStyle name="Normal 61 2 4 3 3 3 2 4 2" xfId="0"/>
    <cellStyle name="Normal 61 2 4 3 3 3 2 5" xfId="0"/>
    <cellStyle name="Normal 61 2 4 3 3 3 3" xfId="0"/>
    <cellStyle name="Normal 61 2 4 3 3 3 3 2" xfId="0"/>
    <cellStyle name="Normal 61 2 4 3 3 3 3 2 2" xfId="0"/>
    <cellStyle name="Normal 61 2 4 3 3 3 3 3" xfId="0"/>
    <cellStyle name="Normal 61 2 4 3 3 3 4" xfId="0"/>
    <cellStyle name="Normal 61 2 4 3 3 3 4 2" xfId="0"/>
    <cellStyle name="Normal 61 2 4 3 3 3 4 2 2" xfId="0"/>
    <cellStyle name="Normal 61 2 4 3 3 3 4 3" xfId="0"/>
    <cellStyle name="Normal 61 2 4 3 3 3 5" xfId="0"/>
    <cellStyle name="Normal 61 2 4 3 3 3 5 2" xfId="0"/>
    <cellStyle name="Normal 61 2 4 3 3 3 6" xfId="0"/>
    <cellStyle name="Normal 61 2 4 3 3 4" xfId="0"/>
    <cellStyle name="Normal 61 2 4 3 3 4 2" xfId="0"/>
    <cellStyle name="Normal 61 2 4 3 3 4 2 2" xfId="0"/>
    <cellStyle name="Normal 61 2 4 3 3 4 2 2 2" xfId="0"/>
    <cellStyle name="Normal 61 2 4 3 3 4 2 3" xfId="0"/>
    <cellStyle name="Normal 61 2 4 3 3 4 3" xfId="0"/>
    <cellStyle name="Normal 61 2 4 3 3 4 3 2" xfId="0"/>
    <cellStyle name="Normal 61 2 4 3 3 4 3 2 2" xfId="0"/>
    <cellStyle name="Normal 61 2 4 3 3 4 3 3" xfId="0"/>
    <cellStyle name="Normal 61 2 4 3 3 4 4" xfId="0"/>
    <cellStyle name="Normal 61 2 4 3 3 4 4 2" xfId="0"/>
    <cellStyle name="Normal 61 2 4 3 3 4 5" xfId="0"/>
    <cellStyle name="Normal 61 2 4 3 3 5" xfId="0"/>
    <cellStyle name="Normal 61 2 4 3 3 5 2" xfId="0"/>
    <cellStyle name="Normal 61 2 4 3 3 5 2 2" xfId="0"/>
    <cellStyle name="Normal 61 2 4 3 3 5 3" xfId="0"/>
    <cellStyle name="Normal 61 2 4 3 3 6" xfId="0"/>
    <cellStyle name="Normal 61 2 4 3 3 6 2" xfId="0"/>
    <cellStyle name="Normal 61 2 4 3 3 6 2 2" xfId="0"/>
    <cellStyle name="Normal 61 2 4 3 3 6 3" xfId="0"/>
    <cellStyle name="Normal 61 2 4 3 3 7" xfId="0"/>
    <cellStyle name="Normal 61 2 4 3 3 7 2" xfId="0"/>
    <cellStyle name="Normal 61 2 4 3 3 8" xfId="0"/>
    <cellStyle name="Normal 61 2 4 3 4" xfId="0"/>
    <cellStyle name="Normal 61 2 4 3 4 2" xfId="0"/>
    <cellStyle name="Normal 61 2 4 3 4 2 2" xfId="0"/>
    <cellStyle name="Normal 61 2 4 3 4 2 2 2" xfId="0"/>
    <cellStyle name="Normal 61 2 4 3 4 2 2 2 2" xfId="0"/>
    <cellStyle name="Normal 61 2 4 3 4 2 2 2 2 2" xfId="0"/>
    <cellStyle name="Normal 61 2 4 3 4 2 2 2 3" xfId="0"/>
    <cellStyle name="Normal 61 2 4 3 4 2 2 3" xfId="0"/>
    <cellStyle name="Normal 61 2 4 3 4 2 2 3 2" xfId="0"/>
    <cellStyle name="Normal 61 2 4 3 4 2 2 3 2 2" xfId="0"/>
    <cellStyle name="Normal 61 2 4 3 4 2 2 3 3" xfId="0"/>
    <cellStyle name="Normal 61 2 4 3 4 2 2 4" xfId="0"/>
    <cellStyle name="Normal 61 2 4 3 4 2 2 4 2" xfId="0"/>
    <cellStyle name="Normal 61 2 4 3 4 2 2 5" xfId="0"/>
    <cellStyle name="Normal 61 2 4 3 4 2 3" xfId="0"/>
    <cellStyle name="Normal 61 2 4 3 4 2 3 2" xfId="0"/>
    <cellStyle name="Normal 61 2 4 3 4 2 3 2 2" xfId="0"/>
    <cellStyle name="Normal 61 2 4 3 4 2 3 3" xfId="0"/>
    <cellStyle name="Normal 61 2 4 3 4 2 4" xfId="0"/>
    <cellStyle name="Normal 61 2 4 3 4 2 4 2" xfId="0"/>
    <cellStyle name="Normal 61 2 4 3 4 2 4 2 2" xfId="0"/>
    <cellStyle name="Normal 61 2 4 3 4 2 4 3" xfId="0"/>
    <cellStyle name="Normal 61 2 4 3 4 2 5" xfId="0"/>
    <cellStyle name="Normal 61 2 4 3 4 2 5 2" xfId="0"/>
    <cellStyle name="Normal 61 2 4 3 4 2 6" xfId="0"/>
    <cellStyle name="Normal 61 2 4 3 4 3" xfId="0"/>
    <cellStyle name="Normal 61 2 4 3 4 3 2" xfId="0"/>
    <cellStyle name="Normal 61 2 4 3 4 3 2 2" xfId="0"/>
    <cellStyle name="Normal 61 2 4 3 4 3 2 2 2" xfId="0"/>
    <cellStyle name="Normal 61 2 4 3 4 3 2 3" xfId="0"/>
    <cellStyle name="Normal 61 2 4 3 4 3 3" xfId="0"/>
    <cellStyle name="Normal 61 2 4 3 4 3 3 2" xfId="0"/>
    <cellStyle name="Normal 61 2 4 3 4 3 3 2 2" xfId="0"/>
    <cellStyle name="Normal 61 2 4 3 4 3 3 3" xfId="0"/>
    <cellStyle name="Normal 61 2 4 3 4 3 4" xfId="0"/>
    <cellStyle name="Normal 61 2 4 3 4 3 4 2" xfId="0"/>
    <cellStyle name="Normal 61 2 4 3 4 3 5" xfId="0"/>
    <cellStyle name="Normal 61 2 4 3 4 4" xfId="0"/>
    <cellStyle name="Normal 61 2 4 3 4 4 2" xfId="0"/>
    <cellStyle name="Normal 61 2 4 3 4 4 2 2" xfId="0"/>
    <cellStyle name="Normal 61 2 4 3 4 4 3" xfId="0"/>
    <cellStyle name="Normal 61 2 4 3 4 5" xfId="0"/>
    <cellStyle name="Normal 61 2 4 3 4 5 2" xfId="0"/>
    <cellStyle name="Normal 61 2 4 3 4 5 2 2" xfId="0"/>
    <cellStyle name="Normal 61 2 4 3 4 5 3" xfId="0"/>
    <cellStyle name="Normal 61 2 4 3 4 6" xfId="0"/>
    <cellStyle name="Normal 61 2 4 3 4 6 2" xfId="0"/>
    <cellStyle name="Normal 61 2 4 3 4 7" xfId="0"/>
    <cellStyle name="Normal 61 2 4 3 5" xfId="0"/>
    <cellStyle name="Normal 61 2 4 3 5 2" xfId="0"/>
    <cellStyle name="Normal 61 2 4 3 5 2 2" xfId="0"/>
    <cellStyle name="Normal 61 2 4 3 5 2 2 2" xfId="0"/>
    <cellStyle name="Normal 61 2 4 3 5 2 2 2 2" xfId="0"/>
    <cellStyle name="Normal 61 2 4 3 5 2 2 3" xfId="0"/>
    <cellStyle name="Normal 61 2 4 3 5 2 3" xfId="0"/>
    <cellStyle name="Normal 61 2 4 3 5 2 3 2" xfId="0"/>
    <cellStyle name="Normal 61 2 4 3 5 2 3 2 2" xfId="0"/>
    <cellStyle name="Normal 61 2 4 3 5 2 3 3" xfId="0"/>
    <cellStyle name="Normal 61 2 4 3 5 2 4" xfId="0"/>
    <cellStyle name="Normal 61 2 4 3 5 2 4 2" xfId="0"/>
    <cellStyle name="Normal 61 2 4 3 5 2 5" xfId="0"/>
    <cellStyle name="Normal 61 2 4 3 5 3" xfId="0"/>
    <cellStyle name="Normal 61 2 4 3 5 3 2" xfId="0"/>
    <cellStyle name="Normal 61 2 4 3 5 3 2 2" xfId="0"/>
    <cellStyle name="Normal 61 2 4 3 5 3 3" xfId="0"/>
    <cellStyle name="Normal 61 2 4 3 5 4" xfId="0"/>
    <cellStyle name="Normal 61 2 4 3 5 4 2" xfId="0"/>
    <cellStyle name="Normal 61 2 4 3 5 4 2 2" xfId="0"/>
    <cellStyle name="Normal 61 2 4 3 5 4 3" xfId="0"/>
    <cellStyle name="Normal 61 2 4 3 5 5" xfId="0"/>
    <cellStyle name="Normal 61 2 4 3 5 5 2" xfId="0"/>
    <cellStyle name="Normal 61 2 4 3 5 6" xfId="0"/>
    <cellStyle name="Normal 61 2 4 3 6" xfId="0"/>
    <cellStyle name="Normal 61 2 4 3 6 2" xfId="0"/>
    <cellStyle name="Normal 61 2 4 3 6 2 2" xfId="0"/>
    <cellStyle name="Normal 61 2 4 3 6 2 2 2" xfId="0"/>
    <cellStyle name="Normal 61 2 4 3 6 2 3" xfId="0"/>
    <cellStyle name="Normal 61 2 4 3 6 3" xfId="0"/>
    <cellStyle name="Normal 61 2 4 3 6 3 2" xfId="0"/>
    <cellStyle name="Normal 61 2 4 3 6 3 2 2" xfId="0"/>
    <cellStyle name="Normal 61 2 4 3 6 3 3" xfId="0"/>
    <cellStyle name="Normal 61 2 4 3 6 4" xfId="0"/>
    <cellStyle name="Normal 61 2 4 3 6 4 2" xfId="0"/>
    <cellStyle name="Normal 61 2 4 3 6 5" xfId="0"/>
    <cellStyle name="Normal 61 2 4 3 7" xfId="0"/>
    <cellStyle name="Normal 61 2 4 3 7 2" xfId="0"/>
    <cellStyle name="Normal 61 2 4 3 7 2 2" xfId="0"/>
    <cellStyle name="Normal 61 2 4 3 7 3" xfId="0"/>
    <cellStyle name="Normal 61 2 4 3 8" xfId="0"/>
    <cellStyle name="Normal 61 2 4 3 8 2" xfId="0"/>
    <cellStyle name="Normal 61 2 4 3 8 2 2" xfId="0"/>
    <cellStyle name="Normal 61 2 4 3 8 3" xfId="0"/>
    <cellStyle name="Normal 61 2 4 3 9" xfId="0"/>
    <cellStyle name="Normal 61 2 4 3 9 2" xfId="0"/>
    <cellStyle name="Normal 61 2 4 4" xfId="0"/>
    <cellStyle name="Normal 61 2 4 4 10" xfId="0"/>
    <cellStyle name="Normal 61 2 4 4 2" xfId="0"/>
    <cellStyle name="Normal 61 2 4 4 2 2" xfId="0"/>
    <cellStyle name="Normal 61 2 4 4 2 2 2" xfId="0"/>
    <cellStyle name="Normal 61 2 4 4 2 2 2 2" xfId="0"/>
    <cellStyle name="Normal 61 2 4 4 2 2 2 2 2" xfId="0"/>
    <cellStyle name="Normal 61 2 4 4 2 2 2 2 2 2" xfId="0"/>
    <cellStyle name="Normal 61 2 4 4 2 2 2 2 2 2 2" xfId="0"/>
    <cellStyle name="Normal 61 2 4 4 2 2 2 2 2 2 2 2" xfId="0"/>
    <cellStyle name="Normal 61 2 4 4 2 2 2 2 2 2 3" xfId="0"/>
    <cellStyle name="Normal 61 2 4 4 2 2 2 2 2 3" xfId="0"/>
    <cellStyle name="Normal 61 2 4 4 2 2 2 2 2 3 2" xfId="0"/>
    <cellStyle name="Normal 61 2 4 4 2 2 2 2 2 3 2 2" xfId="0"/>
    <cellStyle name="Normal 61 2 4 4 2 2 2 2 2 3 3" xfId="0"/>
    <cellStyle name="Normal 61 2 4 4 2 2 2 2 2 4" xfId="0"/>
    <cellStyle name="Normal 61 2 4 4 2 2 2 2 2 4 2" xfId="0"/>
    <cellStyle name="Normal 61 2 4 4 2 2 2 2 2 5" xfId="0"/>
    <cellStyle name="Normal 61 2 4 4 2 2 2 2 3" xfId="0"/>
    <cellStyle name="Normal 61 2 4 4 2 2 2 2 3 2" xfId="0"/>
    <cellStyle name="Normal 61 2 4 4 2 2 2 2 3 2 2" xfId="0"/>
    <cellStyle name="Normal 61 2 4 4 2 2 2 2 3 3" xfId="0"/>
    <cellStyle name="Normal 61 2 4 4 2 2 2 2 4" xfId="0"/>
    <cellStyle name="Normal 61 2 4 4 2 2 2 2 4 2" xfId="0"/>
    <cellStyle name="Normal 61 2 4 4 2 2 2 2 4 2 2" xfId="0"/>
    <cellStyle name="Normal 61 2 4 4 2 2 2 2 4 3" xfId="0"/>
    <cellStyle name="Normal 61 2 4 4 2 2 2 2 5" xfId="0"/>
    <cellStyle name="Normal 61 2 4 4 2 2 2 2 5 2" xfId="0"/>
    <cellStyle name="Normal 61 2 4 4 2 2 2 2 6" xfId="0"/>
    <cellStyle name="Normal 61 2 4 4 2 2 2 3" xfId="0"/>
    <cellStyle name="Normal 61 2 4 4 2 2 2 3 2" xfId="0"/>
    <cellStyle name="Normal 61 2 4 4 2 2 2 3 2 2" xfId="0"/>
    <cellStyle name="Normal 61 2 4 4 2 2 2 3 2 2 2" xfId="0"/>
    <cellStyle name="Normal 61 2 4 4 2 2 2 3 2 3" xfId="0"/>
    <cellStyle name="Normal 61 2 4 4 2 2 2 3 3" xfId="0"/>
    <cellStyle name="Normal 61 2 4 4 2 2 2 3 3 2" xfId="0"/>
    <cellStyle name="Normal 61 2 4 4 2 2 2 3 3 2 2" xfId="0"/>
    <cellStyle name="Normal 61 2 4 4 2 2 2 3 3 3" xfId="0"/>
    <cellStyle name="Normal 61 2 4 4 2 2 2 3 4" xfId="0"/>
    <cellStyle name="Normal 61 2 4 4 2 2 2 3 4 2" xfId="0"/>
    <cellStyle name="Normal 61 2 4 4 2 2 2 3 5" xfId="0"/>
    <cellStyle name="Normal 61 2 4 4 2 2 2 4" xfId="0"/>
    <cellStyle name="Normal 61 2 4 4 2 2 2 4 2" xfId="0"/>
    <cellStyle name="Normal 61 2 4 4 2 2 2 4 2 2" xfId="0"/>
    <cellStyle name="Normal 61 2 4 4 2 2 2 4 3" xfId="0"/>
    <cellStyle name="Normal 61 2 4 4 2 2 2 5" xfId="0"/>
    <cellStyle name="Normal 61 2 4 4 2 2 2 5 2" xfId="0"/>
    <cellStyle name="Normal 61 2 4 4 2 2 2 5 2 2" xfId="0"/>
    <cellStyle name="Normal 61 2 4 4 2 2 2 5 3" xfId="0"/>
    <cellStyle name="Normal 61 2 4 4 2 2 2 6" xfId="0"/>
    <cellStyle name="Normal 61 2 4 4 2 2 2 6 2" xfId="0"/>
    <cellStyle name="Normal 61 2 4 4 2 2 2 7" xfId="0"/>
    <cellStyle name="Normal 61 2 4 4 2 2 3" xfId="0"/>
    <cellStyle name="Normal 61 2 4 4 2 2 3 2" xfId="0"/>
    <cellStyle name="Normal 61 2 4 4 2 2 3 2 2" xfId="0"/>
    <cellStyle name="Normal 61 2 4 4 2 2 3 2 2 2" xfId="0"/>
    <cellStyle name="Normal 61 2 4 4 2 2 3 2 2 2 2" xfId="0"/>
    <cellStyle name="Normal 61 2 4 4 2 2 3 2 2 3" xfId="0"/>
    <cellStyle name="Normal 61 2 4 4 2 2 3 2 3" xfId="0"/>
    <cellStyle name="Normal 61 2 4 4 2 2 3 2 3 2" xfId="0"/>
    <cellStyle name="Normal 61 2 4 4 2 2 3 2 3 2 2" xfId="0"/>
    <cellStyle name="Normal 61 2 4 4 2 2 3 2 3 3" xfId="0"/>
    <cellStyle name="Normal 61 2 4 4 2 2 3 2 4" xfId="0"/>
    <cellStyle name="Normal 61 2 4 4 2 2 3 2 4 2" xfId="0"/>
    <cellStyle name="Normal 61 2 4 4 2 2 3 2 5" xfId="0"/>
    <cellStyle name="Normal 61 2 4 4 2 2 3 3" xfId="0"/>
    <cellStyle name="Normal 61 2 4 4 2 2 3 3 2" xfId="0"/>
    <cellStyle name="Normal 61 2 4 4 2 2 3 3 2 2" xfId="0"/>
    <cellStyle name="Normal 61 2 4 4 2 2 3 3 3" xfId="0"/>
    <cellStyle name="Normal 61 2 4 4 2 2 3 4" xfId="0"/>
    <cellStyle name="Normal 61 2 4 4 2 2 3 4 2" xfId="0"/>
    <cellStyle name="Normal 61 2 4 4 2 2 3 4 2 2" xfId="0"/>
    <cellStyle name="Normal 61 2 4 4 2 2 3 4 3" xfId="0"/>
    <cellStyle name="Normal 61 2 4 4 2 2 3 5" xfId="0"/>
    <cellStyle name="Normal 61 2 4 4 2 2 3 5 2" xfId="0"/>
    <cellStyle name="Normal 61 2 4 4 2 2 3 6" xfId="0"/>
    <cellStyle name="Normal 61 2 4 4 2 2 4" xfId="0"/>
    <cellStyle name="Normal 61 2 4 4 2 2 4 2" xfId="0"/>
    <cellStyle name="Normal 61 2 4 4 2 2 4 2 2" xfId="0"/>
    <cellStyle name="Normal 61 2 4 4 2 2 4 2 2 2" xfId="0"/>
    <cellStyle name="Normal 61 2 4 4 2 2 4 2 3" xfId="0"/>
    <cellStyle name="Normal 61 2 4 4 2 2 4 3" xfId="0"/>
    <cellStyle name="Normal 61 2 4 4 2 2 4 3 2" xfId="0"/>
    <cellStyle name="Normal 61 2 4 4 2 2 4 3 2 2" xfId="0"/>
    <cellStyle name="Normal 61 2 4 4 2 2 4 3 3" xfId="0"/>
    <cellStyle name="Normal 61 2 4 4 2 2 4 4" xfId="0"/>
    <cellStyle name="Normal 61 2 4 4 2 2 4 4 2" xfId="0"/>
    <cellStyle name="Normal 61 2 4 4 2 2 4 5" xfId="0"/>
    <cellStyle name="Normal 61 2 4 4 2 2 5" xfId="0"/>
    <cellStyle name="Normal 61 2 4 4 2 2 5 2" xfId="0"/>
    <cellStyle name="Normal 61 2 4 4 2 2 5 2 2" xfId="0"/>
    <cellStyle name="Normal 61 2 4 4 2 2 5 3" xfId="0"/>
    <cellStyle name="Normal 61 2 4 4 2 2 6" xfId="0"/>
    <cellStyle name="Normal 61 2 4 4 2 2 6 2" xfId="0"/>
    <cellStyle name="Normal 61 2 4 4 2 2 6 2 2" xfId="0"/>
    <cellStyle name="Normal 61 2 4 4 2 2 6 3" xfId="0"/>
    <cellStyle name="Normal 61 2 4 4 2 2 7" xfId="0"/>
    <cellStyle name="Normal 61 2 4 4 2 2 7 2" xfId="0"/>
    <cellStyle name="Normal 61 2 4 4 2 2 8" xfId="0"/>
    <cellStyle name="Normal 61 2 4 4 2 3" xfId="0"/>
    <cellStyle name="Normal 61 2 4 4 2 3 2" xfId="0"/>
    <cellStyle name="Normal 61 2 4 4 2 3 2 2" xfId="0"/>
    <cellStyle name="Normal 61 2 4 4 2 3 2 2 2" xfId="0"/>
    <cellStyle name="Normal 61 2 4 4 2 3 2 2 2 2" xfId="0"/>
    <cellStyle name="Normal 61 2 4 4 2 3 2 2 2 2 2" xfId="0"/>
    <cellStyle name="Normal 61 2 4 4 2 3 2 2 2 3" xfId="0"/>
    <cellStyle name="Normal 61 2 4 4 2 3 2 2 3" xfId="0"/>
    <cellStyle name="Normal 61 2 4 4 2 3 2 2 3 2" xfId="0"/>
    <cellStyle name="Normal 61 2 4 4 2 3 2 2 3 2 2" xfId="0"/>
    <cellStyle name="Normal 61 2 4 4 2 3 2 2 3 3" xfId="0"/>
    <cellStyle name="Normal 61 2 4 4 2 3 2 2 4" xfId="0"/>
    <cellStyle name="Normal 61 2 4 4 2 3 2 2 4 2" xfId="0"/>
    <cellStyle name="Normal 61 2 4 4 2 3 2 2 5" xfId="0"/>
    <cellStyle name="Normal 61 2 4 4 2 3 2 3" xfId="0"/>
    <cellStyle name="Normal 61 2 4 4 2 3 2 3 2" xfId="0"/>
    <cellStyle name="Normal 61 2 4 4 2 3 2 3 2 2" xfId="0"/>
    <cellStyle name="Normal 61 2 4 4 2 3 2 3 3" xfId="0"/>
    <cellStyle name="Normal 61 2 4 4 2 3 2 4" xfId="0"/>
    <cellStyle name="Normal 61 2 4 4 2 3 2 4 2" xfId="0"/>
    <cellStyle name="Normal 61 2 4 4 2 3 2 4 2 2" xfId="0"/>
    <cellStyle name="Normal 61 2 4 4 2 3 2 4 3" xfId="0"/>
    <cellStyle name="Normal 61 2 4 4 2 3 2 5" xfId="0"/>
    <cellStyle name="Normal 61 2 4 4 2 3 2 5 2" xfId="0"/>
    <cellStyle name="Normal 61 2 4 4 2 3 2 6" xfId="0"/>
    <cellStyle name="Normal 61 2 4 4 2 3 3" xfId="0"/>
    <cellStyle name="Normal 61 2 4 4 2 3 3 2" xfId="0"/>
    <cellStyle name="Normal 61 2 4 4 2 3 3 2 2" xfId="0"/>
    <cellStyle name="Normal 61 2 4 4 2 3 3 2 2 2" xfId="0"/>
    <cellStyle name="Normal 61 2 4 4 2 3 3 2 3" xfId="0"/>
    <cellStyle name="Normal 61 2 4 4 2 3 3 3" xfId="0"/>
    <cellStyle name="Normal 61 2 4 4 2 3 3 3 2" xfId="0"/>
    <cellStyle name="Normal 61 2 4 4 2 3 3 3 2 2" xfId="0"/>
    <cellStyle name="Normal 61 2 4 4 2 3 3 3 3" xfId="0"/>
    <cellStyle name="Normal 61 2 4 4 2 3 3 4" xfId="0"/>
    <cellStyle name="Normal 61 2 4 4 2 3 3 4 2" xfId="0"/>
    <cellStyle name="Normal 61 2 4 4 2 3 3 5" xfId="0"/>
    <cellStyle name="Normal 61 2 4 4 2 3 4" xfId="0"/>
    <cellStyle name="Normal 61 2 4 4 2 3 4 2" xfId="0"/>
    <cellStyle name="Normal 61 2 4 4 2 3 4 2 2" xfId="0"/>
    <cellStyle name="Normal 61 2 4 4 2 3 4 3" xfId="0"/>
    <cellStyle name="Normal 61 2 4 4 2 3 5" xfId="0"/>
    <cellStyle name="Normal 61 2 4 4 2 3 5 2" xfId="0"/>
    <cellStyle name="Normal 61 2 4 4 2 3 5 2 2" xfId="0"/>
    <cellStyle name="Normal 61 2 4 4 2 3 5 3" xfId="0"/>
    <cellStyle name="Normal 61 2 4 4 2 3 6" xfId="0"/>
    <cellStyle name="Normal 61 2 4 4 2 3 6 2" xfId="0"/>
    <cellStyle name="Normal 61 2 4 4 2 3 7" xfId="0"/>
    <cellStyle name="Normal 61 2 4 4 2 4" xfId="0"/>
    <cellStyle name="Normal 61 2 4 4 2 4 2" xfId="0"/>
    <cellStyle name="Normal 61 2 4 4 2 4 2 2" xfId="0"/>
    <cellStyle name="Normal 61 2 4 4 2 4 2 2 2" xfId="0"/>
    <cellStyle name="Normal 61 2 4 4 2 4 2 2 2 2" xfId="0"/>
    <cellStyle name="Normal 61 2 4 4 2 4 2 2 3" xfId="0"/>
    <cellStyle name="Normal 61 2 4 4 2 4 2 3" xfId="0"/>
    <cellStyle name="Normal 61 2 4 4 2 4 2 3 2" xfId="0"/>
    <cellStyle name="Normal 61 2 4 4 2 4 2 3 2 2" xfId="0"/>
    <cellStyle name="Normal 61 2 4 4 2 4 2 3 3" xfId="0"/>
    <cellStyle name="Normal 61 2 4 4 2 4 2 4" xfId="0"/>
    <cellStyle name="Normal 61 2 4 4 2 4 2 4 2" xfId="0"/>
    <cellStyle name="Normal 61 2 4 4 2 4 2 5" xfId="0"/>
    <cellStyle name="Normal 61 2 4 4 2 4 3" xfId="0"/>
    <cellStyle name="Normal 61 2 4 4 2 4 3 2" xfId="0"/>
    <cellStyle name="Normal 61 2 4 4 2 4 3 2 2" xfId="0"/>
    <cellStyle name="Normal 61 2 4 4 2 4 3 3" xfId="0"/>
    <cellStyle name="Normal 61 2 4 4 2 4 4" xfId="0"/>
    <cellStyle name="Normal 61 2 4 4 2 4 4 2" xfId="0"/>
    <cellStyle name="Normal 61 2 4 4 2 4 4 2 2" xfId="0"/>
    <cellStyle name="Normal 61 2 4 4 2 4 4 3" xfId="0"/>
    <cellStyle name="Normal 61 2 4 4 2 4 5" xfId="0"/>
    <cellStyle name="Normal 61 2 4 4 2 4 5 2" xfId="0"/>
    <cellStyle name="Normal 61 2 4 4 2 4 6" xfId="0"/>
    <cellStyle name="Normal 61 2 4 4 2 5" xfId="0"/>
    <cellStyle name="Normal 61 2 4 4 2 5 2" xfId="0"/>
    <cellStyle name="Normal 61 2 4 4 2 5 2 2" xfId="0"/>
    <cellStyle name="Normal 61 2 4 4 2 5 2 2 2" xfId="0"/>
    <cellStyle name="Normal 61 2 4 4 2 5 2 3" xfId="0"/>
    <cellStyle name="Normal 61 2 4 4 2 5 3" xfId="0"/>
    <cellStyle name="Normal 61 2 4 4 2 5 3 2" xfId="0"/>
    <cellStyle name="Normal 61 2 4 4 2 5 3 2 2" xfId="0"/>
    <cellStyle name="Normal 61 2 4 4 2 5 3 3" xfId="0"/>
    <cellStyle name="Normal 61 2 4 4 2 5 4" xfId="0"/>
    <cellStyle name="Normal 61 2 4 4 2 5 4 2" xfId="0"/>
    <cellStyle name="Normal 61 2 4 4 2 5 5" xfId="0"/>
    <cellStyle name="Normal 61 2 4 4 2 6" xfId="0"/>
    <cellStyle name="Normal 61 2 4 4 2 6 2" xfId="0"/>
    <cellStyle name="Normal 61 2 4 4 2 6 2 2" xfId="0"/>
    <cellStyle name="Normal 61 2 4 4 2 6 3" xfId="0"/>
    <cellStyle name="Normal 61 2 4 4 2 7" xfId="0"/>
    <cellStyle name="Normal 61 2 4 4 2 7 2" xfId="0"/>
    <cellStyle name="Normal 61 2 4 4 2 7 2 2" xfId="0"/>
    <cellStyle name="Normal 61 2 4 4 2 7 3" xfId="0"/>
    <cellStyle name="Normal 61 2 4 4 2 8" xfId="0"/>
    <cellStyle name="Normal 61 2 4 4 2 8 2" xfId="0"/>
    <cellStyle name="Normal 61 2 4 4 2 9" xfId="0"/>
    <cellStyle name="Normal 61 2 4 4 3" xfId="0"/>
    <cellStyle name="Normal 61 2 4 4 3 2" xfId="0"/>
    <cellStyle name="Normal 61 2 4 4 3 2 2" xfId="0"/>
    <cellStyle name="Normal 61 2 4 4 3 2 2 2" xfId="0"/>
    <cellStyle name="Normal 61 2 4 4 3 2 2 2 2" xfId="0"/>
    <cellStyle name="Normal 61 2 4 4 3 2 2 2 2 2" xfId="0"/>
    <cellStyle name="Normal 61 2 4 4 3 2 2 2 2 2 2" xfId="0"/>
    <cellStyle name="Normal 61 2 4 4 3 2 2 2 2 3" xfId="0"/>
    <cellStyle name="Normal 61 2 4 4 3 2 2 2 3" xfId="0"/>
    <cellStyle name="Normal 61 2 4 4 3 2 2 2 3 2" xfId="0"/>
    <cellStyle name="Normal 61 2 4 4 3 2 2 2 3 2 2" xfId="0"/>
    <cellStyle name="Normal 61 2 4 4 3 2 2 2 3 3" xfId="0"/>
    <cellStyle name="Normal 61 2 4 4 3 2 2 2 4" xfId="0"/>
    <cellStyle name="Normal 61 2 4 4 3 2 2 2 4 2" xfId="0"/>
    <cellStyle name="Normal 61 2 4 4 3 2 2 2 5" xfId="0"/>
    <cellStyle name="Normal 61 2 4 4 3 2 2 3" xfId="0"/>
    <cellStyle name="Normal 61 2 4 4 3 2 2 3 2" xfId="0"/>
    <cellStyle name="Normal 61 2 4 4 3 2 2 3 2 2" xfId="0"/>
    <cellStyle name="Normal 61 2 4 4 3 2 2 3 3" xfId="0"/>
    <cellStyle name="Normal 61 2 4 4 3 2 2 4" xfId="0"/>
    <cellStyle name="Normal 61 2 4 4 3 2 2 4 2" xfId="0"/>
    <cellStyle name="Normal 61 2 4 4 3 2 2 4 2 2" xfId="0"/>
    <cellStyle name="Normal 61 2 4 4 3 2 2 4 3" xfId="0"/>
    <cellStyle name="Normal 61 2 4 4 3 2 2 5" xfId="0"/>
    <cellStyle name="Normal 61 2 4 4 3 2 2 5 2" xfId="0"/>
    <cellStyle name="Normal 61 2 4 4 3 2 2 6" xfId="0"/>
    <cellStyle name="Normal 61 2 4 4 3 2 3" xfId="0"/>
    <cellStyle name="Normal 61 2 4 4 3 2 3 2" xfId="0"/>
    <cellStyle name="Normal 61 2 4 4 3 2 3 2 2" xfId="0"/>
    <cellStyle name="Normal 61 2 4 4 3 2 3 2 2 2" xfId="0"/>
    <cellStyle name="Normal 61 2 4 4 3 2 3 2 3" xfId="0"/>
    <cellStyle name="Normal 61 2 4 4 3 2 3 3" xfId="0"/>
    <cellStyle name="Normal 61 2 4 4 3 2 3 3 2" xfId="0"/>
    <cellStyle name="Normal 61 2 4 4 3 2 3 3 2 2" xfId="0"/>
    <cellStyle name="Normal 61 2 4 4 3 2 3 3 3" xfId="0"/>
    <cellStyle name="Normal 61 2 4 4 3 2 3 4" xfId="0"/>
    <cellStyle name="Normal 61 2 4 4 3 2 3 4 2" xfId="0"/>
    <cellStyle name="Normal 61 2 4 4 3 2 3 5" xfId="0"/>
    <cellStyle name="Normal 61 2 4 4 3 2 4" xfId="0"/>
    <cellStyle name="Normal 61 2 4 4 3 2 4 2" xfId="0"/>
    <cellStyle name="Normal 61 2 4 4 3 2 4 2 2" xfId="0"/>
    <cellStyle name="Normal 61 2 4 4 3 2 4 3" xfId="0"/>
    <cellStyle name="Normal 61 2 4 4 3 2 5" xfId="0"/>
    <cellStyle name="Normal 61 2 4 4 3 2 5 2" xfId="0"/>
    <cellStyle name="Normal 61 2 4 4 3 2 5 2 2" xfId="0"/>
    <cellStyle name="Normal 61 2 4 4 3 2 5 3" xfId="0"/>
    <cellStyle name="Normal 61 2 4 4 3 2 6" xfId="0"/>
    <cellStyle name="Normal 61 2 4 4 3 2 6 2" xfId="0"/>
    <cellStyle name="Normal 61 2 4 4 3 2 7" xfId="0"/>
    <cellStyle name="Normal 61 2 4 4 3 3" xfId="0"/>
    <cellStyle name="Normal 61 2 4 4 3 3 2" xfId="0"/>
    <cellStyle name="Normal 61 2 4 4 3 3 2 2" xfId="0"/>
    <cellStyle name="Normal 61 2 4 4 3 3 2 2 2" xfId="0"/>
    <cellStyle name="Normal 61 2 4 4 3 3 2 2 2 2" xfId="0"/>
    <cellStyle name="Normal 61 2 4 4 3 3 2 2 3" xfId="0"/>
    <cellStyle name="Normal 61 2 4 4 3 3 2 3" xfId="0"/>
    <cellStyle name="Normal 61 2 4 4 3 3 2 3 2" xfId="0"/>
    <cellStyle name="Normal 61 2 4 4 3 3 2 3 2 2" xfId="0"/>
    <cellStyle name="Normal 61 2 4 4 3 3 2 3 3" xfId="0"/>
    <cellStyle name="Normal 61 2 4 4 3 3 2 4" xfId="0"/>
    <cellStyle name="Normal 61 2 4 4 3 3 2 4 2" xfId="0"/>
    <cellStyle name="Normal 61 2 4 4 3 3 2 5" xfId="0"/>
    <cellStyle name="Normal 61 2 4 4 3 3 3" xfId="0"/>
    <cellStyle name="Normal 61 2 4 4 3 3 3 2" xfId="0"/>
    <cellStyle name="Normal 61 2 4 4 3 3 3 2 2" xfId="0"/>
    <cellStyle name="Normal 61 2 4 4 3 3 3 3" xfId="0"/>
    <cellStyle name="Normal 61 2 4 4 3 3 4" xfId="0"/>
    <cellStyle name="Normal 61 2 4 4 3 3 4 2" xfId="0"/>
    <cellStyle name="Normal 61 2 4 4 3 3 4 2 2" xfId="0"/>
    <cellStyle name="Normal 61 2 4 4 3 3 4 3" xfId="0"/>
    <cellStyle name="Normal 61 2 4 4 3 3 5" xfId="0"/>
    <cellStyle name="Normal 61 2 4 4 3 3 5 2" xfId="0"/>
    <cellStyle name="Normal 61 2 4 4 3 3 6" xfId="0"/>
    <cellStyle name="Normal 61 2 4 4 3 4" xfId="0"/>
    <cellStyle name="Normal 61 2 4 4 3 4 2" xfId="0"/>
    <cellStyle name="Normal 61 2 4 4 3 4 2 2" xfId="0"/>
    <cellStyle name="Normal 61 2 4 4 3 4 2 2 2" xfId="0"/>
    <cellStyle name="Normal 61 2 4 4 3 4 2 3" xfId="0"/>
    <cellStyle name="Normal 61 2 4 4 3 4 3" xfId="0"/>
    <cellStyle name="Normal 61 2 4 4 3 4 3 2" xfId="0"/>
    <cellStyle name="Normal 61 2 4 4 3 4 3 2 2" xfId="0"/>
    <cellStyle name="Normal 61 2 4 4 3 4 3 3" xfId="0"/>
    <cellStyle name="Normal 61 2 4 4 3 4 4" xfId="0"/>
    <cellStyle name="Normal 61 2 4 4 3 4 4 2" xfId="0"/>
    <cellStyle name="Normal 61 2 4 4 3 4 5" xfId="0"/>
    <cellStyle name="Normal 61 2 4 4 3 5" xfId="0"/>
    <cellStyle name="Normal 61 2 4 4 3 5 2" xfId="0"/>
    <cellStyle name="Normal 61 2 4 4 3 5 2 2" xfId="0"/>
    <cellStyle name="Normal 61 2 4 4 3 5 3" xfId="0"/>
    <cellStyle name="Normal 61 2 4 4 3 6" xfId="0"/>
    <cellStyle name="Normal 61 2 4 4 3 6 2" xfId="0"/>
    <cellStyle name="Normal 61 2 4 4 3 6 2 2" xfId="0"/>
    <cellStyle name="Normal 61 2 4 4 3 6 3" xfId="0"/>
    <cellStyle name="Normal 61 2 4 4 3 7" xfId="0"/>
    <cellStyle name="Normal 61 2 4 4 3 7 2" xfId="0"/>
    <cellStyle name="Normal 61 2 4 4 3 8" xfId="0"/>
    <cellStyle name="Normal 61 2 4 4 4" xfId="0"/>
    <cellStyle name="Normal 61 2 4 4 4 2" xfId="0"/>
    <cellStyle name="Normal 61 2 4 4 4 2 2" xfId="0"/>
    <cellStyle name="Normal 61 2 4 4 4 2 2 2" xfId="0"/>
    <cellStyle name="Normal 61 2 4 4 4 2 2 2 2" xfId="0"/>
    <cellStyle name="Normal 61 2 4 4 4 2 2 2 2 2" xfId="0"/>
    <cellStyle name="Normal 61 2 4 4 4 2 2 2 3" xfId="0"/>
    <cellStyle name="Normal 61 2 4 4 4 2 2 3" xfId="0"/>
    <cellStyle name="Normal 61 2 4 4 4 2 2 3 2" xfId="0"/>
    <cellStyle name="Normal 61 2 4 4 4 2 2 3 2 2" xfId="0"/>
    <cellStyle name="Normal 61 2 4 4 4 2 2 3 3" xfId="0"/>
    <cellStyle name="Normal 61 2 4 4 4 2 2 4" xfId="0"/>
    <cellStyle name="Normal 61 2 4 4 4 2 2 4 2" xfId="0"/>
    <cellStyle name="Normal 61 2 4 4 4 2 2 5" xfId="0"/>
    <cellStyle name="Normal 61 2 4 4 4 2 3" xfId="0"/>
    <cellStyle name="Normal 61 2 4 4 4 2 3 2" xfId="0"/>
    <cellStyle name="Normal 61 2 4 4 4 2 3 2 2" xfId="0"/>
    <cellStyle name="Normal 61 2 4 4 4 2 3 3" xfId="0"/>
    <cellStyle name="Normal 61 2 4 4 4 2 4" xfId="0"/>
    <cellStyle name="Normal 61 2 4 4 4 2 4 2" xfId="0"/>
    <cellStyle name="Normal 61 2 4 4 4 2 4 2 2" xfId="0"/>
    <cellStyle name="Normal 61 2 4 4 4 2 4 3" xfId="0"/>
    <cellStyle name="Normal 61 2 4 4 4 2 5" xfId="0"/>
    <cellStyle name="Normal 61 2 4 4 4 2 5 2" xfId="0"/>
    <cellStyle name="Normal 61 2 4 4 4 2 6" xfId="0"/>
    <cellStyle name="Normal 61 2 4 4 4 3" xfId="0"/>
    <cellStyle name="Normal 61 2 4 4 4 3 2" xfId="0"/>
    <cellStyle name="Normal 61 2 4 4 4 3 2 2" xfId="0"/>
    <cellStyle name="Normal 61 2 4 4 4 3 2 2 2" xfId="0"/>
    <cellStyle name="Normal 61 2 4 4 4 3 2 3" xfId="0"/>
    <cellStyle name="Normal 61 2 4 4 4 3 3" xfId="0"/>
    <cellStyle name="Normal 61 2 4 4 4 3 3 2" xfId="0"/>
    <cellStyle name="Normal 61 2 4 4 4 3 3 2 2" xfId="0"/>
    <cellStyle name="Normal 61 2 4 4 4 3 3 3" xfId="0"/>
    <cellStyle name="Normal 61 2 4 4 4 3 4" xfId="0"/>
    <cellStyle name="Normal 61 2 4 4 4 3 4 2" xfId="0"/>
    <cellStyle name="Normal 61 2 4 4 4 3 5" xfId="0"/>
    <cellStyle name="Normal 61 2 4 4 4 4" xfId="0"/>
    <cellStyle name="Normal 61 2 4 4 4 4 2" xfId="0"/>
    <cellStyle name="Normal 61 2 4 4 4 4 2 2" xfId="0"/>
    <cellStyle name="Normal 61 2 4 4 4 4 3" xfId="0"/>
    <cellStyle name="Normal 61 2 4 4 4 5" xfId="0"/>
    <cellStyle name="Normal 61 2 4 4 4 5 2" xfId="0"/>
    <cellStyle name="Normal 61 2 4 4 4 5 2 2" xfId="0"/>
    <cellStyle name="Normal 61 2 4 4 4 5 3" xfId="0"/>
    <cellStyle name="Normal 61 2 4 4 4 6" xfId="0"/>
    <cellStyle name="Normal 61 2 4 4 4 6 2" xfId="0"/>
    <cellStyle name="Normal 61 2 4 4 4 7" xfId="0"/>
    <cellStyle name="Normal 61 2 4 4 5" xfId="0"/>
    <cellStyle name="Normal 61 2 4 4 5 2" xfId="0"/>
    <cellStyle name="Normal 61 2 4 4 5 2 2" xfId="0"/>
    <cellStyle name="Normal 61 2 4 4 5 2 2 2" xfId="0"/>
    <cellStyle name="Normal 61 2 4 4 5 2 2 2 2" xfId="0"/>
    <cellStyle name="Normal 61 2 4 4 5 2 2 3" xfId="0"/>
    <cellStyle name="Normal 61 2 4 4 5 2 3" xfId="0"/>
    <cellStyle name="Normal 61 2 4 4 5 2 3 2" xfId="0"/>
    <cellStyle name="Normal 61 2 4 4 5 2 3 2 2" xfId="0"/>
    <cellStyle name="Normal 61 2 4 4 5 2 3 3" xfId="0"/>
    <cellStyle name="Normal 61 2 4 4 5 2 4" xfId="0"/>
    <cellStyle name="Normal 61 2 4 4 5 2 4 2" xfId="0"/>
    <cellStyle name="Normal 61 2 4 4 5 2 5" xfId="0"/>
    <cellStyle name="Normal 61 2 4 4 5 3" xfId="0"/>
    <cellStyle name="Normal 61 2 4 4 5 3 2" xfId="0"/>
    <cellStyle name="Normal 61 2 4 4 5 3 2 2" xfId="0"/>
    <cellStyle name="Normal 61 2 4 4 5 3 3" xfId="0"/>
    <cellStyle name="Normal 61 2 4 4 5 4" xfId="0"/>
    <cellStyle name="Normal 61 2 4 4 5 4 2" xfId="0"/>
    <cellStyle name="Normal 61 2 4 4 5 4 2 2" xfId="0"/>
    <cellStyle name="Normal 61 2 4 4 5 4 3" xfId="0"/>
    <cellStyle name="Normal 61 2 4 4 5 5" xfId="0"/>
    <cellStyle name="Normal 61 2 4 4 5 5 2" xfId="0"/>
    <cellStyle name="Normal 61 2 4 4 5 6" xfId="0"/>
    <cellStyle name="Normal 61 2 4 4 6" xfId="0"/>
    <cellStyle name="Normal 61 2 4 4 6 2" xfId="0"/>
    <cellStyle name="Normal 61 2 4 4 6 2 2" xfId="0"/>
    <cellStyle name="Normal 61 2 4 4 6 2 2 2" xfId="0"/>
    <cellStyle name="Normal 61 2 4 4 6 2 3" xfId="0"/>
    <cellStyle name="Normal 61 2 4 4 6 3" xfId="0"/>
    <cellStyle name="Normal 61 2 4 4 6 3 2" xfId="0"/>
    <cellStyle name="Normal 61 2 4 4 6 3 2 2" xfId="0"/>
    <cellStyle name="Normal 61 2 4 4 6 3 3" xfId="0"/>
    <cellStyle name="Normal 61 2 4 4 6 4" xfId="0"/>
    <cellStyle name="Normal 61 2 4 4 6 4 2" xfId="0"/>
    <cellStyle name="Normal 61 2 4 4 6 5" xfId="0"/>
    <cellStyle name="Normal 61 2 4 4 7" xfId="0"/>
    <cellStyle name="Normal 61 2 4 4 7 2" xfId="0"/>
    <cellStyle name="Normal 61 2 4 4 7 2 2" xfId="0"/>
    <cellStyle name="Normal 61 2 4 4 7 3" xfId="0"/>
    <cellStyle name="Normal 61 2 4 4 8" xfId="0"/>
    <cellStyle name="Normal 61 2 4 4 8 2" xfId="0"/>
    <cellStyle name="Normal 61 2 4 4 8 2 2" xfId="0"/>
    <cellStyle name="Normal 61 2 4 4 8 3" xfId="0"/>
    <cellStyle name="Normal 61 2 4 4 9" xfId="0"/>
    <cellStyle name="Normal 61 2 4 4 9 2" xfId="0"/>
    <cellStyle name="Normal 61 2 4 5" xfId="0"/>
    <cellStyle name="Normal 61 2 4 5 2" xfId="0"/>
    <cellStyle name="Normal 61 2 4 5 2 2" xfId="0"/>
    <cellStyle name="Normal 61 2 4 5 2 2 2" xfId="0"/>
    <cellStyle name="Normal 61 2 4 5 2 2 2 2" xfId="0"/>
    <cellStyle name="Normal 61 2 4 5 2 2 2 2 2" xfId="0"/>
    <cellStyle name="Normal 61 2 4 5 2 2 2 2 2 2" xfId="0"/>
    <cellStyle name="Normal 61 2 4 5 2 2 2 2 2 2 2" xfId="0"/>
    <cellStyle name="Normal 61 2 4 5 2 2 2 2 2 3" xfId="0"/>
    <cellStyle name="Normal 61 2 4 5 2 2 2 2 3" xfId="0"/>
    <cellStyle name="Normal 61 2 4 5 2 2 2 2 3 2" xfId="0"/>
    <cellStyle name="Normal 61 2 4 5 2 2 2 2 3 2 2" xfId="0"/>
    <cellStyle name="Normal 61 2 4 5 2 2 2 2 3 3" xfId="0"/>
    <cellStyle name="Normal 61 2 4 5 2 2 2 2 4" xfId="0"/>
    <cellStyle name="Normal 61 2 4 5 2 2 2 2 4 2" xfId="0"/>
    <cellStyle name="Normal 61 2 4 5 2 2 2 2 5" xfId="0"/>
    <cellStyle name="Normal 61 2 4 5 2 2 2 3" xfId="0"/>
    <cellStyle name="Normal 61 2 4 5 2 2 2 3 2" xfId="0"/>
    <cellStyle name="Normal 61 2 4 5 2 2 2 3 2 2" xfId="0"/>
    <cellStyle name="Normal 61 2 4 5 2 2 2 3 3" xfId="0"/>
    <cellStyle name="Normal 61 2 4 5 2 2 2 4" xfId="0"/>
    <cellStyle name="Normal 61 2 4 5 2 2 2 4 2" xfId="0"/>
    <cellStyle name="Normal 61 2 4 5 2 2 2 4 2 2" xfId="0"/>
    <cellStyle name="Normal 61 2 4 5 2 2 2 4 3" xfId="0"/>
    <cellStyle name="Normal 61 2 4 5 2 2 2 5" xfId="0"/>
    <cellStyle name="Normal 61 2 4 5 2 2 2 5 2" xfId="0"/>
    <cellStyle name="Normal 61 2 4 5 2 2 2 6" xfId="0"/>
    <cellStyle name="Normal 61 2 4 5 2 2 3" xfId="0"/>
    <cellStyle name="Normal 61 2 4 5 2 2 3 2" xfId="0"/>
    <cellStyle name="Normal 61 2 4 5 2 2 3 2 2" xfId="0"/>
    <cellStyle name="Normal 61 2 4 5 2 2 3 2 2 2" xfId="0"/>
    <cellStyle name="Normal 61 2 4 5 2 2 3 2 3" xfId="0"/>
    <cellStyle name="Normal 61 2 4 5 2 2 3 3" xfId="0"/>
    <cellStyle name="Normal 61 2 4 5 2 2 3 3 2" xfId="0"/>
    <cellStyle name="Normal 61 2 4 5 2 2 3 3 2 2" xfId="0"/>
    <cellStyle name="Normal 61 2 4 5 2 2 3 3 3" xfId="0"/>
    <cellStyle name="Normal 61 2 4 5 2 2 3 4" xfId="0"/>
    <cellStyle name="Normal 61 2 4 5 2 2 3 4 2" xfId="0"/>
    <cellStyle name="Normal 61 2 4 5 2 2 3 5" xfId="0"/>
    <cellStyle name="Normal 61 2 4 5 2 2 4" xfId="0"/>
    <cellStyle name="Normal 61 2 4 5 2 2 4 2" xfId="0"/>
    <cellStyle name="Normal 61 2 4 5 2 2 4 2 2" xfId="0"/>
    <cellStyle name="Normal 61 2 4 5 2 2 4 3" xfId="0"/>
    <cellStyle name="Normal 61 2 4 5 2 2 5" xfId="0"/>
    <cellStyle name="Normal 61 2 4 5 2 2 5 2" xfId="0"/>
    <cellStyle name="Normal 61 2 4 5 2 2 5 2 2" xfId="0"/>
    <cellStyle name="Normal 61 2 4 5 2 2 5 3" xfId="0"/>
    <cellStyle name="Normal 61 2 4 5 2 2 6" xfId="0"/>
    <cellStyle name="Normal 61 2 4 5 2 2 6 2" xfId="0"/>
    <cellStyle name="Normal 61 2 4 5 2 2 7" xfId="0"/>
    <cellStyle name="Normal 61 2 4 5 2 3" xfId="0"/>
    <cellStyle name="Normal 61 2 4 5 2 3 2" xfId="0"/>
    <cellStyle name="Normal 61 2 4 5 2 3 2 2" xfId="0"/>
    <cellStyle name="Normal 61 2 4 5 2 3 2 2 2" xfId="0"/>
    <cellStyle name="Normal 61 2 4 5 2 3 2 2 2 2" xfId="0"/>
    <cellStyle name="Normal 61 2 4 5 2 3 2 2 3" xfId="0"/>
    <cellStyle name="Normal 61 2 4 5 2 3 2 3" xfId="0"/>
    <cellStyle name="Normal 61 2 4 5 2 3 2 3 2" xfId="0"/>
    <cellStyle name="Normal 61 2 4 5 2 3 2 3 2 2" xfId="0"/>
    <cellStyle name="Normal 61 2 4 5 2 3 2 3 3" xfId="0"/>
    <cellStyle name="Normal 61 2 4 5 2 3 2 4" xfId="0"/>
    <cellStyle name="Normal 61 2 4 5 2 3 2 4 2" xfId="0"/>
    <cellStyle name="Normal 61 2 4 5 2 3 2 5" xfId="0"/>
    <cellStyle name="Normal 61 2 4 5 2 3 3" xfId="0"/>
    <cellStyle name="Normal 61 2 4 5 2 3 3 2" xfId="0"/>
    <cellStyle name="Normal 61 2 4 5 2 3 3 2 2" xfId="0"/>
    <cellStyle name="Normal 61 2 4 5 2 3 3 3" xfId="0"/>
    <cellStyle name="Normal 61 2 4 5 2 3 4" xfId="0"/>
    <cellStyle name="Normal 61 2 4 5 2 3 4 2" xfId="0"/>
    <cellStyle name="Normal 61 2 4 5 2 3 4 2 2" xfId="0"/>
    <cellStyle name="Normal 61 2 4 5 2 3 4 3" xfId="0"/>
    <cellStyle name="Normal 61 2 4 5 2 3 5" xfId="0"/>
    <cellStyle name="Normal 61 2 4 5 2 3 5 2" xfId="0"/>
    <cellStyle name="Normal 61 2 4 5 2 3 6" xfId="0"/>
    <cellStyle name="Normal 61 2 4 5 2 4" xfId="0"/>
    <cellStyle name="Normal 61 2 4 5 2 4 2" xfId="0"/>
    <cellStyle name="Normal 61 2 4 5 2 4 2 2" xfId="0"/>
    <cellStyle name="Normal 61 2 4 5 2 4 2 2 2" xfId="0"/>
    <cellStyle name="Normal 61 2 4 5 2 4 2 3" xfId="0"/>
    <cellStyle name="Normal 61 2 4 5 2 4 3" xfId="0"/>
    <cellStyle name="Normal 61 2 4 5 2 4 3 2" xfId="0"/>
    <cellStyle name="Normal 61 2 4 5 2 4 3 2 2" xfId="0"/>
    <cellStyle name="Normal 61 2 4 5 2 4 3 3" xfId="0"/>
    <cellStyle name="Normal 61 2 4 5 2 4 4" xfId="0"/>
    <cellStyle name="Normal 61 2 4 5 2 4 4 2" xfId="0"/>
    <cellStyle name="Normal 61 2 4 5 2 4 5" xfId="0"/>
    <cellStyle name="Normal 61 2 4 5 2 5" xfId="0"/>
    <cellStyle name="Normal 61 2 4 5 2 5 2" xfId="0"/>
    <cellStyle name="Normal 61 2 4 5 2 5 2 2" xfId="0"/>
    <cellStyle name="Normal 61 2 4 5 2 5 3" xfId="0"/>
    <cellStyle name="Normal 61 2 4 5 2 6" xfId="0"/>
    <cellStyle name="Normal 61 2 4 5 2 6 2" xfId="0"/>
    <cellStyle name="Normal 61 2 4 5 2 6 2 2" xfId="0"/>
    <cellStyle name="Normal 61 2 4 5 2 6 3" xfId="0"/>
    <cellStyle name="Normal 61 2 4 5 2 7" xfId="0"/>
    <cellStyle name="Normal 61 2 4 5 2 7 2" xfId="0"/>
    <cellStyle name="Normal 61 2 4 5 2 8" xfId="0"/>
    <cellStyle name="Normal 61 2 4 5 3" xfId="0"/>
    <cellStyle name="Normal 61 2 4 5 3 2" xfId="0"/>
    <cellStyle name="Normal 61 2 4 5 3 2 2" xfId="0"/>
    <cellStyle name="Normal 61 2 4 5 3 2 2 2" xfId="0"/>
    <cellStyle name="Normal 61 2 4 5 3 2 2 2 2" xfId="0"/>
    <cellStyle name="Normal 61 2 4 5 3 2 2 2 2 2" xfId="0"/>
    <cellStyle name="Normal 61 2 4 5 3 2 2 2 3" xfId="0"/>
    <cellStyle name="Normal 61 2 4 5 3 2 2 3" xfId="0"/>
    <cellStyle name="Normal 61 2 4 5 3 2 2 3 2" xfId="0"/>
    <cellStyle name="Normal 61 2 4 5 3 2 2 3 2 2" xfId="0"/>
    <cellStyle name="Normal 61 2 4 5 3 2 2 3 3" xfId="0"/>
    <cellStyle name="Normal 61 2 4 5 3 2 2 4" xfId="0"/>
    <cellStyle name="Normal 61 2 4 5 3 2 2 4 2" xfId="0"/>
    <cellStyle name="Normal 61 2 4 5 3 2 2 5" xfId="0"/>
    <cellStyle name="Normal 61 2 4 5 3 2 3" xfId="0"/>
    <cellStyle name="Normal 61 2 4 5 3 2 3 2" xfId="0"/>
    <cellStyle name="Normal 61 2 4 5 3 2 3 2 2" xfId="0"/>
    <cellStyle name="Normal 61 2 4 5 3 2 3 3" xfId="0"/>
    <cellStyle name="Normal 61 2 4 5 3 2 4" xfId="0"/>
    <cellStyle name="Normal 61 2 4 5 3 2 4 2" xfId="0"/>
    <cellStyle name="Normal 61 2 4 5 3 2 4 2 2" xfId="0"/>
    <cellStyle name="Normal 61 2 4 5 3 2 4 3" xfId="0"/>
    <cellStyle name="Normal 61 2 4 5 3 2 5" xfId="0"/>
    <cellStyle name="Normal 61 2 4 5 3 2 5 2" xfId="0"/>
    <cellStyle name="Normal 61 2 4 5 3 2 6" xfId="0"/>
    <cellStyle name="Normal 61 2 4 5 3 3" xfId="0"/>
    <cellStyle name="Normal 61 2 4 5 3 3 2" xfId="0"/>
    <cellStyle name="Normal 61 2 4 5 3 3 2 2" xfId="0"/>
    <cellStyle name="Normal 61 2 4 5 3 3 2 2 2" xfId="0"/>
    <cellStyle name="Normal 61 2 4 5 3 3 2 3" xfId="0"/>
    <cellStyle name="Normal 61 2 4 5 3 3 3" xfId="0"/>
    <cellStyle name="Normal 61 2 4 5 3 3 3 2" xfId="0"/>
    <cellStyle name="Normal 61 2 4 5 3 3 3 2 2" xfId="0"/>
    <cellStyle name="Normal 61 2 4 5 3 3 3 3" xfId="0"/>
    <cellStyle name="Normal 61 2 4 5 3 3 4" xfId="0"/>
    <cellStyle name="Normal 61 2 4 5 3 3 4 2" xfId="0"/>
    <cellStyle name="Normal 61 2 4 5 3 3 5" xfId="0"/>
    <cellStyle name="Normal 61 2 4 5 3 4" xfId="0"/>
    <cellStyle name="Normal 61 2 4 5 3 4 2" xfId="0"/>
    <cellStyle name="Normal 61 2 4 5 3 4 2 2" xfId="0"/>
    <cellStyle name="Normal 61 2 4 5 3 4 3" xfId="0"/>
    <cellStyle name="Normal 61 2 4 5 3 5" xfId="0"/>
    <cellStyle name="Normal 61 2 4 5 3 5 2" xfId="0"/>
    <cellStyle name="Normal 61 2 4 5 3 5 2 2" xfId="0"/>
    <cellStyle name="Normal 61 2 4 5 3 5 3" xfId="0"/>
    <cellStyle name="Normal 61 2 4 5 3 6" xfId="0"/>
    <cellStyle name="Normal 61 2 4 5 3 6 2" xfId="0"/>
    <cellStyle name="Normal 61 2 4 5 3 7" xfId="0"/>
    <cellStyle name="Normal 61 2 4 5 4" xfId="0"/>
    <cellStyle name="Normal 61 2 4 5 4 2" xfId="0"/>
    <cellStyle name="Normal 61 2 4 5 4 2 2" xfId="0"/>
    <cellStyle name="Normal 61 2 4 5 4 2 2 2" xfId="0"/>
    <cellStyle name="Normal 61 2 4 5 4 2 2 2 2" xfId="0"/>
    <cellStyle name="Normal 61 2 4 5 4 2 2 3" xfId="0"/>
    <cellStyle name="Normal 61 2 4 5 4 2 3" xfId="0"/>
    <cellStyle name="Normal 61 2 4 5 4 2 3 2" xfId="0"/>
    <cellStyle name="Normal 61 2 4 5 4 2 3 2 2" xfId="0"/>
    <cellStyle name="Normal 61 2 4 5 4 2 3 3" xfId="0"/>
    <cellStyle name="Normal 61 2 4 5 4 2 4" xfId="0"/>
    <cellStyle name="Normal 61 2 4 5 4 2 4 2" xfId="0"/>
    <cellStyle name="Normal 61 2 4 5 4 2 5" xfId="0"/>
    <cellStyle name="Normal 61 2 4 5 4 3" xfId="0"/>
    <cellStyle name="Normal 61 2 4 5 4 3 2" xfId="0"/>
    <cellStyle name="Normal 61 2 4 5 4 3 2 2" xfId="0"/>
    <cellStyle name="Normal 61 2 4 5 4 3 3" xfId="0"/>
    <cellStyle name="Normal 61 2 4 5 4 4" xfId="0"/>
    <cellStyle name="Normal 61 2 4 5 4 4 2" xfId="0"/>
    <cellStyle name="Normal 61 2 4 5 4 4 2 2" xfId="0"/>
    <cellStyle name="Normal 61 2 4 5 4 4 3" xfId="0"/>
    <cellStyle name="Normal 61 2 4 5 4 5" xfId="0"/>
    <cellStyle name="Normal 61 2 4 5 4 5 2" xfId="0"/>
    <cellStyle name="Normal 61 2 4 5 4 6" xfId="0"/>
    <cellStyle name="Normal 61 2 4 5 5" xfId="0"/>
    <cellStyle name="Normal 61 2 4 5 5 2" xfId="0"/>
    <cellStyle name="Normal 61 2 4 5 5 2 2" xfId="0"/>
    <cellStyle name="Normal 61 2 4 5 5 2 2 2" xfId="0"/>
    <cellStyle name="Normal 61 2 4 5 5 2 3" xfId="0"/>
    <cellStyle name="Normal 61 2 4 5 5 3" xfId="0"/>
    <cellStyle name="Normal 61 2 4 5 5 3 2" xfId="0"/>
    <cellStyle name="Normal 61 2 4 5 5 3 2 2" xfId="0"/>
    <cellStyle name="Normal 61 2 4 5 5 3 3" xfId="0"/>
    <cellStyle name="Normal 61 2 4 5 5 4" xfId="0"/>
    <cellStyle name="Normal 61 2 4 5 5 4 2" xfId="0"/>
    <cellStyle name="Normal 61 2 4 5 5 5" xfId="0"/>
    <cellStyle name="Normal 61 2 4 5 6" xfId="0"/>
    <cellStyle name="Normal 61 2 4 5 6 2" xfId="0"/>
    <cellStyle name="Normal 61 2 4 5 6 2 2" xfId="0"/>
    <cellStyle name="Normal 61 2 4 5 6 3" xfId="0"/>
    <cellStyle name="Normal 61 2 4 5 7" xfId="0"/>
    <cellStyle name="Normal 61 2 4 5 7 2" xfId="0"/>
    <cellStyle name="Normal 61 2 4 5 7 2 2" xfId="0"/>
    <cellStyle name="Normal 61 2 4 5 7 3" xfId="0"/>
    <cellStyle name="Normal 61 2 4 5 8" xfId="0"/>
    <cellStyle name="Normal 61 2 4 5 8 2" xfId="0"/>
    <cellStyle name="Normal 61 2 4 5 9" xfId="0"/>
    <cellStyle name="Normal 61 2 4 6" xfId="0"/>
    <cellStyle name="Normal 61 2 4 6 2" xfId="0"/>
    <cellStyle name="Normal 61 2 4 6 2 2" xfId="0"/>
    <cellStyle name="Normal 61 2 4 6 2 2 2" xfId="0"/>
    <cellStyle name="Normal 61 2 4 6 2 2 2 2" xfId="0"/>
    <cellStyle name="Normal 61 2 4 6 2 2 2 2 2" xfId="0"/>
    <cellStyle name="Normal 61 2 4 6 2 2 2 2 2 2" xfId="0"/>
    <cellStyle name="Normal 61 2 4 6 2 2 2 2 3" xfId="0"/>
    <cellStyle name="Normal 61 2 4 6 2 2 2 3" xfId="0"/>
    <cellStyle name="Normal 61 2 4 6 2 2 2 3 2" xfId="0"/>
    <cellStyle name="Normal 61 2 4 6 2 2 2 3 2 2" xfId="0"/>
    <cellStyle name="Normal 61 2 4 6 2 2 2 3 3" xfId="0"/>
    <cellStyle name="Normal 61 2 4 6 2 2 2 4" xfId="0"/>
    <cellStyle name="Normal 61 2 4 6 2 2 2 4 2" xfId="0"/>
    <cellStyle name="Normal 61 2 4 6 2 2 2 5" xfId="0"/>
    <cellStyle name="Normal 61 2 4 6 2 2 3" xfId="0"/>
    <cellStyle name="Normal 61 2 4 6 2 2 3 2" xfId="0"/>
    <cellStyle name="Normal 61 2 4 6 2 2 3 2 2" xfId="0"/>
    <cellStyle name="Normal 61 2 4 6 2 2 3 3" xfId="0"/>
    <cellStyle name="Normal 61 2 4 6 2 2 4" xfId="0"/>
    <cellStyle name="Normal 61 2 4 6 2 2 4 2" xfId="0"/>
    <cellStyle name="Normal 61 2 4 6 2 2 4 2 2" xfId="0"/>
    <cellStyle name="Normal 61 2 4 6 2 2 4 3" xfId="0"/>
    <cellStyle name="Normal 61 2 4 6 2 2 5" xfId="0"/>
    <cellStyle name="Normal 61 2 4 6 2 2 5 2" xfId="0"/>
    <cellStyle name="Normal 61 2 4 6 2 2 6" xfId="0"/>
    <cellStyle name="Normal 61 2 4 6 2 3" xfId="0"/>
    <cellStyle name="Normal 61 2 4 6 2 3 2" xfId="0"/>
    <cellStyle name="Normal 61 2 4 6 2 3 2 2" xfId="0"/>
    <cellStyle name="Normal 61 2 4 6 2 3 2 2 2" xfId="0"/>
    <cellStyle name="Normal 61 2 4 6 2 3 2 3" xfId="0"/>
    <cellStyle name="Normal 61 2 4 6 2 3 3" xfId="0"/>
    <cellStyle name="Normal 61 2 4 6 2 3 3 2" xfId="0"/>
    <cellStyle name="Normal 61 2 4 6 2 3 3 2 2" xfId="0"/>
    <cellStyle name="Normal 61 2 4 6 2 3 3 3" xfId="0"/>
    <cellStyle name="Normal 61 2 4 6 2 3 4" xfId="0"/>
    <cellStyle name="Normal 61 2 4 6 2 3 4 2" xfId="0"/>
    <cellStyle name="Normal 61 2 4 6 2 3 5" xfId="0"/>
    <cellStyle name="Normal 61 2 4 6 2 4" xfId="0"/>
    <cellStyle name="Normal 61 2 4 6 2 4 2" xfId="0"/>
    <cellStyle name="Normal 61 2 4 6 2 4 2 2" xfId="0"/>
    <cellStyle name="Normal 61 2 4 6 2 4 3" xfId="0"/>
    <cellStyle name="Normal 61 2 4 6 2 5" xfId="0"/>
    <cellStyle name="Normal 61 2 4 6 2 5 2" xfId="0"/>
    <cellStyle name="Normal 61 2 4 6 2 5 2 2" xfId="0"/>
    <cellStyle name="Normal 61 2 4 6 2 5 3" xfId="0"/>
    <cellStyle name="Normal 61 2 4 6 2 6" xfId="0"/>
    <cellStyle name="Normal 61 2 4 6 2 6 2" xfId="0"/>
    <cellStyle name="Normal 61 2 4 6 2 7" xfId="0"/>
    <cellStyle name="Normal 61 2 4 6 3" xfId="0"/>
    <cellStyle name="Normal 61 2 4 6 3 2" xfId="0"/>
    <cellStyle name="Normal 61 2 4 6 3 2 2" xfId="0"/>
    <cellStyle name="Normal 61 2 4 6 3 2 2 2" xfId="0"/>
    <cellStyle name="Normal 61 2 4 6 3 2 2 2 2" xfId="0"/>
    <cellStyle name="Normal 61 2 4 6 3 2 2 3" xfId="0"/>
    <cellStyle name="Normal 61 2 4 6 3 2 3" xfId="0"/>
    <cellStyle name="Normal 61 2 4 6 3 2 3 2" xfId="0"/>
    <cellStyle name="Normal 61 2 4 6 3 2 3 2 2" xfId="0"/>
    <cellStyle name="Normal 61 2 4 6 3 2 3 3" xfId="0"/>
    <cellStyle name="Normal 61 2 4 6 3 2 4" xfId="0"/>
    <cellStyle name="Normal 61 2 4 6 3 2 4 2" xfId="0"/>
    <cellStyle name="Normal 61 2 4 6 3 2 5" xfId="0"/>
    <cellStyle name="Normal 61 2 4 6 3 3" xfId="0"/>
    <cellStyle name="Normal 61 2 4 6 3 3 2" xfId="0"/>
    <cellStyle name="Normal 61 2 4 6 3 3 2 2" xfId="0"/>
    <cellStyle name="Normal 61 2 4 6 3 3 3" xfId="0"/>
    <cellStyle name="Normal 61 2 4 6 3 4" xfId="0"/>
    <cellStyle name="Normal 61 2 4 6 3 4 2" xfId="0"/>
    <cellStyle name="Normal 61 2 4 6 3 4 2 2" xfId="0"/>
    <cellStyle name="Normal 61 2 4 6 3 4 3" xfId="0"/>
    <cellStyle name="Normal 61 2 4 6 3 5" xfId="0"/>
    <cellStyle name="Normal 61 2 4 6 3 5 2" xfId="0"/>
    <cellStyle name="Normal 61 2 4 6 3 6" xfId="0"/>
    <cellStyle name="Normal 61 2 4 6 4" xfId="0"/>
    <cellStyle name="Normal 61 2 4 6 4 2" xfId="0"/>
    <cellStyle name="Normal 61 2 4 6 4 2 2" xfId="0"/>
    <cellStyle name="Normal 61 2 4 6 4 2 2 2" xfId="0"/>
    <cellStyle name="Normal 61 2 4 6 4 2 3" xfId="0"/>
    <cellStyle name="Normal 61 2 4 6 4 3" xfId="0"/>
    <cellStyle name="Normal 61 2 4 6 4 3 2" xfId="0"/>
    <cellStyle name="Normal 61 2 4 6 4 3 2 2" xfId="0"/>
    <cellStyle name="Normal 61 2 4 6 4 3 3" xfId="0"/>
    <cellStyle name="Normal 61 2 4 6 4 4" xfId="0"/>
    <cellStyle name="Normal 61 2 4 6 4 4 2" xfId="0"/>
    <cellStyle name="Normal 61 2 4 6 4 5" xfId="0"/>
    <cellStyle name="Normal 61 2 4 6 5" xfId="0"/>
    <cellStyle name="Normal 61 2 4 6 5 2" xfId="0"/>
    <cellStyle name="Normal 61 2 4 6 5 2 2" xfId="0"/>
    <cellStyle name="Normal 61 2 4 6 5 3" xfId="0"/>
    <cellStyle name="Normal 61 2 4 6 6" xfId="0"/>
    <cellStyle name="Normal 61 2 4 6 6 2" xfId="0"/>
    <cellStyle name="Normal 61 2 4 6 6 2 2" xfId="0"/>
    <cellStyle name="Normal 61 2 4 6 6 3" xfId="0"/>
    <cellStyle name="Normal 61 2 4 6 7" xfId="0"/>
    <cellStyle name="Normal 61 2 4 6 7 2" xfId="0"/>
    <cellStyle name="Normal 61 2 4 6 8" xfId="0"/>
    <cellStyle name="Normal 61 2 4 7" xfId="0"/>
    <cellStyle name="Normal 61 2 4 7 2" xfId="0"/>
    <cellStyle name="Normal 61 2 4 7 2 2" xfId="0"/>
    <cellStyle name="Normal 61 2 4 7 2 2 2" xfId="0"/>
    <cellStyle name="Normal 61 2 4 7 2 2 2 2" xfId="0"/>
    <cellStyle name="Normal 61 2 4 7 2 2 2 2 2" xfId="0"/>
    <cellStyle name="Normal 61 2 4 7 2 2 2 3" xfId="0"/>
    <cellStyle name="Normal 61 2 4 7 2 2 3" xfId="0"/>
    <cellStyle name="Normal 61 2 4 7 2 2 3 2" xfId="0"/>
    <cellStyle name="Normal 61 2 4 7 2 2 3 2 2" xfId="0"/>
    <cellStyle name="Normal 61 2 4 7 2 2 3 3" xfId="0"/>
    <cellStyle name="Normal 61 2 4 7 2 2 4" xfId="0"/>
    <cellStyle name="Normal 61 2 4 7 2 2 4 2" xfId="0"/>
    <cellStyle name="Normal 61 2 4 7 2 2 5" xfId="0"/>
    <cellStyle name="Normal 61 2 4 7 2 3" xfId="0"/>
    <cellStyle name="Normal 61 2 4 7 2 3 2" xfId="0"/>
    <cellStyle name="Normal 61 2 4 7 2 3 2 2" xfId="0"/>
    <cellStyle name="Normal 61 2 4 7 2 3 3" xfId="0"/>
    <cellStyle name="Normal 61 2 4 7 2 4" xfId="0"/>
    <cellStyle name="Normal 61 2 4 7 2 4 2" xfId="0"/>
    <cellStyle name="Normal 61 2 4 7 2 4 2 2" xfId="0"/>
    <cellStyle name="Normal 61 2 4 7 2 4 3" xfId="0"/>
    <cellStyle name="Normal 61 2 4 7 2 5" xfId="0"/>
    <cellStyle name="Normal 61 2 4 7 2 5 2" xfId="0"/>
    <cellStyle name="Normal 61 2 4 7 2 6" xfId="0"/>
    <cellStyle name="Normal 61 2 4 7 3" xfId="0"/>
    <cellStyle name="Normal 61 2 4 7 3 2" xfId="0"/>
    <cellStyle name="Normal 61 2 4 7 3 2 2" xfId="0"/>
    <cellStyle name="Normal 61 2 4 7 3 2 2 2" xfId="0"/>
    <cellStyle name="Normal 61 2 4 7 3 2 3" xfId="0"/>
    <cellStyle name="Normal 61 2 4 7 3 3" xfId="0"/>
    <cellStyle name="Normal 61 2 4 7 3 3 2" xfId="0"/>
    <cellStyle name="Normal 61 2 4 7 3 3 2 2" xfId="0"/>
    <cellStyle name="Normal 61 2 4 7 3 3 3" xfId="0"/>
    <cellStyle name="Normal 61 2 4 7 3 4" xfId="0"/>
    <cellStyle name="Normal 61 2 4 7 3 4 2" xfId="0"/>
    <cellStyle name="Normal 61 2 4 7 3 5" xfId="0"/>
    <cellStyle name="Normal 61 2 4 7 4" xfId="0"/>
    <cellStyle name="Normal 61 2 4 7 4 2" xfId="0"/>
    <cellStyle name="Normal 61 2 4 7 4 2 2" xfId="0"/>
    <cellStyle name="Normal 61 2 4 7 4 3" xfId="0"/>
    <cellStyle name="Normal 61 2 4 7 5" xfId="0"/>
    <cellStyle name="Normal 61 2 4 7 5 2" xfId="0"/>
    <cellStyle name="Normal 61 2 4 7 5 2 2" xfId="0"/>
    <cellStyle name="Normal 61 2 4 7 5 3" xfId="0"/>
    <cellStyle name="Normal 61 2 4 7 6" xfId="0"/>
    <cellStyle name="Normal 61 2 4 7 6 2" xfId="0"/>
    <cellStyle name="Normal 61 2 4 7 7" xfId="0"/>
    <cellStyle name="Normal 61 2 4 8" xfId="0"/>
    <cellStyle name="Normal 61 2 4 8 2" xfId="0"/>
    <cellStyle name="Normal 61 2 4 8 2 2" xfId="0"/>
    <cellStyle name="Normal 61 2 4 8 2 2 2" xfId="0"/>
    <cellStyle name="Normal 61 2 4 8 2 2 2 2" xfId="0"/>
    <cellStyle name="Normal 61 2 4 8 2 2 3" xfId="0"/>
    <cellStyle name="Normal 61 2 4 8 2 3" xfId="0"/>
    <cellStyle name="Normal 61 2 4 8 2 3 2" xfId="0"/>
    <cellStyle name="Normal 61 2 4 8 2 3 2 2" xfId="0"/>
    <cellStyle name="Normal 61 2 4 8 2 3 3" xfId="0"/>
    <cellStyle name="Normal 61 2 4 8 2 4" xfId="0"/>
    <cellStyle name="Normal 61 2 4 8 2 4 2" xfId="0"/>
    <cellStyle name="Normal 61 2 4 8 2 5" xfId="0"/>
    <cellStyle name="Normal 61 2 4 8 3" xfId="0"/>
    <cellStyle name="Normal 61 2 4 8 3 2" xfId="0"/>
    <cellStyle name="Normal 61 2 4 8 3 2 2" xfId="0"/>
    <cellStyle name="Normal 61 2 4 8 3 3" xfId="0"/>
    <cellStyle name="Normal 61 2 4 8 4" xfId="0"/>
    <cellStyle name="Normal 61 2 4 8 4 2" xfId="0"/>
    <cellStyle name="Normal 61 2 4 8 4 2 2" xfId="0"/>
    <cellStyle name="Normal 61 2 4 8 4 3" xfId="0"/>
    <cellStyle name="Normal 61 2 4 8 5" xfId="0"/>
    <cellStyle name="Normal 61 2 4 8 5 2" xfId="0"/>
    <cellStyle name="Normal 61 2 4 8 6" xfId="0"/>
    <cellStyle name="Normal 61 2 4 9" xfId="0"/>
    <cellStyle name="Normal 61 2 4 9 2" xfId="0"/>
    <cellStyle name="Normal 61 2 4 9 2 2" xfId="0"/>
    <cellStyle name="Normal 61 2 4 9 2 2 2" xfId="0"/>
    <cellStyle name="Normal 61 2 4 9 2 3" xfId="0"/>
    <cellStyle name="Normal 61 2 4 9 3" xfId="0"/>
    <cellStyle name="Normal 61 2 4 9 3 2" xfId="0"/>
    <cellStyle name="Normal 61 2 4 9 3 2 2" xfId="0"/>
    <cellStyle name="Normal 61 2 4 9 3 3" xfId="0"/>
    <cellStyle name="Normal 61 2 4 9 4" xfId="0"/>
    <cellStyle name="Normal 61 2 4 9 4 2" xfId="0"/>
    <cellStyle name="Normal 61 2 4 9 5" xfId="0"/>
    <cellStyle name="Normal 61 2 5" xfId="0"/>
    <cellStyle name="Normal 61 2 5 10" xfId="0"/>
    <cellStyle name="Normal 61 2 5 10 2" xfId="0"/>
    <cellStyle name="Normal 61 2 5 10 2 2" xfId="0"/>
    <cellStyle name="Normal 61 2 5 10 3" xfId="0"/>
    <cellStyle name="Normal 61 2 5 11" xfId="0"/>
    <cellStyle name="Normal 61 2 5 11 2" xfId="0"/>
    <cellStyle name="Normal 61 2 5 11 2 2" xfId="0"/>
    <cellStyle name="Normal 61 2 5 11 3" xfId="0"/>
    <cellStyle name="Normal 61 2 5 12" xfId="0"/>
    <cellStyle name="Normal 61 2 5 12 2" xfId="0"/>
    <cellStyle name="Normal 61 2 5 13" xfId="0"/>
    <cellStyle name="Normal 61 2 5 2" xfId="0"/>
    <cellStyle name="Normal 61 2 5 2 10" xfId="0"/>
    <cellStyle name="Normal 61 2 5 2 10 2" xfId="0"/>
    <cellStyle name="Normal 61 2 5 2 10 2 2" xfId="0"/>
    <cellStyle name="Normal 61 2 5 2 10 3" xfId="0"/>
    <cellStyle name="Normal 61 2 5 2 11" xfId="0"/>
    <cellStyle name="Normal 61 2 5 2 11 2" xfId="0"/>
    <cellStyle name="Normal 61 2 5 2 12" xfId="0"/>
    <cellStyle name="Normal 61 2 5 2 2" xfId="0"/>
    <cellStyle name="Normal 61 2 5 2 2 10" xfId="0"/>
    <cellStyle name="Normal 61 2 5 2 2 2" xfId="0"/>
    <cellStyle name="Normal 61 2 5 2 2 2 2" xfId="0"/>
    <cellStyle name="Normal 61 2 5 2 2 2 2 2" xfId="0"/>
    <cellStyle name="Normal 61 2 5 2 2 2 2 2 2" xfId="0"/>
    <cellStyle name="Normal 61 2 5 2 2 2 2 2 2 2" xfId="0"/>
    <cellStyle name="Normal 61 2 5 2 2 2 2 2 2 2 2" xfId="0"/>
    <cellStyle name="Normal 61 2 5 2 2 2 2 2 2 2 2 2" xfId="0"/>
    <cellStyle name="Normal 61 2 5 2 2 2 2 2 2 2 2 2 2" xfId="0"/>
    <cellStyle name="Normal 61 2 5 2 2 2 2 2 2 2 2 3" xfId="0"/>
    <cellStyle name="Normal 61 2 5 2 2 2 2 2 2 2 3" xfId="0"/>
    <cellStyle name="Normal 61 2 5 2 2 2 2 2 2 2 3 2" xfId="0"/>
    <cellStyle name="Normal 61 2 5 2 2 2 2 2 2 2 3 2 2" xfId="0"/>
    <cellStyle name="Normal 61 2 5 2 2 2 2 2 2 2 3 3" xfId="0"/>
    <cellStyle name="Normal 61 2 5 2 2 2 2 2 2 2 4" xfId="0"/>
    <cellStyle name="Normal 61 2 5 2 2 2 2 2 2 2 4 2" xfId="0"/>
    <cellStyle name="Normal 61 2 5 2 2 2 2 2 2 2 5" xfId="0"/>
    <cellStyle name="Normal 61 2 5 2 2 2 2 2 2 3" xfId="0"/>
    <cellStyle name="Normal 61 2 5 2 2 2 2 2 2 3 2" xfId="0"/>
    <cellStyle name="Normal 61 2 5 2 2 2 2 2 2 3 2 2" xfId="0"/>
    <cellStyle name="Normal 61 2 5 2 2 2 2 2 2 3 3" xfId="0"/>
    <cellStyle name="Normal 61 2 5 2 2 2 2 2 2 4" xfId="0"/>
    <cellStyle name="Normal 61 2 5 2 2 2 2 2 2 4 2" xfId="0"/>
    <cellStyle name="Normal 61 2 5 2 2 2 2 2 2 4 2 2" xfId="0"/>
    <cellStyle name="Normal 61 2 5 2 2 2 2 2 2 4 3" xfId="0"/>
    <cellStyle name="Normal 61 2 5 2 2 2 2 2 2 5" xfId="0"/>
    <cellStyle name="Normal 61 2 5 2 2 2 2 2 2 5 2" xfId="0"/>
    <cellStyle name="Normal 61 2 5 2 2 2 2 2 2 6" xfId="0"/>
    <cellStyle name="Normal 61 2 5 2 2 2 2 2 3" xfId="0"/>
    <cellStyle name="Normal 61 2 5 2 2 2 2 2 3 2" xfId="0"/>
    <cellStyle name="Normal 61 2 5 2 2 2 2 2 3 2 2" xfId="0"/>
    <cellStyle name="Normal 61 2 5 2 2 2 2 2 3 2 2 2" xfId="0"/>
    <cellStyle name="Normal 61 2 5 2 2 2 2 2 3 2 3" xfId="0"/>
    <cellStyle name="Normal 61 2 5 2 2 2 2 2 3 3" xfId="0"/>
    <cellStyle name="Normal 61 2 5 2 2 2 2 2 3 3 2" xfId="0"/>
    <cellStyle name="Normal 61 2 5 2 2 2 2 2 3 3 2 2" xfId="0"/>
    <cellStyle name="Normal 61 2 5 2 2 2 2 2 3 3 3" xfId="0"/>
    <cellStyle name="Normal 61 2 5 2 2 2 2 2 3 4" xfId="0"/>
    <cellStyle name="Normal 61 2 5 2 2 2 2 2 3 4 2" xfId="0"/>
    <cellStyle name="Normal 61 2 5 2 2 2 2 2 3 5" xfId="0"/>
    <cellStyle name="Normal 61 2 5 2 2 2 2 2 4" xfId="0"/>
    <cellStyle name="Normal 61 2 5 2 2 2 2 2 4 2" xfId="0"/>
    <cellStyle name="Normal 61 2 5 2 2 2 2 2 4 2 2" xfId="0"/>
    <cellStyle name="Normal 61 2 5 2 2 2 2 2 4 3" xfId="0"/>
    <cellStyle name="Normal 61 2 5 2 2 2 2 2 5" xfId="0"/>
    <cellStyle name="Normal 61 2 5 2 2 2 2 2 5 2" xfId="0"/>
    <cellStyle name="Normal 61 2 5 2 2 2 2 2 5 2 2" xfId="0"/>
    <cellStyle name="Normal 61 2 5 2 2 2 2 2 5 3" xfId="0"/>
    <cellStyle name="Normal 61 2 5 2 2 2 2 2 6" xfId="0"/>
    <cellStyle name="Normal 61 2 5 2 2 2 2 2 6 2" xfId="0"/>
    <cellStyle name="Normal 61 2 5 2 2 2 2 2 7" xfId="0"/>
    <cellStyle name="Normal 61 2 5 2 2 2 2 3" xfId="0"/>
    <cellStyle name="Normal 61 2 5 2 2 2 2 3 2" xfId="0"/>
    <cellStyle name="Normal 61 2 5 2 2 2 2 3 2 2" xfId="0"/>
    <cellStyle name="Normal 61 2 5 2 2 2 2 3 2 2 2" xfId="0"/>
    <cellStyle name="Normal 61 2 5 2 2 2 2 3 2 2 2 2" xfId="0"/>
    <cellStyle name="Normal 61 2 5 2 2 2 2 3 2 2 3" xfId="0"/>
    <cellStyle name="Normal 61 2 5 2 2 2 2 3 2 3" xfId="0"/>
    <cellStyle name="Normal 61 2 5 2 2 2 2 3 2 3 2" xfId="0"/>
    <cellStyle name="Normal 61 2 5 2 2 2 2 3 2 3 2 2" xfId="0"/>
    <cellStyle name="Normal 61 2 5 2 2 2 2 3 2 3 3" xfId="0"/>
    <cellStyle name="Normal 61 2 5 2 2 2 2 3 2 4" xfId="0"/>
    <cellStyle name="Normal 61 2 5 2 2 2 2 3 2 4 2" xfId="0"/>
    <cellStyle name="Normal 61 2 5 2 2 2 2 3 2 5" xfId="0"/>
    <cellStyle name="Normal 61 2 5 2 2 2 2 3 3" xfId="0"/>
    <cellStyle name="Normal 61 2 5 2 2 2 2 3 3 2" xfId="0"/>
    <cellStyle name="Normal 61 2 5 2 2 2 2 3 3 2 2" xfId="0"/>
    <cellStyle name="Normal 61 2 5 2 2 2 2 3 3 3" xfId="0"/>
    <cellStyle name="Normal 61 2 5 2 2 2 2 3 4" xfId="0"/>
    <cellStyle name="Normal 61 2 5 2 2 2 2 3 4 2" xfId="0"/>
    <cellStyle name="Normal 61 2 5 2 2 2 2 3 4 2 2" xfId="0"/>
    <cellStyle name="Normal 61 2 5 2 2 2 2 3 4 3" xfId="0"/>
    <cellStyle name="Normal 61 2 5 2 2 2 2 3 5" xfId="0"/>
    <cellStyle name="Normal 61 2 5 2 2 2 2 3 5 2" xfId="0"/>
    <cellStyle name="Normal 61 2 5 2 2 2 2 3 6" xfId="0"/>
    <cellStyle name="Normal 61 2 5 2 2 2 2 4" xfId="0"/>
    <cellStyle name="Normal 61 2 5 2 2 2 2 4 2" xfId="0"/>
    <cellStyle name="Normal 61 2 5 2 2 2 2 4 2 2" xfId="0"/>
    <cellStyle name="Normal 61 2 5 2 2 2 2 4 2 2 2" xfId="0"/>
    <cellStyle name="Normal 61 2 5 2 2 2 2 4 2 3" xfId="0"/>
    <cellStyle name="Normal 61 2 5 2 2 2 2 4 3" xfId="0"/>
    <cellStyle name="Normal 61 2 5 2 2 2 2 4 3 2" xfId="0"/>
    <cellStyle name="Normal 61 2 5 2 2 2 2 4 3 2 2" xfId="0"/>
    <cellStyle name="Normal 61 2 5 2 2 2 2 4 3 3" xfId="0"/>
    <cellStyle name="Normal 61 2 5 2 2 2 2 4 4" xfId="0"/>
    <cellStyle name="Normal 61 2 5 2 2 2 2 4 4 2" xfId="0"/>
    <cellStyle name="Normal 61 2 5 2 2 2 2 4 5" xfId="0"/>
    <cellStyle name="Normal 61 2 5 2 2 2 2 5" xfId="0"/>
    <cellStyle name="Normal 61 2 5 2 2 2 2 5 2" xfId="0"/>
    <cellStyle name="Normal 61 2 5 2 2 2 2 5 2 2" xfId="0"/>
    <cellStyle name="Normal 61 2 5 2 2 2 2 5 3" xfId="0"/>
    <cellStyle name="Normal 61 2 5 2 2 2 2 6" xfId="0"/>
    <cellStyle name="Normal 61 2 5 2 2 2 2 6 2" xfId="0"/>
    <cellStyle name="Normal 61 2 5 2 2 2 2 6 2 2" xfId="0"/>
    <cellStyle name="Normal 61 2 5 2 2 2 2 6 3" xfId="0"/>
    <cellStyle name="Normal 61 2 5 2 2 2 2 7" xfId="0"/>
    <cellStyle name="Normal 61 2 5 2 2 2 2 7 2" xfId="0"/>
    <cellStyle name="Normal 61 2 5 2 2 2 2 8" xfId="0"/>
    <cellStyle name="Normal 61 2 5 2 2 2 3" xfId="0"/>
    <cellStyle name="Normal 61 2 5 2 2 2 3 2" xfId="0"/>
    <cellStyle name="Normal 61 2 5 2 2 2 3 2 2" xfId="0"/>
    <cellStyle name="Normal 61 2 5 2 2 2 3 2 2 2" xfId="0"/>
    <cellStyle name="Normal 61 2 5 2 2 2 3 2 2 2 2" xfId="0"/>
    <cellStyle name="Normal 61 2 5 2 2 2 3 2 2 2 2 2" xfId="0"/>
    <cellStyle name="Normal 61 2 5 2 2 2 3 2 2 2 3" xfId="0"/>
    <cellStyle name="Normal 61 2 5 2 2 2 3 2 2 3" xfId="0"/>
    <cellStyle name="Normal 61 2 5 2 2 2 3 2 2 3 2" xfId="0"/>
    <cellStyle name="Normal 61 2 5 2 2 2 3 2 2 3 2 2" xfId="0"/>
    <cellStyle name="Normal 61 2 5 2 2 2 3 2 2 3 3" xfId="0"/>
    <cellStyle name="Normal 61 2 5 2 2 2 3 2 2 4" xfId="0"/>
    <cellStyle name="Normal 61 2 5 2 2 2 3 2 2 4 2" xfId="0"/>
    <cellStyle name="Normal 61 2 5 2 2 2 3 2 2 5" xfId="0"/>
    <cellStyle name="Normal 61 2 5 2 2 2 3 2 3" xfId="0"/>
    <cellStyle name="Normal 61 2 5 2 2 2 3 2 3 2" xfId="0"/>
    <cellStyle name="Normal 61 2 5 2 2 2 3 2 3 2 2" xfId="0"/>
    <cellStyle name="Normal 61 2 5 2 2 2 3 2 3 3" xfId="0"/>
    <cellStyle name="Normal 61 2 5 2 2 2 3 2 4" xfId="0"/>
    <cellStyle name="Normal 61 2 5 2 2 2 3 2 4 2" xfId="0"/>
    <cellStyle name="Normal 61 2 5 2 2 2 3 2 4 2 2" xfId="0"/>
    <cellStyle name="Normal 61 2 5 2 2 2 3 2 4 3" xfId="0"/>
    <cellStyle name="Normal 61 2 5 2 2 2 3 2 5" xfId="0"/>
    <cellStyle name="Normal 61 2 5 2 2 2 3 2 5 2" xfId="0"/>
    <cellStyle name="Normal 61 2 5 2 2 2 3 2 6" xfId="0"/>
    <cellStyle name="Normal 61 2 5 2 2 2 3 3" xfId="0"/>
    <cellStyle name="Normal 61 2 5 2 2 2 3 3 2" xfId="0"/>
    <cellStyle name="Normal 61 2 5 2 2 2 3 3 2 2" xfId="0"/>
    <cellStyle name="Normal 61 2 5 2 2 2 3 3 2 2 2" xfId="0"/>
    <cellStyle name="Normal 61 2 5 2 2 2 3 3 2 3" xfId="0"/>
    <cellStyle name="Normal 61 2 5 2 2 2 3 3 3" xfId="0"/>
    <cellStyle name="Normal 61 2 5 2 2 2 3 3 3 2" xfId="0"/>
    <cellStyle name="Normal 61 2 5 2 2 2 3 3 3 2 2" xfId="0"/>
    <cellStyle name="Normal 61 2 5 2 2 2 3 3 3 3" xfId="0"/>
    <cellStyle name="Normal 61 2 5 2 2 2 3 3 4" xfId="0"/>
    <cellStyle name="Normal 61 2 5 2 2 2 3 3 4 2" xfId="0"/>
    <cellStyle name="Normal 61 2 5 2 2 2 3 3 5" xfId="0"/>
    <cellStyle name="Normal 61 2 5 2 2 2 3 4" xfId="0"/>
    <cellStyle name="Normal 61 2 5 2 2 2 3 4 2" xfId="0"/>
    <cellStyle name="Normal 61 2 5 2 2 2 3 4 2 2" xfId="0"/>
    <cellStyle name="Normal 61 2 5 2 2 2 3 4 3" xfId="0"/>
    <cellStyle name="Normal 61 2 5 2 2 2 3 5" xfId="0"/>
    <cellStyle name="Normal 61 2 5 2 2 2 3 5 2" xfId="0"/>
    <cellStyle name="Normal 61 2 5 2 2 2 3 5 2 2" xfId="0"/>
    <cellStyle name="Normal 61 2 5 2 2 2 3 5 3" xfId="0"/>
    <cellStyle name="Normal 61 2 5 2 2 2 3 6" xfId="0"/>
    <cellStyle name="Normal 61 2 5 2 2 2 3 6 2" xfId="0"/>
    <cellStyle name="Normal 61 2 5 2 2 2 3 7" xfId="0"/>
    <cellStyle name="Normal 61 2 5 2 2 2 4" xfId="0"/>
    <cellStyle name="Normal 61 2 5 2 2 2 4 2" xfId="0"/>
    <cellStyle name="Normal 61 2 5 2 2 2 4 2 2" xfId="0"/>
    <cellStyle name="Normal 61 2 5 2 2 2 4 2 2 2" xfId="0"/>
    <cellStyle name="Normal 61 2 5 2 2 2 4 2 2 2 2" xfId="0"/>
    <cellStyle name="Normal 61 2 5 2 2 2 4 2 2 3" xfId="0"/>
    <cellStyle name="Normal 61 2 5 2 2 2 4 2 3" xfId="0"/>
    <cellStyle name="Normal 61 2 5 2 2 2 4 2 3 2" xfId="0"/>
    <cellStyle name="Normal 61 2 5 2 2 2 4 2 3 2 2" xfId="0"/>
    <cellStyle name="Normal 61 2 5 2 2 2 4 2 3 3" xfId="0"/>
    <cellStyle name="Normal 61 2 5 2 2 2 4 2 4" xfId="0"/>
    <cellStyle name="Normal 61 2 5 2 2 2 4 2 4 2" xfId="0"/>
    <cellStyle name="Normal 61 2 5 2 2 2 4 2 5" xfId="0"/>
    <cellStyle name="Normal 61 2 5 2 2 2 4 3" xfId="0"/>
    <cellStyle name="Normal 61 2 5 2 2 2 4 3 2" xfId="0"/>
    <cellStyle name="Normal 61 2 5 2 2 2 4 3 2 2" xfId="0"/>
    <cellStyle name="Normal 61 2 5 2 2 2 4 3 3" xfId="0"/>
    <cellStyle name="Normal 61 2 5 2 2 2 4 4" xfId="0"/>
    <cellStyle name="Normal 61 2 5 2 2 2 4 4 2" xfId="0"/>
    <cellStyle name="Normal 61 2 5 2 2 2 4 4 2 2" xfId="0"/>
    <cellStyle name="Normal 61 2 5 2 2 2 4 4 3" xfId="0"/>
    <cellStyle name="Normal 61 2 5 2 2 2 4 5" xfId="0"/>
    <cellStyle name="Normal 61 2 5 2 2 2 4 5 2" xfId="0"/>
    <cellStyle name="Normal 61 2 5 2 2 2 4 6" xfId="0"/>
    <cellStyle name="Normal 61 2 5 2 2 2 5" xfId="0"/>
    <cellStyle name="Normal 61 2 5 2 2 2 5 2" xfId="0"/>
    <cellStyle name="Normal 61 2 5 2 2 2 5 2 2" xfId="0"/>
    <cellStyle name="Normal 61 2 5 2 2 2 5 2 2 2" xfId="0"/>
    <cellStyle name="Normal 61 2 5 2 2 2 5 2 3" xfId="0"/>
    <cellStyle name="Normal 61 2 5 2 2 2 5 3" xfId="0"/>
    <cellStyle name="Normal 61 2 5 2 2 2 5 3 2" xfId="0"/>
    <cellStyle name="Normal 61 2 5 2 2 2 5 3 2 2" xfId="0"/>
    <cellStyle name="Normal 61 2 5 2 2 2 5 3 3" xfId="0"/>
    <cellStyle name="Normal 61 2 5 2 2 2 5 4" xfId="0"/>
    <cellStyle name="Normal 61 2 5 2 2 2 5 4 2" xfId="0"/>
    <cellStyle name="Normal 61 2 5 2 2 2 5 5" xfId="0"/>
    <cellStyle name="Normal 61 2 5 2 2 2 6" xfId="0"/>
    <cellStyle name="Normal 61 2 5 2 2 2 6 2" xfId="0"/>
    <cellStyle name="Normal 61 2 5 2 2 2 6 2 2" xfId="0"/>
    <cellStyle name="Normal 61 2 5 2 2 2 6 3" xfId="0"/>
    <cellStyle name="Normal 61 2 5 2 2 2 7" xfId="0"/>
    <cellStyle name="Normal 61 2 5 2 2 2 7 2" xfId="0"/>
    <cellStyle name="Normal 61 2 5 2 2 2 7 2 2" xfId="0"/>
    <cellStyle name="Normal 61 2 5 2 2 2 7 3" xfId="0"/>
    <cellStyle name="Normal 61 2 5 2 2 2 8" xfId="0"/>
    <cellStyle name="Normal 61 2 5 2 2 2 8 2" xfId="0"/>
    <cellStyle name="Normal 61 2 5 2 2 2 9" xfId="0"/>
    <cellStyle name="Normal 61 2 5 2 2 3" xfId="0"/>
    <cellStyle name="Normal 61 2 5 2 2 3 2" xfId="0"/>
    <cellStyle name="Normal 61 2 5 2 2 3 2 2" xfId="0"/>
    <cellStyle name="Normal 61 2 5 2 2 3 2 2 2" xfId="0"/>
    <cellStyle name="Normal 61 2 5 2 2 3 2 2 2 2" xfId="0"/>
    <cellStyle name="Normal 61 2 5 2 2 3 2 2 2 2 2" xfId="0"/>
    <cellStyle name="Normal 61 2 5 2 2 3 2 2 2 2 2 2" xfId="0"/>
    <cellStyle name="Normal 61 2 5 2 2 3 2 2 2 2 3" xfId="0"/>
    <cellStyle name="Normal 61 2 5 2 2 3 2 2 2 3" xfId="0"/>
    <cellStyle name="Normal 61 2 5 2 2 3 2 2 2 3 2" xfId="0"/>
    <cellStyle name="Normal 61 2 5 2 2 3 2 2 2 3 2 2" xfId="0"/>
    <cellStyle name="Normal 61 2 5 2 2 3 2 2 2 3 3" xfId="0"/>
    <cellStyle name="Normal 61 2 5 2 2 3 2 2 2 4" xfId="0"/>
    <cellStyle name="Normal 61 2 5 2 2 3 2 2 2 4 2" xfId="0"/>
    <cellStyle name="Normal 61 2 5 2 2 3 2 2 2 5" xfId="0"/>
    <cellStyle name="Normal 61 2 5 2 2 3 2 2 3" xfId="0"/>
    <cellStyle name="Normal 61 2 5 2 2 3 2 2 3 2" xfId="0"/>
    <cellStyle name="Normal 61 2 5 2 2 3 2 2 3 2 2" xfId="0"/>
    <cellStyle name="Normal 61 2 5 2 2 3 2 2 3 3" xfId="0"/>
    <cellStyle name="Normal 61 2 5 2 2 3 2 2 4" xfId="0"/>
    <cellStyle name="Normal 61 2 5 2 2 3 2 2 4 2" xfId="0"/>
    <cellStyle name="Normal 61 2 5 2 2 3 2 2 4 2 2" xfId="0"/>
    <cellStyle name="Normal 61 2 5 2 2 3 2 2 4 3" xfId="0"/>
    <cellStyle name="Normal 61 2 5 2 2 3 2 2 5" xfId="0"/>
    <cellStyle name="Normal 61 2 5 2 2 3 2 2 5 2" xfId="0"/>
    <cellStyle name="Normal 61 2 5 2 2 3 2 2 6" xfId="0"/>
    <cellStyle name="Normal 61 2 5 2 2 3 2 3" xfId="0"/>
    <cellStyle name="Normal 61 2 5 2 2 3 2 3 2" xfId="0"/>
    <cellStyle name="Normal 61 2 5 2 2 3 2 3 2 2" xfId="0"/>
    <cellStyle name="Normal 61 2 5 2 2 3 2 3 2 2 2" xfId="0"/>
    <cellStyle name="Normal 61 2 5 2 2 3 2 3 2 3" xfId="0"/>
    <cellStyle name="Normal 61 2 5 2 2 3 2 3 3" xfId="0"/>
    <cellStyle name="Normal 61 2 5 2 2 3 2 3 3 2" xfId="0"/>
    <cellStyle name="Normal 61 2 5 2 2 3 2 3 3 2 2" xfId="0"/>
    <cellStyle name="Normal 61 2 5 2 2 3 2 3 3 3" xfId="0"/>
    <cellStyle name="Normal 61 2 5 2 2 3 2 3 4" xfId="0"/>
    <cellStyle name="Normal 61 2 5 2 2 3 2 3 4 2" xfId="0"/>
    <cellStyle name="Normal 61 2 5 2 2 3 2 3 5" xfId="0"/>
    <cellStyle name="Normal 61 2 5 2 2 3 2 4" xfId="0"/>
    <cellStyle name="Normal 61 2 5 2 2 3 2 4 2" xfId="0"/>
    <cellStyle name="Normal 61 2 5 2 2 3 2 4 2 2" xfId="0"/>
    <cellStyle name="Normal 61 2 5 2 2 3 2 4 3" xfId="0"/>
    <cellStyle name="Normal 61 2 5 2 2 3 2 5" xfId="0"/>
    <cellStyle name="Normal 61 2 5 2 2 3 2 5 2" xfId="0"/>
    <cellStyle name="Normal 61 2 5 2 2 3 2 5 2 2" xfId="0"/>
    <cellStyle name="Normal 61 2 5 2 2 3 2 5 3" xfId="0"/>
    <cellStyle name="Normal 61 2 5 2 2 3 2 6" xfId="0"/>
    <cellStyle name="Normal 61 2 5 2 2 3 2 6 2" xfId="0"/>
    <cellStyle name="Normal 61 2 5 2 2 3 2 7" xfId="0"/>
    <cellStyle name="Normal 61 2 5 2 2 3 3" xfId="0"/>
    <cellStyle name="Normal 61 2 5 2 2 3 3 2" xfId="0"/>
    <cellStyle name="Normal 61 2 5 2 2 3 3 2 2" xfId="0"/>
    <cellStyle name="Normal 61 2 5 2 2 3 3 2 2 2" xfId="0"/>
    <cellStyle name="Normal 61 2 5 2 2 3 3 2 2 2 2" xfId="0"/>
    <cellStyle name="Normal 61 2 5 2 2 3 3 2 2 3" xfId="0"/>
    <cellStyle name="Normal 61 2 5 2 2 3 3 2 3" xfId="0"/>
    <cellStyle name="Normal 61 2 5 2 2 3 3 2 3 2" xfId="0"/>
    <cellStyle name="Normal 61 2 5 2 2 3 3 2 3 2 2" xfId="0"/>
    <cellStyle name="Normal 61 2 5 2 2 3 3 2 3 3" xfId="0"/>
    <cellStyle name="Normal 61 2 5 2 2 3 3 2 4" xfId="0"/>
    <cellStyle name="Normal 61 2 5 2 2 3 3 2 4 2" xfId="0"/>
    <cellStyle name="Normal 61 2 5 2 2 3 3 2 5" xfId="0"/>
    <cellStyle name="Normal 61 2 5 2 2 3 3 3" xfId="0"/>
    <cellStyle name="Normal 61 2 5 2 2 3 3 3 2" xfId="0"/>
    <cellStyle name="Normal 61 2 5 2 2 3 3 3 2 2" xfId="0"/>
    <cellStyle name="Normal 61 2 5 2 2 3 3 3 3" xfId="0"/>
    <cellStyle name="Normal 61 2 5 2 2 3 3 4" xfId="0"/>
    <cellStyle name="Normal 61 2 5 2 2 3 3 4 2" xfId="0"/>
    <cellStyle name="Normal 61 2 5 2 2 3 3 4 2 2" xfId="0"/>
    <cellStyle name="Normal 61 2 5 2 2 3 3 4 3" xfId="0"/>
    <cellStyle name="Normal 61 2 5 2 2 3 3 5" xfId="0"/>
    <cellStyle name="Normal 61 2 5 2 2 3 3 5 2" xfId="0"/>
    <cellStyle name="Normal 61 2 5 2 2 3 3 6" xfId="0"/>
    <cellStyle name="Normal 61 2 5 2 2 3 4" xfId="0"/>
    <cellStyle name="Normal 61 2 5 2 2 3 4 2" xfId="0"/>
    <cellStyle name="Normal 61 2 5 2 2 3 4 2 2" xfId="0"/>
    <cellStyle name="Normal 61 2 5 2 2 3 4 2 2 2" xfId="0"/>
    <cellStyle name="Normal 61 2 5 2 2 3 4 2 3" xfId="0"/>
    <cellStyle name="Normal 61 2 5 2 2 3 4 3" xfId="0"/>
    <cellStyle name="Normal 61 2 5 2 2 3 4 3 2" xfId="0"/>
    <cellStyle name="Normal 61 2 5 2 2 3 4 3 2 2" xfId="0"/>
    <cellStyle name="Normal 61 2 5 2 2 3 4 3 3" xfId="0"/>
    <cellStyle name="Normal 61 2 5 2 2 3 4 4" xfId="0"/>
    <cellStyle name="Normal 61 2 5 2 2 3 4 4 2" xfId="0"/>
    <cellStyle name="Normal 61 2 5 2 2 3 4 5" xfId="0"/>
    <cellStyle name="Normal 61 2 5 2 2 3 5" xfId="0"/>
    <cellStyle name="Normal 61 2 5 2 2 3 5 2" xfId="0"/>
    <cellStyle name="Normal 61 2 5 2 2 3 5 2 2" xfId="0"/>
    <cellStyle name="Normal 61 2 5 2 2 3 5 3" xfId="0"/>
    <cellStyle name="Normal 61 2 5 2 2 3 6" xfId="0"/>
    <cellStyle name="Normal 61 2 5 2 2 3 6 2" xfId="0"/>
    <cellStyle name="Normal 61 2 5 2 2 3 6 2 2" xfId="0"/>
    <cellStyle name="Normal 61 2 5 2 2 3 6 3" xfId="0"/>
    <cellStyle name="Normal 61 2 5 2 2 3 7" xfId="0"/>
    <cellStyle name="Normal 61 2 5 2 2 3 7 2" xfId="0"/>
    <cellStyle name="Normal 61 2 5 2 2 3 8" xfId="0"/>
    <cellStyle name="Normal 61 2 5 2 2 4" xfId="0"/>
    <cellStyle name="Normal 61 2 5 2 2 4 2" xfId="0"/>
    <cellStyle name="Normal 61 2 5 2 2 4 2 2" xfId="0"/>
    <cellStyle name="Normal 61 2 5 2 2 4 2 2 2" xfId="0"/>
    <cellStyle name="Normal 61 2 5 2 2 4 2 2 2 2" xfId="0"/>
    <cellStyle name="Normal 61 2 5 2 2 4 2 2 2 2 2" xfId="0"/>
    <cellStyle name="Normal 61 2 5 2 2 4 2 2 2 3" xfId="0"/>
    <cellStyle name="Normal 61 2 5 2 2 4 2 2 3" xfId="0"/>
    <cellStyle name="Normal 61 2 5 2 2 4 2 2 3 2" xfId="0"/>
    <cellStyle name="Normal 61 2 5 2 2 4 2 2 3 2 2" xfId="0"/>
    <cellStyle name="Normal 61 2 5 2 2 4 2 2 3 3" xfId="0"/>
    <cellStyle name="Normal 61 2 5 2 2 4 2 2 4" xfId="0"/>
    <cellStyle name="Normal 61 2 5 2 2 4 2 2 4 2" xfId="0"/>
    <cellStyle name="Normal 61 2 5 2 2 4 2 2 5" xfId="0"/>
    <cellStyle name="Normal 61 2 5 2 2 4 2 3" xfId="0"/>
    <cellStyle name="Normal 61 2 5 2 2 4 2 3 2" xfId="0"/>
    <cellStyle name="Normal 61 2 5 2 2 4 2 3 2 2" xfId="0"/>
    <cellStyle name="Normal 61 2 5 2 2 4 2 3 3" xfId="0"/>
    <cellStyle name="Normal 61 2 5 2 2 4 2 4" xfId="0"/>
    <cellStyle name="Normal 61 2 5 2 2 4 2 4 2" xfId="0"/>
    <cellStyle name="Normal 61 2 5 2 2 4 2 4 2 2" xfId="0"/>
    <cellStyle name="Normal 61 2 5 2 2 4 2 4 3" xfId="0"/>
    <cellStyle name="Normal 61 2 5 2 2 4 2 5" xfId="0"/>
    <cellStyle name="Normal 61 2 5 2 2 4 2 5 2" xfId="0"/>
    <cellStyle name="Normal 61 2 5 2 2 4 2 6" xfId="0"/>
    <cellStyle name="Normal 61 2 5 2 2 4 3" xfId="0"/>
    <cellStyle name="Normal 61 2 5 2 2 4 3 2" xfId="0"/>
    <cellStyle name="Normal 61 2 5 2 2 4 3 2 2" xfId="0"/>
    <cellStyle name="Normal 61 2 5 2 2 4 3 2 2 2" xfId="0"/>
    <cellStyle name="Normal 61 2 5 2 2 4 3 2 3" xfId="0"/>
    <cellStyle name="Normal 61 2 5 2 2 4 3 3" xfId="0"/>
    <cellStyle name="Normal 61 2 5 2 2 4 3 3 2" xfId="0"/>
    <cellStyle name="Normal 61 2 5 2 2 4 3 3 2 2" xfId="0"/>
    <cellStyle name="Normal 61 2 5 2 2 4 3 3 3" xfId="0"/>
    <cellStyle name="Normal 61 2 5 2 2 4 3 4" xfId="0"/>
    <cellStyle name="Normal 61 2 5 2 2 4 3 4 2" xfId="0"/>
    <cellStyle name="Normal 61 2 5 2 2 4 3 5" xfId="0"/>
    <cellStyle name="Normal 61 2 5 2 2 4 4" xfId="0"/>
    <cellStyle name="Normal 61 2 5 2 2 4 4 2" xfId="0"/>
    <cellStyle name="Normal 61 2 5 2 2 4 4 2 2" xfId="0"/>
    <cellStyle name="Normal 61 2 5 2 2 4 4 3" xfId="0"/>
    <cellStyle name="Normal 61 2 5 2 2 4 5" xfId="0"/>
    <cellStyle name="Normal 61 2 5 2 2 4 5 2" xfId="0"/>
    <cellStyle name="Normal 61 2 5 2 2 4 5 2 2" xfId="0"/>
    <cellStyle name="Normal 61 2 5 2 2 4 5 3" xfId="0"/>
    <cellStyle name="Normal 61 2 5 2 2 4 6" xfId="0"/>
    <cellStyle name="Normal 61 2 5 2 2 4 6 2" xfId="0"/>
    <cellStyle name="Normal 61 2 5 2 2 4 7" xfId="0"/>
    <cellStyle name="Normal 61 2 5 2 2 5" xfId="0"/>
    <cellStyle name="Normal 61 2 5 2 2 5 2" xfId="0"/>
    <cellStyle name="Normal 61 2 5 2 2 5 2 2" xfId="0"/>
    <cellStyle name="Normal 61 2 5 2 2 5 2 2 2" xfId="0"/>
    <cellStyle name="Normal 61 2 5 2 2 5 2 2 2 2" xfId="0"/>
    <cellStyle name="Normal 61 2 5 2 2 5 2 2 3" xfId="0"/>
    <cellStyle name="Normal 61 2 5 2 2 5 2 3" xfId="0"/>
    <cellStyle name="Normal 61 2 5 2 2 5 2 3 2" xfId="0"/>
    <cellStyle name="Normal 61 2 5 2 2 5 2 3 2 2" xfId="0"/>
    <cellStyle name="Normal 61 2 5 2 2 5 2 3 3" xfId="0"/>
    <cellStyle name="Normal 61 2 5 2 2 5 2 4" xfId="0"/>
    <cellStyle name="Normal 61 2 5 2 2 5 2 4 2" xfId="0"/>
    <cellStyle name="Normal 61 2 5 2 2 5 2 5" xfId="0"/>
    <cellStyle name="Normal 61 2 5 2 2 5 3" xfId="0"/>
    <cellStyle name="Normal 61 2 5 2 2 5 3 2" xfId="0"/>
    <cellStyle name="Normal 61 2 5 2 2 5 3 2 2" xfId="0"/>
    <cellStyle name="Normal 61 2 5 2 2 5 3 3" xfId="0"/>
    <cellStyle name="Normal 61 2 5 2 2 5 4" xfId="0"/>
    <cellStyle name="Normal 61 2 5 2 2 5 4 2" xfId="0"/>
    <cellStyle name="Normal 61 2 5 2 2 5 4 2 2" xfId="0"/>
    <cellStyle name="Normal 61 2 5 2 2 5 4 3" xfId="0"/>
    <cellStyle name="Normal 61 2 5 2 2 5 5" xfId="0"/>
    <cellStyle name="Normal 61 2 5 2 2 5 5 2" xfId="0"/>
    <cellStyle name="Normal 61 2 5 2 2 5 6" xfId="0"/>
    <cellStyle name="Normal 61 2 5 2 2 6" xfId="0"/>
    <cellStyle name="Normal 61 2 5 2 2 6 2" xfId="0"/>
    <cellStyle name="Normal 61 2 5 2 2 6 2 2" xfId="0"/>
    <cellStyle name="Normal 61 2 5 2 2 6 2 2 2" xfId="0"/>
    <cellStyle name="Normal 61 2 5 2 2 6 2 3" xfId="0"/>
    <cellStyle name="Normal 61 2 5 2 2 6 3" xfId="0"/>
    <cellStyle name="Normal 61 2 5 2 2 6 3 2" xfId="0"/>
    <cellStyle name="Normal 61 2 5 2 2 6 3 2 2" xfId="0"/>
    <cellStyle name="Normal 61 2 5 2 2 6 3 3" xfId="0"/>
    <cellStyle name="Normal 61 2 5 2 2 6 4" xfId="0"/>
    <cellStyle name="Normal 61 2 5 2 2 6 4 2" xfId="0"/>
    <cellStyle name="Normal 61 2 5 2 2 6 5" xfId="0"/>
    <cellStyle name="Normal 61 2 5 2 2 7" xfId="0"/>
    <cellStyle name="Normal 61 2 5 2 2 7 2" xfId="0"/>
    <cellStyle name="Normal 61 2 5 2 2 7 2 2" xfId="0"/>
    <cellStyle name="Normal 61 2 5 2 2 7 3" xfId="0"/>
    <cellStyle name="Normal 61 2 5 2 2 8" xfId="0"/>
    <cellStyle name="Normal 61 2 5 2 2 8 2" xfId="0"/>
    <cellStyle name="Normal 61 2 5 2 2 8 2 2" xfId="0"/>
    <cellStyle name="Normal 61 2 5 2 2 8 3" xfId="0"/>
    <cellStyle name="Normal 61 2 5 2 2 9" xfId="0"/>
    <cellStyle name="Normal 61 2 5 2 2 9 2" xfId="0"/>
    <cellStyle name="Normal 61 2 5 2 3" xfId="0"/>
    <cellStyle name="Normal 61 2 5 2 3 10" xfId="0"/>
    <cellStyle name="Normal 61 2 5 2 3 2" xfId="0"/>
    <cellStyle name="Normal 61 2 5 2 3 2 2" xfId="0"/>
    <cellStyle name="Normal 61 2 5 2 3 2 2 2" xfId="0"/>
    <cellStyle name="Normal 61 2 5 2 3 2 2 2 2" xfId="0"/>
    <cellStyle name="Normal 61 2 5 2 3 2 2 2 2 2" xfId="0"/>
    <cellStyle name="Normal 61 2 5 2 3 2 2 2 2 2 2" xfId="0"/>
    <cellStyle name="Normal 61 2 5 2 3 2 2 2 2 2 2 2" xfId="0"/>
    <cellStyle name="Normal 61 2 5 2 3 2 2 2 2 2 2 2 2" xfId="0"/>
    <cellStyle name="Normal 61 2 5 2 3 2 2 2 2 2 2 3" xfId="0"/>
    <cellStyle name="Normal 61 2 5 2 3 2 2 2 2 2 3" xfId="0"/>
    <cellStyle name="Normal 61 2 5 2 3 2 2 2 2 2 3 2" xfId="0"/>
    <cellStyle name="Normal 61 2 5 2 3 2 2 2 2 2 3 2 2" xfId="0"/>
    <cellStyle name="Normal 61 2 5 2 3 2 2 2 2 2 3 3" xfId="0"/>
    <cellStyle name="Normal 61 2 5 2 3 2 2 2 2 2 4" xfId="0"/>
    <cellStyle name="Normal 61 2 5 2 3 2 2 2 2 2 4 2" xfId="0"/>
    <cellStyle name="Normal 61 2 5 2 3 2 2 2 2 2 5" xfId="0"/>
    <cellStyle name="Normal 61 2 5 2 3 2 2 2 2 3" xfId="0"/>
    <cellStyle name="Normal 61 2 5 2 3 2 2 2 2 3 2" xfId="0"/>
    <cellStyle name="Normal 61 2 5 2 3 2 2 2 2 3 2 2" xfId="0"/>
    <cellStyle name="Normal 61 2 5 2 3 2 2 2 2 3 3" xfId="0"/>
    <cellStyle name="Normal 61 2 5 2 3 2 2 2 2 4" xfId="0"/>
    <cellStyle name="Normal 61 2 5 2 3 2 2 2 2 4 2" xfId="0"/>
    <cellStyle name="Normal 61 2 5 2 3 2 2 2 2 4 2 2" xfId="0"/>
    <cellStyle name="Normal 61 2 5 2 3 2 2 2 2 4 3" xfId="0"/>
    <cellStyle name="Normal 61 2 5 2 3 2 2 2 2 5" xfId="0"/>
    <cellStyle name="Normal 61 2 5 2 3 2 2 2 2 5 2" xfId="0"/>
    <cellStyle name="Normal 61 2 5 2 3 2 2 2 2 6" xfId="0"/>
    <cellStyle name="Normal 61 2 5 2 3 2 2 2 3" xfId="0"/>
    <cellStyle name="Normal 61 2 5 2 3 2 2 2 3 2" xfId="0"/>
    <cellStyle name="Normal 61 2 5 2 3 2 2 2 3 2 2" xfId="0"/>
    <cellStyle name="Normal 61 2 5 2 3 2 2 2 3 2 2 2" xfId="0"/>
    <cellStyle name="Normal 61 2 5 2 3 2 2 2 3 2 3" xfId="0"/>
    <cellStyle name="Normal 61 2 5 2 3 2 2 2 3 3" xfId="0"/>
    <cellStyle name="Normal 61 2 5 2 3 2 2 2 3 3 2" xfId="0"/>
    <cellStyle name="Normal 61 2 5 2 3 2 2 2 3 3 2 2" xfId="0"/>
    <cellStyle name="Normal 61 2 5 2 3 2 2 2 3 3 3" xfId="0"/>
    <cellStyle name="Normal 61 2 5 2 3 2 2 2 3 4" xfId="0"/>
    <cellStyle name="Normal 61 2 5 2 3 2 2 2 3 4 2" xfId="0"/>
    <cellStyle name="Normal 61 2 5 2 3 2 2 2 3 5" xfId="0"/>
    <cellStyle name="Normal 61 2 5 2 3 2 2 2 4" xfId="0"/>
    <cellStyle name="Normal 61 2 5 2 3 2 2 2 4 2" xfId="0"/>
    <cellStyle name="Normal 61 2 5 2 3 2 2 2 4 2 2" xfId="0"/>
    <cellStyle name="Normal 61 2 5 2 3 2 2 2 4 3" xfId="0"/>
    <cellStyle name="Normal 61 2 5 2 3 2 2 2 5" xfId="0"/>
    <cellStyle name="Normal 61 2 5 2 3 2 2 2 5 2" xfId="0"/>
    <cellStyle name="Normal 61 2 5 2 3 2 2 2 5 2 2" xfId="0"/>
    <cellStyle name="Normal 61 2 5 2 3 2 2 2 5 3" xfId="0"/>
    <cellStyle name="Normal 61 2 5 2 3 2 2 2 6" xfId="0"/>
    <cellStyle name="Normal 61 2 5 2 3 2 2 2 6 2" xfId="0"/>
    <cellStyle name="Normal 61 2 5 2 3 2 2 2 7" xfId="0"/>
    <cellStyle name="Normal 61 2 5 2 3 2 2 3" xfId="0"/>
    <cellStyle name="Normal 61 2 5 2 3 2 2 3 2" xfId="0"/>
    <cellStyle name="Normal 61 2 5 2 3 2 2 3 2 2" xfId="0"/>
    <cellStyle name="Normal 61 2 5 2 3 2 2 3 2 2 2" xfId="0"/>
    <cellStyle name="Normal 61 2 5 2 3 2 2 3 2 2 2 2" xfId="0"/>
    <cellStyle name="Normal 61 2 5 2 3 2 2 3 2 2 3" xfId="0"/>
    <cellStyle name="Normal 61 2 5 2 3 2 2 3 2 3" xfId="0"/>
    <cellStyle name="Normal 61 2 5 2 3 2 2 3 2 3 2" xfId="0"/>
    <cellStyle name="Normal 61 2 5 2 3 2 2 3 2 3 2 2" xfId="0"/>
    <cellStyle name="Normal 61 2 5 2 3 2 2 3 2 3 3" xfId="0"/>
    <cellStyle name="Normal 61 2 5 2 3 2 2 3 2 4" xfId="0"/>
    <cellStyle name="Normal 61 2 5 2 3 2 2 3 2 4 2" xfId="0"/>
    <cellStyle name="Normal 61 2 5 2 3 2 2 3 2 5" xfId="0"/>
    <cellStyle name="Normal 61 2 5 2 3 2 2 3 3" xfId="0"/>
    <cellStyle name="Normal 61 2 5 2 3 2 2 3 3 2" xfId="0"/>
    <cellStyle name="Normal 61 2 5 2 3 2 2 3 3 2 2" xfId="0"/>
    <cellStyle name="Normal 61 2 5 2 3 2 2 3 3 3" xfId="0"/>
    <cellStyle name="Normal 61 2 5 2 3 2 2 3 4" xfId="0"/>
    <cellStyle name="Normal 61 2 5 2 3 2 2 3 4 2" xfId="0"/>
    <cellStyle name="Normal 61 2 5 2 3 2 2 3 4 2 2" xfId="0"/>
    <cellStyle name="Normal 61 2 5 2 3 2 2 3 4 3" xfId="0"/>
    <cellStyle name="Normal 61 2 5 2 3 2 2 3 5" xfId="0"/>
    <cellStyle name="Normal 61 2 5 2 3 2 2 3 5 2" xfId="0"/>
    <cellStyle name="Normal 61 2 5 2 3 2 2 3 6" xfId="0"/>
    <cellStyle name="Normal 61 2 5 2 3 2 2 4" xfId="0"/>
    <cellStyle name="Normal 61 2 5 2 3 2 2 4 2" xfId="0"/>
    <cellStyle name="Normal 61 2 5 2 3 2 2 4 2 2" xfId="0"/>
    <cellStyle name="Normal 61 2 5 2 3 2 2 4 2 2 2" xfId="0"/>
    <cellStyle name="Normal 61 2 5 2 3 2 2 4 2 3" xfId="0"/>
    <cellStyle name="Normal 61 2 5 2 3 2 2 4 3" xfId="0"/>
    <cellStyle name="Normal 61 2 5 2 3 2 2 4 3 2" xfId="0"/>
    <cellStyle name="Normal 61 2 5 2 3 2 2 4 3 2 2" xfId="0"/>
    <cellStyle name="Normal 61 2 5 2 3 2 2 4 3 3" xfId="0"/>
    <cellStyle name="Normal 61 2 5 2 3 2 2 4 4" xfId="0"/>
    <cellStyle name="Normal 61 2 5 2 3 2 2 4 4 2" xfId="0"/>
    <cellStyle name="Normal 61 2 5 2 3 2 2 4 5" xfId="0"/>
    <cellStyle name="Normal 61 2 5 2 3 2 2 5" xfId="0"/>
    <cellStyle name="Normal 61 2 5 2 3 2 2 5 2" xfId="0"/>
    <cellStyle name="Normal 61 2 5 2 3 2 2 5 2 2" xfId="0"/>
    <cellStyle name="Normal 61 2 5 2 3 2 2 5 3" xfId="0"/>
    <cellStyle name="Normal 61 2 5 2 3 2 2 6" xfId="0"/>
    <cellStyle name="Normal 61 2 5 2 3 2 2 6 2" xfId="0"/>
    <cellStyle name="Normal 61 2 5 2 3 2 2 6 2 2" xfId="0"/>
    <cellStyle name="Normal 61 2 5 2 3 2 2 6 3" xfId="0"/>
    <cellStyle name="Normal 61 2 5 2 3 2 2 7" xfId="0"/>
    <cellStyle name="Normal 61 2 5 2 3 2 2 7 2" xfId="0"/>
    <cellStyle name="Normal 61 2 5 2 3 2 2 8" xfId="0"/>
    <cellStyle name="Normal 61 2 5 2 3 2 3" xfId="0"/>
    <cellStyle name="Normal 61 2 5 2 3 2 3 2" xfId="0"/>
    <cellStyle name="Normal 61 2 5 2 3 2 3 2 2" xfId="0"/>
    <cellStyle name="Normal 61 2 5 2 3 2 3 2 2 2" xfId="0"/>
    <cellStyle name="Normal 61 2 5 2 3 2 3 2 2 2 2" xfId="0"/>
    <cellStyle name="Normal 61 2 5 2 3 2 3 2 2 2 2 2" xfId="0"/>
    <cellStyle name="Normal 61 2 5 2 3 2 3 2 2 2 3" xfId="0"/>
    <cellStyle name="Normal 61 2 5 2 3 2 3 2 2 3" xfId="0"/>
    <cellStyle name="Normal 61 2 5 2 3 2 3 2 2 3 2" xfId="0"/>
    <cellStyle name="Normal 61 2 5 2 3 2 3 2 2 3 2 2" xfId="0"/>
    <cellStyle name="Normal 61 2 5 2 3 2 3 2 2 3 3" xfId="0"/>
    <cellStyle name="Normal 61 2 5 2 3 2 3 2 2 4" xfId="0"/>
    <cellStyle name="Normal 61 2 5 2 3 2 3 2 2 4 2" xfId="0"/>
    <cellStyle name="Normal 61 2 5 2 3 2 3 2 2 5" xfId="0"/>
    <cellStyle name="Normal 61 2 5 2 3 2 3 2 3" xfId="0"/>
    <cellStyle name="Normal 61 2 5 2 3 2 3 2 3 2" xfId="0"/>
    <cellStyle name="Normal 61 2 5 2 3 2 3 2 3 2 2" xfId="0"/>
    <cellStyle name="Normal 61 2 5 2 3 2 3 2 3 3" xfId="0"/>
    <cellStyle name="Normal 61 2 5 2 3 2 3 2 4" xfId="0"/>
    <cellStyle name="Normal 61 2 5 2 3 2 3 2 4 2" xfId="0"/>
    <cellStyle name="Normal 61 2 5 2 3 2 3 2 4 2 2" xfId="0"/>
    <cellStyle name="Normal 61 2 5 2 3 2 3 2 4 3" xfId="0"/>
    <cellStyle name="Normal 61 2 5 2 3 2 3 2 5" xfId="0"/>
    <cellStyle name="Normal 61 2 5 2 3 2 3 2 5 2" xfId="0"/>
    <cellStyle name="Normal 61 2 5 2 3 2 3 2 6" xfId="0"/>
    <cellStyle name="Normal 61 2 5 2 3 2 3 3" xfId="0"/>
    <cellStyle name="Normal 61 2 5 2 3 2 3 3 2" xfId="0"/>
    <cellStyle name="Normal 61 2 5 2 3 2 3 3 2 2" xfId="0"/>
    <cellStyle name="Normal 61 2 5 2 3 2 3 3 2 2 2" xfId="0"/>
    <cellStyle name="Normal 61 2 5 2 3 2 3 3 2 3" xfId="0"/>
    <cellStyle name="Normal 61 2 5 2 3 2 3 3 3" xfId="0"/>
    <cellStyle name="Normal 61 2 5 2 3 2 3 3 3 2" xfId="0"/>
    <cellStyle name="Normal 61 2 5 2 3 2 3 3 3 2 2" xfId="0"/>
    <cellStyle name="Normal 61 2 5 2 3 2 3 3 3 3" xfId="0"/>
    <cellStyle name="Normal 61 2 5 2 3 2 3 3 4" xfId="0"/>
    <cellStyle name="Normal 61 2 5 2 3 2 3 3 4 2" xfId="0"/>
    <cellStyle name="Normal 61 2 5 2 3 2 3 3 5" xfId="0"/>
    <cellStyle name="Normal 61 2 5 2 3 2 3 4" xfId="0"/>
    <cellStyle name="Normal 61 2 5 2 3 2 3 4 2" xfId="0"/>
    <cellStyle name="Normal 61 2 5 2 3 2 3 4 2 2" xfId="0"/>
    <cellStyle name="Normal 61 2 5 2 3 2 3 4 3" xfId="0"/>
    <cellStyle name="Normal 61 2 5 2 3 2 3 5" xfId="0"/>
    <cellStyle name="Normal 61 2 5 2 3 2 3 5 2" xfId="0"/>
    <cellStyle name="Normal 61 2 5 2 3 2 3 5 2 2" xfId="0"/>
    <cellStyle name="Normal 61 2 5 2 3 2 3 5 3" xfId="0"/>
    <cellStyle name="Normal 61 2 5 2 3 2 3 6" xfId="0"/>
    <cellStyle name="Normal 61 2 5 2 3 2 3 6 2" xfId="0"/>
    <cellStyle name="Normal 61 2 5 2 3 2 3 7" xfId="0"/>
    <cellStyle name="Normal 61 2 5 2 3 2 4" xfId="0"/>
    <cellStyle name="Normal 61 2 5 2 3 2 4 2" xfId="0"/>
    <cellStyle name="Normal 61 2 5 2 3 2 4 2 2" xfId="0"/>
    <cellStyle name="Normal 61 2 5 2 3 2 4 2 2 2" xfId="0"/>
    <cellStyle name="Normal 61 2 5 2 3 2 4 2 2 2 2" xfId="0"/>
    <cellStyle name="Normal 61 2 5 2 3 2 4 2 2 3" xfId="0"/>
    <cellStyle name="Normal 61 2 5 2 3 2 4 2 3" xfId="0"/>
    <cellStyle name="Normal 61 2 5 2 3 2 4 2 3 2" xfId="0"/>
    <cellStyle name="Normal 61 2 5 2 3 2 4 2 3 2 2" xfId="0"/>
    <cellStyle name="Normal 61 2 5 2 3 2 4 2 3 3" xfId="0"/>
    <cellStyle name="Normal 61 2 5 2 3 2 4 2 4" xfId="0"/>
    <cellStyle name="Normal 61 2 5 2 3 2 4 2 4 2" xfId="0"/>
    <cellStyle name="Normal 61 2 5 2 3 2 4 2 5" xfId="0"/>
    <cellStyle name="Normal 61 2 5 2 3 2 4 3" xfId="0"/>
    <cellStyle name="Normal 61 2 5 2 3 2 4 3 2" xfId="0"/>
    <cellStyle name="Normal 61 2 5 2 3 2 4 3 2 2" xfId="0"/>
    <cellStyle name="Normal 61 2 5 2 3 2 4 3 3" xfId="0"/>
    <cellStyle name="Normal 61 2 5 2 3 2 4 4" xfId="0"/>
    <cellStyle name="Normal 61 2 5 2 3 2 4 4 2" xfId="0"/>
    <cellStyle name="Normal 61 2 5 2 3 2 4 4 2 2" xfId="0"/>
    <cellStyle name="Normal 61 2 5 2 3 2 4 4 3" xfId="0"/>
    <cellStyle name="Normal 61 2 5 2 3 2 4 5" xfId="0"/>
    <cellStyle name="Normal 61 2 5 2 3 2 4 5 2" xfId="0"/>
    <cellStyle name="Normal 61 2 5 2 3 2 4 6" xfId="0"/>
    <cellStyle name="Normal 61 2 5 2 3 2 5" xfId="0"/>
    <cellStyle name="Normal 61 2 5 2 3 2 5 2" xfId="0"/>
    <cellStyle name="Normal 61 2 5 2 3 2 5 2 2" xfId="0"/>
    <cellStyle name="Normal 61 2 5 2 3 2 5 2 2 2" xfId="0"/>
    <cellStyle name="Normal 61 2 5 2 3 2 5 2 3" xfId="0"/>
    <cellStyle name="Normal 61 2 5 2 3 2 5 3" xfId="0"/>
    <cellStyle name="Normal 61 2 5 2 3 2 5 3 2" xfId="0"/>
    <cellStyle name="Normal 61 2 5 2 3 2 5 3 2 2" xfId="0"/>
    <cellStyle name="Normal 61 2 5 2 3 2 5 3 3" xfId="0"/>
    <cellStyle name="Normal 61 2 5 2 3 2 5 4" xfId="0"/>
    <cellStyle name="Normal 61 2 5 2 3 2 5 4 2" xfId="0"/>
    <cellStyle name="Normal 61 2 5 2 3 2 5 5" xfId="0"/>
    <cellStyle name="Normal 61 2 5 2 3 2 6" xfId="0"/>
    <cellStyle name="Normal 61 2 5 2 3 2 6 2" xfId="0"/>
    <cellStyle name="Normal 61 2 5 2 3 2 6 2 2" xfId="0"/>
    <cellStyle name="Normal 61 2 5 2 3 2 6 3" xfId="0"/>
    <cellStyle name="Normal 61 2 5 2 3 2 7" xfId="0"/>
    <cellStyle name="Normal 61 2 5 2 3 2 7 2" xfId="0"/>
    <cellStyle name="Normal 61 2 5 2 3 2 7 2 2" xfId="0"/>
    <cellStyle name="Normal 61 2 5 2 3 2 7 3" xfId="0"/>
    <cellStyle name="Normal 61 2 5 2 3 2 8" xfId="0"/>
    <cellStyle name="Normal 61 2 5 2 3 2 8 2" xfId="0"/>
    <cellStyle name="Normal 61 2 5 2 3 2 9" xfId="0"/>
    <cellStyle name="Normal 61 2 5 2 3 3" xfId="0"/>
    <cellStyle name="Normal 61 2 5 2 3 3 2" xfId="0"/>
    <cellStyle name="Normal 61 2 5 2 3 3 2 2" xfId="0"/>
    <cellStyle name="Normal 61 2 5 2 3 3 2 2 2" xfId="0"/>
    <cellStyle name="Normal 61 2 5 2 3 3 2 2 2 2" xfId="0"/>
    <cellStyle name="Normal 61 2 5 2 3 3 2 2 2 2 2" xfId="0"/>
    <cellStyle name="Normal 61 2 5 2 3 3 2 2 2 2 2 2" xfId="0"/>
    <cellStyle name="Normal 61 2 5 2 3 3 2 2 2 2 3" xfId="0"/>
    <cellStyle name="Normal 61 2 5 2 3 3 2 2 2 3" xfId="0"/>
    <cellStyle name="Normal 61 2 5 2 3 3 2 2 2 3 2" xfId="0"/>
    <cellStyle name="Normal 61 2 5 2 3 3 2 2 2 3 2 2" xfId="0"/>
    <cellStyle name="Normal 61 2 5 2 3 3 2 2 2 3 3" xfId="0"/>
    <cellStyle name="Normal 61 2 5 2 3 3 2 2 2 4" xfId="0"/>
    <cellStyle name="Normal 61 2 5 2 3 3 2 2 2 4 2" xfId="0"/>
    <cellStyle name="Normal 61 2 5 2 3 3 2 2 2 5" xfId="0"/>
    <cellStyle name="Normal 61 2 5 2 3 3 2 2 3" xfId="0"/>
    <cellStyle name="Normal 61 2 5 2 3 3 2 2 3 2" xfId="0"/>
    <cellStyle name="Normal 61 2 5 2 3 3 2 2 3 2 2" xfId="0"/>
    <cellStyle name="Normal 61 2 5 2 3 3 2 2 3 3" xfId="0"/>
    <cellStyle name="Normal 61 2 5 2 3 3 2 2 4" xfId="0"/>
    <cellStyle name="Normal 61 2 5 2 3 3 2 2 4 2" xfId="0"/>
    <cellStyle name="Normal 61 2 5 2 3 3 2 2 4 2 2" xfId="0"/>
    <cellStyle name="Normal 61 2 5 2 3 3 2 2 4 3" xfId="0"/>
    <cellStyle name="Normal 61 2 5 2 3 3 2 2 5" xfId="0"/>
    <cellStyle name="Normal 61 2 5 2 3 3 2 2 5 2" xfId="0"/>
    <cellStyle name="Normal 61 2 5 2 3 3 2 2 6" xfId="0"/>
    <cellStyle name="Normal 61 2 5 2 3 3 2 3" xfId="0"/>
    <cellStyle name="Normal 61 2 5 2 3 3 2 3 2" xfId="0"/>
    <cellStyle name="Normal 61 2 5 2 3 3 2 3 2 2" xfId="0"/>
    <cellStyle name="Normal 61 2 5 2 3 3 2 3 2 2 2" xfId="0"/>
    <cellStyle name="Normal 61 2 5 2 3 3 2 3 2 3" xfId="0"/>
    <cellStyle name="Normal 61 2 5 2 3 3 2 3 3" xfId="0"/>
    <cellStyle name="Normal 61 2 5 2 3 3 2 3 3 2" xfId="0"/>
    <cellStyle name="Normal 61 2 5 2 3 3 2 3 3 2 2" xfId="0"/>
    <cellStyle name="Normal 61 2 5 2 3 3 2 3 3 3" xfId="0"/>
    <cellStyle name="Normal 61 2 5 2 3 3 2 3 4" xfId="0"/>
    <cellStyle name="Normal 61 2 5 2 3 3 2 3 4 2" xfId="0"/>
    <cellStyle name="Normal 61 2 5 2 3 3 2 3 5" xfId="0"/>
    <cellStyle name="Normal 61 2 5 2 3 3 2 4" xfId="0"/>
    <cellStyle name="Normal 61 2 5 2 3 3 2 4 2" xfId="0"/>
    <cellStyle name="Normal 61 2 5 2 3 3 2 4 2 2" xfId="0"/>
    <cellStyle name="Normal 61 2 5 2 3 3 2 4 3" xfId="0"/>
    <cellStyle name="Normal 61 2 5 2 3 3 2 5" xfId="0"/>
    <cellStyle name="Normal 61 2 5 2 3 3 2 5 2" xfId="0"/>
    <cellStyle name="Normal 61 2 5 2 3 3 2 5 2 2" xfId="0"/>
    <cellStyle name="Normal 61 2 5 2 3 3 2 5 3" xfId="0"/>
    <cellStyle name="Normal 61 2 5 2 3 3 2 6" xfId="0"/>
    <cellStyle name="Normal 61 2 5 2 3 3 2 6 2" xfId="0"/>
    <cellStyle name="Normal 61 2 5 2 3 3 2 7" xfId="0"/>
    <cellStyle name="Normal 61 2 5 2 3 3 3" xfId="0"/>
    <cellStyle name="Normal 61 2 5 2 3 3 3 2" xfId="0"/>
    <cellStyle name="Normal 61 2 5 2 3 3 3 2 2" xfId="0"/>
    <cellStyle name="Normal 61 2 5 2 3 3 3 2 2 2" xfId="0"/>
    <cellStyle name="Normal 61 2 5 2 3 3 3 2 2 2 2" xfId="0"/>
    <cellStyle name="Normal 61 2 5 2 3 3 3 2 2 3" xfId="0"/>
    <cellStyle name="Normal 61 2 5 2 3 3 3 2 3" xfId="0"/>
    <cellStyle name="Normal 61 2 5 2 3 3 3 2 3 2" xfId="0"/>
    <cellStyle name="Normal 61 2 5 2 3 3 3 2 3 2 2" xfId="0"/>
    <cellStyle name="Normal 61 2 5 2 3 3 3 2 3 3" xfId="0"/>
    <cellStyle name="Normal 61 2 5 2 3 3 3 2 4" xfId="0"/>
    <cellStyle name="Normal 61 2 5 2 3 3 3 2 4 2" xfId="0"/>
    <cellStyle name="Normal 61 2 5 2 3 3 3 2 5" xfId="0"/>
    <cellStyle name="Normal 61 2 5 2 3 3 3 3" xfId="0"/>
    <cellStyle name="Normal 61 2 5 2 3 3 3 3 2" xfId="0"/>
    <cellStyle name="Normal 61 2 5 2 3 3 3 3 2 2" xfId="0"/>
    <cellStyle name="Normal 61 2 5 2 3 3 3 3 3" xfId="0"/>
    <cellStyle name="Normal 61 2 5 2 3 3 3 4" xfId="0"/>
    <cellStyle name="Normal 61 2 5 2 3 3 3 4 2" xfId="0"/>
    <cellStyle name="Normal 61 2 5 2 3 3 3 4 2 2" xfId="0"/>
    <cellStyle name="Normal 61 2 5 2 3 3 3 4 3" xfId="0"/>
    <cellStyle name="Normal 61 2 5 2 3 3 3 5" xfId="0"/>
    <cellStyle name="Normal 61 2 5 2 3 3 3 5 2" xfId="0"/>
    <cellStyle name="Normal 61 2 5 2 3 3 3 6" xfId="0"/>
    <cellStyle name="Normal 61 2 5 2 3 3 4" xfId="0"/>
    <cellStyle name="Normal 61 2 5 2 3 3 4 2" xfId="0"/>
    <cellStyle name="Normal 61 2 5 2 3 3 4 2 2" xfId="0"/>
    <cellStyle name="Normal 61 2 5 2 3 3 4 2 2 2" xfId="0"/>
    <cellStyle name="Normal 61 2 5 2 3 3 4 2 3" xfId="0"/>
    <cellStyle name="Normal 61 2 5 2 3 3 4 3" xfId="0"/>
    <cellStyle name="Normal 61 2 5 2 3 3 4 3 2" xfId="0"/>
    <cellStyle name="Normal 61 2 5 2 3 3 4 3 2 2" xfId="0"/>
    <cellStyle name="Normal 61 2 5 2 3 3 4 3 3" xfId="0"/>
    <cellStyle name="Normal 61 2 5 2 3 3 4 4" xfId="0"/>
    <cellStyle name="Normal 61 2 5 2 3 3 4 4 2" xfId="0"/>
    <cellStyle name="Normal 61 2 5 2 3 3 4 5" xfId="0"/>
    <cellStyle name="Normal 61 2 5 2 3 3 5" xfId="0"/>
    <cellStyle name="Normal 61 2 5 2 3 3 5 2" xfId="0"/>
    <cellStyle name="Normal 61 2 5 2 3 3 5 2 2" xfId="0"/>
    <cellStyle name="Normal 61 2 5 2 3 3 5 3" xfId="0"/>
    <cellStyle name="Normal 61 2 5 2 3 3 6" xfId="0"/>
    <cellStyle name="Normal 61 2 5 2 3 3 6 2" xfId="0"/>
    <cellStyle name="Normal 61 2 5 2 3 3 6 2 2" xfId="0"/>
    <cellStyle name="Normal 61 2 5 2 3 3 6 3" xfId="0"/>
    <cellStyle name="Normal 61 2 5 2 3 3 7" xfId="0"/>
    <cellStyle name="Normal 61 2 5 2 3 3 7 2" xfId="0"/>
    <cellStyle name="Normal 61 2 5 2 3 3 8" xfId="0"/>
    <cellStyle name="Normal 61 2 5 2 3 4" xfId="0"/>
    <cellStyle name="Normal 61 2 5 2 3 4 2" xfId="0"/>
    <cellStyle name="Normal 61 2 5 2 3 4 2 2" xfId="0"/>
    <cellStyle name="Normal 61 2 5 2 3 4 2 2 2" xfId="0"/>
    <cellStyle name="Normal 61 2 5 2 3 4 2 2 2 2" xfId="0"/>
    <cellStyle name="Normal 61 2 5 2 3 4 2 2 2 2 2" xfId="0"/>
    <cellStyle name="Normal 61 2 5 2 3 4 2 2 2 3" xfId="0"/>
    <cellStyle name="Normal 61 2 5 2 3 4 2 2 3" xfId="0"/>
    <cellStyle name="Normal 61 2 5 2 3 4 2 2 3 2" xfId="0"/>
    <cellStyle name="Normal 61 2 5 2 3 4 2 2 3 2 2" xfId="0"/>
    <cellStyle name="Normal 61 2 5 2 3 4 2 2 3 3" xfId="0"/>
    <cellStyle name="Normal 61 2 5 2 3 4 2 2 4" xfId="0"/>
    <cellStyle name="Normal 61 2 5 2 3 4 2 2 4 2" xfId="0"/>
    <cellStyle name="Normal 61 2 5 2 3 4 2 2 5" xfId="0"/>
    <cellStyle name="Normal 61 2 5 2 3 4 2 3" xfId="0"/>
    <cellStyle name="Normal 61 2 5 2 3 4 2 3 2" xfId="0"/>
    <cellStyle name="Normal 61 2 5 2 3 4 2 3 2 2" xfId="0"/>
    <cellStyle name="Normal 61 2 5 2 3 4 2 3 3" xfId="0"/>
    <cellStyle name="Normal 61 2 5 2 3 4 2 4" xfId="0"/>
    <cellStyle name="Normal 61 2 5 2 3 4 2 4 2" xfId="0"/>
    <cellStyle name="Normal 61 2 5 2 3 4 2 4 2 2" xfId="0"/>
    <cellStyle name="Normal 61 2 5 2 3 4 2 4 3" xfId="0"/>
    <cellStyle name="Normal 61 2 5 2 3 4 2 5" xfId="0"/>
    <cellStyle name="Normal 61 2 5 2 3 4 2 5 2" xfId="0"/>
    <cellStyle name="Normal 61 2 5 2 3 4 2 6" xfId="0"/>
    <cellStyle name="Normal 61 2 5 2 3 4 3" xfId="0"/>
    <cellStyle name="Normal 61 2 5 2 3 4 3 2" xfId="0"/>
    <cellStyle name="Normal 61 2 5 2 3 4 3 2 2" xfId="0"/>
    <cellStyle name="Normal 61 2 5 2 3 4 3 2 2 2" xfId="0"/>
    <cellStyle name="Normal 61 2 5 2 3 4 3 2 3" xfId="0"/>
    <cellStyle name="Normal 61 2 5 2 3 4 3 3" xfId="0"/>
    <cellStyle name="Normal 61 2 5 2 3 4 3 3 2" xfId="0"/>
    <cellStyle name="Normal 61 2 5 2 3 4 3 3 2 2" xfId="0"/>
    <cellStyle name="Normal 61 2 5 2 3 4 3 3 3" xfId="0"/>
    <cellStyle name="Normal 61 2 5 2 3 4 3 4" xfId="0"/>
    <cellStyle name="Normal 61 2 5 2 3 4 3 4 2" xfId="0"/>
    <cellStyle name="Normal 61 2 5 2 3 4 3 5" xfId="0"/>
    <cellStyle name="Normal 61 2 5 2 3 4 4" xfId="0"/>
    <cellStyle name="Normal 61 2 5 2 3 4 4 2" xfId="0"/>
    <cellStyle name="Normal 61 2 5 2 3 4 4 2 2" xfId="0"/>
    <cellStyle name="Normal 61 2 5 2 3 4 4 3" xfId="0"/>
    <cellStyle name="Normal 61 2 5 2 3 4 5" xfId="0"/>
    <cellStyle name="Normal 61 2 5 2 3 4 5 2" xfId="0"/>
    <cellStyle name="Normal 61 2 5 2 3 4 5 2 2" xfId="0"/>
    <cellStyle name="Normal 61 2 5 2 3 4 5 3" xfId="0"/>
    <cellStyle name="Normal 61 2 5 2 3 4 6" xfId="0"/>
    <cellStyle name="Normal 61 2 5 2 3 4 6 2" xfId="0"/>
    <cellStyle name="Normal 61 2 5 2 3 4 7" xfId="0"/>
    <cellStyle name="Normal 61 2 5 2 3 5" xfId="0"/>
    <cellStyle name="Normal 61 2 5 2 3 5 2" xfId="0"/>
    <cellStyle name="Normal 61 2 5 2 3 5 2 2" xfId="0"/>
    <cellStyle name="Normal 61 2 5 2 3 5 2 2 2" xfId="0"/>
    <cellStyle name="Normal 61 2 5 2 3 5 2 2 2 2" xfId="0"/>
    <cellStyle name="Normal 61 2 5 2 3 5 2 2 3" xfId="0"/>
    <cellStyle name="Normal 61 2 5 2 3 5 2 3" xfId="0"/>
    <cellStyle name="Normal 61 2 5 2 3 5 2 3 2" xfId="0"/>
    <cellStyle name="Normal 61 2 5 2 3 5 2 3 2 2" xfId="0"/>
    <cellStyle name="Normal 61 2 5 2 3 5 2 3 3" xfId="0"/>
    <cellStyle name="Normal 61 2 5 2 3 5 2 4" xfId="0"/>
    <cellStyle name="Normal 61 2 5 2 3 5 2 4 2" xfId="0"/>
    <cellStyle name="Normal 61 2 5 2 3 5 2 5" xfId="0"/>
    <cellStyle name="Normal 61 2 5 2 3 5 3" xfId="0"/>
    <cellStyle name="Normal 61 2 5 2 3 5 3 2" xfId="0"/>
    <cellStyle name="Normal 61 2 5 2 3 5 3 2 2" xfId="0"/>
    <cellStyle name="Normal 61 2 5 2 3 5 3 3" xfId="0"/>
    <cellStyle name="Normal 61 2 5 2 3 5 4" xfId="0"/>
    <cellStyle name="Normal 61 2 5 2 3 5 4 2" xfId="0"/>
    <cellStyle name="Normal 61 2 5 2 3 5 4 2 2" xfId="0"/>
    <cellStyle name="Normal 61 2 5 2 3 5 4 3" xfId="0"/>
    <cellStyle name="Normal 61 2 5 2 3 5 5" xfId="0"/>
    <cellStyle name="Normal 61 2 5 2 3 5 5 2" xfId="0"/>
    <cellStyle name="Normal 61 2 5 2 3 5 6" xfId="0"/>
    <cellStyle name="Normal 61 2 5 2 3 6" xfId="0"/>
    <cellStyle name="Normal 61 2 5 2 3 6 2" xfId="0"/>
    <cellStyle name="Normal 61 2 5 2 3 6 2 2" xfId="0"/>
    <cellStyle name="Normal 61 2 5 2 3 6 2 2 2" xfId="0"/>
    <cellStyle name="Normal 61 2 5 2 3 6 2 3" xfId="0"/>
    <cellStyle name="Normal 61 2 5 2 3 6 3" xfId="0"/>
    <cellStyle name="Normal 61 2 5 2 3 6 3 2" xfId="0"/>
    <cellStyle name="Normal 61 2 5 2 3 6 3 2 2" xfId="0"/>
    <cellStyle name="Normal 61 2 5 2 3 6 3 3" xfId="0"/>
    <cellStyle name="Normal 61 2 5 2 3 6 4" xfId="0"/>
    <cellStyle name="Normal 61 2 5 2 3 6 4 2" xfId="0"/>
    <cellStyle name="Normal 61 2 5 2 3 6 5" xfId="0"/>
    <cellStyle name="Normal 61 2 5 2 3 7" xfId="0"/>
    <cellStyle name="Normal 61 2 5 2 3 7 2" xfId="0"/>
    <cellStyle name="Normal 61 2 5 2 3 7 2 2" xfId="0"/>
    <cellStyle name="Normal 61 2 5 2 3 7 3" xfId="0"/>
    <cellStyle name="Normal 61 2 5 2 3 8" xfId="0"/>
    <cellStyle name="Normal 61 2 5 2 3 8 2" xfId="0"/>
    <cellStyle name="Normal 61 2 5 2 3 8 2 2" xfId="0"/>
    <cellStyle name="Normal 61 2 5 2 3 8 3" xfId="0"/>
    <cellStyle name="Normal 61 2 5 2 3 9" xfId="0"/>
    <cellStyle name="Normal 61 2 5 2 3 9 2" xfId="0"/>
    <cellStyle name="Normal 61 2 5 2 4" xfId="0"/>
    <cellStyle name="Normal 61 2 5 2 4 2" xfId="0"/>
    <cellStyle name="Normal 61 2 5 2 4 2 2" xfId="0"/>
    <cellStyle name="Normal 61 2 5 2 4 2 2 2" xfId="0"/>
    <cellStyle name="Normal 61 2 5 2 4 2 2 2 2" xfId="0"/>
    <cellStyle name="Normal 61 2 5 2 4 2 2 2 2 2" xfId="0"/>
    <cellStyle name="Normal 61 2 5 2 4 2 2 2 2 2 2" xfId="0"/>
    <cellStyle name="Normal 61 2 5 2 4 2 2 2 2 2 2 2" xfId="0"/>
    <cellStyle name="Normal 61 2 5 2 4 2 2 2 2 2 3" xfId="0"/>
    <cellStyle name="Normal 61 2 5 2 4 2 2 2 2 3" xfId="0"/>
    <cellStyle name="Normal 61 2 5 2 4 2 2 2 2 3 2" xfId="0"/>
    <cellStyle name="Normal 61 2 5 2 4 2 2 2 2 3 2 2" xfId="0"/>
    <cellStyle name="Normal 61 2 5 2 4 2 2 2 2 3 3" xfId="0"/>
    <cellStyle name="Normal 61 2 5 2 4 2 2 2 2 4" xfId="0"/>
    <cellStyle name="Normal 61 2 5 2 4 2 2 2 2 4 2" xfId="0"/>
    <cellStyle name="Normal 61 2 5 2 4 2 2 2 2 5" xfId="0"/>
    <cellStyle name="Normal 61 2 5 2 4 2 2 2 3" xfId="0"/>
    <cellStyle name="Normal 61 2 5 2 4 2 2 2 3 2" xfId="0"/>
    <cellStyle name="Normal 61 2 5 2 4 2 2 2 3 2 2" xfId="0"/>
    <cellStyle name="Normal 61 2 5 2 4 2 2 2 3 3" xfId="0"/>
    <cellStyle name="Normal 61 2 5 2 4 2 2 2 4" xfId="0"/>
    <cellStyle name="Normal 61 2 5 2 4 2 2 2 4 2" xfId="0"/>
    <cellStyle name="Normal 61 2 5 2 4 2 2 2 4 2 2" xfId="0"/>
    <cellStyle name="Normal 61 2 5 2 4 2 2 2 4 3" xfId="0"/>
    <cellStyle name="Normal 61 2 5 2 4 2 2 2 5" xfId="0"/>
    <cellStyle name="Normal 61 2 5 2 4 2 2 2 5 2" xfId="0"/>
    <cellStyle name="Normal 61 2 5 2 4 2 2 2 6" xfId="0"/>
    <cellStyle name="Normal 61 2 5 2 4 2 2 3" xfId="0"/>
    <cellStyle name="Normal 61 2 5 2 4 2 2 3 2" xfId="0"/>
    <cellStyle name="Normal 61 2 5 2 4 2 2 3 2 2" xfId="0"/>
    <cellStyle name="Normal 61 2 5 2 4 2 2 3 2 2 2" xfId="0"/>
    <cellStyle name="Normal 61 2 5 2 4 2 2 3 2 3" xfId="0"/>
    <cellStyle name="Normal 61 2 5 2 4 2 2 3 3" xfId="0"/>
    <cellStyle name="Normal 61 2 5 2 4 2 2 3 3 2" xfId="0"/>
    <cellStyle name="Normal 61 2 5 2 4 2 2 3 3 2 2" xfId="0"/>
    <cellStyle name="Normal 61 2 5 2 4 2 2 3 3 3" xfId="0"/>
    <cellStyle name="Normal 61 2 5 2 4 2 2 3 4" xfId="0"/>
    <cellStyle name="Normal 61 2 5 2 4 2 2 3 4 2" xfId="0"/>
    <cellStyle name="Normal 61 2 5 2 4 2 2 3 5" xfId="0"/>
    <cellStyle name="Normal 61 2 5 2 4 2 2 4" xfId="0"/>
    <cellStyle name="Normal 61 2 5 2 4 2 2 4 2" xfId="0"/>
    <cellStyle name="Normal 61 2 5 2 4 2 2 4 2 2" xfId="0"/>
    <cellStyle name="Normal 61 2 5 2 4 2 2 4 3" xfId="0"/>
    <cellStyle name="Normal 61 2 5 2 4 2 2 5" xfId="0"/>
    <cellStyle name="Normal 61 2 5 2 4 2 2 5 2" xfId="0"/>
    <cellStyle name="Normal 61 2 5 2 4 2 2 5 2 2" xfId="0"/>
    <cellStyle name="Normal 61 2 5 2 4 2 2 5 3" xfId="0"/>
    <cellStyle name="Normal 61 2 5 2 4 2 2 6" xfId="0"/>
    <cellStyle name="Normal 61 2 5 2 4 2 2 6 2" xfId="0"/>
    <cellStyle name="Normal 61 2 5 2 4 2 2 7" xfId="0"/>
    <cellStyle name="Normal 61 2 5 2 4 2 3" xfId="0"/>
    <cellStyle name="Normal 61 2 5 2 4 2 3 2" xfId="0"/>
    <cellStyle name="Normal 61 2 5 2 4 2 3 2 2" xfId="0"/>
    <cellStyle name="Normal 61 2 5 2 4 2 3 2 2 2" xfId="0"/>
    <cellStyle name="Normal 61 2 5 2 4 2 3 2 2 2 2" xfId="0"/>
    <cellStyle name="Normal 61 2 5 2 4 2 3 2 2 3" xfId="0"/>
    <cellStyle name="Normal 61 2 5 2 4 2 3 2 3" xfId="0"/>
    <cellStyle name="Normal 61 2 5 2 4 2 3 2 3 2" xfId="0"/>
    <cellStyle name="Normal 61 2 5 2 4 2 3 2 3 2 2" xfId="0"/>
    <cellStyle name="Normal 61 2 5 2 4 2 3 2 3 3" xfId="0"/>
    <cellStyle name="Normal 61 2 5 2 4 2 3 2 4" xfId="0"/>
    <cellStyle name="Normal 61 2 5 2 4 2 3 2 4 2" xfId="0"/>
    <cellStyle name="Normal 61 2 5 2 4 2 3 2 5" xfId="0"/>
    <cellStyle name="Normal 61 2 5 2 4 2 3 3" xfId="0"/>
    <cellStyle name="Normal 61 2 5 2 4 2 3 3 2" xfId="0"/>
    <cellStyle name="Normal 61 2 5 2 4 2 3 3 2 2" xfId="0"/>
    <cellStyle name="Normal 61 2 5 2 4 2 3 3 3" xfId="0"/>
    <cellStyle name="Normal 61 2 5 2 4 2 3 4" xfId="0"/>
    <cellStyle name="Normal 61 2 5 2 4 2 3 4 2" xfId="0"/>
    <cellStyle name="Normal 61 2 5 2 4 2 3 4 2 2" xfId="0"/>
    <cellStyle name="Normal 61 2 5 2 4 2 3 4 3" xfId="0"/>
    <cellStyle name="Normal 61 2 5 2 4 2 3 5" xfId="0"/>
    <cellStyle name="Normal 61 2 5 2 4 2 3 5 2" xfId="0"/>
    <cellStyle name="Normal 61 2 5 2 4 2 3 6" xfId="0"/>
    <cellStyle name="Normal 61 2 5 2 4 2 4" xfId="0"/>
    <cellStyle name="Normal 61 2 5 2 4 2 4 2" xfId="0"/>
    <cellStyle name="Normal 61 2 5 2 4 2 4 2 2" xfId="0"/>
    <cellStyle name="Normal 61 2 5 2 4 2 4 2 2 2" xfId="0"/>
    <cellStyle name="Normal 61 2 5 2 4 2 4 2 3" xfId="0"/>
    <cellStyle name="Normal 61 2 5 2 4 2 4 3" xfId="0"/>
    <cellStyle name="Normal 61 2 5 2 4 2 4 3 2" xfId="0"/>
    <cellStyle name="Normal 61 2 5 2 4 2 4 3 2 2" xfId="0"/>
    <cellStyle name="Normal 61 2 5 2 4 2 4 3 3" xfId="0"/>
    <cellStyle name="Normal 61 2 5 2 4 2 4 4" xfId="0"/>
    <cellStyle name="Normal 61 2 5 2 4 2 4 4 2" xfId="0"/>
    <cellStyle name="Normal 61 2 5 2 4 2 4 5" xfId="0"/>
    <cellStyle name="Normal 61 2 5 2 4 2 5" xfId="0"/>
    <cellStyle name="Normal 61 2 5 2 4 2 5 2" xfId="0"/>
    <cellStyle name="Normal 61 2 5 2 4 2 5 2 2" xfId="0"/>
    <cellStyle name="Normal 61 2 5 2 4 2 5 3" xfId="0"/>
    <cellStyle name="Normal 61 2 5 2 4 2 6" xfId="0"/>
    <cellStyle name="Normal 61 2 5 2 4 2 6 2" xfId="0"/>
    <cellStyle name="Normal 61 2 5 2 4 2 6 2 2" xfId="0"/>
    <cellStyle name="Normal 61 2 5 2 4 2 6 3" xfId="0"/>
    <cellStyle name="Normal 61 2 5 2 4 2 7" xfId="0"/>
    <cellStyle name="Normal 61 2 5 2 4 2 7 2" xfId="0"/>
    <cellStyle name="Normal 61 2 5 2 4 2 8" xfId="0"/>
    <cellStyle name="Normal 61 2 5 2 4 3" xfId="0"/>
    <cellStyle name="Normal 61 2 5 2 4 3 2" xfId="0"/>
    <cellStyle name="Normal 61 2 5 2 4 3 2 2" xfId="0"/>
    <cellStyle name="Normal 61 2 5 2 4 3 2 2 2" xfId="0"/>
    <cellStyle name="Normal 61 2 5 2 4 3 2 2 2 2" xfId="0"/>
    <cellStyle name="Normal 61 2 5 2 4 3 2 2 2 2 2" xfId="0"/>
    <cellStyle name="Normal 61 2 5 2 4 3 2 2 2 3" xfId="0"/>
    <cellStyle name="Normal 61 2 5 2 4 3 2 2 3" xfId="0"/>
    <cellStyle name="Normal 61 2 5 2 4 3 2 2 3 2" xfId="0"/>
    <cellStyle name="Normal 61 2 5 2 4 3 2 2 3 2 2" xfId="0"/>
    <cellStyle name="Normal 61 2 5 2 4 3 2 2 3 3" xfId="0"/>
    <cellStyle name="Normal 61 2 5 2 4 3 2 2 4" xfId="0"/>
    <cellStyle name="Normal 61 2 5 2 4 3 2 2 4 2" xfId="0"/>
    <cellStyle name="Normal 61 2 5 2 4 3 2 2 5" xfId="0"/>
    <cellStyle name="Normal 61 2 5 2 4 3 2 3" xfId="0"/>
    <cellStyle name="Normal 61 2 5 2 4 3 2 3 2" xfId="0"/>
    <cellStyle name="Normal 61 2 5 2 4 3 2 3 2 2" xfId="0"/>
    <cellStyle name="Normal 61 2 5 2 4 3 2 3 3" xfId="0"/>
    <cellStyle name="Normal 61 2 5 2 4 3 2 4" xfId="0"/>
    <cellStyle name="Normal 61 2 5 2 4 3 2 4 2" xfId="0"/>
    <cellStyle name="Normal 61 2 5 2 4 3 2 4 2 2" xfId="0"/>
    <cellStyle name="Normal 61 2 5 2 4 3 2 4 3" xfId="0"/>
    <cellStyle name="Normal 61 2 5 2 4 3 2 5" xfId="0"/>
    <cellStyle name="Normal 61 2 5 2 4 3 2 5 2" xfId="0"/>
    <cellStyle name="Normal 61 2 5 2 4 3 2 6" xfId="0"/>
    <cellStyle name="Normal 61 2 5 2 4 3 3" xfId="0"/>
    <cellStyle name="Normal 61 2 5 2 4 3 3 2" xfId="0"/>
    <cellStyle name="Normal 61 2 5 2 4 3 3 2 2" xfId="0"/>
    <cellStyle name="Normal 61 2 5 2 4 3 3 2 2 2" xfId="0"/>
    <cellStyle name="Normal 61 2 5 2 4 3 3 2 3" xfId="0"/>
    <cellStyle name="Normal 61 2 5 2 4 3 3 3" xfId="0"/>
    <cellStyle name="Normal 61 2 5 2 4 3 3 3 2" xfId="0"/>
    <cellStyle name="Normal 61 2 5 2 4 3 3 3 2 2" xfId="0"/>
    <cellStyle name="Normal 61 2 5 2 4 3 3 3 3" xfId="0"/>
    <cellStyle name="Normal 61 2 5 2 4 3 3 4" xfId="0"/>
    <cellStyle name="Normal 61 2 5 2 4 3 3 4 2" xfId="0"/>
    <cellStyle name="Normal 61 2 5 2 4 3 3 5" xfId="0"/>
    <cellStyle name="Normal 61 2 5 2 4 3 4" xfId="0"/>
    <cellStyle name="Normal 61 2 5 2 4 3 4 2" xfId="0"/>
    <cellStyle name="Normal 61 2 5 2 4 3 4 2 2" xfId="0"/>
    <cellStyle name="Normal 61 2 5 2 4 3 4 3" xfId="0"/>
    <cellStyle name="Normal 61 2 5 2 4 3 5" xfId="0"/>
    <cellStyle name="Normal 61 2 5 2 4 3 5 2" xfId="0"/>
    <cellStyle name="Normal 61 2 5 2 4 3 5 2 2" xfId="0"/>
    <cellStyle name="Normal 61 2 5 2 4 3 5 3" xfId="0"/>
    <cellStyle name="Normal 61 2 5 2 4 3 6" xfId="0"/>
    <cellStyle name="Normal 61 2 5 2 4 3 6 2" xfId="0"/>
    <cellStyle name="Normal 61 2 5 2 4 3 7" xfId="0"/>
    <cellStyle name="Normal 61 2 5 2 4 4" xfId="0"/>
    <cellStyle name="Normal 61 2 5 2 4 4 2" xfId="0"/>
    <cellStyle name="Normal 61 2 5 2 4 4 2 2" xfId="0"/>
    <cellStyle name="Normal 61 2 5 2 4 4 2 2 2" xfId="0"/>
    <cellStyle name="Normal 61 2 5 2 4 4 2 2 2 2" xfId="0"/>
    <cellStyle name="Normal 61 2 5 2 4 4 2 2 3" xfId="0"/>
    <cellStyle name="Normal 61 2 5 2 4 4 2 3" xfId="0"/>
    <cellStyle name="Normal 61 2 5 2 4 4 2 3 2" xfId="0"/>
    <cellStyle name="Normal 61 2 5 2 4 4 2 3 2 2" xfId="0"/>
    <cellStyle name="Normal 61 2 5 2 4 4 2 3 3" xfId="0"/>
    <cellStyle name="Normal 61 2 5 2 4 4 2 4" xfId="0"/>
    <cellStyle name="Normal 61 2 5 2 4 4 2 4 2" xfId="0"/>
    <cellStyle name="Normal 61 2 5 2 4 4 2 5" xfId="0"/>
    <cellStyle name="Normal 61 2 5 2 4 4 3" xfId="0"/>
    <cellStyle name="Normal 61 2 5 2 4 4 3 2" xfId="0"/>
    <cellStyle name="Normal 61 2 5 2 4 4 3 2 2" xfId="0"/>
    <cellStyle name="Normal 61 2 5 2 4 4 3 3" xfId="0"/>
    <cellStyle name="Normal 61 2 5 2 4 4 4" xfId="0"/>
    <cellStyle name="Normal 61 2 5 2 4 4 4 2" xfId="0"/>
    <cellStyle name="Normal 61 2 5 2 4 4 4 2 2" xfId="0"/>
    <cellStyle name="Normal 61 2 5 2 4 4 4 3" xfId="0"/>
    <cellStyle name="Normal 61 2 5 2 4 4 5" xfId="0"/>
    <cellStyle name="Normal 61 2 5 2 4 4 5 2" xfId="0"/>
    <cellStyle name="Normal 61 2 5 2 4 4 6" xfId="0"/>
    <cellStyle name="Normal 61 2 5 2 4 5" xfId="0"/>
    <cellStyle name="Normal 61 2 5 2 4 5 2" xfId="0"/>
    <cellStyle name="Normal 61 2 5 2 4 5 2 2" xfId="0"/>
    <cellStyle name="Normal 61 2 5 2 4 5 2 2 2" xfId="0"/>
    <cellStyle name="Normal 61 2 5 2 4 5 2 3" xfId="0"/>
    <cellStyle name="Normal 61 2 5 2 4 5 3" xfId="0"/>
    <cellStyle name="Normal 61 2 5 2 4 5 3 2" xfId="0"/>
    <cellStyle name="Normal 61 2 5 2 4 5 3 2 2" xfId="0"/>
    <cellStyle name="Normal 61 2 5 2 4 5 3 3" xfId="0"/>
    <cellStyle name="Normal 61 2 5 2 4 5 4" xfId="0"/>
    <cellStyle name="Normal 61 2 5 2 4 5 4 2" xfId="0"/>
    <cellStyle name="Normal 61 2 5 2 4 5 5" xfId="0"/>
    <cellStyle name="Normal 61 2 5 2 4 6" xfId="0"/>
    <cellStyle name="Normal 61 2 5 2 4 6 2" xfId="0"/>
    <cellStyle name="Normal 61 2 5 2 4 6 2 2" xfId="0"/>
    <cellStyle name="Normal 61 2 5 2 4 6 3" xfId="0"/>
    <cellStyle name="Normal 61 2 5 2 4 7" xfId="0"/>
    <cellStyle name="Normal 61 2 5 2 4 7 2" xfId="0"/>
    <cellStyle name="Normal 61 2 5 2 4 7 2 2" xfId="0"/>
    <cellStyle name="Normal 61 2 5 2 4 7 3" xfId="0"/>
    <cellStyle name="Normal 61 2 5 2 4 8" xfId="0"/>
    <cellStyle name="Normal 61 2 5 2 4 8 2" xfId="0"/>
    <cellStyle name="Normal 61 2 5 2 4 9" xfId="0"/>
    <cellStyle name="Normal 61 2 5 2 5" xfId="0"/>
    <cellStyle name="Normal 61 2 5 2 5 2" xfId="0"/>
    <cellStyle name="Normal 61 2 5 2 5 2 2" xfId="0"/>
    <cellStyle name="Normal 61 2 5 2 5 2 2 2" xfId="0"/>
    <cellStyle name="Normal 61 2 5 2 5 2 2 2 2" xfId="0"/>
    <cellStyle name="Normal 61 2 5 2 5 2 2 2 2 2" xfId="0"/>
    <cellStyle name="Normal 61 2 5 2 5 2 2 2 2 2 2" xfId="0"/>
    <cellStyle name="Normal 61 2 5 2 5 2 2 2 2 3" xfId="0"/>
    <cellStyle name="Normal 61 2 5 2 5 2 2 2 3" xfId="0"/>
    <cellStyle name="Normal 61 2 5 2 5 2 2 2 3 2" xfId="0"/>
    <cellStyle name="Normal 61 2 5 2 5 2 2 2 3 2 2" xfId="0"/>
    <cellStyle name="Normal 61 2 5 2 5 2 2 2 3 3" xfId="0"/>
    <cellStyle name="Normal 61 2 5 2 5 2 2 2 4" xfId="0"/>
    <cellStyle name="Normal 61 2 5 2 5 2 2 2 4 2" xfId="0"/>
    <cellStyle name="Normal 61 2 5 2 5 2 2 2 5" xfId="0"/>
    <cellStyle name="Normal 61 2 5 2 5 2 2 3" xfId="0"/>
    <cellStyle name="Normal 61 2 5 2 5 2 2 3 2" xfId="0"/>
    <cellStyle name="Normal 61 2 5 2 5 2 2 3 2 2" xfId="0"/>
    <cellStyle name="Normal 61 2 5 2 5 2 2 3 3" xfId="0"/>
    <cellStyle name="Normal 61 2 5 2 5 2 2 4" xfId="0"/>
    <cellStyle name="Normal 61 2 5 2 5 2 2 4 2" xfId="0"/>
    <cellStyle name="Normal 61 2 5 2 5 2 2 4 2 2" xfId="0"/>
    <cellStyle name="Normal 61 2 5 2 5 2 2 4 3" xfId="0"/>
    <cellStyle name="Normal 61 2 5 2 5 2 2 5" xfId="0"/>
    <cellStyle name="Normal 61 2 5 2 5 2 2 5 2" xfId="0"/>
    <cellStyle name="Normal 61 2 5 2 5 2 2 6" xfId="0"/>
    <cellStyle name="Normal 61 2 5 2 5 2 3" xfId="0"/>
    <cellStyle name="Normal 61 2 5 2 5 2 3 2" xfId="0"/>
    <cellStyle name="Normal 61 2 5 2 5 2 3 2 2" xfId="0"/>
    <cellStyle name="Normal 61 2 5 2 5 2 3 2 2 2" xfId="0"/>
    <cellStyle name="Normal 61 2 5 2 5 2 3 2 3" xfId="0"/>
    <cellStyle name="Normal 61 2 5 2 5 2 3 3" xfId="0"/>
    <cellStyle name="Normal 61 2 5 2 5 2 3 3 2" xfId="0"/>
    <cellStyle name="Normal 61 2 5 2 5 2 3 3 2 2" xfId="0"/>
    <cellStyle name="Normal 61 2 5 2 5 2 3 3 3" xfId="0"/>
    <cellStyle name="Normal 61 2 5 2 5 2 3 4" xfId="0"/>
    <cellStyle name="Normal 61 2 5 2 5 2 3 4 2" xfId="0"/>
    <cellStyle name="Normal 61 2 5 2 5 2 3 5" xfId="0"/>
    <cellStyle name="Normal 61 2 5 2 5 2 4" xfId="0"/>
    <cellStyle name="Normal 61 2 5 2 5 2 4 2" xfId="0"/>
    <cellStyle name="Normal 61 2 5 2 5 2 4 2 2" xfId="0"/>
    <cellStyle name="Normal 61 2 5 2 5 2 4 3" xfId="0"/>
    <cellStyle name="Normal 61 2 5 2 5 2 5" xfId="0"/>
    <cellStyle name="Normal 61 2 5 2 5 2 5 2" xfId="0"/>
    <cellStyle name="Normal 61 2 5 2 5 2 5 2 2" xfId="0"/>
    <cellStyle name="Normal 61 2 5 2 5 2 5 3" xfId="0"/>
    <cellStyle name="Normal 61 2 5 2 5 2 6" xfId="0"/>
    <cellStyle name="Normal 61 2 5 2 5 2 6 2" xfId="0"/>
    <cellStyle name="Normal 61 2 5 2 5 2 7" xfId="0"/>
    <cellStyle name="Normal 61 2 5 2 5 3" xfId="0"/>
    <cellStyle name="Normal 61 2 5 2 5 3 2" xfId="0"/>
    <cellStyle name="Normal 61 2 5 2 5 3 2 2" xfId="0"/>
    <cellStyle name="Normal 61 2 5 2 5 3 2 2 2" xfId="0"/>
    <cellStyle name="Normal 61 2 5 2 5 3 2 2 2 2" xfId="0"/>
    <cellStyle name="Normal 61 2 5 2 5 3 2 2 3" xfId="0"/>
    <cellStyle name="Normal 61 2 5 2 5 3 2 3" xfId="0"/>
    <cellStyle name="Normal 61 2 5 2 5 3 2 3 2" xfId="0"/>
    <cellStyle name="Normal 61 2 5 2 5 3 2 3 2 2" xfId="0"/>
    <cellStyle name="Normal 61 2 5 2 5 3 2 3 3" xfId="0"/>
    <cellStyle name="Normal 61 2 5 2 5 3 2 4" xfId="0"/>
    <cellStyle name="Normal 61 2 5 2 5 3 2 4 2" xfId="0"/>
    <cellStyle name="Normal 61 2 5 2 5 3 2 5" xfId="0"/>
    <cellStyle name="Normal 61 2 5 2 5 3 3" xfId="0"/>
    <cellStyle name="Normal 61 2 5 2 5 3 3 2" xfId="0"/>
    <cellStyle name="Normal 61 2 5 2 5 3 3 2 2" xfId="0"/>
    <cellStyle name="Normal 61 2 5 2 5 3 3 3" xfId="0"/>
    <cellStyle name="Normal 61 2 5 2 5 3 4" xfId="0"/>
    <cellStyle name="Normal 61 2 5 2 5 3 4 2" xfId="0"/>
    <cellStyle name="Normal 61 2 5 2 5 3 4 2 2" xfId="0"/>
    <cellStyle name="Normal 61 2 5 2 5 3 4 3" xfId="0"/>
    <cellStyle name="Normal 61 2 5 2 5 3 5" xfId="0"/>
    <cellStyle name="Normal 61 2 5 2 5 3 5 2" xfId="0"/>
    <cellStyle name="Normal 61 2 5 2 5 3 6" xfId="0"/>
    <cellStyle name="Normal 61 2 5 2 5 4" xfId="0"/>
    <cellStyle name="Normal 61 2 5 2 5 4 2" xfId="0"/>
    <cellStyle name="Normal 61 2 5 2 5 4 2 2" xfId="0"/>
    <cellStyle name="Normal 61 2 5 2 5 4 2 2 2" xfId="0"/>
    <cellStyle name="Normal 61 2 5 2 5 4 2 3" xfId="0"/>
    <cellStyle name="Normal 61 2 5 2 5 4 3" xfId="0"/>
    <cellStyle name="Normal 61 2 5 2 5 4 3 2" xfId="0"/>
    <cellStyle name="Normal 61 2 5 2 5 4 3 2 2" xfId="0"/>
    <cellStyle name="Normal 61 2 5 2 5 4 3 3" xfId="0"/>
    <cellStyle name="Normal 61 2 5 2 5 4 4" xfId="0"/>
    <cellStyle name="Normal 61 2 5 2 5 4 4 2" xfId="0"/>
    <cellStyle name="Normal 61 2 5 2 5 4 5" xfId="0"/>
    <cellStyle name="Normal 61 2 5 2 5 5" xfId="0"/>
    <cellStyle name="Normal 61 2 5 2 5 5 2" xfId="0"/>
    <cellStyle name="Normal 61 2 5 2 5 5 2 2" xfId="0"/>
    <cellStyle name="Normal 61 2 5 2 5 5 3" xfId="0"/>
    <cellStyle name="Normal 61 2 5 2 5 6" xfId="0"/>
    <cellStyle name="Normal 61 2 5 2 5 6 2" xfId="0"/>
    <cellStyle name="Normal 61 2 5 2 5 6 2 2" xfId="0"/>
    <cellStyle name="Normal 61 2 5 2 5 6 3" xfId="0"/>
    <cellStyle name="Normal 61 2 5 2 5 7" xfId="0"/>
    <cellStyle name="Normal 61 2 5 2 5 7 2" xfId="0"/>
    <cellStyle name="Normal 61 2 5 2 5 8" xfId="0"/>
    <cellStyle name="Normal 61 2 5 2 6" xfId="0"/>
    <cellStyle name="Normal 61 2 5 2 6 2" xfId="0"/>
    <cellStyle name="Normal 61 2 5 2 6 2 2" xfId="0"/>
    <cellStyle name="Normal 61 2 5 2 6 2 2 2" xfId="0"/>
    <cellStyle name="Normal 61 2 5 2 6 2 2 2 2" xfId="0"/>
    <cellStyle name="Normal 61 2 5 2 6 2 2 2 2 2" xfId="0"/>
    <cellStyle name="Normal 61 2 5 2 6 2 2 2 3" xfId="0"/>
    <cellStyle name="Normal 61 2 5 2 6 2 2 3" xfId="0"/>
    <cellStyle name="Normal 61 2 5 2 6 2 2 3 2" xfId="0"/>
    <cellStyle name="Normal 61 2 5 2 6 2 2 3 2 2" xfId="0"/>
    <cellStyle name="Normal 61 2 5 2 6 2 2 3 3" xfId="0"/>
    <cellStyle name="Normal 61 2 5 2 6 2 2 4" xfId="0"/>
    <cellStyle name="Normal 61 2 5 2 6 2 2 4 2" xfId="0"/>
    <cellStyle name="Normal 61 2 5 2 6 2 2 5" xfId="0"/>
    <cellStyle name="Normal 61 2 5 2 6 2 3" xfId="0"/>
    <cellStyle name="Normal 61 2 5 2 6 2 3 2" xfId="0"/>
    <cellStyle name="Normal 61 2 5 2 6 2 3 2 2" xfId="0"/>
    <cellStyle name="Normal 61 2 5 2 6 2 3 3" xfId="0"/>
    <cellStyle name="Normal 61 2 5 2 6 2 4" xfId="0"/>
    <cellStyle name="Normal 61 2 5 2 6 2 4 2" xfId="0"/>
    <cellStyle name="Normal 61 2 5 2 6 2 4 2 2" xfId="0"/>
    <cellStyle name="Normal 61 2 5 2 6 2 4 3" xfId="0"/>
    <cellStyle name="Normal 61 2 5 2 6 2 5" xfId="0"/>
    <cellStyle name="Normal 61 2 5 2 6 2 5 2" xfId="0"/>
    <cellStyle name="Normal 61 2 5 2 6 2 6" xfId="0"/>
    <cellStyle name="Normal 61 2 5 2 6 3" xfId="0"/>
    <cellStyle name="Normal 61 2 5 2 6 3 2" xfId="0"/>
    <cellStyle name="Normal 61 2 5 2 6 3 2 2" xfId="0"/>
    <cellStyle name="Normal 61 2 5 2 6 3 2 2 2" xfId="0"/>
    <cellStyle name="Normal 61 2 5 2 6 3 2 3" xfId="0"/>
    <cellStyle name="Normal 61 2 5 2 6 3 3" xfId="0"/>
    <cellStyle name="Normal 61 2 5 2 6 3 3 2" xfId="0"/>
    <cellStyle name="Normal 61 2 5 2 6 3 3 2 2" xfId="0"/>
    <cellStyle name="Normal 61 2 5 2 6 3 3 3" xfId="0"/>
    <cellStyle name="Normal 61 2 5 2 6 3 4" xfId="0"/>
    <cellStyle name="Normal 61 2 5 2 6 3 4 2" xfId="0"/>
    <cellStyle name="Normal 61 2 5 2 6 3 5" xfId="0"/>
    <cellStyle name="Normal 61 2 5 2 6 4" xfId="0"/>
    <cellStyle name="Normal 61 2 5 2 6 4 2" xfId="0"/>
    <cellStyle name="Normal 61 2 5 2 6 4 2 2" xfId="0"/>
    <cellStyle name="Normal 61 2 5 2 6 4 3" xfId="0"/>
    <cellStyle name="Normal 61 2 5 2 6 5" xfId="0"/>
    <cellStyle name="Normal 61 2 5 2 6 5 2" xfId="0"/>
    <cellStyle name="Normal 61 2 5 2 6 5 2 2" xfId="0"/>
    <cellStyle name="Normal 61 2 5 2 6 5 3" xfId="0"/>
    <cellStyle name="Normal 61 2 5 2 6 6" xfId="0"/>
    <cellStyle name="Normal 61 2 5 2 6 6 2" xfId="0"/>
    <cellStyle name="Normal 61 2 5 2 6 7" xfId="0"/>
    <cellStyle name="Normal 61 2 5 2 7" xfId="0"/>
    <cellStyle name="Normal 61 2 5 2 7 2" xfId="0"/>
    <cellStyle name="Normal 61 2 5 2 7 2 2" xfId="0"/>
    <cellStyle name="Normal 61 2 5 2 7 2 2 2" xfId="0"/>
    <cellStyle name="Normal 61 2 5 2 7 2 2 2 2" xfId="0"/>
    <cellStyle name="Normal 61 2 5 2 7 2 2 3" xfId="0"/>
    <cellStyle name="Normal 61 2 5 2 7 2 3" xfId="0"/>
    <cellStyle name="Normal 61 2 5 2 7 2 3 2" xfId="0"/>
    <cellStyle name="Normal 61 2 5 2 7 2 3 2 2" xfId="0"/>
    <cellStyle name="Normal 61 2 5 2 7 2 3 3" xfId="0"/>
    <cellStyle name="Normal 61 2 5 2 7 2 4" xfId="0"/>
    <cellStyle name="Normal 61 2 5 2 7 2 4 2" xfId="0"/>
    <cellStyle name="Normal 61 2 5 2 7 2 5" xfId="0"/>
    <cellStyle name="Normal 61 2 5 2 7 3" xfId="0"/>
    <cellStyle name="Normal 61 2 5 2 7 3 2" xfId="0"/>
    <cellStyle name="Normal 61 2 5 2 7 3 2 2" xfId="0"/>
    <cellStyle name="Normal 61 2 5 2 7 3 3" xfId="0"/>
    <cellStyle name="Normal 61 2 5 2 7 4" xfId="0"/>
    <cellStyle name="Normal 61 2 5 2 7 4 2" xfId="0"/>
    <cellStyle name="Normal 61 2 5 2 7 4 2 2" xfId="0"/>
    <cellStyle name="Normal 61 2 5 2 7 4 3" xfId="0"/>
    <cellStyle name="Normal 61 2 5 2 7 5" xfId="0"/>
    <cellStyle name="Normal 61 2 5 2 7 5 2" xfId="0"/>
    <cellStyle name="Normal 61 2 5 2 7 6" xfId="0"/>
    <cellStyle name="Normal 61 2 5 2 8" xfId="0"/>
    <cellStyle name="Normal 61 2 5 2 8 2" xfId="0"/>
    <cellStyle name="Normal 61 2 5 2 8 2 2" xfId="0"/>
    <cellStyle name="Normal 61 2 5 2 8 2 2 2" xfId="0"/>
    <cellStyle name="Normal 61 2 5 2 8 2 3" xfId="0"/>
    <cellStyle name="Normal 61 2 5 2 8 3" xfId="0"/>
    <cellStyle name="Normal 61 2 5 2 8 3 2" xfId="0"/>
    <cellStyle name="Normal 61 2 5 2 8 3 2 2" xfId="0"/>
    <cellStyle name="Normal 61 2 5 2 8 3 3" xfId="0"/>
    <cellStyle name="Normal 61 2 5 2 8 4" xfId="0"/>
    <cellStyle name="Normal 61 2 5 2 8 4 2" xfId="0"/>
    <cellStyle name="Normal 61 2 5 2 8 5" xfId="0"/>
    <cellStyle name="Normal 61 2 5 2 9" xfId="0"/>
    <cellStyle name="Normal 61 2 5 2 9 2" xfId="0"/>
    <cellStyle name="Normal 61 2 5 2 9 2 2" xfId="0"/>
    <cellStyle name="Normal 61 2 5 2 9 3" xfId="0"/>
    <cellStyle name="Normal 61 2 5 3" xfId="0"/>
    <cellStyle name="Normal 61 2 5 3 10" xfId="0"/>
    <cellStyle name="Normal 61 2 5 3 2" xfId="0"/>
    <cellStyle name="Normal 61 2 5 3 2 2" xfId="0"/>
    <cellStyle name="Normal 61 2 5 3 2 2 2" xfId="0"/>
    <cellStyle name="Normal 61 2 5 3 2 2 2 2" xfId="0"/>
    <cellStyle name="Normal 61 2 5 3 2 2 2 2 2" xfId="0"/>
    <cellStyle name="Normal 61 2 5 3 2 2 2 2 2 2" xfId="0"/>
    <cellStyle name="Normal 61 2 5 3 2 2 2 2 2 2 2" xfId="0"/>
    <cellStyle name="Normal 61 2 5 3 2 2 2 2 2 2 2 2" xfId="0"/>
    <cellStyle name="Normal 61 2 5 3 2 2 2 2 2 2 3" xfId="0"/>
    <cellStyle name="Normal 61 2 5 3 2 2 2 2 2 3" xfId="0"/>
    <cellStyle name="Normal 61 2 5 3 2 2 2 2 2 3 2" xfId="0"/>
    <cellStyle name="Normal 61 2 5 3 2 2 2 2 2 3 2 2" xfId="0"/>
    <cellStyle name="Normal 61 2 5 3 2 2 2 2 2 3 3" xfId="0"/>
    <cellStyle name="Normal 61 2 5 3 2 2 2 2 2 4" xfId="0"/>
    <cellStyle name="Normal 61 2 5 3 2 2 2 2 2 4 2" xfId="0"/>
    <cellStyle name="Normal 61 2 5 3 2 2 2 2 2 5" xfId="0"/>
    <cellStyle name="Normal 61 2 5 3 2 2 2 2 3" xfId="0"/>
    <cellStyle name="Normal 61 2 5 3 2 2 2 2 3 2" xfId="0"/>
    <cellStyle name="Normal 61 2 5 3 2 2 2 2 3 2 2" xfId="0"/>
    <cellStyle name="Normal 61 2 5 3 2 2 2 2 3 3" xfId="0"/>
    <cellStyle name="Normal 61 2 5 3 2 2 2 2 4" xfId="0"/>
    <cellStyle name="Normal 61 2 5 3 2 2 2 2 4 2" xfId="0"/>
    <cellStyle name="Normal 61 2 5 3 2 2 2 2 4 2 2" xfId="0"/>
    <cellStyle name="Normal 61 2 5 3 2 2 2 2 4 3" xfId="0"/>
    <cellStyle name="Normal 61 2 5 3 2 2 2 2 5" xfId="0"/>
    <cellStyle name="Normal 61 2 5 3 2 2 2 2 5 2" xfId="0"/>
    <cellStyle name="Normal 61 2 5 3 2 2 2 2 6" xfId="0"/>
    <cellStyle name="Normal 61 2 5 3 2 2 2 3" xfId="0"/>
    <cellStyle name="Normal 61 2 5 3 2 2 2 3 2" xfId="0"/>
    <cellStyle name="Normal 61 2 5 3 2 2 2 3 2 2" xfId="0"/>
    <cellStyle name="Normal 61 2 5 3 2 2 2 3 2 2 2" xfId="0"/>
    <cellStyle name="Normal 61 2 5 3 2 2 2 3 2 3" xfId="0"/>
    <cellStyle name="Normal 61 2 5 3 2 2 2 3 3" xfId="0"/>
    <cellStyle name="Normal 61 2 5 3 2 2 2 3 3 2" xfId="0"/>
    <cellStyle name="Normal 61 2 5 3 2 2 2 3 3 2 2" xfId="0"/>
    <cellStyle name="Normal 61 2 5 3 2 2 2 3 3 3" xfId="0"/>
    <cellStyle name="Normal 61 2 5 3 2 2 2 3 4" xfId="0"/>
    <cellStyle name="Normal 61 2 5 3 2 2 2 3 4 2" xfId="0"/>
    <cellStyle name="Normal 61 2 5 3 2 2 2 3 5" xfId="0"/>
    <cellStyle name="Normal 61 2 5 3 2 2 2 4" xfId="0"/>
    <cellStyle name="Normal 61 2 5 3 2 2 2 4 2" xfId="0"/>
    <cellStyle name="Normal 61 2 5 3 2 2 2 4 2 2" xfId="0"/>
    <cellStyle name="Normal 61 2 5 3 2 2 2 4 3" xfId="0"/>
    <cellStyle name="Normal 61 2 5 3 2 2 2 5" xfId="0"/>
    <cellStyle name="Normal 61 2 5 3 2 2 2 5 2" xfId="0"/>
    <cellStyle name="Normal 61 2 5 3 2 2 2 5 2 2" xfId="0"/>
    <cellStyle name="Normal 61 2 5 3 2 2 2 5 3" xfId="0"/>
    <cellStyle name="Normal 61 2 5 3 2 2 2 6" xfId="0"/>
    <cellStyle name="Normal 61 2 5 3 2 2 2 6 2" xfId="0"/>
    <cellStyle name="Normal 61 2 5 3 2 2 2 7" xfId="0"/>
    <cellStyle name="Normal 61 2 5 3 2 2 3" xfId="0"/>
    <cellStyle name="Normal 61 2 5 3 2 2 3 2" xfId="0"/>
    <cellStyle name="Normal 61 2 5 3 2 2 3 2 2" xfId="0"/>
    <cellStyle name="Normal 61 2 5 3 2 2 3 2 2 2" xfId="0"/>
    <cellStyle name="Normal 61 2 5 3 2 2 3 2 2 2 2" xfId="0"/>
    <cellStyle name="Normal 61 2 5 3 2 2 3 2 2 3" xfId="0"/>
    <cellStyle name="Normal 61 2 5 3 2 2 3 2 3" xfId="0"/>
    <cellStyle name="Normal 61 2 5 3 2 2 3 2 3 2" xfId="0"/>
    <cellStyle name="Normal 61 2 5 3 2 2 3 2 3 2 2" xfId="0"/>
    <cellStyle name="Normal 61 2 5 3 2 2 3 2 3 3" xfId="0"/>
    <cellStyle name="Normal 61 2 5 3 2 2 3 2 4" xfId="0"/>
    <cellStyle name="Normal 61 2 5 3 2 2 3 2 4 2" xfId="0"/>
    <cellStyle name="Normal 61 2 5 3 2 2 3 2 5" xfId="0"/>
    <cellStyle name="Normal 61 2 5 3 2 2 3 3" xfId="0"/>
    <cellStyle name="Normal 61 2 5 3 2 2 3 3 2" xfId="0"/>
    <cellStyle name="Normal 61 2 5 3 2 2 3 3 2 2" xfId="0"/>
    <cellStyle name="Normal 61 2 5 3 2 2 3 3 3" xfId="0"/>
    <cellStyle name="Normal 61 2 5 3 2 2 3 4" xfId="0"/>
    <cellStyle name="Normal 61 2 5 3 2 2 3 4 2" xfId="0"/>
    <cellStyle name="Normal 61 2 5 3 2 2 3 4 2 2" xfId="0"/>
    <cellStyle name="Normal 61 2 5 3 2 2 3 4 3" xfId="0"/>
    <cellStyle name="Normal 61 2 5 3 2 2 3 5" xfId="0"/>
    <cellStyle name="Normal 61 2 5 3 2 2 3 5 2" xfId="0"/>
    <cellStyle name="Normal 61 2 5 3 2 2 3 6" xfId="0"/>
    <cellStyle name="Normal 61 2 5 3 2 2 4" xfId="0"/>
    <cellStyle name="Normal 61 2 5 3 2 2 4 2" xfId="0"/>
    <cellStyle name="Normal 61 2 5 3 2 2 4 2 2" xfId="0"/>
    <cellStyle name="Normal 61 2 5 3 2 2 4 2 2 2" xfId="0"/>
    <cellStyle name="Normal 61 2 5 3 2 2 4 2 3" xfId="0"/>
    <cellStyle name="Normal 61 2 5 3 2 2 4 3" xfId="0"/>
    <cellStyle name="Normal 61 2 5 3 2 2 4 3 2" xfId="0"/>
    <cellStyle name="Normal 61 2 5 3 2 2 4 3 2 2" xfId="0"/>
    <cellStyle name="Normal 61 2 5 3 2 2 4 3 3" xfId="0"/>
    <cellStyle name="Normal 61 2 5 3 2 2 4 4" xfId="0"/>
    <cellStyle name="Normal 61 2 5 3 2 2 4 4 2" xfId="0"/>
    <cellStyle name="Normal 61 2 5 3 2 2 4 5" xfId="0"/>
    <cellStyle name="Normal 61 2 5 3 2 2 5" xfId="0"/>
    <cellStyle name="Normal 61 2 5 3 2 2 5 2" xfId="0"/>
    <cellStyle name="Normal 61 2 5 3 2 2 5 2 2" xfId="0"/>
    <cellStyle name="Normal 61 2 5 3 2 2 5 3" xfId="0"/>
    <cellStyle name="Normal 61 2 5 3 2 2 6" xfId="0"/>
    <cellStyle name="Normal 61 2 5 3 2 2 6 2" xfId="0"/>
    <cellStyle name="Normal 61 2 5 3 2 2 6 2 2" xfId="0"/>
    <cellStyle name="Normal 61 2 5 3 2 2 6 3" xfId="0"/>
    <cellStyle name="Normal 61 2 5 3 2 2 7" xfId="0"/>
    <cellStyle name="Normal 61 2 5 3 2 2 7 2" xfId="0"/>
    <cellStyle name="Normal 61 2 5 3 2 2 8" xfId="0"/>
    <cellStyle name="Normal 61 2 5 3 2 3" xfId="0"/>
    <cellStyle name="Normal 61 2 5 3 2 3 2" xfId="0"/>
    <cellStyle name="Normal 61 2 5 3 2 3 2 2" xfId="0"/>
    <cellStyle name="Normal 61 2 5 3 2 3 2 2 2" xfId="0"/>
    <cellStyle name="Normal 61 2 5 3 2 3 2 2 2 2" xfId="0"/>
    <cellStyle name="Normal 61 2 5 3 2 3 2 2 2 2 2" xfId="0"/>
    <cellStyle name="Normal 61 2 5 3 2 3 2 2 2 3" xfId="0"/>
    <cellStyle name="Normal 61 2 5 3 2 3 2 2 3" xfId="0"/>
    <cellStyle name="Normal 61 2 5 3 2 3 2 2 3 2" xfId="0"/>
    <cellStyle name="Normal 61 2 5 3 2 3 2 2 3 2 2" xfId="0"/>
    <cellStyle name="Normal 61 2 5 3 2 3 2 2 3 3" xfId="0"/>
    <cellStyle name="Normal 61 2 5 3 2 3 2 2 4" xfId="0"/>
    <cellStyle name="Normal 61 2 5 3 2 3 2 2 4 2" xfId="0"/>
    <cellStyle name="Normal 61 2 5 3 2 3 2 2 5" xfId="0"/>
    <cellStyle name="Normal 61 2 5 3 2 3 2 3" xfId="0"/>
    <cellStyle name="Normal 61 2 5 3 2 3 2 3 2" xfId="0"/>
    <cellStyle name="Normal 61 2 5 3 2 3 2 3 2 2" xfId="0"/>
    <cellStyle name="Normal 61 2 5 3 2 3 2 3 3" xfId="0"/>
    <cellStyle name="Normal 61 2 5 3 2 3 2 4" xfId="0"/>
    <cellStyle name="Normal 61 2 5 3 2 3 2 4 2" xfId="0"/>
    <cellStyle name="Normal 61 2 5 3 2 3 2 4 2 2" xfId="0"/>
    <cellStyle name="Normal 61 2 5 3 2 3 2 4 3" xfId="0"/>
    <cellStyle name="Normal 61 2 5 3 2 3 2 5" xfId="0"/>
    <cellStyle name="Normal 61 2 5 3 2 3 2 5 2" xfId="0"/>
    <cellStyle name="Normal 61 2 5 3 2 3 2 6" xfId="0"/>
    <cellStyle name="Normal 61 2 5 3 2 3 3" xfId="0"/>
    <cellStyle name="Normal 61 2 5 3 2 3 3 2" xfId="0"/>
    <cellStyle name="Normal 61 2 5 3 2 3 3 2 2" xfId="0"/>
    <cellStyle name="Normal 61 2 5 3 2 3 3 2 2 2" xfId="0"/>
    <cellStyle name="Normal 61 2 5 3 2 3 3 2 3" xfId="0"/>
    <cellStyle name="Normal 61 2 5 3 2 3 3 3" xfId="0"/>
    <cellStyle name="Normal 61 2 5 3 2 3 3 3 2" xfId="0"/>
    <cellStyle name="Normal 61 2 5 3 2 3 3 3 2 2" xfId="0"/>
    <cellStyle name="Normal 61 2 5 3 2 3 3 3 3" xfId="0"/>
    <cellStyle name="Normal 61 2 5 3 2 3 3 4" xfId="0"/>
    <cellStyle name="Normal 61 2 5 3 2 3 3 4 2" xfId="0"/>
    <cellStyle name="Normal 61 2 5 3 2 3 3 5" xfId="0"/>
    <cellStyle name="Normal 61 2 5 3 2 3 4" xfId="0"/>
    <cellStyle name="Normal 61 2 5 3 2 3 4 2" xfId="0"/>
    <cellStyle name="Normal 61 2 5 3 2 3 4 2 2" xfId="0"/>
    <cellStyle name="Normal 61 2 5 3 2 3 4 3" xfId="0"/>
    <cellStyle name="Normal 61 2 5 3 2 3 5" xfId="0"/>
    <cellStyle name="Normal 61 2 5 3 2 3 5 2" xfId="0"/>
    <cellStyle name="Normal 61 2 5 3 2 3 5 2 2" xfId="0"/>
    <cellStyle name="Normal 61 2 5 3 2 3 5 3" xfId="0"/>
    <cellStyle name="Normal 61 2 5 3 2 3 6" xfId="0"/>
    <cellStyle name="Normal 61 2 5 3 2 3 6 2" xfId="0"/>
    <cellStyle name="Normal 61 2 5 3 2 3 7" xfId="0"/>
    <cellStyle name="Normal 61 2 5 3 2 4" xfId="0"/>
    <cellStyle name="Normal 61 2 5 3 2 4 2" xfId="0"/>
    <cellStyle name="Normal 61 2 5 3 2 4 2 2" xfId="0"/>
    <cellStyle name="Normal 61 2 5 3 2 4 2 2 2" xfId="0"/>
    <cellStyle name="Normal 61 2 5 3 2 4 2 2 2 2" xfId="0"/>
    <cellStyle name="Normal 61 2 5 3 2 4 2 2 3" xfId="0"/>
    <cellStyle name="Normal 61 2 5 3 2 4 2 3" xfId="0"/>
    <cellStyle name="Normal 61 2 5 3 2 4 2 3 2" xfId="0"/>
    <cellStyle name="Normal 61 2 5 3 2 4 2 3 2 2" xfId="0"/>
    <cellStyle name="Normal 61 2 5 3 2 4 2 3 3" xfId="0"/>
    <cellStyle name="Normal 61 2 5 3 2 4 2 4" xfId="0"/>
    <cellStyle name="Normal 61 2 5 3 2 4 2 4 2" xfId="0"/>
    <cellStyle name="Normal 61 2 5 3 2 4 2 5" xfId="0"/>
    <cellStyle name="Normal 61 2 5 3 2 4 3" xfId="0"/>
    <cellStyle name="Normal 61 2 5 3 2 4 3 2" xfId="0"/>
    <cellStyle name="Normal 61 2 5 3 2 4 3 2 2" xfId="0"/>
    <cellStyle name="Normal 61 2 5 3 2 4 3 3" xfId="0"/>
    <cellStyle name="Normal 61 2 5 3 2 4 4" xfId="0"/>
    <cellStyle name="Normal 61 2 5 3 2 4 4 2" xfId="0"/>
    <cellStyle name="Normal 61 2 5 3 2 4 4 2 2" xfId="0"/>
    <cellStyle name="Normal 61 2 5 3 2 4 4 3" xfId="0"/>
    <cellStyle name="Normal 61 2 5 3 2 4 5" xfId="0"/>
    <cellStyle name="Normal 61 2 5 3 2 4 5 2" xfId="0"/>
    <cellStyle name="Normal 61 2 5 3 2 4 6" xfId="0"/>
    <cellStyle name="Normal 61 2 5 3 2 5" xfId="0"/>
    <cellStyle name="Normal 61 2 5 3 2 5 2" xfId="0"/>
    <cellStyle name="Normal 61 2 5 3 2 5 2 2" xfId="0"/>
    <cellStyle name="Normal 61 2 5 3 2 5 2 2 2" xfId="0"/>
    <cellStyle name="Normal 61 2 5 3 2 5 2 3" xfId="0"/>
    <cellStyle name="Normal 61 2 5 3 2 5 3" xfId="0"/>
    <cellStyle name="Normal 61 2 5 3 2 5 3 2" xfId="0"/>
    <cellStyle name="Normal 61 2 5 3 2 5 3 2 2" xfId="0"/>
    <cellStyle name="Normal 61 2 5 3 2 5 3 3" xfId="0"/>
    <cellStyle name="Normal 61 2 5 3 2 5 4" xfId="0"/>
    <cellStyle name="Normal 61 2 5 3 2 5 4 2" xfId="0"/>
    <cellStyle name="Normal 61 2 5 3 2 5 5" xfId="0"/>
    <cellStyle name="Normal 61 2 5 3 2 6" xfId="0"/>
    <cellStyle name="Normal 61 2 5 3 2 6 2" xfId="0"/>
    <cellStyle name="Normal 61 2 5 3 2 6 2 2" xfId="0"/>
    <cellStyle name="Normal 61 2 5 3 2 6 3" xfId="0"/>
    <cellStyle name="Normal 61 2 5 3 2 7" xfId="0"/>
    <cellStyle name="Normal 61 2 5 3 2 7 2" xfId="0"/>
    <cellStyle name="Normal 61 2 5 3 2 7 2 2" xfId="0"/>
    <cellStyle name="Normal 61 2 5 3 2 7 3" xfId="0"/>
    <cellStyle name="Normal 61 2 5 3 2 8" xfId="0"/>
    <cellStyle name="Normal 61 2 5 3 2 8 2" xfId="0"/>
    <cellStyle name="Normal 61 2 5 3 2 9" xfId="0"/>
    <cellStyle name="Normal 61 2 5 3 3" xfId="0"/>
    <cellStyle name="Normal 61 2 5 3 3 2" xfId="0"/>
    <cellStyle name="Normal 61 2 5 3 3 2 2" xfId="0"/>
    <cellStyle name="Normal 61 2 5 3 3 2 2 2" xfId="0"/>
    <cellStyle name="Normal 61 2 5 3 3 2 2 2 2" xfId="0"/>
    <cellStyle name="Normal 61 2 5 3 3 2 2 2 2 2" xfId="0"/>
    <cellStyle name="Normal 61 2 5 3 3 2 2 2 2 2 2" xfId="0"/>
    <cellStyle name="Normal 61 2 5 3 3 2 2 2 2 3" xfId="0"/>
    <cellStyle name="Normal 61 2 5 3 3 2 2 2 3" xfId="0"/>
    <cellStyle name="Normal 61 2 5 3 3 2 2 2 3 2" xfId="0"/>
    <cellStyle name="Normal 61 2 5 3 3 2 2 2 3 2 2" xfId="0"/>
    <cellStyle name="Normal 61 2 5 3 3 2 2 2 3 3" xfId="0"/>
    <cellStyle name="Normal 61 2 5 3 3 2 2 2 4" xfId="0"/>
    <cellStyle name="Normal 61 2 5 3 3 2 2 2 4 2" xfId="0"/>
    <cellStyle name="Normal 61 2 5 3 3 2 2 2 5" xfId="0"/>
    <cellStyle name="Normal 61 2 5 3 3 2 2 3" xfId="0"/>
    <cellStyle name="Normal 61 2 5 3 3 2 2 3 2" xfId="0"/>
    <cellStyle name="Normal 61 2 5 3 3 2 2 3 2 2" xfId="0"/>
    <cellStyle name="Normal 61 2 5 3 3 2 2 3 3" xfId="0"/>
    <cellStyle name="Normal 61 2 5 3 3 2 2 4" xfId="0"/>
    <cellStyle name="Normal 61 2 5 3 3 2 2 4 2" xfId="0"/>
    <cellStyle name="Normal 61 2 5 3 3 2 2 4 2 2" xfId="0"/>
    <cellStyle name="Normal 61 2 5 3 3 2 2 4 3" xfId="0"/>
    <cellStyle name="Normal 61 2 5 3 3 2 2 5" xfId="0"/>
    <cellStyle name="Normal 61 2 5 3 3 2 2 5 2" xfId="0"/>
    <cellStyle name="Normal 61 2 5 3 3 2 2 6" xfId="0"/>
    <cellStyle name="Normal 61 2 5 3 3 2 3" xfId="0"/>
    <cellStyle name="Normal 61 2 5 3 3 2 3 2" xfId="0"/>
    <cellStyle name="Normal 61 2 5 3 3 2 3 2 2" xfId="0"/>
    <cellStyle name="Normal 61 2 5 3 3 2 3 2 2 2" xfId="0"/>
    <cellStyle name="Normal 61 2 5 3 3 2 3 2 3" xfId="0"/>
    <cellStyle name="Normal 61 2 5 3 3 2 3 3" xfId="0"/>
    <cellStyle name="Normal 61 2 5 3 3 2 3 3 2" xfId="0"/>
    <cellStyle name="Normal 61 2 5 3 3 2 3 3 2 2" xfId="0"/>
    <cellStyle name="Normal 61 2 5 3 3 2 3 3 3" xfId="0"/>
    <cellStyle name="Normal 61 2 5 3 3 2 3 4" xfId="0"/>
    <cellStyle name="Normal 61 2 5 3 3 2 3 4 2" xfId="0"/>
    <cellStyle name="Normal 61 2 5 3 3 2 3 5" xfId="0"/>
    <cellStyle name="Normal 61 2 5 3 3 2 4" xfId="0"/>
    <cellStyle name="Normal 61 2 5 3 3 2 4 2" xfId="0"/>
    <cellStyle name="Normal 61 2 5 3 3 2 4 2 2" xfId="0"/>
    <cellStyle name="Normal 61 2 5 3 3 2 4 3" xfId="0"/>
    <cellStyle name="Normal 61 2 5 3 3 2 5" xfId="0"/>
    <cellStyle name="Normal 61 2 5 3 3 2 5 2" xfId="0"/>
    <cellStyle name="Normal 61 2 5 3 3 2 5 2 2" xfId="0"/>
    <cellStyle name="Normal 61 2 5 3 3 2 5 3" xfId="0"/>
    <cellStyle name="Normal 61 2 5 3 3 2 6" xfId="0"/>
    <cellStyle name="Normal 61 2 5 3 3 2 6 2" xfId="0"/>
    <cellStyle name="Normal 61 2 5 3 3 2 7" xfId="0"/>
    <cellStyle name="Normal 61 2 5 3 3 3" xfId="0"/>
    <cellStyle name="Normal 61 2 5 3 3 3 2" xfId="0"/>
    <cellStyle name="Normal 61 2 5 3 3 3 2 2" xfId="0"/>
    <cellStyle name="Normal 61 2 5 3 3 3 2 2 2" xfId="0"/>
    <cellStyle name="Normal 61 2 5 3 3 3 2 2 2 2" xfId="0"/>
    <cellStyle name="Normal 61 2 5 3 3 3 2 2 3" xfId="0"/>
    <cellStyle name="Normal 61 2 5 3 3 3 2 3" xfId="0"/>
    <cellStyle name="Normal 61 2 5 3 3 3 2 3 2" xfId="0"/>
    <cellStyle name="Normal 61 2 5 3 3 3 2 3 2 2" xfId="0"/>
    <cellStyle name="Normal 61 2 5 3 3 3 2 3 3" xfId="0"/>
    <cellStyle name="Normal 61 2 5 3 3 3 2 4" xfId="0"/>
    <cellStyle name="Normal 61 2 5 3 3 3 2 4 2" xfId="0"/>
    <cellStyle name="Normal 61 2 5 3 3 3 2 5" xfId="0"/>
    <cellStyle name="Normal 61 2 5 3 3 3 3" xfId="0"/>
    <cellStyle name="Normal 61 2 5 3 3 3 3 2" xfId="0"/>
    <cellStyle name="Normal 61 2 5 3 3 3 3 2 2" xfId="0"/>
    <cellStyle name="Normal 61 2 5 3 3 3 3 3" xfId="0"/>
    <cellStyle name="Normal 61 2 5 3 3 3 4" xfId="0"/>
    <cellStyle name="Normal 61 2 5 3 3 3 4 2" xfId="0"/>
    <cellStyle name="Normal 61 2 5 3 3 3 4 2 2" xfId="0"/>
    <cellStyle name="Normal 61 2 5 3 3 3 4 3" xfId="0"/>
    <cellStyle name="Normal 61 2 5 3 3 3 5" xfId="0"/>
    <cellStyle name="Normal 61 2 5 3 3 3 5 2" xfId="0"/>
    <cellStyle name="Normal 61 2 5 3 3 3 6" xfId="0"/>
    <cellStyle name="Normal 61 2 5 3 3 4" xfId="0"/>
    <cellStyle name="Normal 61 2 5 3 3 4 2" xfId="0"/>
    <cellStyle name="Normal 61 2 5 3 3 4 2 2" xfId="0"/>
    <cellStyle name="Normal 61 2 5 3 3 4 2 2 2" xfId="0"/>
    <cellStyle name="Normal 61 2 5 3 3 4 2 3" xfId="0"/>
    <cellStyle name="Normal 61 2 5 3 3 4 3" xfId="0"/>
    <cellStyle name="Normal 61 2 5 3 3 4 3 2" xfId="0"/>
    <cellStyle name="Normal 61 2 5 3 3 4 3 2 2" xfId="0"/>
    <cellStyle name="Normal 61 2 5 3 3 4 3 3" xfId="0"/>
    <cellStyle name="Normal 61 2 5 3 3 4 4" xfId="0"/>
    <cellStyle name="Normal 61 2 5 3 3 4 4 2" xfId="0"/>
    <cellStyle name="Normal 61 2 5 3 3 4 5" xfId="0"/>
    <cellStyle name="Normal 61 2 5 3 3 5" xfId="0"/>
    <cellStyle name="Normal 61 2 5 3 3 5 2" xfId="0"/>
    <cellStyle name="Normal 61 2 5 3 3 5 2 2" xfId="0"/>
    <cellStyle name="Normal 61 2 5 3 3 5 3" xfId="0"/>
    <cellStyle name="Normal 61 2 5 3 3 6" xfId="0"/>
    <cellStyle name="Normal 61 2 5 3 3 6 2" xfId="0"/>
    <cellStyle name="Normal 61 2 5 3 3 6 2 2" xfId="0"/>
    <cellStyle name="Normal 61 2 5 3 3 6 3" xfId="0"/>
    <cellStyle name="Normal 61 2 5 3 3 7" xfId="0"/>
    <cellStyle name="Normal 61 2 5 3 3 7 2" xfId="0"/>
    <cellStyle name="Normal 61 2 5 3 3 8" xfId="0"/>
    <cellStyle name="Normal 61 2 5 3 4" xfId="0"/>
    <cellStyle name="Normal 61 2 5 3 4 2" xfId="0"/>
    <cellStyle name="Normal 61 2 5 3 4 2 2" xfId="0"/>
    <cellStyle name="Normal 61 2 5 3 4 2 2 2" xfId="0"/>
    <cellStyle name="Normal 61 2 5 3 4 2 2 2 2" xfId="0"/>
    <cellStyle name="Normal 61 2 5 3 4 2 2 2 2 2" xfId="0"/>
    <cellStyle name="Normal 61 2 5 3 4 2 2 2 3" xfId="0"/>
    <cellStyle name="Normal 61 2 5 3 4 2 2 3" xfId="0"/>
    <cellStyle name="Normal 61 2 5 3 4 2 2 3 2" xfId="0"/>
    <cellStyle name="Normal 61 2 5 3 4 2 2 3 2 2" xfId="0"/>
    <cellStyle name="Normal 61 2 5 3 4 2 2 3 3" xfId="0"/>
    <cellStyle name="Normal 61 2 5 3 4 2 2 4" xfId="0"/>
    <cellStyle name="Normal 61 2 5 3 4 2 2 4 2" xfId="0"/>
    <cellStyle name="Normal 61 2 5 3 4 2 2 5" xfId="0"/>
    <cellStyle name="Normal 61 2 5 3 4 2 3" xfId="0"/>
    <cellStyle name="Normal 61 2 5 3 4 2 3 2" xfId="0"/>
    <cellStyle name="Normal 61 2 5 3 4 2 3 2 2" xfId="0"/>
    <cellStyle name="Normal 61 2 5 3 4 2 3 3" xfId="0"/>
    <cellStyle name="Normal 61 2 5 3 4 2 4" xfId="0"/>
    <cellStyle name="Normal 61 2 5 3 4 2 4 2" xfId="0"/>
    <cellStyle name="Normal 61 2 5 3 4 2 4 2 2" xfId="0"/>
    <cellStyle name="Normal 61 2 5 3 4 2 4 3" xfId="0"/>
    <cellStyle name="Normal 61 2 5 3 4 2 5" xfId="0"/>
    <cellStyle name="Normal 61 2 5 3 4 2 5 2" xfId="0"/>
    <cellStyle name="Normal 61 2 5 3 4 2 6" xfId="0"/>
    <cellStyle name="Normal 61 2 5 3 4 3" xfId="0"/>
    <cellStyle name="Normal 61 2 5 3 4 3 2" xfId="0"/>
    <cellStyle name="Normal 61 2 5 3 4 3 2 2" xfId="0"/>
    <cellStyle name="Normal 61 2 5 3 4 3 2 2 2" xfId="0"/>
    <cellStyle name="Normal 61 2 5 3 4 3 2 3" xfId="0"/>
    <cellStyle name="Normal 61 2 5 3 4 3 3" xfId="0"/>
    <cellStyle name="Normal 61 2 5 3 4 3 3 2" xfId="0"/>
    <cellStyle name="Normal 61 2 5 3 4 3 3 2 2" xfId="0"/>
    <cellStyle name="Normal 61 2 5 3 4 3 3 3" xfId="0"/>
    <cellStyle name="Normal 61 2 5 3 4 3 4" xfId="0"/>
    <cellStyle name="Normal 61 2 5 3 4 3 4 2" xfId="0"/>
    <cellStyle name="Normal 61 2 5 3 4 3 5" xfId="0"/>
    <cellStyle name="Normal 61 2 5 3 4 4" xfId="0"/>
    <cellStyle name="Normal 61 2 5 3 4 4 2" xfId="0"/>
    <cellStyle name="Normal 61 2 5 3 4 4 2 2" xfId="0"/>
    <cellStyle name="Normal 61 2 5 3 4 4 3" xfId="0"/>
    <cellStyle name="Normal 61 2 5 3 4 5" xfId="0"/>
    <cellStyle name="Normal 61 2 5 3 4 5 2" xfId="0"/>
    <cellStyle name="Normal 61 2 5 3 4 5 2 2" xfId="0"/>
    <cellStyle name="Normal 61 2 5 3 4 5 3" xfId="0"/>
    <cellStyle name="Normal 61 2 5 3 4 6" xfId="0"/>
    <cellStyle name="Normal 61 2 5 3 4 6 2" xfId="0"/>
    <cellStyle name="Normal 61 2 5 3 4 7" xfId="0"/>
    <cellStyle name="Normal 61 2 5 3 5" xfId="0"/>
    <cellStyle name="Normal 61 2 5 3 5 2" xfId="0"/>
    <cellStyle name="Normal 61 2 5 3 5 2 2" xfId="0"/>
    <cellStyle name="Normal 61 2 5 3 5 2 2 2" xfId="0"/>
    <cellStyle name="Normal 61 2 5 3 5 2 2 2 2" xfId="0"/>
    <cellStyle name="Normal 61 2 5 3 5 2 2 3" xfId="0"/>
    <cellStyle name="Normal 61 2 5 3 5 2 3" xfId="0"/>
    <cellStyle name="Normal 61 2 5 3 5 2 3 2" xfId="0"/>
    <cellStyle name="Normal 61 2 5 3 5 2 3 2 2" xfId="0"/>
    <cellStyle name="Normal 61 2 5 3 5 2 3 3" xfId="0"/>
    <cellStyle name="Normal 61 2 5 3 5 2 4" xfId="0"/>
    <cellStyle name="Normal 61 2 5 3 5 2 4 2" xfId="0"/>
    <cellStyle name="Normal 61 2 5 3 5 2 5" xfId="0"/>
    <cellStyle name="Normal 61 2 5 3 5 3" xfId="0"/>
    <cellStyle name="Normal 61 2 5 3 5 3 2" xfId="0"/>
    <cellStyle name="Normal 61 2 5 3 5 3 2 2" xfId="0"/>
    <cellStyle name="Normal 61 2 5 3 5 3 3" xfId="0"/>
    <cellStyle name="Normal 61 2 5 3 5 4" xfId="0"/>
    <cellStyle name="Normal 61 2 5 3 5 4 2" xfId="0"/>
    <cellStyle name="Normal 61 2 5 3 5 4 2 2" xfId="0"/>
    <cellStyle name="Normal 61 2 5 3 5 4 3" xfId="0"/>
    <cellStyle name="Normal 61 2 5 3 5 5" xfId="0"/>
    <cellStyle name="Normal 61 2 5 3 5 5 2" xfId="0"/>
    <cellStyle name="Normal 61 2 5 3 5 6" xfId="0"/>
    <cellStyle name="Normal 61 2 5 3 6" xfId="0"/>
    <cellStyle name="Normal 61 2 5 3 6 2" xfId="0"/>
    <cellStyle name="Normal 61 2 5 3 6 2 2" xfId="0"/>
    <cellStyle name="Normal 61 2 5 3 6 2 2 2" xfId="0"/>
    <cellStyle name="Normal 61 2 5 3 6 2 3" xfId="0"/>
    <cellStyle name="Normal 61 2 5 3 6 3" xfId="0"/>
    <cellStyle name="Normal 61 2 5 3 6 3 2" xfId="0"/>
    <cellStyle name="Normal 61 2 5 3 6 3 2 2" xfId="0"/>
    <cellStyle name="Normal 61 2 5 3 6 3 3" xfId="0"/>
    <cellStyle name="Normal 61 2 5 3 6 4" xfId="0"/>
    <cellStyle name="Normal 61 2 5 3 6 4 2" xfId="0"/>
    <cellStyle name="Normal 61 2 5 3 6 5" xfId="0"/>
    <cellStyle name="Normal 61 2 5 3 7" xfId="0"/>
    <cellStyle name="Normal 61 2 5 3 7 2" xfId="0"/>
    <cellStyle name="Normal 61 2 5 3 7 2 2" xfId="0"/>
    <cellStyle name="Normal 61 2 5 3 7 3" xfId="0"/>
    <cellStyle name="Normal 61 2 5 3 8" xfId="0"/>
    <cellStyle name="Normal 61 2 5 3 8 2" xfId="0"/>
    <cellStyle name="Normal 61 2 5 3 8 2 2" xfId="0"/>
    <cellStyle name="Normal 61 2 5 3 8 3" xfId="0"/>
    <cellStyle name="Normal 61 2 5 3 9" xfId="0"/>
    <cellStyle name="Normal 61 2 5 3 9 2" xfId="0"/>
    <cellStyle name="Normal 61 2 5 4" xfId="0"/>
    <cellStyle name="Normal 61 2 5 4 10" xfId="0"/>
    <cellStyle name="Normal 61 2 5 4 2" xfId="0"/>
    <cellStyle name="Normal 61 2 5 4 2 2" xfId="0"/>
    <cellStyle name="Normal 61 2 5 4 2 2 2" xfId="0"/>
    <cellStyle name="Normal 61 2 5 4 2 2 2 2" xfId="0"/>
    <cellStyle name="Normal 61 2 5 4 2 2 2 2 2" xfId="0"/>
    <cellStyle name="Normal 61 2 5 4 2 2 2 2 2 2" xfId="0"/>
    <cellStyle name="Normal 61 2 5 4 2 2 2 2 2 2 2" xfId="0"/>
    <cellStyle name="Normal 61 2 5 4 2 2 2 2 2 2 2 2" xfId="0"/>
    <cellStyle name="Normal 61 2 5 4 2 2 2 2 2 2 3" xfId="0"/>
    <cellStyle name="Normal 61 2 5 4 2 2 2 2 2 3" xfId="0"/>
    <cellStyle name="Normal 61 2 5 4 2 2 2 2 2 3 2" xfId="0"/>
    <cellStyle name="Normal 61 2 5 4 2 2 2 2 2 3 2 2" xfId="0"/>
    <cellStyle name="Normal 61 2 5 4 2 2 2 2 2 3 3" xfId="0"/>
    <cellStyle name="Normal 61 2 5 4 2 2 2 2 2 4" xfId="0"/>
    <cellStyle name="Normal 61 2 5 4 2 2 2 2 2 4 2" xfId="0"/>
    <cellStyle name="Normal 61 2 5 4 2 2 2 2 2 5" xfId="0"/>
    <cellStyle name="Normal 61 2 5 4 2 2 2 2 3" xfId="0"/>
    <cellStyle name="Normal 61 2 5 4 2 2 2 2 3 2" xfId="0"/>
    <cellStyle name="Normal 61 2 5 4 2 2 2 2 3 2 2" xfId="0"/>
    <cellStyle name="Normal 61 2 5 4 2 2 2 2 3 3" xfId="0"/>
    <cellStyle name="Normal 61 2 5 4 2 2 2 2 4" xfId="0"/>
    <cellStyle name="Normal 61 2 5 4 2 2 2 2 4 2" xfId="0"/>
    <cellStyle name="Normal 61 2 5 4 2 2 2 2 4 2 2" xfId="0"/>
    <cellStyle name="Normal 61 2 5 4 2 2 2 2 4 3" xfId="0"/>
    <cellStyle name="Normal 61 2 5 4 2 2 2 2 5" xfId="0"/>
    <cellStyle name="Normal 61 2 5 4 2 2 2 2 5 2" xfId="0"/>
    <cellStyle name="Normal 61 2 5 4 2 2 2 2 6" xfId="0"/>
    <cellStyle name="Normal 61 2 5 4 2 2 2 3" xfId="0"/>
    <cellStyle name="Normal 61 2 5 4 2 2 2 3 2" xfId="0"/>
    <cellStyle name="Normal 61 2 5 4 2 2 2 3 2 2" xfId="0"/>
    <cellStyle name="Normal 61 2 5 4 2 2 2 3 2 2 2" xfId="0"/>
    <cellStyle name="Normal 61 2 5 4 2 2 2 3 2 3" xfId="0"/>
    <cellStyle name="Normal 61 2 5 4 2 2 2 3 3" xfId="0"/>
    <cellStyle name="Normal 61 2 5 4 2 2 2 3 3 2" xfId="0"/>
    <cellStyle name="Normal 61 2 5 4 2 2 2 3 3 2 2" xfId="0"/>
    <cellStyle name="Normal 61 2 5 4 2 2 2 3 3 3" xfId="0"/>
    <cellStyle name="Normal 61 2 5 4 2 2 2 3 4" xfId="0"/>
    <cellStyle name="Normal 61 2 5 4 2 2 2 3 4 2" xfId="0"/>
    <cellStyle name="Normal 61 2 5 4 2 2 2 3 5" xfId="0"/>
    <cellStyle name="Normal 61 2 5 4 2 2 2 4" xfId="0"/>
    <cellStyle name="Normal 61 2 5 4 2 2 2 4 2" xfId="0"/>
    <cellStyle name="Normal 61 2 5 4 2 2 2 4 2 2" xfId="0"/>
    <cellStyle name="Normal 61 2 5 4 2 2 2 4 3" xfId="0"/>
    <cellStyle name="Normal 61 2 5 4 2 2 2 5" xfId="0"/>
    <cellStyle name="Normal 61 2 5 4 2 2 2 5 2" xfId="0"/>
    <cellStyle name="Normal 61 2 5 4 2 2 2 5 2 2" xfId="0"/>
    <cellStyle name="Normal 61 2 5 4 2 2 2 5 3" xfId="0"/>
    <cellStyle name="Normal 61 2 5 4 2 2 2 6" xfId="0"/>
    <cellStyle name="Normal 61 2 5 4 2 2 2 6 2" xfId="0"/>
    <cellStyle name="Normal 61 2 5 4 2 2 2 7" xfId="0"/>
    <cellStyle name="Normal 61 2 5 4 2 2 3" xfId="0"/>
    <cellStyle name="Normal 61 2 5 4 2 2 3 2" xfId="0"/>
    <cellStyle name="Normal 61 2 5 4 2 2 3 2 2" xfId="0"/>
    <cellStyle name="Normal 61 2 5 4 2 2 3 2 2 2" xfId="0"/>
    <cellStyle name="Normal 61 2 5 4 2 2 3 2 2 2 2" xfId="0"/>
    <cellStyle name="Normal 61 2 5 4 2 2 3 2 2 3" xfId="0"/>
    <cellStyle name="Normal 61 2 5 4 2 2 3 2 3" xfId="0"/>
    <cellStyle name="Normal 61 2 5 4 2 2 3 2 3 2" xfId="0"/>
    <cellStyle name="Normal 61 2 5 4 2 2 3 2 3 2 2" xfId="0"/>
    <cellStyle name="Normal 61 2 5 4 2 2 3 2 3 3" xfId="0"/>
    <cellStyle name="Normal 61 2 5 4 2 2 3 2 4" xfId="0"/>
    <cellStyle name="Normal 61 2 5 4 2 2 3 2 4 2" xfId="0"/>
    <cellStyle name="Normal 61 2 5 4 2 2 3 2 5" xfId="0"/>
    <cellStyle name="Normal 61 2 5 4 2 2 3 3" xfId="0"/>
    <cellStyle name="Normal 61 2 5 4 2 2 3 3 2" xfId="0"/>
    <cellStyle name="Normal 61 2 5 4 2 2 3 3 2 2" xfId="0"/>
    <cellStyle name="Normal 61 2 5 4 2 2 3 3 3" xfId="0"/>
    <cellStyle name="Normal 61 2 5 4 2 2 3 4" xfId="0"/>
    <cellStyle name="Normal 61 2 5 4 2 2 3 4 2" xfId="0"/>
    <cellStyle name="Normal 61 2 5 4 2 2 3 4 2 2" xfId="0"/>
    <cellStyle name="Normal 61 2 5 4 2 2 3 4 3" xfId="0"/>
    <cellStyle name="Normal 61 2 5 4 2 2 3 5" xfId="0"/>
    <cellStyle name="Normal 61 2 5 4 2 2 3 5 2" xfId="0"/>
    <cellStyle name="Normal 61 2 5 4 2 2 3 6" xfId="0"/>
    <cellStyle name="Normal 61 2 5 4 2 2 4" xfId="0"/>
    <cellStyle name="Normal 61 2 5 4 2 2 4 2" xfId="0"/>
    <cellStyle name="Normal 61 2 5 4 2 2 4 2 2" xfId="0"/>
    <cellStyle name="Normal 61 2 5 4 2 2 4 2 2 2" xfId="0"/>
    <cellStyle name="Normal 61 2 5 4 2 2 4 2 3" xfId="0"/>
    <cellStyle name="Normal 61 2 5 4 2 2 4 3" xfId="0"/>
    <cellStyle name="Normal 61 2 5 4 2 2 4 3 2" xfId="0"/>
    <cellStyle name="Normal 61 2 5 4 2 2 4 3 2 2" xfId="0"/>
    <cellStyle name="Normal 61 2 5 4 2 2 4 3 3" xfId="0"/>
    <cellStyle name="Normal 61 2 5 4 2 2 4 4" xfId="0"/>
    <cellStyle name="Normal 61 2 5 4 2 2 4 4 2" xfId="0"/>
    <cellStyle name="Normal 61 2 5 4 2 2 4 5" xfId="0"/>
    <cellStyle name="Normal 61 2 5 4 2 2 5" xfId="0"/>
    <cellStyle name="Normal 61 2 5 4 2 2 5 2" xfId="0"/>
    <cellStyle name="Normal 61 2 5 4 2 2 5 2 2" xfId="0"/>
    <cellStyle name="Normal 61 2 5 4 2 2 5 3" xfId="0"/>
    <cellStyle name="Normal 61 2 5 4 2 2 6" xfId="0"/>
    <cellStyle name="Normal 61 2 5 4 2 2 6 2" xfId="0"/>
    <cellStyle name="Normal 61 2 5 4 2 2 6 2 2" xfId="0"/>
    <cellStyle name="Normal 61 2 5 4 2 2 6 3" xfId="0"/>
    <cellStyle name="Normal 61 2 5 4 2 2 7" xfId="0"/>
    <cellStyle name="Normal 61 2 5 4 2 2 7 2" xfId="0"/>
    <cellStyle name="Normal 61 2 5 4 2 2 8" xfId="0"/>
    <cellStyle name="Normal 61 2 5 4 2 3" xfId="0"/>
    <cellStyle name="Normal 61 2 5 4 2 3 2" xfId="0"/>
    <cellStyle name="Normal 61 2 5 4 2 3 2 2" xfId="0"/>
    <cellStyle name="Normal 61 2 5 4 2 3 2 2 2" xfId="0"/>
    <cellStyle name="Normal 61 2 5 4 2 3 2 2 2 2" xfId="0"/>
    <cellStyle name="Normal 61 2 5 4 2 3 2 2 2 2 2" xfId="0"/>
    <cellStyle name="Normal 61 2 5 4 2 3 2 2 2 3" xfId="0"/>
    <cellStyle name="Normal 61 2 5 4 2 3 2 2 3" xfId="0"/>
    <cellStyle name="Normal 61 2 5 4 2 3 2 2 3 2" xfId="0"/>
    <cellStyle name="Normal 61 2 5 4 2 3 2 2 3 2 2" xfId="0"/>
    <cellStyle name="Normal 61 2 5 4 2 3 2 2 3 3" xfId="0"/>
    <cellStyle name="Normal 61 2 5 4 2 3 2 2 4" xfId="0"/>
    <cellStyle name="Normal 61 2 5 4 2 3 2 2 4 2" xfId="0"/>
    <cellStyle name="Normal 61 2 5 4 2 3 2 2 5" xfId="0"/>
    <cellStyle name="Normal 61 2 5 4 2 3 2 3" xfId="0"/>
    <cellStyle name="Normal 61 2 5 4 2 3 2 3 2" xfId="0"/>
    <cellStyle name="Normal 61 2 5 4 2 3 2 3 2 2" xfId="0"/>
    <cellStyle name="Normal 61 2 5 4 2 3 2 3 3" xfId="0"/>
    <cellStyle name="Normal 61 2 5 4 2 3 2 4" xfId="0"/>
    <cellStyle name="Normal 61 2 5 4 2 3 2 4 2" xfId="0"/>
    <cellStyle name="Normal 61 2 5 4 2 3 2 4 2 2" xfId="0"/>
    <cellStyle name="Normal 61 2 5 4 2 3 2 4 3" xfId="0"/>
    <cellStyle name="Normal 61 2 5 4 2 3 2 5" xfId="0"/>
    <cellStyle name="Normal 61 2 5 4 2 3 2 5 2" xfId="0"/>
    <cellStyle name="Normal 61 2 5 4 2 3 2 6" xfId="0"/>
    <cellStyle name="Normal 61 2 5 4 2 3 3" xfId="0"/>
    <cellStyle name="Normal 61 2 5 4 2 3 3 2" xfId="0"/>
    <cellStyle name="Normal 61 2 5 4 2 3 3 2 2" xfId="0"/>
    <cellStyle name="Normal 61 2 5 4 2 3 3 2 2 2" xfId="0"/>
    <cellStyle name="Normal 61 2 5 4 2 3 3 2 3" xfId="0"/>
    <cellStyle name="Normal 61 2 5 4 2 3 3 3" xfId="0"/>
    <cellStyle name="Normal 61 2 5 4 2 3 3 3 2" xfId="0"/>
    <cellStyle name="Normal 61 2 5 4 2 3 3 3 2 2" xfId="0"/>
    <cellStyle name="Normal 61 2 5 4 2 3 3 3 3" xfId="0"/>
    <cellStyle name="Normal 61 2 5 4 2 3 3 4" xfId="0"/>
    <cellStyle name="Normal 61 2 5 4 2 3 3 4 2" xfId="0"/>
    <cellStyle name="Normal 61 2 5 4 2 3 3 5" xfId="0"/>
    <cellStyle name="Normal 61 2 5 4 2 3 4" xfId="0"/>
    <cellStyle name="Normal 61 2 5 4 2 3 4 2" xfId="0"/>
    <cellStyle name="Normal 61 2 5 4 2 3 4 2 2" xfId="0"/>
    <cellStyle name="Normal 61 2 5 4 2 3 4 3" xfId="0"/>
    <cellStyle name="Normal 61 2 5 4 2 3 5" xfId="0"/>
    <cellStyle name="Normal 61 2 5 4 2 3 5 2" xfId="0"/>
    <cellStyle name="Normal 61 2 5 4 2 3 5 2 2" xfId="0"/>
    <cellStyle name="Normal 61 2 5 4 2 3 5 3" xfId="0"/>
    <cellStyle name="Normal 61 2 5 4 2 3 6" xfId="0"/>
    <cellStyle name="Normal 61 2 5 4 2 3 6 2" xfId="0"/>
    <cellStyle name="Normal 61 2 5 4 2 3 7" xfId="0"/>
    <cellStyle name="Normal 61 2 5 4 2 4" xfId="0"/>
    <cellStyle name="Normal 61 2 5 4 2 4 2" xfId="0"/>
    <cellStyle name="Normal 61 2 5 4 2 4 2 2" xfId="0"/>
    <cellStyle name="Normal 61 2 5 4 2 4 2 2 2" xfId="0"/>
    <cellStyle name="Normal 61 2 5 4 2 4 2 2 2 2" xfId="0"/>
    <cellStyle name="Normal 61 2 5 4 2 4 2 2 3" xfId="0"/>
    <cellStyle name="Normal 61 2 5 4 2 4 2 3" xfId="0"/>
    <cellStyle name="Normal 61 2 5 4 2 4 2 3 2" xfId="0"/>
    <cellStyle name="Normal 61 2 5 4 2 4 2 3 2 2" xfId="0"/>
    <cellStyle name="Normal 61 2 5 4 2 4 2 3 3" xfId="0"/>
    <cellStyle name="Normal 61 2 5 4 2 4 2 4" xfId="0"/>
    <cellStyle name="Normal 61 2 5 4 2 4 2 4 2" xfId="0"/>
    <cellStyle name="Normal 61 2 5 4 2 4 2 5" xfId="0"/>
    <cellStyle name="Normal 61 2 5 4 2 4 3" xfId="0"/>
    <cellStyle name="Normal 61 2 5 4 2 4 3 2" xfId="0"/>
    <cellStyle name="Normal 61 2 5 4 2 4 3 2 2" xfId="0"/>
    <cellStyle name="Normal 61 2 5 4 2 4 3 3" xfId="0"/>
    <cellStyle name="Normal 61 2 5 4 2 4 4" xfId="0"/>
    <cellStyle name="Normal 61 2 5 4 2 4 4 2" xfId="0"/>
    <cellStyle name="Normal 61 2 5 4 2 4 4 2 2" xfId="0"/>
    <cellStyle name="Normal 61 2 5 4 2 4 4 3" xfId="0"/>
    <cellStyle name="Normal 61 2 5 4 2 4 5" xfId="0"/>
    <cellStyle name="Normal 61 2 5 4 2 4 5 2" xfId="0"/>
    <cellStyle name="Normal 61 2 5 4 2 4 6" xfId="0"/>
    <cellStyle name="Normal 61 2 5 4 2 5" xfId="0"/>
    <cellStyle name="Normal 61 2 5 4 2 5 2" xfId="0"/>
    <cellStyle name="Normal 61 2 5 4 2 5 2 2" xfId="0"/>
    <cellStyle name="Normal 61 2 5 4 2 5 2 2 2" xfId="0"/>
    <cellStyle name="Normal 61 2 5 4 2 5 2 3" xfId="0"/>
    <cellStyle name="Normal 61 2 5 4 2 5 3" xfId="0"/>
    <cellStyle name="Normal 61 2 5 4 2 5 3 2" xfId="0"/>
    <cellStyle name="Normal 61 2 5 4 2 5 3 2 2" xfId="0"/>
    <cellStyle name="Normal 61 2 5 4 2 5 3 3" xfId="0"/>
    <cellStyle name="Normal 61 2 5 4 2 5 4" xfId="0"/>
    <cellStyle name="Normal 61 2 5 4 2 5 4 2" xfId="0"/>
    <cellStyle name="Normal 61 2 5 4 2 5 5" xfId="0"/>
    <cellStyle name="Normal 61 2 5 4 2 6" xfId="0"/>
    <cellStyle name="Normal 61 2 5 4 2 6 2" xfId="0"/>
    <cellStyle name="Normal 61 2 5 4 2 6 2 2" xfId="0"/>
    <cellStyle name="Normal 61 2 5 4 2 6 3" xfId="0"/>
    <cellStyle name="Normal 61 2 5 4 2 7" xfId="0"/>
    <cellStyle name="Normal 61 2 5 4 2 7 2" xfId="0"/>
    <cellStyle name="Normal 61 2 5 4 2 7 2 2" xfId="0"/>
    <cellStyle name="Normal 61 2 5 4 2 7 3" xfId="0"/>
    <cellStyle name="Normal 61 2 5 4 2 8" xfId="0"/>
    <cellStyle name="Normal 61 2 5 4 2 8 2" xfId="0"/>
    <cellStyle name="Normal 61 2 5 4 2 9" xfId="0"/>
    <cellStyle name="Normal 61 2 5 4 3" xfId="0"/>
    <cellStyle name="Normal 61 2 5 4 3 2" xfId="0"/>
    <cellStyle name="Normal 61 2 5 4 3 2 2" xfId="0"/>
    <cellStyle name="Normal 61 2 5 4 3 2 2 2" xfId="0"/>
    <cellStyle name="Normal 61 2 5 4 3 2 2 2 2" xfId="0"/>
    <cellStyle name="Normal 61 2 5 4 3 2 2 2 2 2" xfId="0"/>
    <cellStyle name="Normal 61 2 5 4 3 2 2 2 2 2 2" xfId="0"/>
    <cellStyle name="Normal 61 2 5 4 3 2 2 2 2 3" xfId="0"/>
    <cellStyle name="Normal 61 2 5 4 3 2 2 2 3" xfId="0"/>
    <cellStyle name="Normal 61 2 5 4 3 2 2 2 3 2" xfId="0"/>
    <cellStyle name="Normal 61 2 5 4 3 2 2 2 3 2 2" xfId="0"/>
    <cellStyle name="Normal 61 2 5 4 3 2 2 2 3 3" xfId="0"/>
    <cellStyle name="Normal 61 2 5 4 3 2 2 2 4" xfId="0"/>
    <cellStyle name="Normal 61 2 5 4 3 2 2 2 4 2" xfId="0"/>
    <cellStyle name="Normal 61 2 5 4 3 2 2 2 5" xfId="0"/>
    <cellStyle name="Normal 61 2 5 4 3 2 2 3" xfId="0"/>
    <cellStyle name="Normal 61 2 5 4 3 2 2 3 2" xfId="0"/>
    <cellStyle name="Normal 61 2 5 4 3 2 2 3 2 2" xfId="0"/>
    <cellStyle name="Normal 61 2 5 4 3 2 2 3 3" xfId="0"/>
    <cellStyle name="Normal 61 2 5 4 3 2 2 4" xfId="0"/>
    <cellStyle name="Normal 61 2 5 4 3 2 2 4 2" xfId="0"/>
    <cellStyle name="Normal 61 2 5 4 3 2 2 4 2 2" xfId="0"/>
    <cellStyle name="Normal 61 2 5 4 3 2 2 4 3" xfId="0"/>
    <cellStyle name="Normal 61 2 5 4 3 2 2 5" xfId="0"/>
    <cellStyle name="Normal 61 2 5 4 3 2 2 5 2" xfId="0"/>
    <cellStyle name="Normal 61 2 5 4 3 2 2 6" xfId="0"/>
    <cellStyle name="Normal 61 2 5 4 3 2 3" xfId="0"/>
    <cellStyle name="Normal 61 2 5 4 3 2 3 2" xfId="0"/>
    <cellStyle name="Normal 61 2 5 4 3 2 3 2 2" xfId="0"/>
    <cellStyle name="Normal 61 2 5 4 3 2 3 2 2 2" xfId="0"/>
    <cellStyle name="Normal 61 2 5 4 3 2 3 2 3" xfId="0"/>
    <cellStyle name="Normal 61 2 5 4 3 2 3 3" xfId="0"/>
    <cellStyle name="Normal 61 2 5 4 3 2 3 3 2" xfId="0"/>
    <cellStyle name="Normal 61 2 5 4 3 2 3 3 2 2" xfId="0"/>
    <cellStyle name="Normal 61 2 5 4 3 2 3 3 3" xfId="0"/>
    <cellStyle name="Normal 61 2 5 4 3 2 3 4" xfId="0"/>
    <cellStyle name="Normal 61 2 5 4 3 2 3 4 2" xfId="0"/>
    <cellStyle name="Normal 61 2 5 4 3 2 3 5" xfId="0"/>
    <cellStyle name="Normal 61 2 5 4 3 2 4" xfId="0"/>
    <cellStyle name="Normal 61 2 5 4 3 2 4 2" xfId="0"/>
    <cellStyle name="Normal 61 2 5 4 3 2 4 2 2" xfId="0"/>
    <cellStyle name="Normal 61 2 5 4 3 2 4 3" xfId="0"/>
    <cellStyle name="Normal 61 2 5 4 3 2 5" xfId="0"/>
    <cellStyle name="Normal 61 2 5 4 3 2 5 2" xfId="0"/>
    <cellStyle name="Normal 61 2 5 4 3 2 5 2 2" xfId="0"/>
    <cellStyle name="Normal 61 2 5 4 3 2 5 3" xfId="0"/>
    <cellStyle name="Normal 61 2 5 4 3 2 6" xfId="0"/>
    <cellStyle name="Normal 61 2 5 4 3 2 6 2" xfId="0"/>
    <cellStyle name="Normal 61 2 5 4 3 2 7" xfId="0"/>
    <cellStyle name="Normal 61 2 5 4 3 3" xfId="0"/>
    <cellStyle name="Normal 61 2 5 4 3 3 2" xfId="0"/>
    <cellStyle name="Normal 61 2 5 4 3 3 2 2" xfId="0"/>
    <cellStyle name="Normal 61 2 5 4 3 3 2 2 2" xfId="0"/>
    <cellStyle name="Normal 61 2 5 4 3 3 2 2 2 2" xfId="0"/>
    <cellStyle name="Normal 61 2 5 4 3 3 2 2 3" xfId="0"/>
    <cellStyle name="Normal 61 2 5 4 3 3 2 3" xfId="0"/>
    <cellStyle name="Normal 61 2 5 4 3 3 2 3 2" xfId="0"/>
    <cellStyle name="Normal 61 2 5 4 3 3 2 3 2 2" xfId="0"/>
    <cellStyle name="Normal 61 2 5 4 3 3 2 3 3" xfId="0"/>
    <cellStyle name="Normal 61 2 5 4 3 3 2 4" xfId="0"/>
    <cellStyle name="Normal 61 2 5 4 3 3 2 4 2" xfId="0"/>
    <cellStyle name="Normal 61 2 5 4 3 3 2 5" xfId="0"/>
    <cellStyle name="Normal 61 2 5 4 3 3 3" xfId="0"/>
    <cellStyle name="Normal 61 2 5 4 3 3 3 2" xfId="0"/>
    <cellStyle name="Normal 61 2 5 4 3 3 3 2 2" xfId="0"/>
    <cellStyle name="Normal 61 2 5 4 3 3 3 3" xfId="0"/>
    <cellStyle name="Normal 61 2 5 4 3 3 4" xfId="0"/>
    <cellStyle name="Normal 61 2 5 4 3 3 4 2" xfId="0"/>
    <cellStyle name="Normal 61 2 5 4 3 3 4 2 2" xfId="0"/>
    <cellStyle name="Normal 61 2 5 4 3 3 4 3" xfId="0"/>
    <cellStyle name="Normal 61 2 5 4 3 3 5" xfId="0"/>
    <cellStyle name="Normal 61 2 5 4 3 3 5 2" xfId="0"/>
    <cellStyle name="Normal 61 2 5 4 3 3 6" xfId="0"/>
    <cellStyle name="Normal 61 2 5 4 3 4" xfId="0"/>
    <cellStyle name="Normal 61 2 5 4 3 4 2" xfId="0"/>
    <cellStyle name="Normal 61 2 5 4 3 4 2 2" xfId="0"/>
    <cellStyle name="Normal 61 2 5 4 3 4 2 2 2" xfId="0"/>
    <cellStyle name="Normal 61 2 5 4 3 4 2 3" xfId="0"/>
    <cellStyle name="Normal 61 2 5 4 3 4 3" xfId="0"/>
    <cellStyle name="Normal 61 2 5 4 3 4 3 2" xfId="0"/>
    <cellStyle name="Normal 61 2 5 4 3 4 3 2 2" xfId="0"/>
    <cellStyle name="Normal 61 2 5 4 3 4 3 3" xfId="0"/>
    <cellStyle name="Normal 61 2 5 4 3 4 4" xfId="0"/>
    <cellStyle name="Normal 61 2 5 4 3 4 4 2" xfId="0"/>
    <cellStyle name="Normal 61 2 5 4 3 4 5" xfId="0"/>
    <cellStyle name="Normal 61 2 5 4 3 5" xfId="0"/>
    <cellStyle name="Normal 61 2 5 4 3 5 2" xfId="0"/>
    <cellStyle name="Normal 61 2 5 4 3 5 2 2" xfId="0"/>
    <cellStyle name="Normal 61 2 5 4 3 5 3" xfId="0"/>
    <cellStyle name="Normal 61 2 5 4 3 6" xfId="0"/>
    <cellStyle name="Normal 61 2 5 4 3 6 2" xfId="0"/>
    <cellStyle name="Normal 61 2 5 4 3 6 2 2" xfId="0"/>
    <cellStyle name="Normal 61 2 5 4 3 6 3" xfId="0"/>
    <cellStyle name="Normal 61 2 5 4 3 7" xfId="0"/>
    <cellStyle name="Normal 61 2 5 4 3 7 2" xfId="0"/>
    <cellStyle name="Normal 61 2 5 4 3 8" xfId="0"/>
    <cellStyle name="Normal 61 2 5 4 4" xfId="0"/>
    <cellStyle name="Normal 61 2 5 4 4 2" xfId="0"/>
    <cellStyle name="Normal 61 2 5 4 4 2 2" xfId="0"/>
    <cellStyle name="Normal 61 2 5 4 4 2 2 2" xfId="0"/>
    <cellStyle name="Normal 61 2 5 4 4 2 2 2 2" xfId="0"/>
    <cellStyle name="Normal 61 2 5 4 4 2 2 2 2 2" xfId="0"/>
    <cellStyle name="Normal 61 2 5 4 4 2 2 2 3" xfId="0"/>
    <cellStyle name="Normal 61 2 5 4 4 2 2 3" xfId="0"/>
    <cellStyle name="Normal 61 2 5 4 4 2 2 3 2" xfId="0"/>
    <cellStyle name="Normal 61 2 5 4 4 2 2 3 2 2" xfId="0"/>
    <cellStyle name="Normal 61 2 5 4 4 2 2 3 3" xfId="0"/>
    <cellStyle name="Normal 61 2 5 4 4 2 2 4" xfId="0"/>
    <cellStyle name="Normal 61 2 5 4 4 2 2 4 2" xfId="0"/>
    <cellStyle name="Normal 61 2 5 4 4 2 2 5" xfId="0"/>
    <cellStyle name="Normal 61 2 5 4 4 2 3" xfId="0"/>
    <cellStyle name="Normal 61 2 5 4 4 2 3 2" xfId="0"/>
    <cellStyle name="Normal 61 2 5 4 4 2 3 2 2" xfId="0"/>
    <cellStyle name="Normal 61 2 5 4 4 2 3 3" xfId="0"/>
    <cellStyle name="Normal 61 2 5 4 4 2 4" xfId="0"/>
    <cellStyle name="Normal 61 2 5 4 4 2 4 2" xfId="0"/>
    <cellStyle name="Normal 61 2 5 4 4 2 4 2 2" xfId="0"/>
    <cellStyle name="Normal 61 2 5 4 4 2 4 3" xfId="0"/>
    <cellStyle name="Normal 61 2 5 4 4 2 5" xfId="0"/>
    <cellStyle name="Normal 61 2 5 4 4 2 5 2" xfId="0"/>
    <cellStyle name="Normal 61 2 5 4 4 2 6" xfId="0"/>
    <cellStyle name="Normal 61 2 5 4 4 3" xfId="0"/>
    <cellStyle name="Normal 61 2 5 4 4 3 2" xfId="0"/>
    <cellStyle name="Normal 61 2 5 4 4 3 2 2" xfId="0"/>
    <cellStyle name="Normal 61 2 5 4 4 3 2 2 2" xfId="0"/>
    <cellStyle name="Normal 61 2 5 4 4 3 2 3" xfId="0"/>
    <cellStyle name="Normal 61 2 5 4 4 3 3" xfId="0"/>
    <cellStyle name="Normal 61 2 5 4 4 3 3 2" xfId="0"/>
    <cellStyle name="Normal 61 2 5 4 4 3 3 2 2" xfId="0"/>
    <cellStyle name="Normal 61 2 5 4 4 3 3 3" xfId="0"/>
    <cellStyle name="Normal 61 2 5 4 4 3 4" xfId="0"/>
    <cellStyle name="Normal 61 2 5 4 4 3 4 2" xfId="0"/>
    <cellStyle name="Normal 61 2 5 4 4 3 5" xfId="0"/>
    <cellStyle name="Normal 61 2 5 4 4 4" xfId="0"/>
    <cellStyle name="Normal 61 2 5 4 4 4 2" xfId="0"/>
    <cellStyle name="Normal 61 2 5 4 4 4 2 2" xfId="0"/>
    <cellStyle name="Normal 61 2 5 4 4 4 3" xfId="0"/>
    <cellStyle name="Normal 61 2 5 4 4 5" xfId="0"/>
    <cellStyle name="Normal 61 2 5 4 4 5 2" xfId="0"/>
    <cellStyle name="Normal 61 2 5 4 4 5 2 2" xfId="0"/>
    <cellStyle name="Normal 61 2 5 4 4 5 3" xfId="0"/>
    <cellStyle name="Normal 61 2 5 4 4 6" xfId="0"/>
    <cellStyle name="Normal 61 2 5 4 4 6 2" xfId="0"/>
    <cellStyle name="Normal 61 2 5 4 4 7" xfId="0"/>
    <cellStyle name="Normal 61 2 5 4 5" xfId="0"/>
    <cellStyle name="Normal 61 2 5 4 5 2" xfId="0"/>
    <cellStyle name="Normal 61 2 5 4 5 2 2" xfId="0"/>
    <cellStyle name="Normal 61 2 5 4 5 2 2 2" xfId="0"/>
    <cellStyle name="Normal 61 2 5 4 5 2 2 2 2" xfId="0"/>
    <cellStyle name="Normal 61 2 5 4 5 2 2 3" xfId="0"/>
    <cellStyle name="Normal 61 2 5 4 5 2 3" xfId="0"/>
    <cellStyle name="Normal 61 2 5 4 5 2 3 2" xfId="0"/>
    <cellStyle name="Normal 61 2 5 4 5 2 3 2 2" xfId="0"/>
    <cellStyle name="Normal 61 2 5 4 5 2 3 3" xfId="0"/>
    <cellStyle name="Normal 61 2 5 4 5 2 4" xfId="0"/>
    <cellStyle name="Normal 61 2 5 4 5 2 4 2" xfId="0"/>
    <cellStyle name="Normal 61 2 5 4 5 2 5" xfId="0"/>
    <cellStyle name="Normal 61 2 5 4 5 3" xfId="0"/>
    <cellStyle name="Normal 61 2 5 4 5 3 2" xfId="0"/>
    <cellStyle name="Normal 61 2 5 4 5 3 2 2" xfId="0"/>
    <cellStyle name="Normal 61 2 5 4 5 3 3" xfId="0"/>
    <cellStyle name="Normal 61 2 5 4 5 4" xfId="0"/>
    <cellStyle name="Normal 61 2 5 4 5 4 2" xfId="0"/>
    <cellStyle name="Normal 61 2 5 4 5 4 2 2" xfId="0"/>
    <cellStyle name="Normal 61 2 5 4 5 4 3" xfId="0"/>
    <cellStyle name="Normal 61 2 5 4 5 5" xfId="0"/>
    <cellStyle name="Normal 61 2 5 4 5 5 2" xfId="0"/>
    <cellStyle name="Normal 61 2 5 4 5 6" xfId="0"/>
    <cellStyle name="Normal 61 2 5 4 6" xfId="0"/>
    <cellStyle name="Normal 61 2 5 4 6 2" xfId="0"/>
    <cellStyle name="Normal 61 2 5 4 6 2 2" xfId="0"/>
    <cellStyle name="Normal 61 2 5 4 6 2 2 2" xfId="0"/>
    <cellStyle name="Normal 61 2 5 4 6 2 3" xfId="0"/>
    <cellStyle name="Normal 61 2 5 4 6 3" xfId="0"/>
    <cellStyle name="Normal 61 2 5 4 6 3 2" xfId="0"/>
    <cellStyle name="Normal 61 2 5 4 6 3 2 2" xfId="0"/>
    <cellStyle name="Normal 61 2 5 4 6 3 3" xfId="0"/>
    <cellStyle name="Normal 61 2 5 4 6 4" xfId="0"/>
    <cellStyle name="Normal 61 2 5 4 6 4 2" xfId="0"/>
    <cellStyle name="Normal 61 2 5 4 6 5" xfId="0"/>
    <cellStyle name="Normal 61 2 5 4 7" xfId="0"/>
    <cellStyle name="Normal 61 2 5 4 7 2" xfId="0"/>
    <cellStyle name="Normal 61 2 5 4 7 2 2" xfId="0"/>
    <cellStyle name="Normal 61 2 5 4 7 3" xfId="0"/>
    <cellStyle name="Normal 61 2 5 4 8" xfId="0"/>
    <cellStyle name="Normal 61 2 5 4 8 2" xfId="0"/>
    <cellStyle name="Normal 61 2 5 4 8 2 2" xfId="0"/>
    <cellStyle name="Normal 61 2 5 4 8 3" xfId="0"/>
    <cellStyle name="Normal 61 2 5 4 9" xfId="0"/>
    <cellStyle name="Normal 61 2 5 4 9 2" xfId="0"/>
    <cellStyle name="Normal 61 2 5 5" xfId="0"/>
    <cellStyle name="Normal 61 2 5 5 2" xfId="0"/>
    <cellStyle name="Normal 61 2 5 5 2 2" xfId="0"/>
    <cellStyle name="Normal 61 2 5 5 2 2 2" xfId="0"/>
    <cellStyle name="Normal 61 2 5 5 2 2 2 2" xfId="0"/>
    <cellStyle name="Normal 61 2 5 5 2 2 2 2 2" xfId="0"/>
    <cellStyle name="Normal 61 2 5 5 2 2 2 2 2 2" xfId="0"/>
    <cellStyle name="Normal 61 2 5 5 2 2 2 2 2 2 2" xfId="0"/>
    <cellStyle name="Normal 61 2 5 5 2 2 2 2 2 3" xfId="0"/>
    <cellStyle name="Normal 61 2 5 5 2 2 2 2 3" xfId="0"/>
    <cellStyle name="Normal 61 2 5 5 2 2 2 2 3 2" xfId="0"/>
    <cellStyle name="Normal 61 2 5 5 2 2 2 2 3 2 2" xfId="0"/>
    <cellStyle name="Normal 61 2 5 5 2 2 2 2 3 3" xfId="0"/>
    <cellStyle name="Normal 61 2 5 5 2 2 2 2 4" xfId="0"/>
    <cellStyle name="Normal 61 2 5 5 2 2 2 2 4 2" xfId="0"/>
    <cellStyle name="Normal 61 2 5 5 2 2 2 2 5" xfId="0"/>
    <cellStyle name="Normal 61 2 5 5 2 2 2 3" xfId="0"/>
    <cellStyle name="Normal 61 2 5 5 2 2 2 3 2" xfId="0"/>
    <cellStyle name="Normal 61 2 5 5 2 2 2 3 2 2" xfId="0"/>
    <cellStyle name="Normal 61 2 5 5 2 2 2 3 3" xfId="0"/>
    <cellStyle name="Normal 61 2 5 5 2 2 2 4" xfId="0"/>
    <cellStyle name="Normal 61 2 5 5 2 2 2 4 2" xfId="0"/>
    <cellStyle name="Normal 61 2 5 5 2 2 2 4 2 2" xfId="0"/>
    <cellStyle name="Normal 61 2 5 5 2 2 2 4 3" xfId="0"/>
    <cellStyle name="Normal 61 2 5 5 2 2 2 5" xfId="0"/>
    <cellStyle name="Normal 61 2 5 5 2 2 2 5 2" xfId="0"/>
    <cellStyle name="Normal 61 2 5 5 2 2 2 6" xfId="0"/>
    <cellStyle name="Normal 61 2 5 5 2 2 3" xfId="0"/>
    <cellStyle name="Normal 61 2 5 5 2 2 3 2" xfId="0"/>
    <cellStyle name="Normal 61 2 5 5 2 2 3 2 2" xfId="0"/>
    <cellStyle name="Normal 61 2 5 5 2 2 3 2 2 2" xfId="0"/>
    <cellStyle name="Normal 61 2 5 5 2 2 3 2 3" xfId="0"/>
    <cellStyle name="Normal 61 2 5 5 2 2 3 3" xfId="0"/>
    <cellStyle name="Normal 61 2 5 5 2 2 3 3 2" xfId="0"/>
    <cellStyle name="Normal 61 2 5 5 2 2 3 3 2 2" xfId="0"/>
    <cellStyle name="Normal 61 2 5 5 2 2 3 3 3" xfId="0"/>
    <cellStyle name="Normal 61 2 5 5 2 2 3 4" xfId="0"/>
    <cellStyle name="Normal 61 2 5 5 2 2 3 4 2" xfId="0"/>
    <cellStyle name="Normal 61 2 5 5 2 2 3 5" xfId="0"/>
    <cellStyle name="Normal 61 2 5 5 2 2 4" xfId="0"/>
    <cellStyle name="Normal 61 2 5 5 2 2 4 2" xfId="0"/>
    <cellStyle name="Normal 61 2 5 5 2 2 4 2 2" xfId="0"/>
    <cellStyle name="Normal 61 2 5 5 2 2 4 3" xfId="0"/>
    <cellStyle name="Normal 61 2 5 5 2 2 5" xfId="0"/>
    <cellStyle name="Normal 61 2 5 5 2 2 5 2" xfId="0"/>
    <cellStyle name="Normal 61 2 5 5 2 2 5 2 2" xfId="0"/>
    <cellStyle name="Normal 61 2 5 5 2 2 5 3" xfId="0"/>
    <cellStyle name="Normal 61 2 5 5 2 2 6" xfId="0"/>
    <cellStyle name="Normal 61 2 5 5 2 2 6 2" xfId="0"/>
    <cellStyle name="Normal 61 2 5 5 2 2 7" xfId="0"/>
    <cellStyle name="Normal 61 2 5 5 2 3" xfId="0"/>
    <cellStyle name="Normal 61 2 5 5 2 3 2" xfId="0"/>
    <cellStyle name="Normal 61 2 5 5 2 3 2 2" xfId="0"/>
    <cellStyle name="Normal 61 2 5 5 2 3 2 2 2" xfId="0"/>
    <cellStyle name="Normal 61 2 5 5 2 3 2 2 2 2" xfId="0"/>
    <cellStyle name="Normal 61 2 5 5 2 3 2 2 3" xfId="0"/>
    <cellStyle name="Normal 61 2 5 5 2 3 2 3" xfId="0"/>
    <cellStyle name="Normal 61 2 5 5 2 3 2 3 2" xfId="0"/>
    <cellStyle name="Normal 61 2 5 5 2 3 2 3 2 2" xfId="0"/>
    <cellStyle name="Normal 61 2 5 5 2 3 2 3 3" xfId="0"/>
    <cellStyle name="Normal 61 2 5 5 2 3 2 4" xfId="0"/>
    <cellStyle name="Normal 61 2 5 5 2 3 2 4 2" xfId="0"/>
    <cellStyle name="Normal 61 2 5 5 2 3 2 5" xfId="0"/>
    <cellStyle name="Normal 61 2 5 5 2 3 3" xfId="0"/>
    <cellStyle name="Normal 61 2 5 5 2 3 3 2" xfId="0"/>
    <cellStyle name="Normal 61 2 5 5 2 3 3 2 2" xfId="0"/>
    <cellStyle name="Normal 61 2 5 5 2 3 3 3" xfId="0"/>
    <cellStyle name="Normal 61 2 5 5 2 3 4" xfId="0"/>
    <cellStyle name="Normal 61 2 5 5 2 3 4 2" xfId="0"/>
    <cellStyle name="Normal 61 2 5 5 2 3 4 2 2" xfId="0"/>
    <cellStyle name="Normal 61 2 5 5 2 3 4 3" xfId="0"/>
    <cellStyle name="Normal 61 2 5 5 2 3 5" xfId="0"/>
    <cellStyle name="Normal 61 2 5 5 2 3 5 2" xfId="0"/>
    <cellStyle name="Normal 61 2 5 5 2 3 6" xfId="0"/>
    <cellStyle name="Normal 61 2 5 5 2 4" xfId="0"/>
    <cellStyle name="Normal 61 2 5 5 2 4 2" xfId="0"/>
    <cellStyle name="Normal 61 2 5 5 2 4 2 2" xfId="0"/>
    <cellStyle name="Normal 61 2 5 5 2 4 2 2 2" xfId="0"/>
    <cellStyle name="Normal 61 2 5 5 2 4 2 3" xfId="0"/>
    <cellStyle name="Normal 61 2 5 5 2 4 3" xfId="0"/>
    <cellStyle name="Normal 61 2 5 5 2 4 3 2" xfId="0"/>
    <cellStyle name="Normal 61 2 5 5 2 4 3 2 2" xfId="0"/>
    <cellStyle name="Normal 61 2 5 5 2 4 3 3" xfId="0"/>
    <cellStyle name="Normal 61 2 5 5 2 4 4" xfId="0"/>
    <cellStyle name="Normal 61 2 5 5 2 4 4 2" xfId="0"/>
    <cellStyle name="Normal 61 2 5 5 2 4 5" xfId="0"/>
    <cellStyle name="Normal 61 2 5 5 2 5" xfId="0"/>
    <cellStyle name="Normal 61 2 5 5 2 5 2" xfId="0"/>
    <cellStyle name="Normal 61 2 5 5 2 5 2 2" xfId="0"/>
    <cellStyle name="Normal 61 2 5 5 2 5 3" xfId="0"/>
    <cellStyle name="Normal 61 2 5 5 2 6" xfId="0"/>
    <cellStyle name="Normal 61 2 5 5 2 6 2" xfId="0"/>
    <cellStyle name="Normal 61 2 5 5 2 6 2 2" xfId="0"/>
    <cellStyle name="Normal 61 2 5 5 2 6 3" xfId="0"/>
    <cellStyle name="Normal 61 2 5 5 2 7" xfId="0"/>
    <cellStyle name="Normal 61 2 5 5 2 7 2" xfId="0"/>
    <cellStyle name="Normal 61 2 5 5 2 8" xfId="0"/>
    <cellStyle name="Normal 61 2 5 5 3" xfId="0"/>
    <cellStyle name="Normal 61 2 5 5 3 2" xfId="0"/>
    <cellStyle name="Normal 61 2 5 5 3 2 2" xfId="0"/>
    <cellStyle name="Normal 61 2 5 5 3 2 2 2" xfId="0"/>
    <cellStyle name="Normal 61 2 5 5 3 2 2 2 2" xfId="0"/>
    <cellStyle name="Normal 61 2 5 5 3 2 2 2 2 2" xfId="0"/>
    <cellStyle name="Normal 61 2 5 5 3 2 2 2 3" xfId="0"/>
    <cellStyle name="Normal 61 2 5 5 3 2 2 3" xfId="0"/>
    <cellStyle name="Normal 61 2 5 5 3 2 2 3 2" xfId="0"/>
    <cellStyle name="Normal 61 2 5 5 3 2 2 3 2 2" xfId="0"/>
    <cellStyle name="Normal 61 2 5 5 3 2 2 3 3" xfId="0"/>
    <cellStyle name="Normal 61 2 5 5 3 2 2 4" xfId="0"/>
    <cellStyle name="Normal 61 2 5 5 3 2 2 4 2" xfId="0"/>
    <cellStyle name="Normal 61 2 5 5 3 2 2 5" xfId="0"/>
    <cellStyle name="Normal 61 2 5 5 3 2 3" xfId="0"/>
    <cellStyle name="Normal 61 2 5 5 3 2 3 2" xfId="0"/>
    <cellStyle name="Normal 61 2 5 5 3 2 3 2 2" xfId="0"/>
    <cellStyle name="Normal 61 2 5 5 3 2 3 3" xfId="0"/>
    <cellStyle name="Normal 61 2 5 5 3 2 4" xfId="0"/>
    <cellStyle name="Normal 61 2 5 5 3 2 4 2" xfId="0"/>
    <cellStyle name="Normal 61 2 5 5 3 2 4 2 2" xfId="0"/>
    <cellStyle name="Normal 61 2 5 5 3 2 4 3" xfId="0"/>
    <cellStyle name="Normal 61 2 5 5 3 2 5" xfId="0"/>
    <cellStyle name="Normal 61 2 5 5 3 2 5 2" xfId="0"/>
    <cellStyle name="Normal 61 2 5 5 3 2 6" xfId="0"/>
    <cellStyle name="Normal 61 2 5 5 3 3" xfId="0"/>
    <cellStyle name="Normal 61 2 5 5 3 3 2" xfId="0"/>
    <cellStyle name="Normal 61 2 5 5 3 3 2 2" xfId="0"/>
    <cellStyle name="Normal 61 2 5 5 3 3 2 2 2" xfId="0"/>
    <cellStyle name="Normal 61 2 5 5 3 3 2 3" xfId="0"/>
    <cellStyle name="Normal 61 2 5 5 3 3 3" xfId="0"/>
    <cellStyle name="Normal 61 2 5 5 3 3 3 2" xfId="0"/>
    <cellStyle name="Normal 61 2 5 5 3 3 3 2 2" xfId="0"/>
    <cellStyle name="Normal 61 2 5 5 3 3 3 3" xfId="0"/>
    <cellStyle name="Normal 61 2 5 5 3 3 4" xfId="0"/>
    <cellStyle name="Normal 61 2 5 5 3 3 4 2" xfId="0"/>
    <cellStyle name="Normal 61 2 5 5 3 3 5" xfId="0"/>
    <cellStyle name="Normal 61 2 5 5 3 4" xfId="0"/>
    <cellStyle name="Normal 61 2 5 5 3 4 2" xfId="0"/>
    <cellStyle name="Normal 61 2 5 5 3 4 2 2" xfId="0"/>
    <cellStyle name="Normal 61 2 5 5 3 4 3" xfId="0"/>
    <cellStyle name="Normal 61 2 5 5 3 5" xfId="0"/>
    <cellStyle name="Normal 61 2 5 5 3 5 2" xfId="0"/>
    <cellStyle name="Normal 61 2 5 5 3 5 2 2" xfId="0"/>
    <cellStyle name="Normal 61 2 5 5 3 5 3" xfId="0"/>
    <cellStyle name="Normal 61 2 5 5 3 6" xfId="0"/>
    <cellStyle name="Normal 61 2 5 5 3 6 2" xfId="0"/>
    <cellStyle name="Normal 61 2 5 5 3 7" xfId="0"/>
    <cellStyle name="Normal 61 2 5 5 4" xfId="0"/>
    <cellStyle name="Normal 61 2 5 5 4 2" xfId="0"/>
    <cellStyle name="Normal 61 2 5 5 4 2 2" xfId="0"/>
    <cellStyle name="Normal 61 2 5 5 4 2 2 2" xfId="0"/>
    <cellStyle name="Normal 61 2 5 5 4 2 2 2 2" xfId="0"/>
    <cellStyle name="Normal 61 2 5 5 4 2 2 3" xfId="0"/>
    <cellStyle name="Normal 61 2 5 5 4 2 3" xfId="0"/>
    <cellStyle name="Normal 61 2 5 5 4 2 3 2" xfId="0"/>
    <cellStyle name="Normal 61 2 5 5 4 2 3 2 2" xfId="0"/>
    <cellStyle name="Normal 61 2 5 5 4 2 3 3" xfId="0"/>
    <cellStyle name="Normal 61 2 5 5 4 2 4" xfId="0"/>
    <cellStyle name="Normal 61 2 5 5 4 2 4 2" xfId="0"/>
    <cellStyle name="Normal 61 2 5 5 4 2 5" xfId="0"/>
    <cellStyle name="Normal 61 2 5 5 4 3" xfId="0"/>
    <cellStyle name="Normal 61 2 5 5 4 3 2" xfId="0"/>
    <cellStyle name="Normal 61 2 5 5 4 3 2 2" xfId="0"/>
    <cellStyle name="Normal 61 2 5 5 4 3 3" xfId="0"/>
    <cellStyle name="Normal 61 2 5 5 4 4" xfId="0"/>
    <cellStyle name="Normal 61 2 5 5 4 4 2" xfId="0"/>
    <cellStyle name="Normal 61 2 5 5 4 4 2 2" xfId="0"/>
    <cellStyle name="Normal 61 2 5 5 4 4 3" xfId="0"/>
    <cellStyle name="Normal 61 2 5 5 4 5" xfId="0"/>
    <cellStyle name="Normal 61 2 5 5 4 5 2" xfId="0"/>
    <cellStyle name="Normal 61 2 5 5 4 6" xfId="0"/>
    <cellStyle name="Normal 61 2 5 5 5" xfId="0"/>
    <cellStyle name="Normal 61 2 5 5 5 2" xfId="0"/>
    <cellStyle name="Normal 61 2 5 5 5 2 2" xfId="0"/>
    <cellStyle name="Normal 61 2 5 5 5 2 2 2" xfId="0"/>
    <cellStyle name="Normal 61 2 5 5 5 2 3" xfId="0"/>
    <cellStyle name="Normal 61 2 5 5 5 3" xfId="0"/>
    <cellStyle name="Normal 61 2 5 5 5 3 2" xfId="0"/>
    <cellStyle name="Normal 61 2 5 5 5 3 2 2" xfId="0"/>
    <cellStyle name="Normal 61 2 5 5 5 3 3" xfId="0"/>
    <cellStyle name="Normal 61 2 5 5 5 4" xfId="0"/>
    <cellStyle name="Normal 61 2 5 5 5 4 2" xfId="0"/>
    <cellStyle name="Normal 61 2 5 5 5 5" xfId="0"/>
    <cellStyle name="Normal 61 2 5 5 6" xfId="0"/>
    <cellStyle name="Normal 61 2 5 5 6 2" xfId="0"/>
    <cellStyle name="Normal 61 2 5 5 6 2 2" xfId="0"/>
    <cellStyle name="Normal 61 2 5 5 6 3" xfId="0"/>
    <cellStyle name="Normal 61 2 5 5 7" xfId="0"/>
    <cellStyle name="Normal 61 2 5 5 7 2" xfId="0"/>
    <cellStyle name="Normal 61 2 5 5 7 2 2" xfId="0"/>
    <cellStyle name="Normal 61 2 5 5 7 3" xfId="0"/>
    <cellStyle name="Normal 61 2 5 5 8" xfId="0"/>
    <cellStyle name="Normal 61 2 5 5 8 2" xfId="0"/>
    <cellStyle name="Normal 61 2 5 5 9" xfId="0"/>
    <cellStyle name="Normal 61 2 5 6" xfId="0"/>
    <cellStyle name="Normal 61 2 5 6 2" xfId="0"/>
    <cellStyle name="Normal 61 2 5 6 2 2" xfId="0"/>
    <cellStyle name="Normal 61 2 5 6 2 2 2" xfId="0"/>
    <cellStyle name="Normal 61 2 5 6 2 2 2 2" xfId="0"/>
    <cellStyle name="Normal 61 2 5 6 2 2 2 2 2" xfId="0"/>
    <cellStyle name="Normal 61 2 5 6 2 2 2 2 2 2" xfId="0"/>
    <cellStyle name="Normal 61 2 5 6 2 2 2 2 3" xfId="0"/>
    <cellStyle name="Normal 61 2 5 6 2 2 2 3" xfId="0"/>
    <cellStyle name="Normal 61 2 5 6 2 2 2 3 2" xfId="0"/>
    <cellStyle name="Normal 61 2 5 6 2 2 2 3 2 2" xfId="0"/>
    <cellStyle name="Normal 61 2 5 6 2 2 2 3 3" xfId="0"/>
    <cellStyle name="Normal 61 2 5 6 2 2 2 4" xfId="0"/>
    <cellStyle name="Normal 61 2 5 6 2 2 2 4 2" xfId="0"/>
    <cellStyle name="Normal 61 2 5 6 2 2 2 5" xfId="0"/>
    <cellStyle name="Normal 61 2 5 6 2 2 3" xfId="0"/>
    <cellStyle name="Normal 61 2 5 6 2 2 3 2" xfId="0"/>
    <cellStyle name="Normal 61 2 5 6 2 2 3 2 2" xfId="0"/>
    <cellStyle name="Normal 61 2 5 6 2 2 3 3" xfId="0"/>
    <cellStyle name="Normal 61 2 5 6 2 2 4" xfId="0"/>
    <cellStyle name="Normal 61 2 5 6 2 2 4 2" xfId="0"/>
    <cellStyle name="Normal 61 2 5 6 2 2 4 2 2" xfId="0"/>
    <cellStyle name="Normal 61 2 5 6 2 2 4 3" xfId="0"/>
    <cellStyle name="Normal 61 2 5 6 2 2 5" xfId="0"/>
    <cellStyle name="Normal 61 2 5 6 2 2 5 2" xfId="0"/>
    <cellStyle name="Normal 61 2 5 6 2 2 6" xfId="0"/>
    <cellStyle name="Normal 61 2 5 6 2 3" xfId="0"/>
    <cellStyle name="Normal 61 2 5 6 2 3 2" xfId="0"/>
    <cellStyle name="Normal 61 2 5 6 2 3 2 2" xfId="0"/>
    <cellStyle name="Normal 61 2 5 6 2 3 2 2 2" xfId="0"/>
    <cellStyle name="Normal 61 2 5 6 2 3 2 3" xfId="0"/>
    <cellStyle name="Normal 61 2 5 6 2 3 3" xfId="0"/>
    <cellStyle name="Normal 61 2 5 6 2 3 3 2" xfId="0"/>
    <cellStyle name="Normal 61 2 5 6 2 3 3 2 2" xfId="0"/>
    <cellStyle name="Normal 61 2 5 6 2 3 3 3" xfId="0"/>
    <cellStyle name="Normal 61 2 5 6 2 3 4" xfId="0"/>
    <cellStyle name="Normal 61 2 5 6 2 3 4 2" xfId="0"/>
    <cellStyle name="Normal 61 2 5 6 2 3 5" xfId="0"/>
    <cellStyle name="Normal 61 2 5 6 2 4" xfId="0"/>
    <cellStyle name="Normal 61 2 5 6 2 4 2" xfId="0"/>
    <cellStyle name="Normal 61 2 5 6 2 4 2 2" xfId="0"/>
    <cellStyle name="Normal 61 2 5 6 2 4 3" xfId="0"/>
    <cellStyle name="Normal 61 2 5 6 2 5" xfId="0"/>
    <cellStyle name="Normal 61 2 5 6 2 5 2" xfId="0"/>
    <cellStyle name="Normal 61 2 5 6 2 5 2 2" xfId="0"/>
    <cellStyle name="Normal 61 2 5 6 2 5 3" xfId="0"/>
    <cellStyle name="Normal 61 2 5 6 2 6" xfId="0"/>
    <cellStyle name="Normal 61 2 5 6 2 6 2" xfId="0"/>
    <cellStyle name="Normal 61 2 5 6 2 7" xfId="0"/>
    <cellStyle name="Normal 61 2 5 6 3" xfId="0"/>
    <cellStyle name="Normal 61 2 5 6 3 2" xfId="0"/>
    <cellStyle name="Normal 61 2 5 6 3 2 2" xfId="0"/>
    <cellStyle name="Normal 61 2 5 6 3 2 2 2" xfId="0"/>
    <cellStyle name="Normal 61 2 5 6 3 2 2 2 2" xfId="0"/>
    <cellStyle name="Normal 61 2 5 6 3 2 2 3" xfId="0"/>
    <cellStyle name="Normal 61 2 5 6 3 2 3" xfId="0"/>
    <cellStyle name="Normal 61 2 5 6 3 2 3 2" xfId="0"/>
    <cellStyle name="Normal 61 2 5 6 3 2 3 2 2" xfId="0"/>
    <cellStyle name="Normal 61 2 5 6 3 2 3 3" xfId="0"/>
    <cellStyle name="Normal 61 2 5 6 3 2 4" xfId="0"/>
    <cellStyle name="Normal 61 2 5 6 3 2 4 2" xfId="0"/>
    <cellStyle name="Normal 61 2 5 6 3 2 5" xfId="0"/>
    <cellStyle name="Normal 61 2 5 6 3 3" xfId="0"/>
    <cellStyle name="Normal 61 2 5 6 3 3 2" xfId="0"/>
    <cellStyle name="Normal 61 2 5 6 3 3 2 2" xfId="0"/>
    <cellStyle name="Normal 61 2 5 6 3 3 3" xfId="0"/>
    <cellStyle name="Normal 61 2 5 6 3 4" xfId="0"/>
    <cellStyle name="Normal 61 2 5 6 3 4 2" xfId="0"/>
    <cellStyle name="Normal 61 2 5 6 3 4 2 2" xfId="0"/>
    <cellStyle name="Normal 61 2 5 6 3 4 3" xfId="0"/>
    <cellStyle name="Normal 61 2 5 6 3 5" xfId="0"/>
    <cellStyle name="Normal 61 2 5 6 3 5 2" xfId="0"/>
    <cellStyle name="Normal 61 2 5 6 3 6" xfId="0"/>
    <cellStyle name="Normal 61 2 5 6 4" xfId="0"/>
    <cellStyle name="Normal 61 2 5 6 4 2" xfId="0"/>
    <cellStyle name="Normal 61 2 5 6 4 2 2" xfId="0"/>
    <cellStyle name="Normal 61 2 5 6 4 2 2 2" xfId="0"/>
    <cellStyle name="Normal 61 2 5 6 4 2 3" xfId="0"/>
    <cellStyle name="Normal 61 2 5 6 4 3" xfId="0"/>
    <cellStyle name="Normal 61 2 5 6 4 3 2" xfId="0"/>
    <cellStyle name="Normal 61 2 5 6 4 3 2 2" xfId="0"/>
    <cellStyle name="Normal 61 2 5 6 4 3 3" xfId="0"/>
    <cellStyle name="Normal 61 2 5 6 4 4" xfId="0"/>
    <cellStyle name="Normal 61 2 5 6 4 4 2" xfId="0"/>
    <cellStyle name="Normal 61 2 5 6 4 5" xfId="0"/>
    <cellStyle name="Normal 61 2 5 6 5" xfId="0"/>
    <cellStyle name="Normal 61 2 5 6 5 2" xfId="0"/>
    <cellStyle name="Normal 61 2 5 6 5 2 2" xfId="0"/>
    <cellStyle name="Normal 61 2 5 6 5 3" xfId="0"/>
    <cellStyle name="Normal 61 2 5 6 6" xfId="0"/>
    <cellStyle name="Normal 61 2 5 6 6 2" xfId="0"/>
    <cellStyle name="Normal 61 2 5 6 6 2 2" xfId="0"/>
    <cellStyle name="Normal 61 2 5 6 6 3" xfId="0"/>
    <cellStyle name="Normal 61 2 5 6 7" xfId="0"/>
    <cellStyle name="Normal 61 2 5 6 7 2" xfId="0"/>
    <cellStyle name="Normal 61 2 5 6 8" xfId="0"/>
    <cellStyle name="Normal 61 2 5 7" xfId="0"/>
    <cellStyle name="Normal 61 2 5 7 2" xfId="0"/>
    <cellStyle name="Normal 61 2 5 7 2 2" xfId="0"/>
    <cellStyle name="Normal 61 2 5 7 2 2 2" xfId="0"/>
    <cellStyle name="Normal 61 2 5 7 2 2 2 2" xfId="0"/>
    <cellStyle name="Normal 61 2 5 7 2 2 2 2 2" xfId="0"/>
    <cellStyle name="Normal 61 2 5 7 2 2 2 3" xfId="0"/>
    <cellStyle name="Normal 61 2 5 7 2 2 3" xfId="0"/>
    <cellStyle name="Normal 61 2 5 7 2 2 3 2" xfId="0"/>
    <cellStyle name="Normal 61 2 5 7 2 2 3 2 2" xfId="0"/>
    <cellStyle name="Normal 61 2 5 7 2 2 3 3" xfId="0"/>
    <cellStyle name="Normal 61 2 5 7 2 2 4" xfId="0"/>
    <cellStyle name="Normal 61 2 5 7 2 2 4 2" xfId="0"/>
    <cellStyle name="Normal 61 2 5 7 2 2 5" xfId="0"/>
    <cellStyle name="Normal 61 2 5 7 2 3" xfId="0"/>
    <cellStyle name="Normal 61 2 5 7 2 3 2" xfId="0"/>
    <cellStyle name="Normal 61 2 5 7 2 3 2 2" xfId="0"/>
    <cellStyle name="Normal 61 2 5 7 2 3 3" xfId="0"/>
    <cellStyle name="Normal 61 2 5 7 2 4" xfId="0"/>
    <cellStyle name="Normal 61 2 5 7 2 4 2" xfId="0"/>
    <cellStyle name="Normal 61 2 5 7 2 4 2 2" xfId="0"/>
    <cellStyle name="Normal 61 2 5 7 2 4 3" xfId="0"/>
    <cellStyle name="Normal 61 2 5 7 2 5" xfId="0"/>
    <cellStyle name="Normal 61 2 5 7 2 5 2" xfId="0"/>
    <cellStyle name="Normal 61 2 5 7 2 6" xfId="0"/>
    <cellStyle name="Normal 61 2 5 7 3" xfId="0"/>
    <cellStyle name="Normal 61 2 5 7 3 2" xfId="0"/>
    <cellStyle name="Normal 61 2 5 7 3 2 2" xfId="0"/>
    <cellStyle name="Normal 61 2 5 7 3 2 2 2" xfId="0"/>
    <cellStyle name="Normal 61 2 5 7 3 2 3" xfId="0"/>
    <cellStyle name="Normal 61 2 5 7 3 3" xfId="0"/>
    <cellStyle name="Normal 61 2 5 7 3 3 2" xfId="0"/>
    <cellStyle name="Normal 61 2 5 7 3 3 2 2" xfId="0"/>
    <cellStyle name="Normal 61 2 5 7 3 3 3" xfId="0"/>
    <cellStyle name="Normal 61 2 5 7 3 4" xfId="0"/>
    <cellStyle name="Normal 61 2 5 7 3 4 2" xfId="0"/>
    <cellStyle name="Normal 61 2 5 7 3 5" xfId="0"/>
    <cellStyle name="Normal 61 2 5 7 4" xfId="0"/>
    <cellStyle name="Normal 61 2 5 7 4 2" xfId="0"/>
    <cellStyle name="Normal 61 2 5 7 4 2 2" xfId="0"/>
    <cellStyle name="Normal 61 2 5 7 4 3" xfId="0"/>
    <cellStyle name="Normal 61 2 5 7 5" xfId="0"/>
    <cellStyle name="Normal 61 2 5 7 5 2" xfId="0"/>
    <cellStyle name="Normal 61 2 5 7 5 2 2" xfId="0"/>
    <cellStyle name="Normal 61 2 5 7 5 3" xfId="0"/>
    <cellStyle name="Normal 61 2 5 7 6" xfId="0"/>
    <cellStyle name="Normal 61 2 5 7 6 2" xfId="0"/>
    <cellStyle name="Normal 61 2 5 7 7" xfId="0"/>
    <cellStyle name="Normal 61 2 5 8" xfId="0"/>
    <cellStyle name="Normal 61 2 5 8 2" xfId="0"/>
    <cellStyle name="Normal 61 2 5 8 2 2" xfId="0"/>
    <cellStyle name="Normal 61 2 5 8 2 2 2" xfId="0"/>
    <cellStyle name="Normal 61 2 5 8 2 2 2 2" xfId="0"/>
    <cellStyle name="Normal 61 2 5 8 2 2 3" xfId="0"/>
    <cellStyle name="Normal 61 2 5 8 2 3" xfId="0"/>
    <cellStyle name="Normal 61 2 5 8 2 3 2" xfId="0"/>
    <cellStyle name="Normal 61 2 5 8 2 3 2 2" xfId="0"/>
    <cellStyle name="Normal 61 2 5 8 2 3 3" xfId="0"/>
    <cellStyle name="Normal 61 2 5 8 2 4" xfId="0"/>
    <cellStyle name="Normal 61 2 5 8 2 4 2" xfId="0"/>
    <cellStyle name="Normal 61 2 5 8 2 5" xfId="0"/>
    <cellStyle name="Normal 61 2 5 8 3" xfId="0"/>
    <cellStyle name="Normal 61 2 5 8 3 2" xfId="0"/>
    <cellStyle name="Normal 61 2 5 8 3 2 2" xfId="0"/>
    <cellStyle name="Normal 61 2 5 8 3 3" xfId="0"/>
    <cellStyle name="Normal 61 2 5 8 4" xfId="0"/>
    <cellStyle name="Normal 61 2 5 8 4 2" xfId="0"/>
    <cellStyle name="Normal 61 2 5 8 4 2 2" xfId="0"/>
    <cellStyle name="Normal 61 2 5 8 4 3" xfId="0"/>
    <cellStyle name="Normal 61 2 5 8 5" xfId="0"/>
    <cellStyle name="Normal 61 2 5 8 5 2" xfId="0"/>
    <cellStyle name="Normal 61 2 5 8 6" xfId="0"/>
    <cellStyle name="Normal 61 2 5 9" xfId="0"/>
    <cellStyle name="Normal 61 2 5 9 2" xfId="0"/>
    <cellStyle name="Normal 61 2 5 9 2 2" xfId="0"/>
    <cellStyle name="Normal 61 2 5 9 2 2 2" xfId="0"/>
    <cellStyle name="Normal 61 2 5 9 2 3" xfId="0"/>
    <cellStyle name="Normal 61 2 5 9 3" xfId="0"/>
    <cellStyle name="Normal 61 2 5 9 3 2" xfId="0"/>
    <cellStyle name="Normal 61 2 5 9 3 2 2" xfId="0"/>
    <cellStyle name="Normal 61 2 5 9 3 3" xfId="0"/>
    <cellStyle name="Normal 61 2 5 9 4" xfId="0"/>
    <cellStyle name="Normal 61 2 5 9 4 2" xfId="0"/>
    <cellStyle name="Normal 61 2 5 9 5" xfId="0"/>
    <cellStyle name="Normal 61 2 6" xfId="0"/>
    <cellStyle name="Normal 61 2 6 10" xfId="0"/>
    <cellStyle name="Normal 61 2 6 10 2" xfId="0"/>
    <cellStyle name="Normal 61 2 6 10 2 2" xfId="0"/>
    <cellStyle name="Normal 61 2 6 10 3" xfId="0"/>
    <cellStyle name="Normal 61 2 6 11" xfId="0"/>
    <cellStyle name="Normal 61 2 6 11 2" xfId="0"/>
    <cellStyle name="Normal 61 2 6 12" xfId="0"/>
    <cellStyle name="Normal 61 2 6 2" xfId="0"/>
    <cellStyle name="Normal 61 2 6 2 10" xfId="0"/>
    <cellStyle name="Normal 61 2 6 2 2" xfId="0"/>
    <cellStyle name="Normal 61 2 6 2 2 2" xfId="0"/>
    <cellStyle name="Normal 61 2 6 2 2 2 2" xfId="0"/>
    <cellStyle name="Normal 61 2 6 2 2 2 2 2" xfId="0"/>
    <cellStyle name="Normal 61 2 6 2 2 2 2 2 2" xfId="0"/>
    <cellStyle name="Normal 61 2 6 2 2 2 2 2 2 2" xfId="0"/>
    <cellStyle name="Normal 61 2 6 2 2 2 2 2 2 2 2" xfId="0"/>
    <cellStyle name="Normal 61 2 6 2 2 2 2 2 2 2 2 2" xfId="0"/>
    <cellStyle name="Normal 61 2 6 2 2 2 2 2 2 2 3" xfId="0"/>
    <cellStyle name="Normal 61 2 6 2 2 2 2 2 2 3" xfId="0"/>
    <cellStyle name="Normal 61 2 6 2 2 2 2 2 2 3 2" xfId="0"/>
    <cellStyle name="Normal 61 2 6 2 2 2 2 2 2 3 2 2" xfId="0"/>
    <cellStyle name="Normal 61 2 6 2 2 2 2 2 2 3 3" xfId="0"/>
    <cellStyle name="Normal 61 2 6 2 2 2 2 2 2 4" xfId="0"/>
    <cellStyle name="Normal 61 2 6 2 2 2 2 2 2 4 2" xfId="0"/>
    <cellStyle name="Normal 61 2 6 2 2 2 2 2 2 5" xfId="0"/>
    <cellStyle name="Normal 61 2 6 2 2 2 2 2 3" xfId="0"/>
    <cellStyle name="Normal 61 2 6 2 2 2 2 2 3 2" xfId="0"/>
    <cellStyle name="Normal 61 2 6 2 2 2 2 2 3 2 2" xfId="0"/>
    <cellStyle name="Normal 61 2 6 2 2 2 2 2 3 3" xfId="0"/>
    <cellStyle name="Normal 61 2 6 2 2 2 2 2 4" xfId="0"/>
    <cellStyle name="Normal 61 2 6 2 2 2 2 2 4 2" xfId="0"/>
    <cellStyle name="Normal 61 2 6 2 2 2 2 2 4 2 2" xfId="0"/>
    <cellStyle name="Normal 61 2 6 2 2 2 2 2 4 3" xfId="0"/>
    <cellStyle name="Normal 61 2 6 2 2 2 2 2 5" xfId="0"/>
    <cellStyle name="Normal 61 2 6 2 2 2 2 2 5 2" xfId="0"/>
    <cellStyle name="Normal 61 2 6 2 2 2 2 2 6" xfId="0"/>
    <cellStyle name="Normal 61 2 6 2 2 2 2 3" xfId="0"/>
    <cellStyle name="Normal 61 2 6 2 2 2 2 3 2" xfId="0"/>
    <cellStyle name="Normal 61 2 6 2 2 2 2 3 2 2" xfId="0"/>
    <cellStyle name="Normal 61 2 6 2 2 2 2 3 2 2 2" xfId="0"/>
    <cellStyle name="Normal 61 2 6 2 2 2 2 3 2 3" xfId="0"/>
    <cellStyle name="Normal 61 2 6 2 2 2 2 3 3" xfId="0"/>
    <cellStyle name="Normal 61 2 6 2 2 2 2 3 3 2" xfId="0"/>
    <cellStyle name="Normal 61 2 6 2 2 2 2 3 3 2 2" xfId="0"/>
    <cellStyle name="Normal 61 2 6 2 2 2 2 3 3 3" xfId="0"/>
    <cellStyle name="Normal 61 2 6 2 2 2 2 3 4" xfId="0"/>
    <cellStyle name="Normal 61 2 6 2 2 2 2 3 4 2" xfId="0"/>
    <cellStyle name="Normal 61 2 6 2 2 2 2 3 5" xfId="0"/>
    <cellStyle name="Normal 61 2 6 2 2 2 2 4" xfId="0"/>
    <cellStyle name="Normal 61 2 6 2 2 2 2 4 2" xfId="0"/>
    <cellStyle name="Normal 61 2 6 2 2 2 2 4 2 2" xfId="0"/>
    <cellStyle name="Normal 61 2 6 2 2 2 2 4 3" xfId="0"/>
    <cellStyle name="Normal 61 2 6 2 2 2 2 5" xfId="0"/>
    <cellStyle name="Normal 61 2 6 2 2 2 2 5 2" xfId="0"/>
    <cellStyle name="Normal 61 2 6 2 2 2 2 5 2 2" xfId="0"/>
    <cellStyle name="Normal 61 2 6 2 2 2 2 5 3" xfId="0"/>
    <cellStyle name="Normal 61 2 6 2 2 2 2 6" xfId="0"/>
    <cellStyle name="Normal 61 2 6 2 2 2 2 6 2" xfId="0"/>
    <cellStyle name="Normal 61 2 6 2 2 2 2 7" xfId="0"/>
    <cellStyle name="Normal 61 2 6 2 2 2 3" xfId="0"/>
    <cellStyle name="Normal 61 2 6 2 2 2 3 2" xfId="0"/>
    <cellStyle name="Normal 61 2 6 2 2 2 3 2 2" xfId="0"/>
    <cellStyle name="Normal 61 2 6 2 2 2 3 2 2 2" xfId="0"/>
    <cellStyle name="Normal 61 2 6 2 2 2 3 2 2 2 2" xfId="0"/>
    <cellStyle name="Normal 61 2 6 2 2 2 3 2 2 3" xfId="0"/>
    <cellStyle name="Normal 61 2 6 2 2 2 3 2 3" xfId="0"/>
    <cellStyle name="Normal 61 2 6 2 2 2 3 2 3 2" xfId="0"/>
    <cellStyle name="Normal 61 2 6 2 2 2 3 2 3 2 2" xfId="0"/>
    <cellStyle name="Normal 61 2 6 2 2 2 3 2 3 3" xfId="0"/>
    <cellStyle name="Normal 61 2 6 2 2 2 3 2 4" xfId="0"/>
    <cellStyle name="Normal 61 2 6 2 2 2 3 2 4 2" xfId="0"/>
    <cellStyle name="Normal 61 2 6 2 2 2 3 2 5" xfId="0"/>
    <cellStyle name="Normal 61 2 6 2 2 2 3 3" xfId="0"/>
    <cellStyle name="Normal 61 2 6 2 2 2 3 3 2" xfId="0"/>
    <cellStyle name="Normal 61 2 6 2 2 2 3 3 2 2" xfId="0"/>
    <cellStyle name="Normal 61 2 6 2 2 2 3 3 3" xfId="0"/>
    <cellStyle name="Normal 61 2 6 2 2 2 3 4" xfId="0"/>
    <cellStyle name="Normal 61 2 6 2 2 2 3 4 2" xfId="0"/>
    <cellStyle name="Normal 61 2 6 2 2 2 3 4 2 2" xfId="0"/>
    <cellStyle name="Normal 61 2 6 2 2 2 3 4 3" xfId="0"/>
    <cellStyle name="Normal 61 2 6 2 2 2 3 5" xfId="0"/>
    <cellStyle name="Normal 61 2 6 2 2 2 3 5 2" xfId="0"/>
    <cellStyle name="Normal 61 2 6 2 2 2 3 6" xfId="0"/>
    <cellStyle name="Normal 61 2 6 2 2 2 4" xfId="0"/>
    <cellStyle name="Normal 61 2 6 2 2 2 4 2" xfId="0"/>
    <cellStyle name="Normal 61 2 6 2 2 2 4 2 2" xfId="0"/>
    <cellStyle name="Normal 61 2 6 2 2 2 4 2 2 2" xfId="0"/>
    <cellStyle name="Normal 61 2 6 2 2 2 4 2 3" xfId="0"/>
    <cellStyle name="Normal 61 2 6 2 2 2 4 3" xfId="0"/>
    <cellStyle name="Normal 61 2 6 2 2 2 4 3 2" xfId="0"/>
    <cellStyle name="Normal 61 2 6 2 2 2 4 3 2 2" xfId="0"/>
    <cellStyle name="Normal 61 2 6 2 2 2 4 3 3" xfId="0"/>
    <cellStyle name="Normal 61 2 6 2 2 2 4 4" xfId="0"/>
    <cellStyle name="Normal 61 2 6 2 2 2 4 4 2" xfId="0"/>
    <cellStyle name="Normal 61 2 6 2 2 2 4 5" xfId="0"/>
    <cellStyle name="Normal 61 2 6 2 2 2 5" xfId="0"/>
    <cellStyle name="Normal 61 2 6 2 2 2 5 2" xfId="0"/>
    <cellStyle name="Normal 61 2 6 2 2 2 5 2 2" xfId="0"/>
    <cellStyle name="Normal 61 2 6 2 2 2 5 3" xfId="0"/>
    <cellStyle name="Normal 61 2 6 2 2 2 6" xfId="0"/>
    <cellStyle name="Normal 61 2 6 2 2 2 6 2" xfId="0"/>
    <cellStyle name="Normal 61 2 6 2 2 2 6 2 2" xfId="0"/>
    <cellStyle name="Normal 61 2 6 2 2 2 6 3" xfId="0"/>
    <cellStyle name="Normal 61 2 6 2 2 2 7" xfId="0"/>
    <cellStyle name="Normal 61 2 6 2 2 2 7 2" xfId="0"/>
    <cellStyle name="Normal 61 2 6 2 2 2 8" xfId="0"/>
    <cellStyle name="Normal 61 2 6 2 2 3" xfId="0"/>
    <cellStyle name="Normal 61 2 6 2 2 3 2" xfId="0"/>
    <cellStyle name="Normal 61 2 6 2 2 3 2 2" xfId="0"/>
    <cellStyle name="Normal 61 2 6 2 2 3 2 2 2" xfId="0"/>
    <cellStyle name="Normal 61 2 6 2 2 3 2 2 2 2" xfId="0"/>
    <cellStyle name="Normal 61 2 6 2 2 3 2 2 2 2 2" xfId="0"/>
    <cellStyle name="Normal 61 2 6 2 2 3 2 2 2 3" xfId="0"/>
    <cellStyle name="Normal 61 2 6 2 2 3 2 2 3" xfId="0"/>
    <cellStyle name="Normal 61 2 6 2 2 3 2 2 3 2" xfId="0"/>
    <cellStyle name="Normal 61 2 6 2 2 3 2 2 3 2 2" xfId="0"/>
    <cellStyle name="Normal 61 2 6 2 2 3 2 2 3 3" xfId="0"/>
    <cellStyle name="Normal 61 2 6 2 2 3 2 2 4" xfId="0"/>
    <cellStyle name="Normal 61 2 6 2 2 3 2 2 4 2" xfId="0"/>
    <cellStyle name="Normal 61 2 6 2 2 3 2 2 5" xfId="0"/>
    <cellStyle name="Normal 61 2 6 2 2 3 2 3" xfId="0"/>
    <cellStyle name="Normal 61 2 6 2 2 3 2 3 2" xfId="0"/>
    <cellStyle name="Normal 61 2 6 2 2 3 2 3 2 2" xfId="0"/>
    <cellStyle name="Normal 61 2 6 2 2 3 2 3 3" xfId="0"/>
    <cellStyle name="Normal 61 2 6 2 2 3 2 4" xfId="0"/>
    <cellStyle name="Normal 61 2 6 2 2 3 2 4 2" xfId="0"/>
    <cellStyle name="Normal 61 2 6 2 2 3 2 4 2 2" xfId="0"/>
    <cellStyle name="Normal 61 2 6 2 2 3 2 4 3" xfId="0"/>
    <cellStyle name="Normal 61 2 6 2 2 3 2 5" xfId="0"/>
    <cellStyle name="Normal 61 2 6 2 2 3 2 5 2" xfId="0"/>
    <cellStyle name="Normal 61 2 6 2 2 3 2 6" xfId="0"/>
    <cellStyle name="Normal 61 2 6 2 2 3 3" xfId="0"/>
    <cellStyle name="Normal 61 2 6 2 2 3 3 2" xfId="0"/>
    <cellStyle name="Normal 61 2 6 2 2 3 3 2 2" xfId="0"/>
    <cellStyle name="Normal 61 2 6 2 2 3 3 2 2 2" xfId="0"/>
    <cellStyle name="Normal 61 2 6 2 2 3 3 2 3" xfId="0"/>
    <cellStyle name="Normal 61 2 6 2 2 3 3 3" xfId="0"/>
    <cellStyle name="Normal 61 2 6 2 2 3 3 3 2" xfId="0"/>
    <cellStyle name="Normal 61 2 6 2 2 3 3 3 2 2" xfId="0"/>
    <cellStyle name="Normal 61 2 6 2 2 3 3 3 3" xfId="0"/>
    <cellStyle name="Normal 61 2 6 2 2 3 3 4" xfId="0"/>
    <cellStyle name="Normal 61 2 6 2 2 3 3 4 2" xfId="0"/>
    <cellStyle name="Normal 61 2 6 2 2 3 3 5" xfId="0"/>
    <cellStyle name="Normal 61 2 6 2 2 3 4" xfId="0"/>
    <cellStyle name="Normal 61 2 6 2 2 3 4 2" xfId="0"/>
    <cellStyle name="Normal 61 2 6 2 2 3 4 2 2" xfId="0"/>
    <cellStyle name="Normal 61 2 6 2 2 3 4 3" xfId="0"/>
    <cellStyle name="Normal 61 2 6 2 2 3 5" xfId="0"/>
    <cellStyle name="Normal 61 2 6 2 2 3 5 2" xfId="0"/>
    <cellStyle name="Normal 61 2 6 2 2 3 5 2 2" xfId="0"/>
    <cellStyle name="Normal 61 2 6 2 2 3 5 3" xfId="0"/>
    <cellStyle name="Normal 61 2 6 2 2 3 6" xfId="0"/>
    <cellStyle name="Normal 61 2 6 2 2 3 6 2" xfId="0"/>
    <cellStyle name="Normal 61 2 6 2 2 3 7" xfId="0"/>
    <cellStyle name="Normal 61 2 6 2 2 4" xfId="0"/>
    <cellStyle name="Normal 61 2 6 2 2 4 2" xfId="0"/>
    <cellStyle name="Normal 61 2 6 2 2 4 2 2" xfId="0"/>
    <cellStyle name="Normal 61 2 6 2 2 4 2 2 2" xfId="0"/>
    <cellStyle name="Normal 61 2 6 2 2 4 2 2 2 2" xfId="0"/>
    <cellStyle name="Normal 61 2 6 2 2 4 2 2 3" xfId="0"/>
    <cellStyle name="Normal 61 2 6 2 2 4 2 3" xfId="0"/>
    <cellStyle name="Normal 61 2 6 2 2 4 2 3 2" xfId="0"/>
    <cellStyle name="Normal 61 2 6 2 2 4 2 3 2 2" xfId="0"/>
    <cellStyle name="Normal 61 2 6 2 2 4 2 3 3" xfId="0"/>
    <cellStyle name="Normal 61 2 6 2 2 4 2 4" xfId="0"/>
    <cellStyle name="Normal 61 2 6 2 2 4 2 4 2" xfId="0"/>
    <cellStyle name="Normal 61 2 6 2 2 4 2 5" xfId="0"/>
    <cellStyle name="Normal 61 2 6 2 2 4 3" xfId="0"/>
    <cellStyle name="Normal 61 2 6 2 2 4 3 2" xfId="0"/>
    <cellStyle name="Normal 61 2 6 2 2 4 3 2 2" xfId="0"/>
    <cellStyle name="Normal 61 2 6 2 2 4 3 3" xfId="0"/>
    <cellStyle name="Normal 61 2 6 2 2 4 4" xfId="0"/>
    <cellStyle name="Normal 61 2 6 2 2 4 4 2" xfId="0"/>
    <cellStyle name="Normal 61 2 6 2 2 4 4 2 2" xfId="0"/>
    <cellStyle name="Normal 61 2 6 2 2 4 4 3" xfId="0"/>
    <cellStyle name="Normal 61 2 6 2 2 4 5" xfId="0"/>
    <cellStyle name="Normal 61 2 6 2 2 4 5 2" xfId="0"/>
    <cellStyle name="Normal 61 2 6 2 2 4 6" xfId="0"/>
    <cellStyle name="Normal 61 2 6 2 2 5" xfId="0"/>
    <cellStyle name="Normal 61 2 6 2 2 5 2" xfId="0"/>
    <cellStyle name="Normal 61 2 6 2 2 5 2 2" xfId="0"/>
    <cellStyle name="Normal 61 2 6 2 2 5 2 2 2" xfId="0"/>
    <cellStyle name="Normal 61 2 6 2 2 5 2 3" xfId="0"/>
    <cellStyle name="Normal 61 2 6 2 2 5 3" xfId="0"/>
    <cellStyle name="Normal 61 2 6 2 2 5 3 2" xfId="0"/>
    <cellStyle name="Normal 61 2 6 2 2 5 3 2 2" xfId="0"/>
    <cellStyle name="Normal 61 2 6 2 2 5 3 3" xfId="0"/>
    <cellStyle name="Normal 61 2 6 2 2 5 4" xfId="0"/>
    <cellStyle name="Normal 61 2 6 2 2 5 4 2" xfId="0"/>
    <cellStyle name="Normal 61 2 6 2 2 5 5" xfId="0"/>
    <cellStyle name="Normal 61 2 6 2 2 6" xfId="0"/>
    <cellStyle name="Normal 61 2 6 2 2 6 2" xfId="0"/>
    <cellStyle name="Normal 61 2 6 2 2 6 2 2" xfId="0"/>
    <cellStyle name="Normal 61 2 6 2 2 6 3" xfId="0"/>
    <cellStyle name="Normal 61 2 6 2 2 7" xfId="0"/>
    <cellStyle name="Normal 61 2 6 2 2 7 2" xfId="0"/>
    <cellStyle name="Normal 61 2 6 2 2 7 2 2" xfId="0"/>
    <cellStyle name="Normal 61 2 6 2 2 7 3" xfId="0"/>
    <cellStyle name="Normal 61 2 6 2 2 8" xfId="0"/>
    <cellStyle name="Normal 61 2 6 2 2 8 2" xfId="0"/>
    <cellStyle name="Normal 61 2 6 2 2 9" xfId="0"/>
    <cellStyle name="Normal 61 2 6 2 3" xfId="0"/>
    <cellStyle name="Normal 61 2 6 2 3 2" xfId="0"/>
    <cellStyle name="Normal 61 2 6 2 3 2 2" xfId="0"/>
    <cellStyle name="Normal 61 2 6 2 3 2 2 2" xfId="0"/>
    <cellStyle name="Normal 61 2 6 2 3 2 2 2 2" xfId="0"/>
    <cellStyle name="Normal 61 2 6 2 3 2 2 2 2 2" xfId="0"/>
    <cellStyle name="Normal 61 2 6 2 3 2 2 2 2 2 2" xfId="0"/>
    <cellStyle name="Normal 61 2 6 2 3 2 2 2 2 3" xfId="0"/>
    <cellStyle name="Normal 61 2 6 2 3 2 2 2 3" xfId="0"/>
    <cellStyle name="Normal 61 2 6 2 3 2 2 2 3 2" xfId="0"/>
    <cellStyle name="Normal 61 2 6 2 3 2 2 2 3 2 2" xfId="0"/>
    <cellStyle name="Normal 61 2 6 2 3 2 2 2 3 3" xfId="0"/>
    <cellStyle name="Normal 61 2 6 2 3 2 2 2 4" xfId="0"/>
    <cellStyle name="Normal 61 2 6 2 3 2 2 2 4 2" xfId="0"/>
    <cellStyle name="Normal 61 2 6 2 3 2 2 2 5" xfId="0"/>
    <cellStyle name="Normal 61 2 6 2 3 2 2 3" xfId="0"/>
    <cellStyle name="Normal 61 2 6 2 3 2 2 3 2" xfId="0"/>
    <cellStyle name="Normal 61 2 6 2 3 2 2 3 2 2" xfId="0"/>
    <cellStyle name="Normal 61 2 6 2 3 2 2 3 3" xfId="0"/>
    <cellStyle name="Normal 61 2 6 2 3 2 2 4" xfId="0"/>
    <cellStyle name="Normal 61 2 6 2 3 2 2 4 2" xfId="0"/>
    <cellStyle name="Normal 61 2 6 2 3 2 2 4 2 2" xfId="0"/>
    <cellStyle name="Normal 61 2 6 2 3 2 2 4 3" xfId="0"/>
    <cellStyle name="Normal 61 2 6 2 3 2 2 5" xfId="0"/>
    <cellStyle name="Normal 61 2 6 2 3 2 2 5 2" xfId="0"/>
    <cellStyle name="Normal 61 2 6 2 3 2 2 6" xfId="0"/>
    <cellStyle name="Normal 61 2 6 2 3 2 3" xfId="0"/>
    <cellStyle name="Normal 61 2 6 2 3 2 3 2" xfId="0"/>
    <cellStyle name="Normal 61 2 6 2 3 2 3 2 2" xfId="0"/>
    <cellStyle name="Normal 61 2 6 2 3 2 3 2 2 2" xfId="0"/>
    <cellStyle name="Normal 61 2 6 2 3 2 3 2 3" xfId="0"/>
    <cellStyle name="Normal 61 2 6 2 3 2 3 3" xfId="0"/>
    <cellStyle name="Normal 61 2 6 2 3 2 3 3 2" xfId="0"/>
    <cellStyle name="Normal 61 2 6 2 3 2 3 3 2 2" xfId="0"/>
    <cellStyle name="Normal 61 2 6 2 3 2 3 3 3" xfId="0"/>
    <cellStyle name="Normal 61 2 6 2 3 2 3 4" xfId="0"/>
    <cellStyle name="Normal 61 2 6 2 3 2 3 4 2" xfId="0"/>
    <cellStyle name="Normal 61 2 6 2 3 2 3 5" xfId="0"/>
    <cellStyle name="Normal 61 2 6 2 3 2 4" xfId="0"/>
    <cellStyle name="Normal 61 2 6 2 3 2 4 2" xfId="0"/>
    <cellStyle name="Normal 61 2 6 2 3 2 4 2 2" xfId="0"/>
    <cellStyle name="Normal 61 2 6 2 3 2 4 3" xfId="0"/>
    <cellStyle name="Normal 61 2 6 2 3 2 5" xfId="0"/>
    <cellStyle name="Normal 61 2 6 2 3 2 5 2" xfId="0"/>
    <cellStyle name="Normal 61 2 6 2 3 2 5 2 2" xfId="0"/>
    <cellStyle name="Normal 61 2 6 2 3 2 5 3" xfId="0"/>
    <cellStyle name="Normal 61 2 6 2 3 2 6" xfId="0"/>
    <cellStyle name="Normal 61 2 6 2 3 2 6 2" xfId="0"/>
    <cellStyle name="Normal 61 2 6 2 3 2 7" xfId="0"/>
    <cellStyle name="Normal 61 2 6 2 3 3" xfId="0"/>
    <cellStyle name="Normal 61 2 6 2 3 3 2" xfId="0"/>
    <cellStyle name="Normal 61 2 6 2 3 3 2 2" xfId="0"/>
    <cellStyle name="Normal 61 2 6 2 3 3 2 2 2" xfId="0"/>
    <cellStyle name="Normal 61 2 6 2 3 3 2 2 2 2" xfId="0"/>
    <cellStyle name="Normal 61 2 6 2 3 3 2 2 3" xfId="0"/>
    <cellStyle name="Normal 61 2 6 2 3 3 2 3" xfId="0"/>
    <cellStyle name="Normal 61 2 6 2 3 3 2 3 2" xfId="0"/>
    <cellStyle name="Normal 61 2 6 2 3 3 2 3 2 2" xfId="0"/>
    <cellStyle name="Normal 61 2 6 2 3 3 2 3 3" xfId="0"/>
    <cellStyle name="Normal 61 2 6 2 3 3 2 4" xfId="0"/>
    <cellStyle name="Normal 61 2 6 2 3 3 2 4 2" xfId="0"/>
    <cellStyle name="Normal 61 2 6 2 3 3 2 5" xfId="0"/>
    <cellStyle name="Normal 61 2 6 2 3 3 3" xfId="0"/>
    <cellStyle name="Normal 61 2 6 2 3 3 3 2" xfId="0"/>
    <cellStyle name="Normal 61 2 6 2 3 3 3 2 2" xfId="0"/>
    <cellStyle name="Normal 61 2 6 2 3 3 3 3" xfId="0"/>
    <cellStyle name="Normal 61 2 6 2 3 3 4" xfId="0"/>
    <cellStyle name="Normal 61 2 6 2 3 3 4 2" xfId="0"/>
    <cellStyle name="Normal 61 2 6 2 3 3 4 2 2" xfId="0"/>
    <cellStyle name="Normal 61 2 6 2 3 3 4 3" xfId="0"/>
    <cellStyle name="Normal 61 2 6 2 3 3 5" xfId="0"/>
    <cellStyle name="Normal 61 2 6 2 3 3 5 2" xfId="0"/>
    <cellStyle name="Normal 61 2 6 2 3 3 6" xfId="0"/>
    <cellStyle name="Normal 61 2 6 2 3 4" xfId="0"/>
    <cellStyle name="Normal 61 2 6 2 3 4 2" xfId="0"/>
    <cellStyle name="Normal 61 2 6 2 3 4 2 2" xfId="0"/>
    <cellStyle name="Normal 61 2 6 2 3 4 2 2 2" xfId="0"/>
    <cellStyle name="Normal 61 2 6 2 3 4 2 3" xfId="0"/>
    <cellStyle name="Normal 61 2 6 2 3 4 3" xfId="0"/>
    <cellStyle name="Normal 61 2 6 2 3 4 3 2" xfId="0"/>
    <cellStyle name="Normal 61 2 6 2 3 4 3 2 2" xfId="0"/>
    <cellStyle name="Normal 61 2 6 2 3 4 3 3" xfId="0"/>
    <cellStyle name="Normal 61 2 6 2 3 4 4" xfId="0"/>
    <cellStyle name="Normal 61 2 6 2 3 4 4 2" xfId="0"/>
    <cellStyle name="Normal 61 2 6 2 3 4 5" xfId="0"/>
    <cellStyle name="Normal 61 2 6 2 3 5" xfId="0"/>
    <cellStyle name="Normal 61 2 6 2 3 5 2" xfId="0"/>
    <cellStyle name="Normal 61 2 6 2 3 5 2 2" xfId="0"/>
    <cellStyle name="Normal 61 2 6 2 3 5 3" xfId="0"/>
    <cellStyle name="Normal 61 2 6 2 3 6" xfId="0"/>
    <cellStyle name="Normal 61 2 6 2 3 6 2" xfId="0"/>
    <cellStyle name="Normal 61 2 6 2 3 6 2 2" xfId="0"/>
    <cellStyle name="Normal 61 2 6 2 3 6 3" xfId="0"/>
    <cellStyle name="Normal 61 2 6 2 3 7" xfId="0"/>
    <cellStyle name="Normal 61 2 6 2 3 7 2" xfId="0"/>
    <cellStyle name="Normal 61 2 6 2 3 8" xfId="0"/>
    <cellStyle name="Normal 61 2 6 2 4" xfId="0"/>
    <cellStyle name="Normal 61 2 6 2 4 2" xfId="0"/>
    <cellStyle name="Normal 61 2 6 2 4 2 2" xfId="0"/>
    <cellStyle name="Normal 61 2 6 2 4 2 2 2" xfId="0"/>
    <cellStyle name="Normal 61 2 6 2 4 2 2 2 2" xfId="0"/>
    <cellStyle name="Normal 61 2 6 2 4 2 2 2 2 2" xfId="0"/>
    <cellStyle name="Normal 61 2 6 2 4 2 2 2 3" xfId="0"/>
    <cellStyle name="Normal 61 2 6 2 4 2 2 3" xfId="0"/>
    <cellStyle name="Normal 61 2 6 2 4 2 2 3 2" xfId="0"/>
    <cellStyle name="Normal 61 2 6 2 4 2 2 3 2 2" xfId="0"/>
    <cellStyle name="Normal 61 2 6 2 4 2 2 3 3" xfId="0"/>
    <cellStyle name="Normal 61 2 6 2 4 2 2 4" xfId="0"/>
    <cellStyle name="Normal 61 2 6 2 4 2 2 4 2" xfId="0"/>
    <cellStyle name="Normal 61 2 6 2 4 2 2 5" xfId="0"/>
    <cellStyle name="Normal 61 2 6 2 4 2 3" xfId="0"/>
    <cellStyle name="Normal 61 2 6 2 4 2 3 2" xfId="0"/>
    <cellStyle name="Normal 61 2 6 2 4 2 3 2 2" xfId="0"/>
    <cellStyle name="Normal 61 2 6 2 4 2 3 3" xfId="0"/>
    <cellStyle name="Normal 61 2 6 2 4 2 4" xfId="0"/>
    <cellStyle name="Normal 61 2 6 2 4 2 4 2" xfId="0"/>
    <cellStyle name="Normal 61 2 6 2 4 2 4 2 2" xfId="0"/>
    <cellStyle name="Normal 61 2 6 2 4 2 4 3" xfId="0"/>
    <cellStyle name="Normal 61 2 6 2 4 2 5" xfId="0"/>
    <cellStyle name="Normal 61 2 6 2 4 2 5 2" xfId="0"/>
    <cellStyle name="Normal 61 2 6 2 4 2 6" xfId="0"/>
    <cellStyle name="Normal 61 2 6 2 4 3" xfId="0"/>
    <cellStyle name="Normal 61 2 6 2 4 3 2" xfId="0"/>
    <cellStyle name="Normal 61 2 6 2 4 3 2 2" xfId="0"/>
    <cellStyle name="Normal 61 2 6 2 4 3 2 2 2" xfId="0"/>
    <cellStyle name="Normal 61 2 6 2 4 3 2 3" xfId="0"/>
    <cellStyle name="Normal 61 2 6 2 4 3 3" xfId="0"/>
    <cellStyle name="Normal 61 2 6 2 4 3 3 2" xfId="0"/>
    <cellStyle name="Normal 61 2 6 2 4 3 3 2 2" xfId="0"/>
    <cellStyle name="Normal 61 2 6 2 4 3 3 3" xfId="0"/>
    <cellStyle name="Normal 61 2 6 2 4 3 4" xfId="0"/>
    <cellStyle name="Normal 61 2 6 2 4 3 4 2" xfId="0"/>
    <cellStyle name="Normal 61 2 6 2 4 3 5" xfId="0"/>
    <cellStyle name="Normal 61 2 6 2 4 4" xfId="0"/>
    <cellStyle name="Normal 61 2 6 2 4 4 2" xfId="0"/>
    <cellStyle name="Normal 61 2 6 2 4 4 2 2" xfId="0"/>
    <cellStyle name="Normal 61 2 6 2 4 4 3" xfId="0"/>
    <cellStyle name="Normal 61 2 6 2 4 5" xfId="0"/>
    <cellStyle name="Normal 61 2 6 2 4 5 2" xfId="0"/>
    <cellStyle name="Normal 61 2 6 2 4 5 2 2" xfId="0"/>
    <cellStyle name="Normal 61 2 6 2 4 5 3" xfId="0"/>
    <cellStyle name="Normal 61 2 6 2 4 6" xfId="0"/>
    <cellStyle name="Normal 61 2 6 2 4 6 2" xfId="0"/>
    <cellStyle name="Normal 61 2 6 2 4 7" xfId="0"/>
    <cellStyle name="Normal 61 2 6 2 5" xfId="0"/>
    <cellStyle name="Normal 61 2 6 2 5 2" xfId="0"/>
    <cellStyle name="Normal 61 2 6 2 5 2 2" xfId="0"/>
    <cellStyle name="Normal 61 2 6 2 5 2 2 2" xfId="0"/>
    <cellStyle name="Normal 61 2 6 2 5 2 2 2 2" xfId="0"/>
    <cellStyle name="Normal 61 2 6 2 5 2 2 3" xfId="0"/>
    <cellStyle name="Normal 61 2 6 2 5 2 3" xfId="0"/>
    <cellStyle name="Normal 61 2 6 2 5 2 3 2" xfId="0"/>
    <cellStyle name="Normal 61 2 6 2 5 2 3 2 2" xfId="0"/>
    <cellStyle name="Normal 61 2 6 2 5 2 3 3" xfId="0"/>
    <cellStyle name="Normal 61 2 6 2 5 2 4" xfId="0"/>
    <cellStyle name="Normal 61 2 6 2 5 2 4 2" xfId="0"/>
    <cellStyle name="Normal 61 2 6 2 5 2 5" xfId="0"/>
    <cellStyle name="Normal 61 2 6 2 5 3" xfId="0"/>
    <cellStyle name="Normal 61 2 6 2 5 3 2" xfId="0"/>
    <cellStyle name="Normal 61 2 6 2 5 3 2 2" xfId="0"/>
    <cellStyle name="Normal 61 2 6 2 5 3 3" xfId="0"/>
    <cellStyle name="Normal 61 2 6 2 5 4" xfId="0"/>
    <cellStyle name="Normal 61 2 6 2 5 4 2" xfId="0"/>
    <cellStyle name="Normal 61 2 6 2 5 4 2 2" xfId="0"/>
    <cellStyle name="Normal 61 2 6 2 5 4 3" xfId="0"/>
    <cellStyle name="Normal 61 2 6 2 5 5" xfId="0"/>
    <cellStyle name="Normal 61 2 6 2 5 5 2" xfId="0"/>
    <cellStyle name="Normal 61 2 6 2 5 6" xfId="0"/>
    <cellStyle name="Normal 61 2 6 2 6" xfId="0"/>
    <cellStyle name="Normal 61 2 6 2 6 2" xfId="0"/>
    <cellStyle name="Normal 61 2 6 2 6 2 2" xfId="0"/>
    <cellStyle name="Normal 61 2 6 2 6 2 2 2" xfId="0"/>
    <cellStyle name="Normal 61 2 6 2 6 2 3" xfId="0"/>
    <cellStyle name="Normal 61 2 6 2 6 3" xfId="0"/>
    <cellStyle name="Normal 61 2 6 2 6 3 2" xfId="0"/>
    <cellStyle name="Normal 61 2 6 2 6 3 2 2" xfId="0"/>
    <cellStyle name="Normal 61 2 6 2 6 3 3" xfId="0"/>
    <cellStyle name="Normal 61 2 6 2 6 4" xfId="0"/>
    <cellStyle name="Normal 61 2 6 2 6 4 2" xfId="0"/>
    <cellStyle name="Normal 61 2 6 2 6 5" xfId="0"/>
    <cellStyle name="Normal 61 2 6 2 7" xfId="0"/>
    <cellStyle name="Normal 61 2 6 2 7 2" xfId="0"/>
    <cellStyle name="Normal 61 2 6 2 7 2 2" xfId="0"/>
    <cellStyle name="Normal 61 2 6 2 7 3" xfId="0"/>
    <cellStyle name="Normal 61 2 6 2 8" xfId="0"/>
    <cellStyle name="Normal 61 2 6 2 8 2" xfId="0"/>
    <cellStyle name="Normal 61 2 6 2 8 2 2" xfId="0"/>
    <cellStyle name="Normal 61 2 6 2 8 3" xfId="0"/>
    <cellStyle name="Normal 61 2 6 2 9" xfId="0"/>
    <cellStyle name="Normal 61 2 6 2 9 2" xfId="0"/>
    <cellStyle name="Normal 61 2 6 3" xfId="0"/>
    <cellStyle name="Normal 61 2 6 3 10" xfId="0"/>
    <cellStyle name="Normal 61 2 6 3 2" xfId="0"/>
    <cellStyle name="Normal 61 2 6 3 2 2" xfId="0"/>
    <cellStyle name="Normal 61 2 6 3 2 2 2" xfId="0"/>
    <cellStyle name="Normal 61 2 6 3 2 2 2 2" xfId="0"/>
    <cellStyle name="Normal 61 2 6 3 2 2 2 2 2" xfId="0"/>
    <cellStyle name="Normal 61 2 6 3 2 2 2 2 2 2" xfId="0"/>
    <cellStyle name="Normal 61 2 6 3 2 2 2 2 2 2 2" xfId="0"/>
    <cellStyle name="Normal 61 2 6 3 2 2 2 2 2 2 2 2" xfId="0"/>
    <cellStyle name="Normal 61 2 6 3 2 2 2 2 2 2 3" xfId="0"/>
    <cellStyle name="Normal 61 2 6 3 2 2 2 2 2 3" xfId="0"/>
    <cellStyle name="Normal 61 2 6 3 2 2 2 2 2 3 2" xfId="0"/>
    <cellStyle name="Normal 61 2 6 3 2 2 2 2 2 3 2 2" xfId="0"/>
    <cellStyle name="Normal 61 2 6 3 2 2 2 2 2 3 3" xfId="0"/>
    <cellStyle name="Normal 61 2 6 3 2 2 2 2 2 4" xfId="0"/>
    <cellStyle name="Normal 61 2 6 3 2 2 2 2 2 4 2" xfId="0"/>
    <cellStyle name="Normal 61 2 6 3 2 2 2 2 2 5" xfId="0"/>
    <cellStyle name="Normal 61 2 6 3 2 2 2 2 3" xfId="0"/>
    <cellStyle name="Normal 61 2 6 3 2 2 2 2 3 2" xfId="0"/>
    <cellStyle name="Normal 61 2 6 3 2 2 2 2 3 2 2" xfId="0"/>
    <cellStyle name="Normal 61 2 6 3 2 2 2 2 3 3" xfId="0"/>
    <cellStyle name="Normal 61 2 6 3 2 2 2 2 4" xfId="0"/>
    <cellStyle name="Normal 61 2 6 3 2 2 2 2 4 2" xfId="0"/>
    <cellStyle name="Normal 61 2 6 3 2 2 2 2 4 2 2" xfId="0"/>
    <cellStyle name="Normal 61 2 6 3 2 2 2 2 4 3" xfId="0"/>
    <cellStyle name="Normal 61 2 6 3 2 2 2 2 5" xfId="0"/>
    <cellStyle name="Normal 61 2 6 3 2 2 2 2 5 2" xfId="0"/>
    <cellStyle name="Normal 61 2 6 3 2 2 2 2 6" xfId="0"/>
    <cellStyle name="Normal 61 2 6 3 2 2 2 3" xfId="0"/>
    <cellStyle name="Normal 61 2 6 3 2 2 2 3 2" xfId="0"/>
    <cellStyle name="Normal 61 2 6 3 2 2 2 3 2 2" xfId="0"/>
    <cellStyle name="Normal 61 2 6 3 2 2 2 3 2 2 2" xfId="0"/>
    <cellStyle name="Normal 61 2 6 3 2 2 2 3 2 3" xfId="0"/>
    <cellStyle name="Normal 61 2 6 3 2 2 2 3 3" xfId="0"/>
    <cellStyle name="Normal 61 2 6 3 2 2 2 3 3 2" xfId="0"/>
    <cellStyle name="Normal 61 2 6 3 2 2 2 3 3 2 2" xfId="0"/>
    <cellStyle name="Normal 61 2 6 3 2 2 2 3 3 3" xfId="0"/>
    <cellStyle name="Normal 61 2 6 3 2 2 2 3 4" xfId="0"/>
    <cellStyle name="Normal 61 2 6 3 2 2 2 3 4 2" xfId="0"/>
    <cellStyle name="Normal 61 2 6 3 2 2 2 3 5" xfId="0"/>
    <cellStyle name="Normal 61 2 6 3 2 2 2 4" xfId="0"/>
    <cellStyle name="Normal 61 2 6 3 2 2 2 4 2" xfId="0"/>
    <cellStyle name="Normal 61 2 6 3 2 2 2 4 2 2" xfId="0"/>
    <cellStyle name="Normal 61 2 6 3 2 2 2 4 3" xfId="0"/>
    <cellStyle name="Normal 61 2 6 3 2 2 2 5" xfId="0"/>
    <cellStyle name="Normal 61 2 6 3 2 2 2 5 2" xfId="0"/>
    <cellStyle name="Normal 61 2 6 3 2 2 2 5 2 2" xfId="0"/>
    <cellStyle name="Normal 61 2 6 3 2 2 2 5 3" xfId="0"/>
    <cellStyle name="Normal 61 2 6 3 2 2 2 6" xfId="0"/>
    <cellStyle name="Normal 61 2 6 3 2 2 2 6 2" xfId="0"/>
    <cellStyle name="Normal 61 2 6 3 2 2 2 7" xfId="0"/>
    <cellStyle name="Normal 61 2 6 3 2 2 3" xfId="0"/>
    <cellStyle name="Normal 61 2 6 3 2 2 3 2" xfId="0"/>
    <cellStyle name="Normal 61 2 6 3 2 2 3 2 2" xfId="0"/>
    <cellStyle name="Normal 61 2 6 3 2 2 3 2 2 2" xfId="0"/>
    <cellStyle name="Normal 61 2 6 3 2 2 3 2 2 2 2" xfId="0"/>
    <cellStyle name="Normal 61 2 6 3 2 2 3 2 2 3" xfId="0"/>
    <cellStyle name="Normal 61 2 6 3 2 2 3 2 3" xfId="0"/>
    <cellStyle name="Normal 61 2 6 3 2 2 3 2 3 2" xfId="0"/>
    <cellStyle name="Normal 61 2 6 3 2 2 3 2 3 2 2" xfId="0"/>
    <cellStyle name="Normal 61 2 6 3 2 2 3 2 3 3" xfId="0"/>
    <cellStyle name="Normal 61 2 6 3 2 2 3 2 4" xfId="0"/>
    <cellStyle name="Normal 61 2 6 3 2 2 3 2 4 2" xfId="0"/>
    <cellStyle name="Normal 61 2 6 3 2 2 3 2 5" xfId="0"/>
    <cellStyle name="Normal 61 2 6 3 2 2 3 3" xfId="0"/>
    <cellStyle name="Normal 61 2 6 3 2 2 3 3 2" xfId="0"/>
    <cellStyle name="Normal 61 2 6 3 2 2 3 3 2 2" xfId="0"/>
    <cellStyle name="Normal 61 2 6 3 2 2 3 3 3" xfId="0"/>
    <cellStyle name="Normal 61 2 6 3 2 2 3 4" xfId="0"/>
    <cellStyle name="Normal 61 2 6 3 2 2 3 4 2" xfId="0"/>
    <cellStyle name="Normal 61 2 6 3 2 2 3 4 2 2" xfId="0"/>
    <cellStyle name="Normal 61 2 6 3 2 2 3 4 3" xfId="0"/>
    <cellStyle name="Normal 61 2 6 3 2 2 3 5" xfId="0"/>
    <cellStyle name="Normal 61 2 6 3 2 2 3 5 2" xfId="0"/>
    <cellStyle name="Normal 61 2 6 3 2 2 3 6" xfId="0"/>
    <cellStyle name="Normal 61 2 6 3 2 2 4" xfId="0"/>
    <cellStyle name="Normal 61 2 6 3 2 2 4 2" xfId="0"/>
    <cellStyle name="Normal 61 2 6 3 2 2 4 2 2" xfId="0"/>
    <cellStyle name="Normal 61 2 6 3 2 2 4 2 2 2" xfId="0"/>
    <cellStyle name="Normal 61 2 6 3 2 2 4 2 3" xfId="0"/>
    <cellStyle name="Normal 61 2 6 3 2 2 4 3" xfId="0"/>
    <cellStyle name="Normal 61 2 6 3 2 2 4 3 2" xfId="0"/>
    <cellStyle name="Normal 61 2 6 3 2 2 4 3 2 2" xfId="0"/>
    <cellStyle name="Normal 61 2 6 3 2 2 4 3 3" xfId="0"/>
    <cellStyle name="Normal 61 2 6 3 2 2 4 4" xfId="0"/>
    <cellStyle name="Normal 61 2 6 3 2 2 4 4 2" xfId="0"/>
    <cellStyle name="Normal 61 2 6 3 2 2 4 5" xfId="0"/>
    <cellStyle name="Normal 61 2 6 3 2 2 5" xfId="0"/>
    <cellStyle name="Normal 61 2 6 3 2 2 5 2" xfId="0"/>
    <cellStyle name="Normal 61 2 6 3 2 2 5 2 2" xfId="0"/>
    <cellStyle name="Normal 61 2 6 3 2 2 5 3" xfId="0"/>
    <cellStyle name="Normal 61 2 6 3 2 2 6" xfId="0"/>
    <cellStyle name="Normal 61 2 6 3 2 2 6 2" xfId="0"/>
    <cellStyle name="Normal 61 2 6 3 2 2 6 2 2" xfId="0"/>
    <cellStyle name="Normal 61 2 6 3 2 2 6 3" xfId="0"/>
    <cellStyle name="Normal 61 2 6 3 2 2 7" xfId="0"/>
    <cellStyle name="Normal 61 2 6 3 2 2 7 2" xfId="0"/>
    <cellStyle name="Normal 61 2 6 3 2 2 8" xfId="0"/>
    <cellStyle name="Normal 61 2 6 3 2 3" xfId="0"/>
    <cellStyle name="Normal 61 2 6 3 2 3 2" xfId="0"/>
    <cellStyle name="Normal 61 2 6 3 2 3 2 2" xfId="0"/>
    <cellStyle name="Normal 61 2 6 3 2 3 2 2 2" xfId="0"/>
    <cellStyle name="Normal 61 2 6 3 2 3 2 2 2 2" xfId="0"/>
    <cellStyle name="Normal 61 2 6 3 2 3 2 2 2 2 2" xfId="0"/>
    <cellStyle name="Normal 61 2 6 3 2 3 2 2 2 3" xfId="0"/>
    <cellStyle name="Normal 61 2 6 3 2 3 2 2 3" xfId="0"/>
    <cellStyle name="Normal 61 2 6 3 2 3 2 2 3 2" xfId="0"/>
    <cellStyle name="Normal 61 2 6 3 2 3 2 2 3 2 2" xfId="0"/>
    <cellStyle name="Normal 61 2 6 3 2 3 2 2 3 3" xfId="0"/>
    <cellStyle name="Normal 61 2 6 3 2 3 2 2 4" xfId="0"/>
    <cellStyle name="Normal 61 2 6 3 2 3 2 2 4 2" xfId="0"/>
    <cellStyle name="Normal 61 2 6 3 2 3 2 2 5" xfId="0"/>
    <cellStyle name="Normal 61 2 6 3 2 3 2 3" xfId="0"/>
    <cellStyle name="Normal 61 2 6 3 2 3 2 3 2" xfId="0"/>
    <cellStyle name="Normal 61 2 6 3 2 3 2 3 2 2" xfId="0"/>
    <cellStyle name="Normal 61 2 6 3 2 3 2 3 3" xfId="0"/>
    <cellStyle name="Normal 61 2 6 3 2 3 2 4" xfId="0"/>
    <cellStyle name="Normal 61 2 6 3 2 3 2 4 2" xfId="0"/>
    <cellStyle name="Normal 61 2 6 3 2 3 2 4 2 2" xfId="0"/>
    <cellStyle name="Normal 61 2 6 3 2 3 2 4 3" xfId="0"/>
    <cellStyle name="Normal 61 2 6 3 2 3 2 5" xfId="0"/>
    <cellStyle name="Normal 61 2 6 3 2 3 2 5 2" xfId="0"/>
    <cellStyle name="Normal 61 2 6 3 2 3 2 6" xfId="0"/>
    <cellStyle name="Normal 61 2 6 3 2 3 3" xfId="0"/>
    <cellStyle name="Normal 61 2 6 3 2 3 3 2" xfId="0"/>
    <cellStyle name="Normal 61 2 6 3 2 3 3 2 2" xfId="0"/>
    <cellStyle name="Normal 61 2 6 3 2 3 3 2 2 2" xfId="0"/>
    <cellStyle name="Normal 61 2 6 3 2 3 3 2 3" xfId="0"/>
    <cellStyle name="Normal 61 2 6 3 2 3 3 3" xfId="0"/>
    <cellStyle name="Normal 61 2 6 3 2 3 3 3 2" xfId="0"/>
    <cellStyle name="Normal 61 2 6 3 2 3 3 3 2 2" xfId="0"/>
    <cellStyle name="Normal 61 2 6 3 2 3 3 3 3" xfId="0"/>
    <cellStyle name="Normal 61 2 6 3 2 3 3 4" xfId="0"/>
    <cellStyle name="Normal 61 2 6 3 2 3 3 4 2" xfId="0"/>
    <cellStyle name="Normal 61 2 6 3 2 3 3 5" xfId="0"/>
    <cellStyle name="Normal 61 2 6 3 2 3 4" xfId="0"/>
    <cellStyle name="Normal 61 2 6 3 2 3 4 2" xfId="0"/>
    <cellStyle name="Normal 61 2 6 3 2 3 4 2 2" xfId="0"/>
    <cellStyle name="Normal 61 2 6 3 2 3 4 3" xfId="0"/>
    <cellStyle name="Normal 61 2 6 3 2 3 5" xfId="0"/>
    <cellStyle name="Normal 61 2 6 3 2 3 5 2" xfId="0"/>
    <cellStyle name="Normal 61 2 6 3 2 3 5 2 2" xfId="0"/>
    <cellStyle name="Normal 61 2 6 3 2 3 5 3" xfId="0"/>
    <cellStyle name="Normal 61 2 6 3 2 3 6" xfId="0"/>
    <cellStyle name="Normal 61 2 6 3 2 3 6 2" xfId="0"/>
    <cellStyle name="Normal 61 2 6 3 2 3 7" xfId="0"/>
    <cellStyle name="Normal 61 2 6 3 2 4" xfId="0"/>
    <cellStyle name="Normal 61 2 6 3 2 4 2" xfId="0"/>
    <cellStyle name="Normal 61 2 6 3 2 4 2 2" xfId="0"/>
    <cellStyle name="Normal 61 2 6 3 2 4 2 2 2" xfId="0"/>
    <cellStyle name="Normal 61 2 6 3 2 4 2 2 2 2" xfId="0"/>
    <cellStyle name="Normal 61 2 6 3 2 4 2 2 3" xfId="0"/>
    <cellStyle name="Normal 61 2 6 3 2 4 2 3" xfId="0"/>
    <cellStyle name="Normal 61 2 6 3 2 4 2 3 2" xfId="0"/>
    <cellStyle name="Normal 61 2 6 3 2 4 2 3 2 2" xfId="0"/>
    <cellStyle name="Normal 61 2 6 3 2 4 2 3 3" xfId="0"/>
    <cellStyle name="Normal 61 2 6 3 2 4 2 4" xfId="0"/>
    <cellStyle name="Normal 61 2 6 3 2 4 2 4 2" xfId="0"/>
    <cellStyle name="Normal 61 2 6 3 2 4 2 5" xfId="0"/>
    <cellStyle name="Normal 61 2 6 3 2 4 3" xfId="0"/>
    <cellStyle name="Normal 61 2 6 3 2 4 3 2" xfId="0"/>
    <cellStyle name="Normal 61 2 6 3 2 4 3 2 2" xfId="0"/>
    <cellStyle name="Normal 61 2 6 3 2 4 3 3" xfId="0"/>
    <cellStyle name="Normal 61 2 6 3 2 4 4" xfId="0"/>
    <cellStyle name="Normal 61 2 6 3 2 4 4 2" xfId="0"/>
    <cellStyle name="Normal 61 2 6 3 2 4 4 2 2" xfId="0"/>
    <cellStyle name="Normal 61 2 6 3 2 4 4 3" xfId="0"/>
    <cellStyle name="Normal 61 2 6 3 2 4 5" xfId="0"/>
    <cellStyle name="Normal 61 2 6 3 2 4 5 2" xfId="0"/>
    <cellStyle name="Normal 61 2 6 3 2 4 6" xfId="0"/>
    <cellStyle name="Normal 61 2 6 3 2 5" xfId="0"/>
    <cellStyle name="Normal 61 2 6 3 2 5 2" xfId="0"/>
    <cellStyle name="Normal 61 2 6 3 2 5 2 2" xfId="0"/>
    <cellStyle name="Normal 61 2 6 3 2 5 2 2 2" xfId="0"/>
    <cellStyle name="Normal 61 2 6 3 2 5 2 3" xfId="0"/>
    <cellStyle name="Normal 61 2 6 3 2 5 3" xfId="0"/>
    <cellStyle name="Normal 61 2 6 3 2 5 3 2" xfId="0"/>
    <cellStyle name="Normal 61 2 6 3 2 5 3 2 2" xfId="0"/>
    <cellStyle name="Normal 61 2 6 3 2 5 3 3" xfId="0"/>
    <cellStyle name="Normal 61 2 6 3 2 5 4" xfId="0"/>
    <cellStyle name="Normal 61 2 6 3 2 5 4 2" xfId="0"/>
    <cellStyle name="Normal 61 2 6 3 2 5 5" xfId="0"/>
    <cellStyle name="Normal 61 2 6 3 2 6" xfId="0"/>
    <cellStyle name="Normal 61 2 6 3 2 6 2" xfId="0"/>
    <cellStyle name="Normal 61 2 6 3 2 6 2 2" xfId="0"/>
    <cellStyle name="Normal 61 2 6 3 2 6 3" xfId="0"/>
    <cellStyle name="Normal 61 2 6 3 2 7" xfId="0"/>
    <cellStyle name="Normal 61 2 6 3 2 7 2" xfId="0"/>
    <cellStyle name="Normal 61 2 6 3 2 7 2 2" xfId="0"/>
    <cellStyle name="Normal 61 2 6 3 2 7 3" xfId="0"/>
    <cellStyle name="Normal 61 2 6 3 2 8" xfId="0"/>
    <cellStyle name="Normal 61 2 6 3 2 8 2" xfId="0"/>
    <cellStyle name="Normal 61 2 6 3 2 9" xfId="0"/>
    <cellStyle name="Normal 61 2 6 3 3" xfId="0"/>
    <cellStyle name="Normal 61 2 6 3 3 2" xfId="0"/>
    <cellStyle name="Normal 61 2 6 3 3 2 2" xfId="0"/>
    <cellStyle name="Normal 61 2 6 3 3 2 2 2" xfId="0"/>
    <cellStyle name="Normal 61 2 6 3 3 2 2 2 2" xfId="0"/>
    <cellStyle name="Normal 61 2 6 3 3 2 2 2 2 2" xfId="0"/>
    <cellStyle name="Normal 61 2 6 3 3 2 2 2 2 2 2" xfId="0"/>
    <cellStyle name="Normal 61 2 6 3 3 2 2 2 2 3" xfId="0"/>
    <cellStyle name="Normal 61 2 6 3 3 2 2 2 3" xfId="0"/>
    <cellStyle name="Normal 61 2 6 3 3 2 2 2 3 2" xfId="0"/>
    <cellStyle name="Normal 61 2 6 3 3 2 2 2 3 2 2" xfId="0"/>
    <cellStyle name="Normal 61 2 6 3 3 2 2 2 3 3" xfId="0"/>
    <cellStyle name="Normal 61 2 6 3 3 2 2 2 4" xfId="0"/>
    <cellStyle name="Normal 61 2 6 3 3 2 2 2 4 2" xfId="0"/>
    <cellStyle name="Normal 61 2 6 3 3 2 2 2 5" xfId="0"/>
    <cellStyle name="Normal 61 2 6 3 3 2 2 3" xfId="0"/>
    <cellStyle name="Normal 61 2 6 3 3 2 2 3 2" xfId="0"/>
    <cellStyle name="Normal 61 2 6 3 3 2 2 3 2 2" xfId="0"/>
    <cellStyle name="Normal 61 2 6 3 3 2 2 3 3" xfId="0"/>
    <cellStyle name="Normal 61 2 6 3 3 2 2 4" xfId="0"/>
    <cellStyle name="Normal 61 2 6 3 3 2 2 4 2" xfId="0"/>
    <cellStyle name="Normal 61 2 6 3 3 2 2 4 2 2" xfId="0"/>
    <cellStyle name="Normal 61 2 6 3 3 2 2 4 3" xfId="0"/>
    <cellStyle name="Normal 61 2 6 3 3 2 2 5" xfId="0"/>
    <cellStyle name="Normal 61 2 6 3 3 2 2 5 2" xfId="0"/>
    <cellStyle name="Normal 61 2 6 3 3 2 2 6" xfId="0"/>
    <cellStyle name="Normal 61 2 6 3 3 2 3" xfId="0"/>
    <cellStyle name="Normal 61 2 6 3 3 2 3 2" xfId="0"/>
    <cellStyle name="Normal 61 2 6 3 3 2 3 2 2" xfId="0"/>
    <cellStyle name="Normal 61 2 6 3 3 2 3 2 2 2" xfId="0"/>
    <cellStyle name="Normal 61 2 6 3 3 2 3 2 3" xfId="0"/>
    <cellStyle name="Normal 61 2 6 3 3 2 3 3" xfId="0"/>
    <cellStyle name="Normal 61 2 6 3 3 2 3 3 2" xfId="0"/>
    <cellStyle name="Normal 61 2 6 3 3 2 3 3 2 2" xfId="0"/>
    <cellStyle name="Normal 61 2 6 3 3 2 3 3 3" xfId="0"/>
    <cellStyle name="Normal 61 2 6 3 3 2 3 4" xfId="0"/>
    <cellStyle name="Normal 61 2 6 3 3 2 3 4 2" xfId="0"/>
    <cellStyle name="Normal 61 2 6 3 3 2 3 5" xfId="0"/>
    <cellStyle name="Normal 61 2 6 3 3 2 4" xfId="0"/>
    <cellStyle name="Normal 61 2 6 3 3 2 4 2" xfId="0"/>
    <cellStyle name="Normal 61 2 6 3 3 2 4 2 2" xfId="0"/>
    <cellStyle name="Normal 61 2 6 3 3 2 4 3" xfId="0"/>
    <cellStyle name="Normal 61 2 6 3 3 2 5" xfId="0"/>
    <cellStyle name="Normal 61 2 6 3 3 2 5 2" xfId="0"/>
    <cellStyle name="Normal 61 2 6 3 3 2 5 2 2" xfId="0"/>
    <cellStyle name="Normal 61 2 6 3 3 2 5 3" xfId="0"/>
    <cellStyle name="Normal 61 2 6 3 3 2 6" xfId="0"/>
    <cellStyle name="Normal 61 2 6 3 3 2 6 2" xfId="0"/>
    <cellStyle name="Normal 61 2 6 3 3 2 7" xfId="0"/>
    <cellStyle name="Normal 61 2 6 3 3 3" xfId="0"/>
    <cellStyle name="Normal 61 2 6 3 3 3 2" xfId="0"/>
    <cellStyle name="Normal 61 2 6 3 3 3 2 2" xfId="0"/>
    <cellStyle name="Normal 61 2 6 3 3 3 2 2 2" xfId="0"/>
    <cellStyle name="Normal 61 2 6 3 3 3 2 2 2 2" xfId="0"/>
    <cellStyle name="Normal 61 2 6 3 3 3 2 2 3" xfId="0"/>
    <cellStyle name="Normal 61 2 6 3 3 3 2 3" xfId="0"/>
    <cellStyle name="Normal 61 2 6 3 3 3 2 3 2" xfId="0"/>
    <cellStyle name="Normal 61 2 6 3 3 3 2 3 2 2" xfId="0"/>
    <cellStyle name="Normal 61 2 6 3 3 3 2 3 3" xfId="0"/>
    <cellStyle name="Normal 61 2 6 3 3 3 2 4" xfId="0"/>
    <cellStyle name="Normal 61 2 6 3 3 3 2 4 2" xfId="0"/>
    <cellStyle name="Normal 61 2 6 3 3 3 2 5" xfId="0"/>
    <cellStyle name="Normal 61 2 6 3 3 3 3" xfId="0"/>
    <cellStyle name="Normal 61 2 6 3 3 3 3 2" xfId="0"/>
    <cellStyle name="Normal 61 2 6 3 3 3 3 2 2" xfId="0"/>
    <cellStyle name="Normal 61 2 6 3 3 3 3 3" xfId="0"/>
    <cellStyle name="Normal 61 2 6 3 3 3 4" xfId="0"/>
    <cellStyle name="Normal 61 2 6 3 3 3 4 2" xfId="0"/>
    <cellStyle name="Normal 61 2 6 3 3 3 4 2 2" xfId="0"/>
    <cellStyle name="Normal 61 2 6 3 3 3 4 3" xfId="0"/>
    <cellStyle name="Normal 61 2 6 3 3 3 5" xfId="0"/>
    <cellStyle name="Normal 61 2 6 3 3 3 5 2" xfId="0"/>
    <cellStyle name="Normal 61 2 6 3 3 3 6" xfId="0"/>
    <cellStyle name="Normal 61 2 6 3 3 4" xfId="0"/>
    <cellStyle name="Normal 61 2 6 3 3 4 2" xfId="0"/>
    <cellStyle name="Normal 61 2 6 3 3 4 2 2" xfId="0"/>
    <cellStyle name="Normal 61 2 6 3 3 4 2 2 2" xfId="0"/>
    <cellStyle name="Normal 61 2 6 3 3 4 2 3" xfId="0"/>
    <cellStyle name="Normal 61 2 6 3 3 4 3" xfId="0"/>
    <cellStyle name="Normal 61 2 6 3 3 4 3 2" xfId="0"/>
    <cellStyle name="Normal 61 2 6 3 3 4 3 2 2" xfId="0"/>
    <cellStyle name="Normal 61 2 6 3 3 4 3 3" xfId="0"/>
    <cellStyle name="Normal 61 2 6 3 3 4 4" xfId="0"/>
    <cellStyle name="Normal 61 2 6 3 3 4 4 2" xfId="0"/>
    <cellStyle name="Normal 61 2 6 3 3 4 5" xfId="0"/>
    <cellStyle name="Normal 61 2 6 3 3 5" xfId="0"/>
    <cellStyle name="Normal 61 2 6 3 3 5 2" xfId="0"/>
    <cellStyle name="Normal 61 2 6 3 3 5 2 2" xfId="0"/>
    <cellStyle name="Normal 61 2 6 3 3 5 3" xfId="0"/>
    <cellStyle name="Normal 61 2 6 3 3 6" xfId="0"/>
    <cellStyle name="Normal 61 2 6 3 3 6 2" xfId="0"/>
    <cellStyle name="Normal 61 2 6 3 3 6 2 2" xfId="0"/>
    <cellStyle name="Normal 61 2 6 3 3 6 3" xfId="0"/>
    <cellStyle name="Normal 61 2 6 3 3 7" xfId="0"/>
    <cellStyle name="Normal 61 2 6 3 3 7 2" xfId="0"/>
    <cellStyle name="Normal 61 2 6 3 3 8" xfId="0"/>
    <cellStyle name="Normal 61 2 6 3 4" xfId="0"/>
    <cellStyle name="Normal 61 2 6 3 4 2" xfId="0"/>
    <cellStyle name="Normal 61 2 6 3 4 2 2" xfId="0"/>
    <cellStyle name="Normal 61 2 6 3 4 2 2 2" xfId="0"/>
    <cellStyle name="Normal 61 2 6 3 4 2 2 2 2" xfId="0"/>
    <cellStyle name="Normal 61 2 6 3 4 2 2 2 2 2" xfId="0"/>
    <cellStyle name="Normal 61 2 6 3 4 2 2 2 3" xfId="0"/>
    <cellStyle name="Normal 61 2 6 3 4 2 2 3" xfId="0"/>
    <cellStyle name="Normal 61 2 6 3 4 2 2 3 2" xfId="0"/>
    <cellStyle name="Normal 61 2 6 3 4 2 2 3 2 2" xfId="0"/>
    <cellStyle name="Normal 61 2 6 3 4 2 2 3 3" xfId="0"/>
    <cellStyle name="Normal 61 2 6 3 4 2 2 4" xfId="0"/>
    <cellStyle name="Normal 61 2 6 3 4 2 2 4 2" xfId="0"/>
    <cellStyle name="Normal 61 2 6 3 4 2 2 5" xfId="0"/>
    <cellStyle name="Normal 61 2 6 3 4 2 3" xfId="0"/>
    <cellStyle name="Normal 61 2 6 3 4 2 3 2" xfId="0"/>
    <cellStyle name="Normal 61 2 6 3 4 2 3 2 2" xfId="0"/>
    <cellStyle name="Normal 61 2 6 3 4 2 3 3" xfId="0"/>
    <cellStyle name="Normal 61 2 6 3 4 2 4" xfId="0"/>
    <cellStyle name="Normal 61 2 6 3 4 2 4 2" xfId="0"/>
    <cellStyle name="Normal 61 2 6 3 4 2 4 2 2" xfId="0"/>
    <cellStyle name="Normal 61 2 6 3 4 2 4 3" xfId="0"/>
    <cellStyle name="Normal 61 2 6 3 4 2 5" xfId="0"/>
    <cellStyle name="Normal 61 2 6 3 4 2 5 2" xfId="0"/>
    <cellStyle name="Normal 61 2 6 3 4 2 6" xfId="0"/>
    <cellStyle name="Normal 61 2 6 3 4 3" xfId="0"/>
    <cellStyle name="Normal 61 2 6 3 4 3 2" xfId="0"/>
    <cellStyle name="Normal 61 2 6 3 4 3 2 2" xfId="0"/>
    <cellStyle name="Normal 61 2 6 3 4 3 2 2 2" xfId="0"/>
    <cellStyle name="Normal 61 2 6 3 4 3 2 3" xfId="0"/>
    <cellStyle name="Normal 61 2 6 3 4 3 3" xfId="0"/>
    <cellStyle name="Normal 61 2 6 3 4 3 3 2" xfId="0"/>
    <cellStyle name="Normal 61 2 6 3 4 3 3 2 2" xfId="0"/>
    <cellStyle name="Normal 61 2 6 3 4 3 3 3" xfId="0"/>
    <cellStyle name="Normal 61 2 6 3 4 3 4" xfId="0"/>
    <cellStyle name="Normal 61 2 6 3 4 3 4 2" xfId="0"/>
    <cellStyle name="Normal 61 2 6 3 4 3 5" xfId="0"/>
    <cellStyle name="Normal 61 2 6 3 4 4" xfId="0"/>
    <cellStyle name="Normal 61 2 6 3 4 4 2" xfId="0"/>
    <cellStyle name="Normal 61 2 6 3 4 4 2 2" xfId="0"/>
    <cellStyle name="Normal 61 2 6 3 4 4 3" xfId="0"/>
    <cellStyle name="Normal 61 2 6 3 4 5" xfId="0"/>
    <cellStyle name="Normal 61 2 6 3 4 5 2" xfId="0"/>
    <cellStyle name="Normal 61 2 6 3 4 5 2 2" xfId="0"/>
    <cellStyle name="Normal 61 2 6 3 4 5 3" xfId="0"/>
    <cellStyle name="Normal 61 2 6 3 4 6" xfId="0"/>
    <cellStyle name="Normal 61 2 6 3 4 6 2" xfId="0"/>
    <cellStyle name="Normal 61 2 6 3 4 7" xfId="0"/>
    <cellStyle name="Normal 61 2 6 3 5" xfId="0"/>
    <cellStyle name="Normal 61 2 6 3 5 2" xfId="0"/>
    <cellStyle name="Normal 61 2 6 3 5 2 2" xfId="0"/>
    <cellStyle name="Normal 61 2 6 3 5 2 2 2" xfId="0"/>
    <cellStyle name="Normal 61 2 6 3 5 2 2 2 2" xfId="0"/>
    <cellStyle name="Normal 61 2 6 3 5 2 2 3" xfId="0"/>
    <cellStyle name="Normal 61 2 6 3 5 2 3" xfId="0"/>
    <cellStyle name="Normal 61 2 6 3 5 2 3 2" xfId="0"/>
    <cellStyle name="Normal 61 2 6 3 5 2 3 2 2" xfId="0"/>
    <cellStyle name="Normal 61 2 6 3 5 2 3 3" xfId="0"/>
    <cellStyle name="Normal 61 2 6 3 5 2 4" xfId="0"/>
    <cellStyle name="Normal 61 2 6 3 5 2 4 2" xfId="0"/>
    <cellStyle name="Normal 61 2 6 3 5 2 5" xfId="0"/>
    <cellStyle name="Normal 61 2 6 3 5 3" xfId="0"/>
    <cellStyle name="Normal 61 2 6 3 5 3 2" xfId="0"/>
    <cellStyle name="Normal 61 2 6 3 5 3 2 2" xfId="0"/>
    <cellStyle name="Normal 61 2 6 3 5 3 3" xfId="0"/>
    <cellStyle name="Normal 61 2 6 3 5 4" xfId="0"/>
    <cellStyle name="Normal 61 2 6 3 5 4 2" xfId="0"/>
    <cellStyle name="Normal 61 2 6 3 5 4 2 2" xfId="0"/>
    <cellStyle name="Normal 61 2 6 3 5 4 3" xfId="0"/>
    <cellStyle name="Normal 61 2 6 3 5 5" xfId="0"/>
    <cellStyle name="Normal 61 2 6 3 5 5 2" xfId="0"/>
    <cellStyle name="Normal 61 2 6 3 5 6" xfId="0"/>
    <cellStyle name="Normal 61 2 6 3 6" xfId="0"/>
    <cellStyle name="Normal 61 2 6 3 6 2" xfId="0"/>
    <cellStyle name="Normal 61 2 6 3 6 2 2" xfId="0"/>
    <cellStyle name="Normal 61 2 6 3 6 2 2 2" xfId="0"/>
    <cellStyle name="Normal 61 2 6 3 6 2 3" xfId="0"/>
    <cellStyle name="Normal 61 2 6 3 6 3" xfId="0"/>
    <cellStyle name="Normal 61 2 6 3 6 3 2" xfId="0"/>
    <cellStyle name="Normal 61 2 6 3 6 3 2 2" xfId="0"/>
    <cellStyle name="Normal 61 2 6 3 6 3 3" xfId="0"/>
    <cellStyle name="Normal 61 2 6 3 6 4" xfId="0"/>
    <cellStyle name="Normal 61 2 6 3 6 4 2" xfId="0"/>
    <cellStyle name="Normal 61 2 6 3 6 5" xfId="0"/>
    <cellStyle name="Normal 61 2 6 3 7" xfId="0"/>
    <cellStyle name="Normal 61 2 6 3 7 2" xfId="0"/>
    <cellStyle name="Normal 61 2 6 3 7 2 2" xfId="0"/>
    <cellStyle name="Normal 61 2 6 3 7 3" xfId="0"/>
    <cellStyle name="Normal 61 2 6 3 8" xfId="0"/>
    <cellStyle name="Normal 61 2 6 3 8 2" xfId="0"/>
    <cellStyle name="Normal 61 2 6 3 8 2 2" xfId="0"/>
    <cellStyle name="Normal 61 2 6 3 8 3" xfId="0"/>
    <cellStyle name="Normal 61 2 6 3 9" xfId="0"/>
    <cellStyle name="Normal 61 2 6 3 9 2" xfId="0"/>
    <cellStyle name="Normal 61 2 6 4" xfId="0"/>
    <cellStyle name="Normal 61 2 6 4 2" xfId="0"/>
    <cellStyle name="Normal 61 2 6 4 2 2" xfId="0"/>
    <cellStyle name="Normal 61 2 6 4 2 2 2" xfId="0"/>
    <cellStyle name="Normal 61 2 6 4 2 2 2 2" xfId="0"/>
    <cellStyle name="Normal 61 2 6 4 2 2 2 2 2" xfId="0"/>
    <cellStyle name="Normal 61 2 6 4 2 2 2 2 2 2" xfId="0"/>
    <cellStyle name="Normal 61 2 6 4 2 2 2 2 2 2 2" xfId="0"/>
    <cellStyle name="Normal 61 2 6 4 2 2 2 2 2 3" xfId="0"/>
    <cellStyle name="Normal 61 2 6 4 2 2 2 2 3" xfId="0"/>
    <cellStyle name="Normal 61 2 6 4 2 2 2 2 3 2" xfId="0"/>
    <cellStyle name="Normal 61 2 6 4 2 2 2 2 3 2 2" xfId="0"/>
    <cellStyle name="Normal 61 2 6 4 2 2 2 2 3 3" xfId="0"/>
    <cellStyle name="Normal 61 2 6 4 2 2 2 2 4" xfId="0"/>
    <cellStyle name="Normal 61 2 6 4 2 2 2 2 4 2" xfId="0"/>
    <cellStyle name="Normal 61 2 6 4 2 2 2 2 5" xfId="0"/>
    <cellStyle name="Normal 61 2 6 4 2 2 2 3" xfId="0"/>
    <cellStyle name="Normal 61 2 6 4 2 2 2 3 2" xfId="0"/>
    <cellStyle name="Normal 61 2 6 4 2 2 2 3 2 2" xfId="0"/>
    <cellStyle name="Normal 61 2 6 4 2 2 2 3 3" xfId="0"/>
    <cellStyle name="Normal 61 2 6 4 2 2 2 4" xfId="0"/>
    <cellStyle name="Normal 61 2 6 4 2 2 2 4 2" xfId="0"/>
    <cellStyle name="Normal 61 2 6 4 2 2 2 4 2 2" xfId="0"/>
    <cellStyle name="Normal 61 2 6 4 2 2 2 4 3" xfId="0"/>
    <cellStyle name="Normal 61 2 6 4 2 2 2 5" xfId="0"/>
    <cellStyle name="Normal 61 2 6 4 2 2 2 5 2" xfId="0"/>
    <cellStyle name="Normal 61 2 6 4 2 2 2 6" xfId="0"/>
    <cellStyle name="Normal 61 2 6 4 2 2 3" xfId="0"/>
    <cellStyle name="Normal 61 2 6 4 2 2 3 2" xfId="0"/>
    <cellStyle name="Normal 61 2 6 4 2 2 3 2 2" xfId="0"/>
    <cellStyle name="Normal 61 2 6 4 2 2 3 2 2 2" xfId="0"/>
    <cellStyle name="Normal 61 2 6 4 2 2 3 2 3" xfId="0"/>
    <cellStyle name="Normal 61 2 6 4 2 2 3 3" xfId="0"/>
    <cellStyle name="Normal 61 2 6 4 2 2 3 3 2" xfId="0"/>
    <cellStyle name="Normal 61 2 6 4 2 2 3 3 2 2" xfId="0"/>
    <cellStyle name="Normal 61 2 6 4 2 2 3 3 3" xfId="0"/>
    <cellStyle name="Normal 61 2 6 4 2 2 3 4" xfId="0"/>
    <cellStyle name="Normal 61 2 6 4 2 2 3 4 2" xfId="0"/>
    <cellStyle name="Normal 61 2 6 4 2 2 3 5" xfId="0"/>
    <cellStyle name="Normal 61 2 6 4 2 2 4" xfId="0"/>
    <cellStyle name="Normal 61 2 6 4 2 2 4 2" xfId="0"/>
    <cellStyle name="Normal 61 2 6 4 2 2 4 2 2" xfId="0"/>
    <cellStyle name="Normal 61 2 6 4 2 2 4 3" xfId="0"/>
    <cellStyle name="Normal 61 2 6 4 2 2 5" xfId="0"/>
    <cellStyle name="Normal 61 2 6 4 2 2 5 2" xfId="0"/>
    <cellStyle name="Normal 61 2 6 4 2 2 5 2 2" xfId="0"/>
    <cellStyle name="Normal 61 2 6 4 2 2 5 3" xfId="0"/>
    <cellStyle name="Normal 61 2 6 4 2 2 6" xfId="0"/>
    <cellStyle name="Normal 61 2 6 4 2 2 6 2" xfId="0"/>
    <cellStyle name="Normal 61 2 6 4 2 2 7" xfId="0"/>
    <cellStyle name="Normal 61 2 6 4 2 3" xfId="0"/>
    <cellStyle name="Normal 61 2 6 4 2 3 2" xfId="0"/>
    <cellStyle name="Normal 61 2 6 4 2 3 2 2" xfId="0"/>
    <cellStyle name="Normal 61 2 6 4 2 3 2 2 2" xfId="0"/>
    <cellStyle name="Normal 61 2 6 4 2 3 2 2 2 2" xfId="0"/>
    <cellStyle name="Normal 61 2 6 4 2 3 2 2 3" xfId="0"/>
    <cellStyle name="Normal 61 2 6 4 2 3 2 3" xfId="0"/>
    <cellStyle name="Normal 61 2 6 4 2 3 2 3 2" xfId="0"/>
    <cellStyle name="Normal 61 2 6 4 2 3 2 3 2 2" xfId="0"/>
    <cellStyle name="Normal 61 2 6 4 2 3 2 3 3" xfId="0"/>
    <cellStyle name="Normal 61 2 6 4 2 3 2 4" xfId="0"/>
    <cellStyle name="Normal 61 2 6 4 2 3 2 4 2" xfId="0"/>
    <cellStyle name="Normal 61 2 6 4 2 3 2 5" xfId="0"/>
    <cellStyle name="Normal 61 2 6 4 2 3 3" xfId="0"/>
    <cellStyle name="Normal 61 2 6 4 2 3 3 2" xfId="0"/>
    <cellStyle name="Normal 61 2 6 4 2 3 3 2 2" xfId="0"/>
    <cellStyle name="Normal 61 2 6 4 2 3 3 3" xfId="0"/>
    <cellStyle name="Normal 61 2 6 4 2 3 4" xfId="0"/>
    <cellStyle name="Normal 61 2 6 4 2 3 4 2" xfId="0"/>
    <cellStyle name="Normal 61 2 6 4 2 3 4 2 2" xfId="0"/>
    <cellStyle name="Normal 61 2 6 4 2 3 4 3" xfId="0"/>
    <cellStyle name="Normal 61 2 6 4 2 3 5" xfId="0"/>
    <cellStyle name="Normal 61 2 6 4 2 3 5 2" xfId="0"/>
    <cellStyle name="Normal 61 2 6 4 2 3 6" xfId="0"/>
    <cellStyle name="Normal 61 2 6 4 2 4" xfId="0"/>
    <cellStyle name="Normal 61 2 6 4 2 4 2" xfId="0"/>
    <cellStyle name="Normal 61 2 6 4 2 4 2 2" xfId="0"/>
    <cellStyle name="Normal 61 2 6 4 2 4 2 2 2" xfId="0"/>
    <cellStyle name="Normal 61 2 6 4 2 4 2 3" xfId="0"/>
    <cellStyle name="Normal 61 2 6 4 2 4 3" xfId="0"/>
    <cellStyle name="Normal 61 2 6 4 2 4 3 2" xfId="0"/>
    <cellStyle name="Normal 61 2 6 4 2 4 3 2 2" xfId="0"/>
    <cellStyle name="Normal 61 2 6 4 2 4 3 3" xfId="0"/>
    <cellStyle name="Normal 61 2 6 4 2 4 4" xfId="0"/>
    <cellStyle name="Normal 61 2 6 4 2 4 4 2" xfId="0"/>
    <cellStyle name="Normal 61 2 6 4 2 4 5" xfId="0"/>
    <cellStyle name="Normal 61 2 6 4 2 5" xfId="0"/>
    <cellStyle name="Normal 61 2 6 4 2 5 2" xfId="0"/>
    <cellStyle name="Normal 61 2 6 4 2 5 2 2" xfId="0"/>
    <cellStyle name="Normal 61 2 6 4 2 5 3" xfId="0"/>
    <cellStyle name="Normal 61 2 6 4 2 6" xfId="0"/>
    <cellStyle name="Normal 61 2 6 4 2 6 2" xfId="0"/>
    <cellStyle name="Normal 61 2 6 4 2 6 2 2" xfId="0"/>
    <cellStyle name="Normal 61 2 6 4 2 6 3" xfId="0"/>
    <cellStyle name="Normal 61 2 6 4 2 7" xfId="0"/>
    <cellStyle name="Normal 61 2 6 4 2 7 2" xfId="0"/>
    <cellStyle name="Normal 61 2 6 4 2 8" xfId="0"/>
    <cellStyle name="Normal 61 2 6 4 3" xfId="0"/>
    <cellStyle name="Normal 61 2 6 4 3 2" xfId="0"/>
    <cellStyle name="Normal 61 2 6 4 3 2 2" xfId="0"/>
    <cellStyle name="Normal 61 2 6 4 3 2 2 2" xfId="0"/>
    <cellStyle name="Normal 61 2 6 4 3 2 2 2 2" xfId="0"/>
    <cellStyle name="Normal 61 2 6 4 3 2 2 2 2 2" xfId="0"/>
    <cellStyle name="Normal 61 2 6 4 3 2 2 2 3" xfId="0"/>
    <cellStyle name="Normal 61 2 6 4 3 2 2 3" xfId="0"/>
    <cellStyle name="Normal 61 2 6 4 3 2 2 3 2" xfId="0"/>
    <cellStyle name="Normal 61 2 6 4 3 2 2 3 2 2" xfId="0"/>
    <cellStyle name="Normal 61 2 6 4 3 2 2 3 3" xfId="0"/>
    <cellStyle name="Normal 61 2 6 4 3 2 2 4" xfId="0"/>
    <cellStyle name="Normal 61 2 6 4 3 2 2 4 2" xfId="0"/>
    <cellStyle name="Normal 61 2 6 4 3 2 2 5" xfId="0"/>
    <cellStyle name="Normal 61 2 6 4 3 2 3" xfId="0"/>
    <cellStyle name="Normal 61 2 6 4 3 2 3 2" xfId="0"/>
    <cellStyle name="Normal 61 2 6 4 3 2 3 2 2" xfId="0"/>
    <cellStyle name="Normal 61 2 6 4 3 2 3 3" xfId="0"/>
    <cellStyle name="Normal 61 2 6 4 3 2 4" xfId="0"/>
    <cellStyle name="Normal 61 2 6 4 3 2 4 2" xfId="0"/>
    <cellStyle name="Normal 61 2 6 4 3 2 4 2 2" xfId="0"/>
    <cellStyle name="Normal 61 2 6 4 3 2 4 3" xfId="0"/>
    <cellStyle name="Normal 61 2 6 4 3 2 5" xfId="0"/>
    <cellStyle name="Normal 61 2 6 4 3 2 5 2" xfId="0"/>
    <cellStyle name="Normal 61 2 6 4 3 2 6" xfId="0"/>
    <cellStyle name="Normal 61 2 6 4 3 3" xfId="0"/>
    <cellStyle name="Normal 61 2 6 4 3 3 2" xfId="0"/>
    <cellStyle name="Normal 61 2 6 4 3 3 2 2" xfId="0"/>
    <cellStyle name="Normal 61 2 6 4 3 3 2 2 2" xfId="0"/>
    <cellStyle name="Normal 61 2 6 4 3 3 2 3" xfId="0"/>
    <cellStyle name="Normal 61 2 6 4 3 3 3" xfId="0"/>
    <cellStyle name="Normal 61 2 6 4 3 3 3 2" xfId="0"/>
    <cellStyle name="Normal 61 2 6 4 3 3 3 2 2" xfId="0"/>
    <cellStyle name="Normal 61 2 6 4 3 3 3 3" xfId="0"/>
    <cellStyle name="Normal 61 2 6 4 3 3 4" xfId="0"/>
    <cellStyle name="Normal 61 2 6 4 3 3 4 2" xfId="0"/>
    <cellStyle name="Normal 61 2 6 4 3 3 5" xfId="0"/>
    <cellStyle name="Normal 61 2 6 4 3 4" xfId="0"/>
    <cellStyle name="Normal 61 2 6 4 3 4 2" xfId="0"/>
    <cellStyle name="Normal 61 2 6 4 3 4 2 2" xfId="0"/>
    <cellStyle name="Normal 61 2 6 4 3 4 3" xfId="0"/>
    <cellStyle name="Normal 61 2 6 4 3 5" xfId="0"/>
    <cellStyle name="Normal 61 2 6 4 3 5 2" xfId="0"/>
    <cellStyle name="Normal 61 2 6 4 3 5 2 2" xfId="0"/>
    <cellStyle name="Normal 61 2 6 4 3 5 3" xfId="0"/>
    <cellStyle name="Normal 61 2 6 4 3 6" xfId="0"/>
    <cellStyle name="Normal 61 2 6 4 3 6 2" xfId="0"/>
    <cellStyle name="Normal 61 2 6 4 3 7" xfId="0"/>
    <cellStyle name="Normal 61 2 6 4 4" xfId="0"/>
    <cellStyle name="Normal 61 2 6 4 4 2" xfId="0"/>
    <cellStyle name="Normal 61 2 6 4 4 2 2" xfId="0"/>
    <cellStyle name="Normal 61 2 6 4 4 2 2 2" xfId="0"/>
    <cellStyle name="Normal 61 2 6 4 4 2 2 2 2" xfId="0"/>
    <cellStyle name="Normal 61 2 6 4 4 2 2 3" xfId="0"/>
    <cellStyle name="Normal 61 2 6 4 4 2 3" xfId="0"/>
    <cellStyle name="Normal 61 2 6 4 4 2 3 2" xfId="0"/>
    <cellStyle name="Normal 61 2 6 4 4 2 3 2 2" xfId="0"/>
    <cellStyle name="Normal 61 2 6 4 4 2 3 3" xfId="0"/>
    <cellStyle name="Normal 61 2 6 4 4 2 4" xfId="0"/>
    <cellStyle name="Normal 61 2 6 4 4 2 4 2" xfId="0"/>
    <cellStyle name="Normal 61 2 6 4 4 2 5" xfId="0"/>
    <cellStyle name="Normal 61 2 6 4 4 3" xfId="0"/>
    <cellStyle name="Normal 61 2 6 4 4 3 2" xfId="0"/>
    <cellStyle name="Normal 61 2 6 4 4 3 2 2" xfId="0"/>
    <cellStyle name="Normal 61 2 6 4 4 3 3" xfId="0"/>
    <cellStyle name="Normal 61 2 6 4 4 4" xfId="0"/>
    <cellStyle name="Normal 61 2 6 4 4 4 2" xfId="0"/>
    <cellStyle name="Normal 61 2 6 4 4 4 2 2" xfId="0"/>
    <cellStyle name="Normal 61 2 6 4 4 4 3" xfId="0"/>
    <cellStyle name="Normal 61 2 6 4 4 5" xfId="0"/>
    <cellStyle name="Normal 61 2 6 4 4 5 2" xfId="0"/>
    <cellStyle name="Normal 61 2 6 4 4 6" xfId="0"/>
    <cellStyle name="Normal 61 2 6 4 5" xfId="0"/>
    <cellStyle name="Normal 61 2 6 4 5 2" xfId="0"/>
    <cellStyle name="Normal 61 2 6 4 5 2 2" xfId="0"/>
    <cellStyle name="Normal 61 2 6 4 5 2 2 2" xfId="0"/>
    <cellStyle name="Normal 61 2 6 4 5 2 3" xfId="0"/>
    <cellStyle name="Normal 61 2 6 4 5 3" xfId="0"/>
    <cellStyle name="Normal 61 2 6 4 5 3 2" xfId="0"/>
    <cellStyle name="Normal 61 2 6 4 5 3 2 2" xfId="0"/>
    <cellStyle name="Normal 61 2 6 4 5 3 3" xfId="0"/>
    <cellStyle name="Normal 61 2 6 4 5 4" xfId="0"/>
    <cellStyle name="Normal 61 2 6 4 5 4 2" xfId="0"/>
    <cellStyle name="Normal 61 2 6 4 5 5" xfId="0"/>
    <cellStyle name="Normal 61 2 6 4 6" xfId="0"/>
    <cellStyle name="Normal 61 2 6 4 6 2" xfId="0"/>
    <cellStyle name="Normal 61 2 6 4 6 2 2" xfId="0"/>
    <cellStyle name="Normal 61 2 6 4 6 3" xfId="0"/>
    <cellStyle name="Normal 61 2 6 4 7" xfId="0"/>
    <cellStyle name="Normal 61 2 6 4 7 2" xfId="0"/>
    <cellStyle name="Normal 61 2 6 4 7 2 2" xfId="0"/>
    <cellStyle name="Normal 61 2 6 4 7 3" xfId="0"/>
    <cellStyle name="Normal 61 2 6 4 8" xfId="0"/>
    <cellStyle name="Normal 61 2 6 4 8 2" xfId="0"/>
    <cellStyle name="Normal 61 2 6 4 9" xfId="0"/>
    <cellStyle name="Normal 61 2 6 5" xfId="0"/>
    <cellStyle name="Normal 61 2 6 5 2" xfId="0"/>
    <cellStyle name="Normal 61 2 6 5 2 2" xfId="0"/>
    <cellStyle name="Normal 61 2 6 5 2 2 2" xfId="0"/>
    <cellStyle name="Normal 61 2 6 5 2 2 2 2" xfId="0"/>
    <cellStyle name="Normal 61 2 6 5 2 2 2 2 2" xfId="0"/>
    <cellStyle name="Normal 61 2 6 5 2 2 2 2 2 2" xfId="0"/>
    <cellStyle name="Normal 61 2 6 5 2 2 2 2 3" xfId="0"/>
    <cellStyle name="Normal 61 2 6 5 2 2 2 3" xfId="0"/>
    <cellStyle name="Normal 61 2 6 5 2 2 2 3 2" xfId="0"/>
    <cellStyle name="Normal 61 2 6 5 2 2 2 3 2 2" xfId="0"/>
    <cellStyle name="Normal 61 2 6 5 2 2 2 3 3" xfId="0"/>
    <cellStyle name="Normal 61 2 6 5 2 2 2 4" xfId="0"/>
    <cellStyle name="Normal 61 2 6 5 2 2 2 4 2" xfId="0"/>
    <cellStyle name="Normal 61 2 6 5 2 2 2 5" xfId="0"/>
    <cellStyle name="Normal 61 2 6 5 2 2 3" xfId="0"/>
    <cellStyle name="Normal 61 2 6 5 2 2 3 2" xfId="0"/>
    <cellStyle name="Normal 61 2 6 5 2 2 3 2 2" xfId="0"/>
    <cellStyle name="Normal 61 2 6 5 2 2 3 3" xfId="0"/>
    <cellStyle name="Normal 61 2 6 5 2 2 4" xfId="0"/>
    <cellStyle name="Normal 61 2 6 5 2 2 4 2" xfId="0"/>
    <cellStyle name="Normal 61 2 6 5 2 2 4 2 2" xfId="0"/>
    <cellStyle name="Normal 61 2 6 5 2 2 4 3" xfId="0"/>
    <cellStyle name="Normal 61 2 6 5 2 2 5" xfId="0"/>
    <cellStyle name="Normal 61 2 6 5 2 2 5 2" xfId="0"/>
    <cellStyle name="Normal 61 2 6 5 2 2 6" xfId="0"/>
    <cellStyle name="Normal 61 2 6 5 2 3" xfId="0"/>
    <cellStyle name="Normal 61 2 6 5 2 3 2" xfId="0"/>
    <cellStyle name="Normal 61 2 6 5 2 3 2 2" xfId="0"/>
    <cellStyle name="Normal 61 2 6 5 2 3 2 2 2" xfId="0"/>
    <cellStyle name="Normal 61 2 6 5 2 3 2 3" xfId="0"/>
    <cellStyle name="Normal 61 2 6 5 2 3 3" xfId="0"/>
    <cellStyle name="Normal 61 2 6 5 2 3 3 2" xfId="0"/>
    <cellStyle name="Normal 61 2 6 5 2 3 3 2 2" xfId="0"/>
    <cellStyle name="Normal 61 2 6 5 2 3 3 3" xfId="0"/>
    <cellStyle name="Normal 61 2 6 5 2 3 4" xfId="0"/>
    <cellStyle name="Normal 61 2 6 5 2 3 4 2" xfId="0"/>
    <cellStyle name="Normal 61 2 6 5 2 3 5" xfId="0"/>
    <cellStyle name="Normal 61 2 6 5 2 4" xfId="0"/>
    <cellStyle name="Normal 61 2 6 5 2 4 2" xfId="0"/>
    <cellStyle name="Normal 61 2 6 5 2 4 2 2" xfId="0"/>
    <cellStyle name="Normal 61 2 6 5 2 4 3" xfId="0"/>
    <cellStyle name="Normal 61 2 6 5 2 5" xfId="0"/>
    <cellStyle name="Normal 61 2 6 5 2 5 2" xfId="0"/>
    <cellStyle name="Normal 61 2 6 5 2 5 2 2" xfId="0"/>
    <cellStyle name="Normal 61 2 6 5 2 5 3" xfId="0"/>
    <cellStyle name="Normal 61 2 6 5 2 6" xfId="0"/>
    <cellStyle name="Normal 61 2 6 5 2 6 2" xfId="0"/>
    <cellStyle name="Normal 61 2 6 5 2 7" xfId="0"/>
    <cellStyle name="Normal 61 2 6 5 3" xfId="0"/>
    <cellStyle name="Normal 61 2 6 5 3 2" xfId="0"/>
    <cellStyle name="Normal 61 2 6 5 3 2 2" xfId="0"/>
    <cellStyle name="Normal 61 2 6 5 3 2 2 2" xfId="0"/>
    <cellStyle name="Normal 61 2 6 5 3 2 2 2 2" xfId="0"/>
    <cellStyle name="Normal 61 2 6 5 3 2 2 3" xfId="0"/>
    <cellStyle name="Normal 61 2 6 5 3 2 3" xfId="0"/>
    <cellStyle name="Normal 61 2 6 5 3 2 3 2" xfId="0"/>
    <cellStyle name="Normal 61 2 6 5 3 2 3 2 2" xfId="0"/>
    <cellStyle name="Normal 61 2 6 5 3 2 3 3" xfId="0"/>
    <cellStyle name="Normal 61 2 6 5 3 2 4" xfId="0"/>
    <cellStyle name="Normal 61 2 6 5 3 2 4 2" xfId="0"/>
    <cellStyle name="Normal 61 2 6 5 3 2 5" xfId="0"/>
    <cellStyle name="Normal 61 2 6 5 3 3" xfId="0"/>
    <cellStyle name="Normal 61 2 6 5 3 3 2" xfId="0"/>
    <cellStyle name="Normal 61 2 6 5 3 3 2 2" xfId="0"/>
    <cellStyle name="Normal 61 2 6 5 3 3 3" xfId="0"/>
    <cellStyle name="Normal 61 2 6 5 3 4" xfId="0"/>
    <cellStyle name="Normal 61 2 6 5 3 4 2" xfId="0"/>
    <cellStyle name="Normal 61 2 6 5 3 4 2 2" xfId="0"/>
    <cellStyle name="Normal 61 2 6 5 3 4 3" xfId="0"/>
    <cellStyle name="Normal 61 2 6 5 3 5" xfId="0"/>
    <cellStyle name="Normal 61 2 6 5 3 5 2" xfId="0"/>
    <cellStyle name="Normal 61 2 6 5 3 6" xfId="0"/>
    <cellStyle name="Normal 61 2 6 5 4" xfId="0"/>
    <cellStyle name="Normal 61 2 6 5 4 2" xfId="0"/>
    <cellStyle name="Normal 61 2 6 5 4 2 2" xfId="0"/>
    <cellStyle name="Normal 61 2 6 5 4 2 2 2" xfId="0"/>
    <cellStyle name="Normal 61 2 6 5 4 2 3" xfId="0"/>
    <cellStyle name="Normal 61 2 6 5 4 3" xfId="0"/>
    <cellStyle name="Normal 61 2 6 5 4 3 2" xfId="0"/>
    <cellStyle name="Normal 61 2 6 5 4 3 2 2" xfId="0"/>
    <cellStyle name="Normal 61 2 6 5 4 3 3" xfId="0"/>
    <cellStyle name="Normal 61 2 6 5 4 4" xfId="0"/>
    <cellStyle name="Normal 61 2 6 5 4 4 2" xfId="0"/>
    <cellStyle name="Normal 61 2 6 5 4 5" xfId="0"/>
    <cellStyle name="Normal 61 2 6 5 5" xfId="0"/>
    <cellStyle name="Normal 61 2 6 5 5 2" xfId="0"/>
    <cellStyle name="Normal 61 2 6 5 5 2 2" xfId="0"/>
    <cellStyle name="Normal 61 2 6 5 5 3" xfId="0"/>
    <cellStyle name="Normal 61 2 6 5 6" xfId="0"/>
    <cellStyle name="Normal 61 2 6 5 6 2" xfId="0"/>
    <cellStyle name="Normal 61 2 6 5 6 2 2" xfId="0"/>
    <cellStyle name="Normal 61 2 6 5 6 3" xfId="0"/>
    <cellStyle name="Normal 61 2 6 5 7" xfId="0"/>
    <cellStyle name="Normal 61 2 6 5 7 2" xfId="0"/>
    <cellStyle name="Normal 61 2 6 5 8" xfId="0"/>
    <cellStyle name="Normal 61 2 6 6" xfId="0"/>
    <cellStyle name="Normal 61 2 6 6 2" xfId="0"/>
    <cellStyle name="Normal 61 2 6 6 2 2" xfId="0"/>
    <cellStyle name="Normal 61 2 6 6 2 2 2" xfId="0"/>
    <cellStyle name="Normal 61 2 6 6 2 2 2 2" xfId="0"/>
    <cellStyle name="Normal 61 2 6 6 2 2 2 2 2" xfId="0"/>
    <cellStyle name="Normal 61 2 6 6 2 2 2 3" xfId="0"/>
    <cellStyle name="Normal 61 2 6 6 2 2 3" xfId="0"/>
    <cellStyle name="Normal 61 2 6 6 2 2 3 2" xfId="0"/>
    <cellStyle name="Normal 61 2 6 6 2 2 3 2 2" xfId="0"/>
    <cellStyle name="Normal 61 2 6 6 2 2 3 3" xfId="0"/>
    <cellStyle name="Normal 61 2 6 6 2 2 4" xfId="0"/>
    <cellStyle name="Normal 61 2 6 6 2 2 4 2" xfId="0"/>
    <cellStyle name="Normal 61 2 6 6 2 2 5" xfId="0"/>
    <cellStyle name="Normal 61 2 6 6 2 3" xfId="0"/>
    <cellStyle name="Normal 61 2 6 6 2 3 2" xfId="0"/>
    <cellStyle name="Normal 61 2 6 6 2 3 2 2" xfId="0"/>
    <cellStyle name="Normal 61 2 6 6 2 3 3" xfId="0"/>
    <cellStyle name="Normal 61 2 6 6 2 4" xfId="0"/>
    <cellStyle name="Normal 61 2 6 6 2 4 2" xfId="0"/>
    <cellStyle name="Normal 61 2 6 6 2 4 2 2" xfId="0"/>
    <cellStyle name="Normal 61 2 6 6 2 4 3" xfId="0"/>
    <cellStyle name="Normal 61 2 6 6 2 5" xfId="0"/>
    <cellStyle name="Normal 61 2 6 6 2 5 2" xfId="0"/>
    <cellStyle name="Normal 61 2 6 6 2 6" xfId="0"/>
    <cellStyle name="Normal 61 2 6 6 3" xfId="0"/>
    <cellStyle name="Normal 61 2 6 6 3 2" xfId="0"/>
    <cellStyle name="Normal 61 2 6 6 3 2 2" xfId="0"/>
    <cellStyle name="Normal 61 2 6 6 3 2 2 2" xfId="0"/>
    <cellStyle name="Normal 61 2 6 6 3 2 3" xfId="0"/>
    <cellStyle name="Normal 61 2 6 6 3 3" xfId="0"/>
    <cellStyle name="Normal 61 2 6 6 3 3 2" xfId="0"/>
    <cellStyle name="Normal 61 2 6 6 3 3 2 2" xfId="0"/>
    <cellStyle name="Normal 61 2 6 6 3 3 3" xfId="0"/>
    <cellStyle name="Normal 61 2 6 6 3 4" xfId="0"/>
    <cellStyle name="Normal 61 2 6 6 3 4 2" xfId="0"/>
    <cellStyle name="Normal 61 2 6 6 3 5" xfId="0"/>
    <cellStyle name="Normal 61 2 6 6 4" xfId="0"/>
    <cellStyle name="Normal 61 2 6 6 4 2" xfId="0"/>
    <cellStyle name="Normal 61 2 6 6 4 2 2" xfId="0"/>
    <cellStyle name="Normal 61 2 6 6 4 3" xfId="0"/>
    <cellStyle name="Normal 61 2 6 6 5" xfId="0"/>
    <cellStyle name="Normal 61 2 6 6 5 2" xfId="0"/>
    <cellStyle name="Normal 61 2 6 6 5 2 2" xfId="0"/>
    <cellStyle name="Normal 61 2 6 6 5 3" xfId="0"/>
    <cellStyle name="Normal 61 2 6 6 6" xfId="0"/>
    <cellStyle name="Normal 61 2 6 6 6 2" xfId="0"/>
    <cellStyle name="Normal 61 2 6 6 7" xfId="0"/>
    <cellStyle name="Normal 61 2 6 7" xfId="0"/>
    <cellStyle name="Normal 61 2 6 7 2" xfId="0"/>
    <cellStyle name="Normal 61 2 6 7 2 2" xfId="0"/>
    <cellStyle name="Normal 61 2 6 7 2 2 2" xfId="0"/>
    <cellStyle name="Normal 61 2 6 7 2 2 2 2" xfId="0"/>
    <cellStyle name="Normal 61 2 6 7 2 2 3" xfId="0"/>
    <cellStyle name="Normal 61 2 6 7 2 3" xfId="0"/>
    <cellStyle name="Normal 61 2 6 7 2 3 2" xfId="0"/>
    <cellStyle name="Normal 61 2 6 7 2 3 2 2" xfId="0"/>
    <cellStyle name="Normal 61 2 6 7 2 3 3" xfId="0"/>
    <cellStyle name="Normal 61 2 6 7 2 4" xfId="0"/>
    <cellStyle name="Normal 61 2 6 7 2 4 2" xfId="0"/>
    <cellStyle name="Normal 61 2 6 7 2 5" xfId="0"/>
    <cellStyle name="Normal 61 2 6 7 3" xfId="0"/>
    <cellStyle name="Normal 61 2 6 7 3 2" xfId="0"/>
    <cellStyle name="Normal 61 2 6 7 3 2 2" xfId="0"/>
    <cellStyle name="Normal 61 2 6 7 3 3" xfId="0"/>
    <cellStyle name="Normal 61 2 6 7 4" xfId="0"/>
    <cellStyle name="Normal 61 2 6 7 4 2" xfId="0"/>
    <cellStyle name="Normal 61 2 6 7 4 2 2" xfId="0"/>
    <cellStyle name="Normal 61 2 6 7 4 3" xfId="0"/>
    <cellStyle name="Normal 61 2 6 7 5" xfId="0"/>
    <cellStyle name="Normal 61 2 6 7 5 2" xfId="0"/>
    <cellStyle name="Normal 61 2 6 7 6" xfId="0"/>
    <cellStyle name="Normal 61 2 6 8" xfId="0"/>
    <cellStyle name="Normal 61 2 6 8 2" xfId="0"/>
    <cellStyle name="Normal 61 2 6 8 2 2" xfId="0"/>
    <cellStyle name="Normal 61 2 6 8 2 2 2" xfId="0"/>
    <cellStyle name="Normal 61 2 6 8 2 3" xfId="0"/>
    <cellStyle name="Normal 61 2 6 8 3" xfId="0"/>
    <cellStyle name="Normal 61 2 6 8 3 2" xfId="0"/>
    <cellStyle name="Normal 61 2 6 8 3 2 2" xfId="0"/>
    <cellStyle name="Normal 61 2 6 8 3 3" xfId="0"/>
    <cellStyle name="Normal 61 2 6 8 4" xfId="0"/>
    <cellStyle name="Normal 61 2 6 8 4 2" xfId="0"/>
    <cellStyle name="Normal 61 2 6 8 5" xfId="0"/>
    <cellStyle name="Normal 61 2 6 9" xfId="0"/>
    <cellStyle name="Normal 61 2 6 9 2" xfId="0"/>
    <cellStyle name="Normal 61 2 6 9 2 2" xfId="0"/>
    <cellStyle name="Normal 61 2 6 9 3" xfId="0"/>
    <cellStyle name="Normal 61 2 7" xfId="0"/>
    <cellStyle name="Normal 61 2 7 10" xfId="0"/>
    <cellStyle name="Normal 61 2 7 2" xfId="0"/>
    <cellStyle name="Normal 61 2 7 2 2" xfId="0"/>
    <cellStyle name="Normal 61 2 7 2 2 2" xfId="0"/>
    <cellStyle name="Normal 61 2 7 2 2 2 2" xfId="0"/>
    <cellStyle name="Normal 61 2 7 2 2 2 2 2" xfId="0"/>
    <cellStyle name="Normal 61 2 7 2 2 2 2 2 2" xfId="0"/>
    <cellStyle name="Normal 61 2 7 2 2 2 2 2 2 2" xfId="0"/>
    <cellStyle name="Normal 61 2 7 2 2 2 2 2 2 2 2" xfId="0"/>
    <cellStyle name="Normal 61 2 7 2 2 2 2 2 2 3" xfId="0"/>
    <cellStyle name="Normal 61 2 7 2 2 2 2 2 3" xfId="0"/>
    <cellStyle name="Normal 61 2 7 2 2 2 2 2 3 2" xfId="0"/>
    <cellStyle name="Normal 61 2 7 2 2 2 2 2 3 2 2" xfId="0"/>
    <cellStyle name="Normal 61 2 7 2 2 2 2 2 3 3" xfId="0"/>
    <cellStyle name="Normal 61 2 7 2 2 2 2 2 4" xfId="0"/>
    <cellStyle name="Normal 61 2 7 2 2 2 2 2 4 2" xfId="0"/>
    <cellStyle name="Normal 61 2 7 2 2 2 2 2 5" xfId="0"/>
    <cellStyle name="Normal 61 2 7 2 2 2 2 3" xfId="0"/>
    <cellStyle name="Normal 61 2 7 2 2 2 2 3 2" xfId="0"/>
    <cellStyle name="Normal 61 2 7 2 2 2 2 3 2 2" xfId="0"/>
    <cellStyle name="Normal 61 2 7 2 2 2 2 3 3" xfId="0"/>
    <cellStyle name="Normal 61 2 7 2 2 2 2 4" xfId="0"/>
    <cellStyle name="Normal 61 2 7 2 2 2 2 4 2" xfId="0"/>
    <cellStyle name="Normal 61 2 7 2 2 2 2 4 2 2" xfId="0"/>
    <cellStyle name="Normal 61 2 7 2 2 2 2 4 3" xfId="0"/>
    <cellStyle name="Normal 61 2 7 2 2 2 2 5" xfId="0"/>
    <cellStyle name="Normal 61 2 7 2 2 2 2 5 2" xfId="0"/>
    <cellStyle name="Normal 61 2 7 2 2 2 2 6" xfId="0"/>
    <cellStyle name="Normal 61 2 7 2 2 2 3" xfId="0"/>
    <cellStyle name="Normal 61 2 7 2 2 2 3 2" xfId="0"/>
    <cellStyle name="Normal 61 2 7 2 2 2 3 2 2" xfId="0"/>
    <cellStyle name="Normal 61 2 7 2 2 2 3 2 2 2" xfId="0"/>
    <cellStyle name="Normal 61 2 7 2 2 2 3 2 3" xfId="0"/>
    <cellStyle name="Normal 61 2 7 2 2 2 3 3" xfId="0"/>
    <cellStyle name="Normal 61 2 7 2 2 2 3 3 2" xfId="0"/>
    <cellStyle name="Normal 61 2 7 2 2 2 3 3 2 2" xfId="0"/>
    <cellStyle name="Normal 61 2 7 2 2 2 3 3 3" xfId="0"/>
    <cellStyle name="Normal 61 2 7 2 2 2 3 4" xfId="0"/>
    <cellStyle name="Normal 61 2 7 2 2 2 3 4 2" xfId="0"/>
    <cellStyle name="Normal 61 2 7 2 2 2 3 5" xfId="0"/>
    <cellStyle name="Normal 61 2 7 2 2 2 4" xfId="0"/>
    <cellStyle name="Normal 61 2 7 2 2 2 4 2" xfId="0"/>
    <cellStyle name="Normal 61 2 7 2 2 2 4 2 2" xfId="0"/>
    <cellStyle name="Normal 61 2 7 2 2 2 4 3" xfId="0"/>
    <cellStyle name="Normal 61 2 7 2 2 2 5" xfId="0"/>
    <cellStyle name="Normal 61 2 7 2 2 2 5 2" xfId="0"/>
    <cellStyle name="Normal 61 2 7 2 2 2 5 2 2" xfId="0"/>
    <cellStyle name="Normal 61 2 7 2 2 2 5 3" xfId="0"/>
    <cellStyle name="Normal 61 2 7 2 2 2 6" xfId="0"/>
    <cellStyle name="Normal 61 2 7 2 2 2 6 2" xfId="0"/>
    <cellStyle name="Normal 61 2 7 2 2 2 7" xfId="0"/>
    <cellStyle name="Normal 61 2 7 2 2 3" xfId="0"/>
    <cellStyle name="Normal 61 2 7 2 2 3 2" xfId="0"/>
    <cellStyle name="Normal 61 2 7 2 2 3 2 2" xfId="0"/>
    <cellStyle name="Normal 61 2 7 2 2 3 2 2 2" xfId="0"/>
    <cellStyle name="Normal 61 2 7 2 2 3 2 2 2 2" xfId="0"/>
    <cellStyle name="Normal 61 2 7 2 2 3 2 2 3" xfId="0"/>
    <cellStyle name="Normal 61 2 7 2 2 3 2 3" xfId="0"/>
    <cellStyle name="Normal 61 2 7 2 2 3 2 3 2" xfId="0"/>
    <cellStyle name="Normal 61 2 7 2 2 3 2 3 2 2" xfId="0"/>
    <cellStyle name="Normal 61 2 7 2 2 3 2 3 3" xfId="0"/>
    <cellStyle name="Normal 61 2 7 2 2 3 2 4" xfId="0"/>
    <cellStyle name="Normal 61 2 7 2 2 3 2 4 2" xfId="0"/>
    <cellStyle name="Normal 61 2 7 2 2 3 2 5" xfId="0"/>
    <cellStyle name="Normal 61 2 7 2 2 3 3" xfId="0"/>
    <cellStyle name="Normal 61 2 7 2 2 3 3 2" xfId="0"/>
    <cellStyle name="Normal 61 2 7 2 2 3 3 2 2" xfId="0"/>
    <cellStyle name="Normal 61 2 7 2 2 3 3 3" xfId="0"/>
    <cellStyle name="Normal 61 2 7 2 2 3 4" xfId="0"/>
    <cellStyle name="Normal 61 2 7 2 2 3 4 2" xfId="0"/>
    <cellStyle name="Normal 61 2 7 2 2 3 4 2 2" xfId="0"/>
    <cellStyle name="Normal 61 2 7 2 2 3 4 3" xfId="0"/>
    <cellStyle name="Normal 61 2 7 2 2 3 5" xfId="0"/>
    <cellStyle name="Normal 61 2 7 2 2 3 5 2" xfId="0"/>
    <cellStyle name="Normal 61 2 7 2 2 3 6" xfId="0"/>
    <cellStyle name="Normal 61 2 7 2 2 4" xfId="0"/>
    <cellStyle name="Normal 61 2 7 2 2 4 2" xfId="0"/>
    <cellStyle name="Normal 61 2 7 2 2 4 2 2" xfId="0"/>
    <cellStyle name="Normal 61 2 7 2 2 4 2 2 2" xfId="0"/>
    <cellStyle name="Normal 61 2 7 2 2 4 2 3" xfId="0"/>
    <cellStyle name="Normal 61 2 7 2 2 4 3" xfId="0"/>
    <cellStyle name="Normal 61 2 7 2 2 4 3 2" xfId="0"/>
    <cellStyle name="Normal 61 2 7 2 2 4 3 2 2" xfId="0"/>
    <cellStyle name="Normal 61 2 7 2 2 4 3 3" xfId="0"/>
    <cellStyle name="Normal 61 2 7 2 2 4 4" xfId="0"/>
    <cellStyle name="Normal 61 2 7 2 2 4 4 2" xfId="0"/>
    <cellStyle name="Normal 61 2 7 2 2 4 5" xfId="0"/>
    <cellStyle name="Normal 61 2 7 2 2 5" xfId="0"/>
    <cellStyle name="Normal 61 2 7 2 2 5 2" xfId="0"/>
    <cellStyle name="Normal 61 2 7 2 2 5 2 2" xfId="0"/>
    <cellStyle name="Normal 61 2 7 2 2 5 3" xfId="0"/>
    <cellStyle name="Normal 61 2 7 2 2 6" xfId="0"/>
    <cellStyle name="Normal 61 2 7 2 2 6 2" xfId="0"/>
    <cellStyle name="Normal 61 2 7 2 2 6 2 2" xfId="0"/>
    <cellStyle name="Normal 61 2 7 2 2 6 3" xfId="0"/>
    <cellStyle name="Normal 61 2 7 2 2 7" xfId="0"/>
    <cellStyle name="Normal 61 2 7 2 2 7 2" xfId="0"/>
    <cellStyle name="Normal 61 2 7 2 2 8" xfId="0"/>
    <cellStyle name="Normal 61 2 7 2 3" xfId="0"/>
    <cellStyle name="Normal 61 2 7 2 3 2" xfId="0"/>
    <cellStyle name="Normal 61 2 7 2 3 2 2" xfId="0"/>
    <cellStyle name="Normal 61 2 7 2 3 2 2 2" xfId="0"/>
    <cellStyle name="Normal 61 2 7 2 3 2 2 2 2" xfId="0"/>
    <cellStyle name="Normal 61 2 7 2 3 2 2 2 2 2" xfId="0"/>
    <cellStyle name="Normal 61 2 7 2 3 2 2 2 3" xfId="0"/>
    <cellStyle name="Normal 61 2 7 2 3 2 2 3" xfId="0"/>
    <cellStyle name="Normal 61 2 7 2 3 2 2 3 2" xfId="0"/>
    <cellStyle name="Normal 61 2 7 2 3 2 2 3 2 2" xfId="0"/>
    <cellStyle name="Normal 61 2 7 2 3 2 2 3 3" xfId="0"/>
    <cellStyle name="Normal 61 2 7 2 3 2 2 4" xfId="0"/>
    <cellStyle name="Normal 61 2 7 2 3 2 2 4 2" xfId="0"/>
    <cellStyle name="Normal 61 2 7 2 3 2 2 5" xfId="0"/>
    <cellStyle name="Normal 61 2 7 2 3 2 3" xfId="0"/>
    <cellStyle name="Normal 61 2 7 2 3 2 3 2" xfId="0"/>
    <cellStyle name="Normal 61 2 7 2 3 2 3 2 2" xfId="0"/>
    <cellStyle name="Normal 61 2 7 2 3 2 3 3" xfId="0"/>
    <cellStyle name="Normal 61 2 7 2 3 2 4" xfId="0"/>
    <cellStyle name="Normal 61 2 7 2 3 2 4 2" xfId="0"/>
    <cellStyle name="Normal 61 2 7 2 3 2 4 2 2" xfId="0"/>
    <cellStyle name="Normal 61 2 7 2 3 2 4 3" xfId="0"/>
    <cellStyle name="Normal 61 2 7 2 3 2 5" xfId="0"/>
    <cellStyle name="Normal 61 2 7 2 3 2 5 2" xfId="0"/>
    <cellStyle name="Normal 61 2 7 2 3 2 6" xfId="0"/>
    <cellStyle name="Normal 61 2 7 2 3 3" xfId="0"/>
    <cellStyle name="Normal 61 2 7 2 3 3 2" xfId="0"/>
    <cellStyle name="Normal 61 2 7 2 3 3 2 2" xfId="0"/>
    <cellStyle name="Normal 61 2 7 2 3 3 2 2 2" xfId="0"/>
    <cellStyle name="Normal 61 2 7 2 3 3 2 3" xfId="0"/>
    <cellStyle name="Normal 61 2 7 2 3 3 3" xfId="0"/>
    <cellStyle name="Normal 61 2 7 2 3 3 3 2" xfId="0"/>
    <cellStyle name="Normal 61 2 7 2 3 3 3 2 2" xfId="0"/>
    <cellStyle name="Normal 61 2 7 2 3 3 3 3" xfId="0"/>
    <cellStyle name="Normal 61 2 7 2 3 3 4" xfId="0"/>
    <cellStyle name="Normal 61 2 7 2 3 3 4 2" xfId="0"/>
    <cellStyle name="Normal 61 2 7 2 3 3 5" xfId="0"/>
    <cellStyle name="Normal 61 2 7 2 3 4" xfId="0"/>
    <cellStyle name="Normal 61 2 7 2 3 4 2" xfId="0"/>
    <cellStyle name="Normal 61 2 7 2 3 4 2 2" xfId="0"/>
    <cellStyle name="Normal 61 2 7 2 3 4 3" xfId="0"/>
    <cellStyle name="Normal 61 2 7 2 3 5" xfId="0"/>
    <cellStyle name="Normal 61 2 7 2 3 5 2" xfId="0"/>
    <cellStyle name="Normal 61 2 7 2 3 5 2 2" xfId="0"/>
    <cellStyle name="Normal 61 2 7 2 3 5 3" xfId="0"/>
    <cellStyle name="Normal 61 2 7 2 3 6" xfId="0"/>
    <cellStyle name="Normal 61 2 7 2 3 6 2" xfId="0"/>
    <cellStyle name="Normal 61 2 7 2 3 7" xfId="0"/>
    <cellStyle name="Normal 61 2 7 2 4" xfId="0"/>
    <cellStyle name="Normal 61 2 7 2 4 2" xfId="0"/>
    <cellStyle name="Normal 61 2 7 2 4 2 2" xfId="0"/>
    <cellStyle name="Normal 61 2 7 2 4 2 2 2" xfId="0"/>
    <cellStyle name="Normal 61 2 7 2 4 2 2 2 2" xfId="0"/>
    <cellStyle name="Normal 61 2 7 2 4 2 2 3" xfId="0"/>
    <cellStyle name="Normal 61 2 7 2 4 2 3" xfId="0"/>
    <cellStyle name="Normal 61 2 7 2 4 2 3 2" xfId="0"/>
    <cellStyle name="Normal 61 2 7 2 4 2 3 2 2" xfId="0"/>
    <cellStyle name="Normal 61 2 7 2 4 2 3 3" xfId="0"/>
    <cellStyle name="Normal 61 2 7 2 4 2 4" xfId="0"/>
    <cellStyle name="Normal 61 2 7 2 4 2 4 2" xfId="0"/>
    <cellStyle name="Normal 61 2 7 2 4 2 5" xfId="0"/>
    <cellStyle name="Normal 61 2 7 2 4 3" xfId="0"/>
    <cellStyle name="Normal 61 2 7 2 4 3 2" xfId="0"/>
    <cellStyle name="Normal 61 2 7 2 4 3 2 2" xfId="0"/>
    <cellStyle name="Normal 61 2 7 2 4 3 3" xfId="0"/>
    <cellStyle name="Normal 61 2 7 2 4 4" xfId="0"/>
    <cellStyle name="Normal 61 2 7 2 4 4 2" xfId="0"/>
    <cellStyle name="Normal 61 2 7 2 4 4 2 2" xfId="0"/>
    <cellStyle name="Normal 61 2 7 2 4 4 3" xfId="0"/>
    <cellStyle name="Normal 61 2 7 2 4 5" xfId="0"/>
    <cellStyle name="Normal 61 2 7 2 4 5 2" xfId="0"/>
    <cellStyle name="Normal 61 2 7 2 4 6" xfId="0"/>
    <cellStyle name="Normal 61 2 7 2 5" xfId="0"/>
    <cellStyle name="Normal 61 2 7 2 5 2" xfId="0"/>
    <cellStyle name="Normal 61 2 7 2 5 2 2" xfId="0"/>
    <cellStyle name="Normal 61 2 7 2 5 2 2 2" xfId="0"/>
    <cellStyle name="Normal 61 2 7 2 5 2 3" xfId="0"/>
    <cellStyle name="Normal 61 2 7 2 5 3" xfId="0"/>
    <cellStyle name="Normal 61 2 7 2 5 3 2" xfId="0"/>
    <cellStyle name="Normal 61 2 7 2 5 3 2 2" xfId="0"/>
    <cellStyle name="Normal 61 2 7 2 5 3 3" xfId="0"/>
    <cellStyle name="Normal 61 2 7 2 5 4" xfId="0"/>
    <cellStyle name="Normal 61 2 7 2 5 4 2" xfId="0"/>
    <cellStyle name="Normal 61 2 7 2 5 5" xfId="0"/>
    <cellStyle name="Normal 61 2 7 2 6" xfId="0"/>
    <cellStyle name="Normal 61 2 7 2 6 2" xfId="0"/>
    <cellStyle name="Normal 61 2 7 2 6 2 2" xfId="0"/>
    <cellStyle name="Normal 61 2 7 2 6 3" xfId="0"/>
    <cellStyle name="Normal 61 2 7 2 7" xfId="0"/>
    <cellStyle name="Normal 61 2 7 2 7 2" xfId="0"/>
    <cellStyle name="Normal 61 2 7 2 7 2 2" xfId="0"/>
    <cellStyle name="Normal 61 2 7 2 7 3" xfId="0"/>
    <cellStyle name="Normal 61 2 7 2 8" xfId="0"/>
    <cellStyle name="Normal 61 2 7 2 8 2" xfId="0"/>
    <cellStyle name="Normal 61 2 7 2 9" xfId="0"/>
    <cellStyle name="Normal 61 2 7 3" xfId="0"/>
    <cellStyle name="Normal 61 2 7 3 2" xfId="0"/>
    <cellStyle name="Normal 61 2 7 3 2 2" xfId="0"/>
    <cellStyle name="Normal 61 2 7 3 2 2 2" xfId="0"/>
    <cellStyle name="Normal 61 2 7 3 2 2 2 2" xfId="0"/>
    <cellStyle name="Normal 61 2 7 3 2 2 2 2 2" xfId="0"/>
    <cellStyle name="Normal 61 2 7 3 2 2 2 2 2 2" xfId="0"/>
    <cellStyle name="Normal 61 2 7 3 2 2 2 2 3" xfId="0"/>
    <cellStyle name="Normal 61 2 7 3 2 2 2 3" xfId="0"/>
    <cellStyle name="Normal 61 2 7 3 2 2 2 3 2" xfId="0"/>
    <cellStyle name="Normal 61 2 7 3 2 2 2 3 2 2" xfId="0"/>
    <cellStyle name="Normal 61 2 7 3 2 2 2 3 3" xfId="0"/>
    <cellStyle name="Normal 61 2 7 3 2 2 2 4" xfId="0"/>
    <cellStyle name="Normal 61 2 7 3 2 2 2 4 2" xfId="0"/>
    <cellStyle name="Normal 61 2 7 3 2 2 2 5" xfId="0"/>
    <cellStyle name="Normal 61 2 7 3 2 2 3" xfId="0"/>
    <cellStyle name="Normal 61 2 7 3 2 2 3 2" xfId="0"/>
    <cellStyle name="Normal 61 2 7 3 2 2 3 2 2" xfId="0"/>
    <cellStyle name="Normal 61 2 7 3 2 2 3 3" xfId="0"/>
    <cellStyle name="Normal 61 2 7 3 2 2 4" xfId="0"/>
    <cellStyle name="Normal 61 2 7 3 2 2 4 2" xfId="0"/>
    <cellStyle name="Normal 61 2 7 3 2 2 4 2 2" xfId="0"/>
    <cellStyle name="Normal 61 2 7 3 2 2 4 3" xfId="0"/>
    <cellStyle name="Normal 61 2 7 3 2 2 5" xfId="0"/>
    <cellStyle name="Normal 61 2 7 3 2 2 5 2" xfId="0"/>
    <cellStyle name="Normal 61 2 7 3 2 2 6" xfId="0"/>
    <cellStyle name="Normal 61 2 7 3 2 3" xfId="0"/>
    <cellStyle name="Normal 61 2 7 3 2 3 2" xfId="0"/>
    <cellStyle name="Normal 61 2 7 3 2 3 2 2" xfId="0"/>
    <cellStyle name="Normal 61 2 7 3 2 3 2 2 2" xfId="0"/>
    <cellStyle name="Normal 61 2 7 3 2 3 2 3" xfId="0"/>
    <cellStyle name="Normal 61 2 7 3 2 3 3" xfId="0"/>
    <cellStyle name="Normal 61 2 7 3 2 3 3 2" xfId="0"/>
    <cellStyle name="Normal 61 2 7 3 2 3 3 2 2" xfId="0"/>
    <cellStyle name="Normal 61 2 7 3 2 3 3 3" xfId="0"/>
    <cellStyle name="Normal 61 2 7 3 2 3 4" xfId="0"/>
    <cellStyle name="Normal 61 2 7 3 2 3 4 2" xfId="0"/>
    <cellStyle name="Normal 61 2 7 3 2 3 5" xfId="0"/>
    <cellStyle name="Normal 61 2 7 3 2 4" xfId="0"/>
    <cellStyle name="Normal 61 2 7 3 2 4 2" xfId="0"/>
    <cellStyle name="Normal 61 2 7 3 2 4 2 2" xfId="0"/>
    <cellStyle name="Normal 61 2 7 3 2 4 3" xfId="0"/>
    <cellStyle name="Normal 61 2 7 3 2 5" xfId="0"/>
    <cellStyle name="Normal 61 2 7 3 2 5 2" xfId="0"/>
    <cellStyle name="Normal 61 2 7 3 2 5 2 2" xfId="0"/>
    <cellStyle name="Normal 61 2 7 3 2 5 3" xfId="0"/>
    <cellStyle name="Normal 61 2 7 3 2 6" xfId="0"/>
    <cellStyle name="Normal 61 2 7 3 2 6 2" xfId="0"/>
    <cellStyle name="Normal 61 2 7 3 2 7" xfId="0"/>
    <cellStyle name="Normal 61 2 7 3 3" xfId="0"/>
    <cellStyle name="Normal 61 2 7 3 3 2" xfId="0"/>
    <cellStyle name="Normal 61 2 7 3 3 2 2" xfId="0"/>
    <cellStyle name="Normal 61 2 7 3 3 2 2 2" xfId="0"/>
    <cellStyle name="Normal 61 2 7 3 3 2 2 2 2" xfId="0"/>
    <cellStyle name="Normal 61 2 7 3 3 2 2 3" xfId="0"/>
    <cellStyle name="Normal 61 2 7 3 3 2 3" xfId="0"/>
    <cellStyle name="Normal 61 2 7 3 3 2 3 2" xfId="0"/>
    <cellStyle name="Normal 61 2 7 3 3 2 3 2 2" xfId="0"/>
    <cellStyle name="Normal 61 2 7 3 3 2 3 3" xfId="0"/>
    <cellStyle name="Normal 61 2 7 3 3 2 4" xfId="0"/>
    <cellStyle name="Normal 61 2 7 3 3 2 4 2" xfId="0"/>
    <cellStyle name="Normal 61 2 7 3 3 2 5" xfId="0"/>
    <cellStyle name="Normal 61 2 7 3 3 3" xfId="0"/>
    <cellStyle name="Normal 61 2 7 3 3 3 2" xfId="0"/>
    <cellStyle name="Normal 61 2 7 3 3 3 2 2" xfId="0"/>
    <cellStyle name="Normal 61 2 7 3 3 3 3" xfId="0"/>
    <cellStyle name="Normal 61 2 7 3 3 4" xfId="0"/>
    <cellStyle name="Normal 61 2 7 3 3 4 2" xfId="0"/>
    <cellStyle name="Normal 61 2 7 3 3 4 2 2" xfId="0"/>
    <cellStyle name="Normal 61 2 7 3 3 4 3" xfId="0"/>
    <cellStyle name="Normal 61 2 7 3 3 5" xfId="0"/>
    <cellStyle name="Normal 61 2 7 3 3 5 2" xfId="0"/>
    <cellStyle name="Normal 61 2 7 3 3 6" xfId="0"/>
    <cellStyle name="Normal 61 2 7 3 4" xfId="0"/>
    <cellStyle name="Normal 61 2 7 3 4 2" xfId="0"/>
    <cellStyle name="Normal 61 2 7 3 4 2 2" xfId="0"/>
    <cellStyle name="Normal 61 2 7 3 4 2 2 2" xfId="0"/>
    <cellStyle name="Normal 61 2 7 3 4 2 3" xfId="0"/>
    <cellStyle name="Normal 61 2 7 3 4 3" xfId="0"/>
    <cellStyle name="Normal 61 2 7 3 4 3 2" xfId="0"/>
    <cellStyle name="Normal 61 2 7 3 4 3 2 2" xfId="0"/>
    <cellStyle name="Normal 61 2 7 3 4 3 3" xfId="0"/>
    <cellStyle name="Normal 61 2 7 3 4 4" xfId="0"/>
    <cellStyle name="Normal 61 2 7 3 4 4 2" xfId="0"/>
    <cellStyle name="Normal 61 2 7 3 4 5" xfId="0"/>
    <cellStyle name="Normal 61 2 7 3 5" xfId="0"/>
    <cellStyle name="Normal 61 2 7 3 5 2" xfId="0"/>
    <cellStyle name="Normal 61 2 7 3 5 2 2" xfId="0"/>
    <cellStyle name="Normal 61 2 7 3 5 3" xfId="0"/>
    <cellStyle name="Normal 61 2 7 3 6" xfId="0"/>
    <cellStyle name="Normal 61 2 7 3 6 2" xfId="0"/>
    <cellStyle name="Normal 61 2 7 3 6 2 2" xfId="0"/>
    <cellStyle name="Normal 61 2 7 3 6 3" xfId="0"/>
    <cellStyle name="Normal 61 2 7 3 7" xfId="0"/>
    <cellStyle name="Normal 61 2 7 3 7 2" xfId="0"/>
    <cellStyle name="Normal 61 2 7 3 8" xfId="0"/>
    <cellStyle name="Normal 61 2 7 4" xfId="0"/>
    <cellStyle name="Normal 61 2 7 4 2" xfId="0"/>
    <cellStyle name="Normal 61 2 7 4 2 2" xfId="0"/>
    <cellStyle name="Normal 61 2 7 4 2 2 2" xfId="0"/>
    <cellStyle name="Normal 61 2 7 4 2 2 2 2" xfId="0"/>
    <cellStyle name="Normal 61 2 7 4 2 2 2 2 2" xfId="0"/>
    <cellStyle name="Normal 61 2 7 4 2 2 2 3" xfId="0"/>
    <cellStyle name="Normal 61 2 7 4 2 2 3" xfId="0"/>
    <cellStyle name="Normal 61 2 7 4 2 2 3 2" xfId="0"/>
    <cellStyle name="Normal 61 2 7 4 2 2 3 2 2" xfId="0"/>
    <cellStyle name="Normal 61 2 7 4 2 2 3 3" xfId="0"/>
    <cellStyle name="Normal 61 2 7 4 2 2 4" xfId="0"/>
    <cellStyle name="Normal 61 2 7 4 2 2 4 2" xfId="0"/>
    <cellStyle name="Normal 61 2 7 4 2 2 5" xfId="0"/>
    <cellStyle name="Normal 61 2 7 4 2 3" xfId="0"/>
    <cellStyle name="Normal 61 2 7 4 2 3 2" xfId="0"/>
    <cellStyle name="Normal 61 2 7 4 2 3 2 2" xfId="0"/>
    <cellStyle name="Normal 61 2 7 4 2 3 3" xfId="0"/>
    <cellStyle name="Normal 61 2 7 4 2 4" xfId="0"/>
    <cellStyle name="Normal 61 2 7 4 2 4 2" xfId="0"/>
    <cellStyle name="Normal 61 2 7 4 2 4 2 2" xfId="0"/>
    <cellStyle name="Normal 61 2 7 4 2 4 3" xfId="0"/>
    <cellStyle name="Normal 61 2 7 4 2 5" xfId="0"/>
    <cellStyle name="Normal 61 2 7 4 2 5 2" xfId="0"/>
    <cellStyle name="Normal 61 2 7 4 2 6" xfId="0"/>
    <cellStyle name="Normal 61 2 7 4 3" xfId="0"/>
    <cellStyle name="Normal 61 2 7 4 3 2" xfId="0"/>
    <cellStyle name="Normal 61 2 7 4 3 2 2" xfId="0"/>
    <cellStyle name="Normal 61 2 7 4 3 2 2 2" xfId="0"/>
    <cellStyle name="Normal 61 2 7 4 3 2 3" xfId="0"/>
    <cellStyle name="Normal 61 2 7 4 3 3" xfId="0"/>
    <cellStyle name="Normal 61 2 7 4 3 3 2" xfId="0"/>
    <cellStyle name="Normal 61 2 7 4 3 3 2 2" xfId="0"/>
    <cellStyle name="Normal 61 2 7 4 3 3 3" xfId="0"/>
    <cellStyle name="Normal 61 2 7 4 3 4" xfId="0"/>
    <cellStyle name="Normal 61 2 7 4 3 4 2" xfId="0"/>
    <cellStyle name="Normal 61 2 7 4 3 5" xfId="0"/>
    <cellStyle name="Normal 61 2 7 4 4" xfId="0"/>
    <cellStyle name="Normal 61 2 7 4 4 2" xfId="0"/>
    <cellStyle name="Normal 61 2 7 4 4 2 2" xfId="0"/>
    <cellStyle name="Normal 61 2 7 4 4 3" xfId="0"/>
    <cellStyle name="Normal 61 2 7 4 5" xfId="0"/>
    <cellStyle name="Normal 61 2 7 4 5 2" xfId="0"/>
    <cellStyle name="Normal 61 2 7 4 5 2 2" xfId="0"/>
    <cellStyle name="Normal 61 2 7 4 5 3" xfId="0"/>
    <cellStyle name="Normal 61 2 7 4 6" xfId="0"/>
    <cellStyle name="Normal 61 2 7 4 6 2" xfId="0"/>
    <cellStyle name="Normal 61 2 7 4 7" xfId="0"/>
    <cellStyle name="Normal 61 2 7 5" xfId="0"/>
    <cellStyle name="Normal 61 2 7 5 2" xfId="0"/>
    <cellStyle name="Normal 61 2 7 5 2 2" xfId="0"/>
    <cellStyle name="Normal 61 2 7 5 2 2 2" xfId="0"/>
    <cellStyle name="Normal 61 2 7 5 2 2 2 2" xfId="0"/>
    <cellStyle name="Normal 61 2 7 5 2 2 3" xfId="0"/>
    <cellStyle name="Normal 61 2 7 5 2 3" xfId="0"/>
    <cellStyle name="Normal 61 2 7 5 2 3 2" xfId="0"/>
    <cellStyle name="Normal 61 2 7 5 2 3 2 2" xfId="0"/>
    <cellStyle name="Normal 61 2 7 5 2 3 3" xfId="0"/>
    <cellStyle name="Normal 61 2 7 5 2 4" xfId="0"/>
    <cellStyle name="Normal 61 2 7 5 2 4 2" xfId="0"/>
    <cellStyle name="Normal 61 2 7 5 2 5" xfId="0"/>
    <cellStyle name="Normal 61 2 7 5 3" xfId="0"/>
    <cellStyle name="Normal 61 2 7 5 3 2" xfId="0"/>
    <cellStyle name="Normal 61 2 7 5 3 2 2" xfId="0"/>
    <cellStyle name="Normal 61 2 7 5 3 3" xfId="0"/>
    <cellStyle name="Normal 61 2 7 5 4" xfId="0"/>
    <cellStyle name="Normal 61 2 7 5 4 2" xfId="0"/>
    <cellStyle name="Normal 61 2 7 5 4 2 2" xfId="0"/>
    <cellStyle name="Normal 61 2 7 5 4 3" xfId="0"/>
    <cellStyle name="Normal 61 2 7 5 5" xfId="0"/>
    <cellStyle name="Normal 61 2 7 5 5 2" xfId="0"/>
    <cellStyle name="Normal 61 2 7 5 6" xfId="0"/>
    <cellStyle name="Normal 61 2 7 6" xfId="0"/>
    <cellStyle name="Normal 61 2 7 6 2" xfId="0"/>
    <cellStyle name="Normal 61 2 7 6 2 2" xfId="0"/>
    <cellStyle name="Normal 61 2 7 6 2 2 2" xfId="0"/>
    <cellStyle name="Normal 61 2 7 6 2 3" xfId="0"/>
    <cellStyle name="Normal 61 2 7 6 3" xfId="0"/>
    <cellStyle name="Normal 61 2 7 6 3 2" xfId="0"/>
    <cellStyle name="Normal 61 2 7 6 3 2 2" xfId="0"/>
    <cellStyle name="Normal 61 2 7 6 3 3" xfId="0"/>
    <cellStyle name="Normal 61 2 7 6 4" xfId="0"/>
    <cellStyle name="Normal 61 2 7 6 4 2" xfId="0"/>
    <cellStyle name="Normal 61 2 7 6 5" xfId="0"/>
    <cellStyle name="Normal 61 2 7 7" xfId="0"/>
    <cellStyle name="Normal 61 2 7 7 2" xfId="0"/>
    <cellStyle name="Normal 61 2 7 7 2 2" xfId="0"/>
    <cellStyle name="Normal 61 2 7 7 3" xfId="0"/>
    <cellStyle name="Normal 61 2 7 8" xfId="0"/>
    <cellStyle name="Normal 61 2 7 8 2" xfId="0"/>
    <cellStyle name="Normal 61 2 7 8 2 2" xfId="0"/>
    <cellStyle name="Normal 61 2 7 8 3" xfId="0"/>
    <cellStyle name="Normal 61 2 7 9" xfId="0"/>
    <cellStyle name="Normal 61 2 7 9 2" xfId="0"/>
    <cellStyle name="Normal 61 2 8" xfId="0"/>
    <cellStyle name="Normal 61 2 8 10" xfId="0"/>
    <cellStyle name="Normal 61 2 8 2" xfId="0"/>
    <cellStyle name="Normal 61 2 8 2 2" xfId="0"/>
    <cellStyle name="Normal 61 2 8 2 2 2" xfId="0"/>
    <cellStyle name="Normal 61 2 8 2 2 2 2" xfId="0"/>
    <cellStyle name="Normal 61 2 8 2 2 2 2 2" xfId="0"/>
    <cellStyle name="Normal 61 2 8 2 2 2 2 2 2" xfId="0"/>
    <cellStyle name="Normal 61 2 8 2 2 2 2 2 2 2" xfId="0"/>
    <cellStyle name="Normal 61 2 8 2 2 2 2 2 2 2 2" xfId="0"/>
    <cellStyle name="Normal 61 2 8 2 2 2 2 2 2 3" xfId="0"/>
    <cellStyle name="Normal 61 2 8 2 2 2 2 2 3" xfId="0"/>
    <cellStyle name="Normal 61 2 8 2 2 2 2 2 3 2" xfId="0"/>
    <cellStyle name="Normal 61 2 8 2 2 2 2 2 3 2 2" xfId="0"/>
    <cellStyle name="Normal 61 2 8 2 2 2 2 2 3 3" xfId="0"/>
    <cellStyle name="Normal 61 2 8 2 2 2 2 2 4" xfId="0"/>
    <cellStyle name="Normal 61 2 8 2 2 2 2 2 4 2" xfId="0"/>
    <cellStyle name="Normal 61 2 8 2 2 2 2 2 5" xfId="0"/>
    <cellStyle name="Normal 61 2 8 2 2 2 2 3" xfId="0"/>
    <cellStyle name="Normal 61 2 8 2 2 2 2 3 2" xfId="0"/>
    <cellStyle name="Normal 61 2 8 2 2 2 2 3 2 2" xfId="0"/>
    <cellStyle name="Normal 61 2 8 2 2 2 2 3 3" xfId="0"/>
    <cellStyle name="Normal 61 2 8 2 2 2 2 4" xfId="0"/>
    <cellStyle name="Normal 61 2 8 2 2 2 2 4 2" xfId="0"/>
    <cellStyle name="Normal 61 2 8 2 2 2 2 4 2 2" xfId="0"/>
    <cellStyle name="Normal 61 2 8 2 2 2 2 4 3" xfId="0"/>
    <cellStyle name="Normal 61 2 8 2 2 2 2 5" xfId="0"/>
    <cellStyle name="Normal 61 2 8 2 2 2 2 5 2" xfId="0"/>
    <cellStyle name="Normal 61 2 8 2 2 2 2 6" xfId="0"/>
    <cellStyle name="Normal 61 2 8 2 2 2 3" xfId="0"/>
    <cellStyle name="Normal 61 2 8 2 2 2 3 2" xfId="0"/>
    <cellStyle name="Normal 61 2 8 2 2 2 3 2 2" xfId="0"/>
    <cellStyle name="Normal 61 2 8 2 2 2 3 2 2 2" xfId="0"/>
    <cellStyle name="Normal 61 2 8 2 2 2 3 2 3" xfId="0"/>
    <cellStyle name="Normal 61 2 8 2 2 2 3 3" xfId="0"/>
    <cellStyle name="Normal 61 2 8 2 2 2 3 3 2" xfId="0"/>
    <cellStyle name="Normal 61 2 8 2 2 2 3 3 2 2" xfId="0"/>
    <cellStyle name="Normal 61 2 8 2 2 2 3 3 3" xfId="0"/>
    <cellStyle name="Normal 61 2 8 2 2 2 3 4" xfId="0"/>
    <cellStyle name="Normal 61 2 8 2 2 2 3 4 2" xfId="0"/>
    <cellStyle name="Normal 61 2 8 2 2 2 3 5" xfId="0"/>
    <cellStyle name="Normal 61 2 8 2 2 2 4" xfId="0"/>
    <cellStyle name="Normal 61 2 8 2 2 2 4 2" xfId="0"/>
    <cellStyle name="Normal 61 2 8 2 2 2 4 2 2" xfId="0"/>
    <cellStyle name="Normal 61 2 8 2 2 2 4 3" xfId="0"/>
    <cellStyle name="Normal 61 2 8 2 2 2 5" xfId="0"/>
    <cellStyle name="Normal 61 2 8 2 2 2 5 2" xfId="0"/>
    <cellStyle name="Normal 61 2 8 2 2 2 5 2 2" xfId="0"/>
    <cellStyle name="Normal 61 2 8 2 2 2 5 3" xfId="0"/>
    <cellStyle name="Normal 61 2 8 2 2 2 6" xfId="0"/>
    <cellStyle name="Normal 61 2 8 2 2 2 6 2" xfId="0"/>
    <cellStyle name="Normal 61 2 8 2 2 2 7" xfId="0"/>
    <cellStyle name="Normal 61 2 8 2 2 3" xfId="0"/>
    <cellStyle name="Normal 61 2 8 2 2 3 2" xfId="0"/>
    <cellStyle name="Normal 61 2 8 2 2 3 2 2" xfId="0"/>
    <cellStyle name="Normal 61 2 8 2 2 3 2 2 2" xfId="0"/>
    <cellStyle name="Normal 61 2 8 2 2 3 2 2 2 2" xfId="0"/>
    <cellStyle name="Normal 61 2 8 2 2 3 2 2 3" xfId="0"/>
    <cellStyle name="Normal 61 2 8 2 2 3 2 3" xfId="0"/>
    <cellStyle name="Normal 61 2 8 2 2 3 2 3 2" xfId="0"/>
    <cellStyle name="Normal 61 2 8 2 2 3 2 3 2 2" xfId="0"/>
    <cellStyle name="Normal 61 2 8 2 2 3 2 3 3" xfId="0"/>
    <cellStyle name="Normal 61 2 8 2 2 3 2 4" xfId="0"/>
    <cellStyle name="Normal 61 2 8 2 2 3 2 4 2" xfId="0"/>
    <cellStyle name="Normal 61 2 8 2 2 3 2 5" xfId="0"/>
    <cellStyle name="Normal 61 2 8 2 2 3 3" xfId="0"/>
    <cellStyle name="Normal 61 2 8 2 2 3 3 2" xfId="0"/>
    <cellStyle name="Normal 61 2 8 2 2 3 3 2 2" xfId="0"/>
    <cellStyle name="Normal 61 2 8 2 2 3 3 3" xfId="0"/>
    <cellStyle name="Normal 61 2 8 2 2 3 4" xfId="0"/>
    <cellStyle name="Normal 61 2 8 2 2 3 4 2" xfId="0"/>
    <cellStyle name="Normal 61 2 8 2 2 3 4 2 2" xfId="0"/>
    <cellStyle name="Normal 61 2 8 2 2 3 4 3" xfId="0"/>
    <cellStyle name="Normal 61 2 8 2 2 3 5" xfId="0"/>
    <cellStyle name="Normal 61 2 8 2 2 3 5 2" xfId="0"/>
    <cellStyle name="Normal 61 2 8 2 2 3 6" xfId="0"/>
    <cellStyle name="Normal 61 2 8 2 2 4" xfId="0"/>
    <cellStyle name="Normal 61 2 8 2 2 4 2" xfId="0"/>
    <cellStyle name="Normal 61 2 8 2 2 4 2 2" xfId="0"/>
    <cellStyle name="Normal 61 2 8 2 2 4 2 2 2" xfId="0"/>
    <cellStyle name="Normal 61 2 8 2 2 4 2 3" xfId="0"/>
    <cellStyle name="Normal 61 2 8 2 2 4 3" xfId="0"/>
    <cellStyle name="Normal 61 2 8 2 2 4 3 2" xfId="0"/>
    <cellStyle name="Normal 61 2 8 2 2 4 3 2 2" xfId="0"/>
    <cellStyle name="Normal 61 2 8 2 2 4 3 3" xfId="0"/>
    <cellStyle name="Normal 61 2 8 2 2 4 4" xfId="0"/>
    <cellStyle name="Normal 61 2 8 2 2 4 4 2" xfId="0"/>
    <cellStyle name="Normal 61 2 8 2 2 4 5" xfId="0"/>
    <cellStyle name="Normal 61 2 8 2 2 5" xfId="0"/>
    <cellStyle name="Normal 61 2 8 2 2 5 2" xfId="0"/>
    <cellStyle name="Normal 61 2 8 2 2 5 2 2" xfId="0"/>
    <cellStyle name="Normal 61 2 8 2 2 5 3" xfId="0"/>
    <cellStyle name="Normal 61 2 8 2 2 6" xfId="0"/>
    <cellStyle name="Normal 61 2 8 2 2 6 2" xfId="0"/>
    <cellStyle name="Normal 61 2 8 2 2 6 2 2" xfId="0"/>
    <cellStyle name="Normal 61 2 8 2 2 6 3" xfId="0"/>
    <cellStyle name="Normal 61 2 8 2 2 7" xfId="0"/>
    <cellStyle name="Normal 61 2 8 2 2 7 2" xfId="0"/>
    <cellStyle name="Normal 61 2 8 2 2 8" xfId="0"/>
    <cellStyle name="Normal 61 2 8 2 3" xfId="0"/>
    <cellStyle name="Normal 61 2 8 2 3 2" xfId="0"/>
    <cellStyle name="Normal 61 2 8 2 3 2 2" xfId="0"/>
    <cellStyle name="Normal 61 2 8 2 3 2 2 2" xfId="0"/>
    <cellStyle name="Normal 61 2 8 2 3 2 2 2 2" xfId="0"/>
    <cellStyle name="Normal 61 2 8 2 3 2 2 2 2 2" xfId="0"/>
    <cellStyle name="Normal 61 2 8 2 3 2 2 2 3" xfId="0"/>
    <cellStyle name="Normal 61 2 8 2 3 2 2 3" xfId="0"/>
    <cellStyle name="Normal 61 2 8 2 3 2 2 3 2" xfId="0"/>
    <cellStyle name="Normal 61 2 8 2 3 2 2 3 2 2" xfId="0"/>
    <cellStyle name="Normal 61 2 8 2 3 2 2 3 3" xfId="0"/>
    <cellStyle name="Normal 61 2 8 2 3 2 2 4" xfId="0"/>
    <cellStyle name="Normal 61 2 8 2 3 2 2 4 2" xfId="0"/>
    <cellStyle name="Normal 61 2 8 2 3 2 2 5" xfId="0"/>
    <cellStyle name="Normal 61 2 8 2 3 2 3" xfId="0"/>
    <cellStyle name="Normal 61 2 8 2 3 2 3 2" xfId="0"/>
    <cellStyle name="Normal 61 2 8 2 3 2 3 2 2" xfId="0"/>
    <cellStyle name="Normal 61 2 8 2 3 2 3 3" xfId="0"/>
    <cellStyle name="Normal 61 2 8 2 3 2 4" xfId="0"/>
    <cellStyle name="Normal 61 2 8 2 3 2 4 2" xfId="0"/>
    <cellStyle name="Normal 61 2 8 2 3 2 4 2 2" xfId="0"/>
    <cellStyle name="Normal 61 2 8 2 3 2 4 3" xfId="0"/>
    <cellStyle name="Normal 61 2 8 2 3 2 5" xfId="0"/>
    <cellStyle name="Normal 61 2 8 2 3 2 5 2" xfId="0"/>
    <cellStyle name="Normal 61 2 8 2 3 2 6" xfId="0"/>
    <cellStyle name="Normal 61 2 8 2 3 3" xfId="0"/>
    <cellStyle name="Normal 61 2 8 2 3 3 2" xfId="0"/>
    <cellStyle name="Normal 61 2 8 2 3 3 2 2" xfId="0"/>
    <cellStyle name="Normal 61 2 8 2 3 3 2 2 2" xfId="0"/>
    <cellStyle name="Normal 61 2 8 2 3 3 2 3" xfId="0"/>
    <cellStyle name="Normal 61 2 8 2 3 3 3" xfId="0"/>
    <cellStyle name="Normal 61 2 8 2 3 3 3 2" xfId="0"/>
    <cellStyle name="Normal 61 2 8 2 3 3 3 2 2" xfId="0"/>
    <cellStyle name="Normal 61 2 8 2 3 3 3 3" xfId="0"/>
    <cellStyle name="Normal 61 2 8 2 3 3 4" xfId="0"/>
    <cellStyle name="Normal 61 2 8 2 3 3 4 2" xfId="0"/>
    <cellStyle name="Normal 61 2 8 2 3 3 5" xfId="0"/>
    <cellStyle name="Normal 61 2 8 2 3 4" xfId="0"/>
    <cellStyle name="Normal 61 2 8 2 3 4 2" xfId="0"/>
    <cellStyle name="Normal 61 2 8 2 3 4 2 2" xfId="0"/>
    <cellStyle name="Normal 61 2 8 2 3 4 3" xfId="0"/>
    <cellStyle name="Normal 61 2 8 2 3 5" xfId="0"/>
    <cellStyle name="Normal 61 2 8 2 3 5 2" xfId="0"/>
    <cellStyle name="Normal 61 2 8 2 3 5 2 2" xfId="0"/>
    <cellStyle name="Normal 61 2 8 2 3 5 3" xfId="0"/>
    <cellStyle name="Normal 61 2 8 2 3 6" xfId="0"/>
    <cellStyle name="Normal 61 2 8 2 3 6 2" xfId="0"/>
    <cellStyle name="Normal 61 2 8 2 3 7" xfId="0"/>
    <cellStyle name="Normal 61 2 8 2 4" xfId="0"/>
    <cellStyle name="Normal 61 2 8 2 4 2" xfId="0"/>
    <cellStyle name="Normal 61 2 8 2 4 2 2" xfId="0"/>
    <cellStyle name="Normal 61 2 8 2 4 2 2 2" xfId="0"/>
    <cellStyle name="Normal 61 2 8 2 4 2 2 2 2" xfId="0"/>
    <cellStyle name="Normal 61 2 8 2 4 2 2 3" xfId="0"/>
    <cellStyle name="Normal 61 2 8 2 4 2 3" xfId="0"/>
    <cellStyle name="Normal 61 2 8 2 4 2 3 2" xfId="0"/>
    <cellStyle name="Normal 61 2 8 2 4 2 3 2 2" xfId="0"/>
    <cellStyle name="Normal 61 2 8 2 4 2 3 3" xfId="0"/>
    <cellStyle name="Normal 61 2 8 2 4 2 4" xfId="0"/>
    <cellStyle name="Normal 61 2 8 2 4 2 4 2" xfId="0"/>
    <cellStyle name="Normal 61 2 8 2 4 2 5" xfId="0"/>
    <cellStyle name="Normal 61 2 8 2 4 3" xfId="0"/>
    <cellStyle name="Normal 61 2 8 2 4 3 2" xfId="0"/>
    <cellStyle name="Normal 61 2 8 2 4 3 2 2" xfId="0"/>
    <cellStyle name="Normal 61 2 8 2 4 3 3" xfId="0"/>
    <cellStyle name="Normal 61 2 8 2 4 4" xfId="0"/>
    <cellStyle name="Normal 61 2 8 2 4 4 2" xfId="0"/>
    <cellStyle name="Normal 61 2 8 2 4 4 2 2" xfId="0"/>
    <cellStyle name="Normal 61 2 8 2 4 4 3" xfId="0"/>
    <cellStyle name="Normal 61 2 8 2 4 5" xfId="0"/>
    <cellStyle name="Normal 61 2 8 2 4 5 2" xfId="0"/>
    <cellStyle name="Normal 61 2 8 2 4 6" xfId="0"/>
    <cellStyle name="Normal 61 2 8 2 5" xfId="0"/>
    <cellStyle name="Normal 61 2 8 2 5 2" xfId="0"/>
    <cellStyle name="Normal 61 2 8 2 5 2 2" xfId="0"/>
    <cellStyle name="Normal 61 2 8 2 5 2 2 2" xfId="0"/>
    <cellStyle name="Normal 61 2 8 2 5 2 3" xfId="0"/>
    <cellStyle name="Normal 61 2 8 2 5 3" xfId="0"/>
    <cellStyle name="Normal 61 2 8 2 5 3 2" xfId="0"/>
    <cellStyle name="Normal 61 2 8 2 5 3 2 2" xfId="0"/>
    <cellStyle name="Normal 61 2 8 2 5 3 3" xfId="0"/>
    <cellStyle name="Normal 61 2 8 2 5 4" xfId="0"/>
    <cellStyle name="Normal 61 2 8 2 5 4 2" xfId="0"/>
    <cellStyle name="Normal 61 2 8 2 5 5" xfId="0"/>
    <cellStyle name="Normal 61 2 8 2 6" xfId="0"/>
    <cellStyle name="Normal 61 2 8 2 6 2" xfId="0"/>
    <cellStyle name="Normal 61 2 8 2 6 2 2" xfId="0"/>
    <cellStyle name="Normal 61 2 8 2 6 3" xfId="0"/>
    <cellStyle name="Normal 61 2 8 2 7" xfId="0"/>
    <cellStyle name="Normal 61 2 8 2 7 2" xfId="0"/>
    <cellStyle name="Normal 61 2 8 2 7 2 2" xfId="0"/>
    <cellStyle name="Normal 61 2 8 2 7 3" xfId="0"/>
    <cellStyle name="Normal 61 2 8 2 8" xfId="0"/>
    <cellStyle name="Normal 61 2 8 2 8 2" xfId="0"/>
    <cellStyle name="Normal 61 2 8 2 9" xfId="0"/>
    <cellStyle name="Normal 61 2 8 3" xfId="0"/>
    <cellStyle name="Normal 61 2 8 3 2" xfId="0"/>
    <cellStyle name="Normal 61 2 8 3 2 2" xfId="0"/>
    <cellStyle name="Normal 61 2 8 3 2 2 2" xfId="0"/>
    <cellStyle name="Normal 61 2 8 3 2 2 2 2" xfId="0"/>
    <cellStyle name="Normal 61 2 8 3 2 2 2 2 2" xfId="0"/>
    <cellStyle name="Normal 61 2 8 3 2 2 2 2 2 2" xfId="0"/>
    <cellStyle name="Normal 61 2 8 3 2 2 2 2 3" xfId="0"/>
    <cellStyle name="Normal 61 2 8 3 2 2 2 3" xfId="0"/>
    <cellStyle name="Normal 61 2 8 3 2 2 2 3 2" xfId="0"/>
    <cellStyle name="Normal 61 2 8 3 2 2 2 3 2 2" xfId="0"/>
    <cellStyle name="Normal 61 2 8 3 2 2 2 3 3" xfId="0"/>
    <cellStyle name="Normal 61 2 8 3 2 2 2 4" xfId="0"/>
    <cellStyle name="Normal 61 2 8 3 2 2 2 4 2" xfId="0"/>
    <cellStyle name="Normal 61 2 8 3 2 2 2 5" xfId="0"/>
    <cellStyle name="Normal 61 2 8 3 2 2 3" xfId="0"/>
    <cellStyle name="Normal 61 2 8 3 2 2 3 2" xfId="0"/>
    <cellStyle name="Normal 61 2 8 3 2 2 3 2 2" xfId="0"/>
    <cellStyle name="Normal 61 2 8 3 2 2 3 3" xfId="0"/>
    <cellStyle name="Normal 61 2 8 3 2 2 4" xfId="0"/>
    <cellStyle name="Normal 61 2 8 3 2 2 4 2" xfId="0"/>
    <cellStyle name="Normal 61 2 8 3 2 2 4 2 2" xfId="0"/>
    <cellStyle name="Normal 61 2 8 3 2 2 4 3" xfId="0"/>
    <cellStyle name="Normal 61 2 8 3 2 2 5" xfId="0"/>
    <cellStyle name="Normal 61 2 8 3 2 2 5 2" xfId="0"/>
    <cellStyle name="Normal 61 2 8 3 2 2 6" xfId="0"/>
    <cellStyle name="Normal 61 2 8 3 2 3" xfId="0"/>
    <cellStyle name="Normal 61 2 8 3 2 3 2" xfId="0"/>
    <cellStyle name="Normal 61 2 8 3 2 3 2 2" xfId="0"/>
    <cellStyle name="Normal 61 2 8 3 2 3 2 2 2" xfId="0"/>
    <cellStyle name="Normal 61 2 8 3 2 3 2 3" xfId="0"/>
    <cellStyle name="Normal 61 2 8 3 2 3 3" xfId="0"/>
    <cellStyle name="Normal 61 2 8 3 2 3 3 2" xfId="0"/>
    <cellStyle name="Normal 61 2 8 3 2 3 3 2 2" xfId="0"/>
    <cellStyle name="Normal 61 2 8 3 2 3 3 3" xfId="0"/>
    <cellStyle name="Normal 61 2 8 3 2 3 4" xfId="0"/>
    <cellStyle name="Normal 61 2 8 3 2 3 4 2" xfId="0"/>
    <cellStyle name="Normal 61 2 8 3 2 3 5" xfId="0"/>
    <cellStyle name="Normal 61 2 8 3 2 4" xfId="0"/>
    <cellStyle name="Normal 61 2 8 3 2 4 2" xfId="0"/>
    <cellStyle name="Normal 61 2 8 3 2 4 2 2" xfId="0"/>
    <cellStyle name="Normal 61 2 8 3 2 4 3" xfId="0"/>
    <cellStyle name="Normal 61 2 8 3 2 5" xfId="0"/>
    <cellStyle name="Normal 61 2 8 3 2 5 2" xfId="0"/>
    <cellStyle name="Normal 61 2 8 3 2 5 2 2" xfId="0"/>
    <cellStyle name="Normal 61 2 8 3 2 5 3" xfId="0"/>
    <cellStyle name="Normal 61 2 8 3 2 6" xfId="0"/>
    <cellStyle name="Normal 61 2 8 3 2 6 2" xfId="0"/>
    <cellStyle name="Normal 61 2 8 3 2 7" xfId="0"/>
    <cellStyle name="Normal 61 2 8 3 3" xfId="0"/>
    <cellStyle name="Normal 61 2 8 3 3 2" xfId="0"/>
    <cellStyle name="Normal 61 2 8 3 3 2 2" xfId="0"/>
    <cellStyle name="Normal 61 2 8 3 3 2 2 2" xfId="0"/>
    <cellStyle name="Normal 61 2 8 3 3 2 2 2 2" xfId="0"/>
    <cellStyle name="Normal 61 2 8 3 3 2 2 3" xfId="0"/>
    <cellStyle name="Normal 61 2 8 3 3 2 3" xfId="0"/>
    <cellStyle name="Normal 61 2 8 3 3 2 3 2" xfId="0"/>
    <cellStyle name="Normal 61 2 8 3 3 2 3 2 2" xfId="0"/>
    <cellStyle name="Normal 61 2 8 3 3 2 3 3" xfId="0"/>
    <cellStyle name="Normal 61 2 8 3 3 2 4" xfId="0"/>
    <cellStyle name="Normal 61 2 8 3 3 2 4 2" xfId="0"/>
    <cellStyle name="Normal 61 2 8 3 3 2 5" xfId="0"/>
    <cellStyle name="Normal 61 2 8 3 3 3" xfId="0"/>
    <cellStyle name="Normal 61 2 8 3 3 3 2" xfId="0"/>
    <cellStyle name="Normal 61 2 8 3 3 3 2 2" xfId="0"/>
    <cellStyle name="Normal 61 2 8 3 3 3 3" xfId="0"/>
    <cellStyle name="Normal 61 2 8 3 3 4" xfId="0"/>
    <cellStyle name="Normal 61 2 8 3 3 4 2" xfId="0"/>
    <cellStyle name="Normal 61 2 8 3 3 4 2 2" xfId="0"/>
    <cellStyle name="Normal 61 2 8 3 3 4 3" xfId="0"/>
    <cellStyle name="Normal 61 2 8 3 3 5" xfId="0"/>
    <cellStyle name="Normal 61 2 8 3 3 5 2" xfId="0"/>
    <cellStyle name="Normal 61 2 8 3 3 6" xfId="0"/>
    <cellStyle name="Normal 61 2 8 3 4" xfId="0"/>
    <cellStyle name="Normal 61 2 8 3 4 2" xfId="0"/>
    <cellStyle name="Normal 61 2 8 3 4 2 2" xfId="0"/>
    <cellStyle name="Normal 61 2 8 3 4 2 2 2" xfId="0"/>
    <cellStyle name="Normal 61 2 8 3 4 2 3" xfId="0"/>
    <cellStyle name="Normal 61 2 8 3 4 3" xfId="0"/>
    <cellStyle name="Normal 61 2 8 3 4 3 2" xfId="0"/>
    <cellStyle name="Normal 61 2 8 3 4 3 2 2" xfId="0"/>
    <cellStyle name="Normal 61 2 8 3 4 3 3" xfId="0"/>
    <cellStyle name="Normal 61 2 8 3 4 4" xfId="0"/>
    <cellStyle name="Normal 61 2 8 3 4 4 2" xfId="0"/>
    <cellStyle name="Normal 61 2 8 3 4 5" xfId="0"/>
    <cellStyle name="Normal 61 2 8 3 5" xfId="0"/>
    <cellStyle name="Normal 61 2 8 3 5 2" xfId="0"/>
    <cellStyle name="Normal 61 2 8 3 5 2 2" xfId="0"/>
    <cellStyle name="Normal 61 2 8 3 5 3" xfId="0"/>
    <cellStyle name="Normal 61 2 8 3 6" xfId="0"/>
    <cellStyle name="Normal 61 2 8 3 6 2" xfId="0"/>
    <cellStyle name="Normal 61 2 8 3 6 2 2" xfId="0"/>
    <cellStyle name="Normal 61 2 8 3 6 3" xfId="0"/>
    <cellStyle name="Normal 61 2 8 3 7" xfId="0"/>
    <cellStyle name="Normal 61 2 8 3 7 2" xfId="0"/>
    <cellStyle name="Normal 61 2 8 3 8" xfId="0"/>
    <cellStyle name="Normal 61 2 8 4" xfId="0"/>
    <cellStyle name="Normal 61 2 8 4 2" xfId="0"/>
    <cellStyle name="Normal 61 2 8 4 2 2" xfId="0"/>
    <cellStyle name="Normal 61 2 8 4 2 2 2" xfId="0"/>
    <cellStyle name="Normal 61 2 8 4 2 2 2 2" xfId="0"/>
    <cellStyle name="Normal 61 2 8 4 2 2 2 2 2" xfId="0"/>
    <cellStyle name="Normal 61 2 8 4 2 2 2 3" xfId="0"/>
    <cellStyle name="Normal 61 2 8 4 2 2 3" xfId="0"/>
    <cellStyle name="Normal 61 2 8 4 2 2 3 2" xfId="0"/>
    <cellStyle name="Normal 61 2 8 4 2 2 3 2 2" xfId="0"/>
    <cellStyle name="Normal 61 2 8 4 2 2 3 3" xfId="0"/>
    <cellStyle name="Normal 61 2 8 4 2 2 4" xfId="0"/>
    <cellStyle name="Normal 61 2 8 4 2 2 4 2" xfId="0"/>
    <cellStyle name="Normal 61 2 8 4 2 2 5" xfId="0"/>
    <cellStyle name="Normal 61 2 8 4 2 3" xfId="0"/>
    <cellStyle name="Normal 61 2 8 4 2 3 2" xfId="0"/>
    <cellStyle name="Normal 61 2 8 4 2 3 2 2" xfId="0"/>
    <cellStyle name="Normal 61 2 8 4 2 3 3" xfId="0"/>
    <cellStyle name="Normal 61 2 8 4 2 4" xfId="0"/>
    <cellStyle name="Normal 61 2 8 4 2 4 2" xfId="0"/>
    <cellStyle name="Normal 61 2 8 4 2 4 2 2" xfId="0"/>
    <cellStyle name="Normal 61 2 8 4 2 4 3" xfId="0"/>
    <cellStyle name="Normal 61 2 8 4 2 5" xfId="0"/>
    <cellStyle name="Normal 61 2 8 4 2 5 2" xfId="0"/>
    <cellStyle name="Normal 61 2 8 4 2 6" xfId="0"/>
    <cellStyle name="Normal 61 2 8 4 3" xfId="0"/>
    <cellStyle name="Normal 61 2 8 4 3 2" xfId="0"/>
    <cellStyle name="Normal 61 2 8 4 3 2 2" xfId="0"/>
    <cellStyle name="Normal 61 2 8 4 3 2 2 2" xfId="0"/>
    <cellStyle name="Normal 61 2 8 4 3 2 3" xfId="0"/>
    <cellStyle name="Normal 61 2 8 4 3 3" xfId="0"/>
    <cellStyle name="Normal 61 2 8 4 3 3 2" xfId="0"/>
    <cellStyle name="Normal 61 2 8 4 3 3 2 2" xfId="0"/>
    <cellStyle name="Normal 61 2 8 4 3 3 3" xfId="0"/>
    <cellStyle name="Normal 61 2 8 4 3 4" xfId="0"/>
    <cellStyle name="Normal 61 2 8 4 3 4 2" xfId="0"/>
    <cellStyle name="Normal 61 2 8 4 3 5" xfId="0"/>
    <cellStyle name="Normal 61 2 8 4 4" xfId="0"/>
    <cellStyle name="Normal 61 2 8 4 4 2" xfId="0"/>
    <cellStyle name="Normal 61 2 8 4 4 2 2" xfId="0"/>
    <cellStyle name="Normal 61 2 8 4 4 3" xfId="0"/>
    <cellStyle name="Normal 61 2 8 4 5" xfId="0"/>
    <cellStyle name="Normal 61 2 8 4 5 2" xfId="0"/>
    <cellStyle name="Normal 61 2 8 4 5 2 2" xfId="0"/>
    <cellStyle name="Normal 61 2 8 4 5 3" xfId="0"/>
    <cellStyle name="Normal 61 2 8 4 6" xfId="0"/>
    <cellStyle name="Normal 61 2 8 4 6 2" xfId="0"/>
    <cellStyle name="Normal 61 2 8 4 7" xfId="0"/>
    <cellStyle name="Normal 61 2 8 5" xfId="0"/>
    <cellStyle name="Normal 61 2 8 5 2" xfId="0"/>
    <cellStyle name="Normal 61 2 8 5 2 2" xfId="0"/>
    <cellStyle name="Normal 61 2 8 5 2 2 2" xfId="0"/>
    <cellStyle name="Normal 61 2 8 5 2 2 2 2" xfId="0"/>
    <cellStyle name="Normal 61 2 8 5 2 2 3" xfId="0"/>
    <cellStyle name="Normal 61 2 8 5 2 3" xfId="0"/>
    <cellStyle name="Normal 61 2 8 5 2 3 2" xfId="0"/>
    <cellStyle name="Normal 61 2 8 5 2 3 2 2" xfId="0"/>
    <cellStyle name="Normal 61 2 8 5 2 3 3" xfId="0"/>
    <cellStyle name="Normal 61 2 8 5 2 4" xfId="0"/>
    <cellStyle name="Normal 61 2 8 5 2 4 2" xfId="0"/>
    <cellStyle name="Normal 61 2 8 5 2 5" xfId="0"/>
    <cellStyle name="Normal 61 2 8 5 3" xfId="0"/>
    <cellStyle name="Normal 61 2 8 5 3 2" xfId="0"/>
    <cellStyle name="Normal 61 2 8 5 3 2 2" xfId="0"/>
    <cellStyle name="Normal 61 2 8 5 3 3" xfId="0"/>
    <cellStyle name="Normal 61 2 8 5 4" xfId="0"/>
    <cellStyle name="Normal 61 2 8 5 4 2" xfId="0"/>
    <cellStyle name="Normal 61 2 8 5 4 2 2" xfId="0"/>
    <cellStyle name="Normal 61 2 8 5 4 3" xfId="0"/>
    <cellStyle name="Normal 61 2 8 5 5" xfId="0"/>
    <cellStyle name="Normal 61 2 8 5 5 2" xfId="0"/>
    <cellStyle name="Normal 61 2 8 5 6" xfId="0"/>
    <cellStyle name="Normal 61 2 8 6" xfId="0"/>
    <cellStyle name="Normal 61 2 8 6 2" xfId="0"/>
    <cellStyle name="Normal 61 2 8 6 2 2" xfId="0"/>
    <cellStyle name="Normal 61 2 8 6 2 2 2" xfId="0"/>
    <cellStyle name="Normal 61 2 8 6 2 3" xfId="0"/>
    <cellStyle name="Normal 61 2 8 6 3" xfId="0"/>
    <cellStyle name="Normal 61 2 8 6 3 2" xfId="0"/>
    <cellStyle name="Normal 61 2 8 6 3 2 2" xfId="0"/>
    <cellStyle name="Normal 61 2 8 6 3 3" xfId="0"/>
    <cellStyle name="Normal 61 2 8 6 4" xfId="0"/>
    <cellStyle name="Normal 61 2 8 6 4 2" xfId="0"/>
    <cellStyle name="Normal 61 2 8 6 5" xfId="0"/>
    <cellStyle name="Normal 61 2 8 7" xfId="0"/>
    <cellStyle name="Normal 61 2 8 7 2" xfId="0"/>
    <cellStyle name="Normal 61 2 8 7 2 2" xfId="0"/>
    <cellStyle name="Normal 61 2 8 7 3" xfId="0"/>
    <cellStyle name="Normal 61 2 8 8" xfId="0"/>
    <cellStyle name="Normal 61 2 8 8 2" xfId="0"/>
    <cellStyle name="Normal 61 2 8 8 2 2" xfId="0"/>
    <cellStyle name="Normal 61 2 8 8 3" xfId="0"/>
    <cellStyle name="Normal 61 2 8 9" xfId="0"/>
    <cellStyle name="Normal 61 2 8 9 2" xfId="0"/>
    <cellStyle name="Normal 61 2 9" xfId="0"/>
    <cellStyle name="Normal 61 2 9 2" xfId="0"/>
    <cellStyle name="Normal 61 2 9 2 2" xfId="0"/>
    <cellStyle name="Normal 61 2 9 2 2 2" xfId="0"/>
    <cellStyle name="Normal 61 2 9 2 2 2 2" xfId="0"/>
    <cellStyle name="Normal 61 2 9 2 2 2 2 2" xfId="0"/>
    <cellStyle name="Normal 61 2 9 2 2 2 2 2 2" xfId="0"/>
    <cellStyle name="Normal 61 2 9 2 2 2 2 2 2 2" xfId="0"/>
    <cellStyle name="Normal 61 2 9 2 2 2 2 2 3" xfId="0"/>
    <cellStyle name="Normal 61 2 9 2 2 2 2 3" xfId="0"/>
    <cellStyle name="Normal 61 2 9 2 2 2 2 3 2" xfId="0"/>
    <cellStyle name="Normal 61 2 9 2 2 2 2 3 2 2" xfId="0"/>
    <cellStyle name="Normal 61 2 9 2 2 2 2 3 3" xfId="0"/>
    <cellStyle name="Normal 61 2 9 2 2 2 2 4" xfId="0"/>
    <cellStyle name="Normal 61 2 9 2 2 2 2 4 2" xfId="0"/>
    <cellStyle name="Normal 61 2 9 2 2 2 2 5" xfId="0"/>
    <cellStyle name="Normal 61 2 9 2 2 2 3" xfId="0"/>
    <cellStyle name="Normal 61 2 9 2 2 2 3 2" xfId="0"/>
    <cellStyle name="Normal 61 2 9 2 2 2 3 2 2" xfId="0"/>
    <cellStyle name="Normal 61 2 9 2 2 2 3 3" xfId="0"/>
    <cellStyle name="Normal 61 2 9 2 2 2 4" xfId="0"/>
    <cellStyle name="Normal 61 2 9 2 2 2 4 2" xfId="0"/>
    <cellStyle name="Normal 61 2 9 2 2 2 4 2 2" xfId="0"/>
    <cellStyle name="Normal 61 2 9 2 2 2 4 3" xfId="0"/>
    <cellStyle name="Normal 61 2 9 2 2 2 5" xfId="0"/>
    <cellStyle name="Normal 61 2 9 2 2 2 5 2" xfId="0"/>
    <cellStyle name="Normal 61 2 9 2 2 2 6" xfId="0"/>
    <cellStyle name="Normal 61 2 9 2 2 3" xfId="0"/>
    <cellStyle name="Normal 61 2 9 2 2 3 2" xfId="0"/>
    <cellStyle name="Normal 61 2 9 2 2 3 2 2" xfId="0"/>
    <cellStyle name="Normal 61 2 9 2 2 3 2 2 2" xfId="0"/>
    <cellStyle name="Normal 61 2 9 2 2 3 2 3" xfId="0"/>
    <cellStyle name="Normal 61 2 9 2 2 3 3" xfId="0"/>
    <cellStyle name="Normal 61 2 9 2 2 3 3 2" xfId="0"/>
    <cellStyle name="Normal 61 2 9 2 2 3 3 2 2" xfId="0"/>
    <cellStyle name="Normal 61 2 9 2 2 3 3 3" xfId="0"/>
    <cellStyle name="Normal 61 2 9 2 2 3 4" xfId="0"/>
    <cellStyle name="Normal 61 2 9 2 2 3 4 2" xfId="0"/>
    <cellStyle name="Normal 61 2 9 2 2 3 5" xfId="0"/>
    <cellStyle name="Normal 61 2 9 2 2 4" xfId="0"/>
    <cellStyle name="Normal 61 2 9 2 2 4 2" xfId="0"/>
    <cellStyle name="Normal 61 2 9 2 2 4 2 2" xfId="0"/>
    <cellStyle name="Normal 61 2 9 2 2 4 3" xfId="0"/>
    <cellStyle name="Normal 61 2 9 2 2 5" xfId="0"/>
    <cellStyle name="Normal 61 2 9 2 2 5 2" xfId="0"/>
    <cellStyle name="Normal 61 2 9 2 2 5 2 2" xfId="0"/>
    <cellStyle name="Normal 61 2 9 2 2 5 3" xfId="0"/>
    <cellStyle name="Normal 61 2 9 2 2 6" xfId="0"/>
    <cellStyle name="Normal 61 2 9 2 2 6 2" xfId="0"/>
    <cellStyle name="Normal 61 2 9 2 2 7" xfId="0"/>
    <cellStyle name="Normal 61 2 9 2 3" xfId="0"/>
    <cellStyle name="Normal 61 2 9 2 3 2" xfId="0"/>
    <cellStyle name="Normal 61 2 9 2 3 2 2" xfId="0"/>
    <cellStyle name="Normal 61 2 9 2 3 2 2 2" xfId="0"/>
    <cellStyle name="Normal 61 2 9 2 3 2 2 2 2" xfId="0"/>
    <cellStyle name="Normal 61 2 9 2 3 2 2 3" xfId="0"/>
    <cellStyle name="Normal 61 2 9 2 3 2 3" xfId="0"/>
    <cellStyle name="Normal 61 2 9 2 3 2 3 2" xfId="0"/>
    <cellStyle name="Normal 61 2 9 2 3 2 3 2 2" xfId="0"/>
    <cellStyle name="Normal 61 2 9 2 3 2 3 3" xfId="0"/>
    <cellStyle name="Normal 61 2 9 2 3 2 4" xfId="0"/>
    <cellStyle name="Normal 61 2 9 2 3 2 4 2" xfId="0"/>
    <cellStyle name="Normal 61 2 9 2 3 2 5" xfId="0"/>
    <cellStyle name="Normal 61 2 9 2 3 3" xfId="0"/>
    <cellStyle name="Normal 61 2 9 2 3 3 2" xfId="0"/>
    <cellStyle name="Normal 61 2 9 2 3 3 2 2" xfId="0"/>
    <cellStyle name="Normal 61 2 9 2 3 3 3" xfId="0"/>
    <cellStyle name="Normal 61 2 9 2 3 4" xfId="0"/>
    <cellStyle name="Normal 61 2 9 2 3 4 2" xfId="0"/>
    <cellStyle name="Normal 61 2 9 2 3 4 2 2" xfId="0"/>
    <cellStyle name="Normal 61 2 9 2 3 4 3" xfId="0"/>
    <cellStyle name="Normal 61 2 9 2 3 5" xfId="0"/>
    <cellStyle name="Normal 61 2 9 2 3 5 2" xfId="0"/>
    <cellStyle name="Normal 61 2 9 2 3 6" xfId="0"/>
    <cellStyle name="Normal 61 2 9 2 4" xfId="0"/>
    <cellStyle name="Normal 61 2 9 2 4 2" xfId="0"/>
    <cellStyle name="Normal 61 2 9 2 4 2 2" xfId="0"/>
    <cellStyle name="Normal 61 2 9 2 4 2 2 2" xfId="0"/>
    <cellStyle name="Normal 61 2 9 2 4 2 3" xfId="0"/>
    <cellStyle name="Normal 61 2 9 2 4 3" xfId="0"/>
    <cellStyle name="Normal 61 2 9 2 4 3 2" xfId="0"/>
    <cellStyle name="Normal 61 2 9 2 4 3 2 2" xfId="0"/>
    <cellStyle name="Normal 61 2 9 2 4 3 3" xfId="0"/>
    <cellStyle name="Normal 61 2 9 2 4 4" xfId="0"/>
    <cellStyle name="Normal 61 2 9 2 4 4 2" xfId="0"/>
    <cellStyle name="Normal 61 2 9 2 4 5" xfId="0"/>
    <cellStyle name="Normal 61 2 9 2 5" xfId="0"/>
    <cellStyle name="Normal 61 2 9 2 5 2" xfId="0"/>
    <cellStyle name="Normal 61 2 9 2 5 2 2" xfId="0"/>
    <cellStyle name="Normal 61 2 9 2 5 3" xfId="0"/>
    <cellStyle name="Normal 61 2 9 2 6" xfId="0"/>
    <cellStyle name="Normal 61 2 9 2 6 2" xfId="0"/>
    <cellStyle name="Normal 61 2 9 2 6 2 2" xfId="0"/>
    <cellStyle name="Normal 61 2 9 2 6 3" xfId="0"/>
    <cellStyle name="Normal 61 2 9 2 7" xfId="0"/>
    <cellStyle name="Normal 61 2 9 2 7 2" xfId="0"/>
    <cellStyle name="Normal 61 2 9 2 8" xfId="0"/>
    <cellStyle name="Normal 61 2 9 3" xfId="0"/>
    <cellStyle name="Normal 61 2 9 3 2" xfId="0"/>
    <cellStyle name="Normal 61 2 9 3 2 2" xfId="0"/>
    <cellStyle name="Normal 61 2 9 3 2 2 2" xfId="0"/>
    <cellStyle name="Normal 61 2 9 3 2 2 2 2" xfId="0"/>
    <cellStyle name="Normal 61 2 9 3 2 2 2 2 2" xfId="0"/>
    <cellStyle name="Normal 61 2 9 3 2 2 2 3" xfId="0"/>
    <cellStyle name="Normal 61 2 9 3 2 2 3" xfId="0"/>
    <cellStyle name="Normal 61 2 9 3 2 2 3 2" xfId="0"/>
    <cellStyle name="Normal 61 2 9 3 2 2 3 2 2" xfId="0"/>
    <cellStyle name="Normal 61 2 9 3 2 2 3 3" xfId="0"/>
    <cellStyle name="Normal 61 2 9 3 2 2 4" xfId="0"/>
    <cellStyle name="Normal 61 2 9 3 2 2 4 2" xfId="0"/>
    <cellStyle name="Normal 61 2 9 3 2 2 5" xfId="0"/>
    <cellStyle name="Normal 61 2 9 3 2 3" xfId="0"/>
    <cellStyle name="Normal 61 2 9 3 2 3 2" xfId="0"/>
    <cellStyle name="Normal 61 2 9 3 2 3 2 2" xfId="0"/>
    <cellStyle name="Normal 61 2 9 3 2 3 3" xfId="0"/>
    <cellStyle name="Normal 61 2 9 3 2 4" xfId="0"/>
    <cellStyle name="Normal 61 2 9 3 2 4 2" xfId="0"/>
    <cellStyle name="Normal 61 2 9 3 2 4 2 2" xfId="0"/>
    <cellStyle name="Normal 61 2 9 3 2 4 3" xfId="0"/>
    <cellStyle name="Normal 61 2 9 3 2 5" xfId="0"/>
    <cellStyle name="Normal 61 2 9 3 2 5 2" xfId="0"/>
    <cellStyle name="Normal 61 2 9 3 2 6" xfId="0"/>
    <cellStyle name="Normal 61 2 9 3 3" xfId="0"/>
    <cellStyle name="Normal 61 2 9 3 3 2" xfId="0"/>
    <cellStyle name="Normal 61 2 9 3 3 2 2" xfId="0"/>
    <cellStyle name="Normal 61 2 9 3 3 2 2 2" xfId="0"/>
    <cellStyle name="Normal 61 2 9 3 3 2 3" xfId="0"/>
    <cellStyle name="Normal 61 2 9 3 3 3" xfId="0"/>
    <cellStyle name="Normal 61 2 9 3 3 3 2" xfId="0"/>
    <cellStyle name="Normal 61 2 9 3 3 3 2 2" xfId="0"/>
    <cellStyle name="Normal 61 2 9 3 3 3 3" xfId="0"/>
    <cellStyle name="Normal 61 2 9 3 3 4" xfId="0"/>
    <cellStyle name="Normal 61 2 9 3 3 4 2" xfId="0"/>
    <cellStyle name="Normal 61 2 9 3 3 5" xfId="0"/>
    <cellStyle name="Normal 61 2 9 3 4" xfId="0"/>
    <cellStyle name="Normal 61 2 9 3 4 2" xfId="0"/>
    <cellStyle name="Normal 61 2 9 3 4 2 2" xfId="0"/>
    <cellStyle name="Normal 61 2 9 3 4 3" xfId="0"/>
    <cellStyle name="Normal 61 2 9 3 5" xfId="0"/>
    <cellStyle name="Normal 61 2 9 3 5 2" xfId="0"/>
    <cellStyle name="Normal 61 2 9 3 5 2 2" xfId="0"/>
    <cellStyle name="Normal 61 2 9 3 5 3" xfId="0"/>
    <cellStyle name="Normal 61 2 9 3 6" xfId="0"/>
    <cellStyle name="Normal 61 2 9 3 6 2" xfId="0"/>
    <cellStyle name="Normal 61 2 9 3 7" xfId="0"/>
    <cellStyle name="Normal 61 2 9 4" xfId="0"/>
    <cellStyle name="Normal 61 2 9 4 2" xfId="0"/>
    <cellStyle name="Normal 61 2 9 4 2 2" xfId="0"/>
    <cellStyle name="Normal 61 2 9 4 2 2 2" xfId="0"/>
    <cellStyle name="Normal 61 2 9 4 2 2 2 2" xfId="0"/>
    <cellStyle name="Normal 61 2 9 4 2 2 3" xfId="0"/>
    <cellStyle name="Normal 61 2 9 4 2 3" xfId="0"/>
    <cellStyle name="Normal 61 2 9 4 2 3 2" xfId="0"/>
    <cellStyle name="Normal 61 2 9 4 2 3 2 2" xfId="0"/>
    <cellStyle name="Normal 61 2 9 4 2 3 3" xfId="0"/>
    <cellStyle name="Normal 61 2 9 4 2 4" xfId="0"/>
    <cellStyle name="Normal 61 2 9 4 2 4 2" xfId="0"/>
    <cellStyle name="Normal 61 2 9 4 2 5" xfId="0"/>
    <cellStyle name="Normal 61 2 9 4 3" xfId="0"/>
    <cellStyle name="Normal 61 2 9 4 3 2" xfId="0"/>
    <cellStyle name="Normal 61 2 9 4 3 2 2" xfId="0"/>
    <cellStyle name="Normal 61 2 9 4 3 3" xfId="0"/>
    <cellStyle name="Normal 61 2 9 4 4" xfId="0"/>
    <cellStyle name="Normal 61 2 9 4 4 2" xfId="0"/>
    <cellStyle name="Normal 61 2 9 4 4 2 2" xfId="0"/>
    <cellStyle name="Normal 61 2 9 4 4 3" xfId="0"/>
    <cellStyle name="Normal 61 2 9 4 5" xfId="0"/>
    <cellStyle name="Normal 61 2 9 4 5 2" xfId="0"/>
    <cellStyle name="Normal 61 2 9 4 6" xfId="0"/>
    <cellStyle name="Normal 61 2 9 5" xfId="0"/>
    <cellStyle name="Normal 61 2 9 5 2" xfId="0"/>
    <cellStyle name="Normal 61 2 9 5 2 2" xfId="0"/>
    <cellStyle name="Normal 61 2 9 5 2 2 2" xfId="0"/>
    <cellStyle name="Normal 61 2 9 5 2 3" xfId="0"/>
    <cellStyle name="Normal 61 2 9 5 3" xfId="0"/>
    <cellStyle name="Normal 61 2 9 5 3 2" xfId="0"/>
    <cellStyle name="Normal 61 2 9 5 3 2 2" xfId="0"/>
    <cellStyle name="Normal 61 2 9 5 3 3" xfId="0"/>
    <cellStyle name="Normal 61 2 9 5 4" xfId="0"/>
    <cellStyle name="Normal 61 2 9 5 4 2" xfId="0"/>
    <cellStyle name="Normal 61 2 9 5 5" xfId="0"/>
    <cellStyle name="Normal 61 2 9 6" xfId="0"/>
    <cellStyle name="Normal 61 2 9 6 2" xfId="0"/>
    <cellStyle name="Normal 61 2 9 6 2 2" xfId="0"/>
    <cellStyle name="Normal 61 2 9 6 3" xfId="0"/>
    <cellStyle name="Normal 61 2 9 7" xfId="0"/>
    <cellStyle name="Normal 61 2 9 7 2" xfId="0"/>
    <cellStyle name="Normal 61 2 9 7 2 2" xfId="0"/>
    <cellStyle name="Normal 61 2 9 7 3" xfId="0"/>
    <cellStyle name="Normal 61 2 9 8" xfId="0"/>
    <cellStyle name="Normal 61 2 9 8 2" xfId="0"/>
    <cellStyle name="Normal 61 2 9 9" xfId="0"/>
    <cellStyle name="Normal 61 3" xfId="0"/>
    <cellStyle name="Normal 61 3 10" xfId="0"/>
    <cellStyle name="Normal 61 3 10 2" xfId="0"/>
    <cellStyle name="Normal 61 3 10 2 2" xfId="0"/>
    <cellStyle name="Normal 61 3 10 3" xfId="0"/>
    <cellStyle name="Normal 61 3 11" xfId="0"/>
    <cellStyle name="Normal 61 3 11 2" xfId="0"/>
    <cellStyle name="Normal 61 3 11 2 2" xfId="0"/>
    <cellStyle name="Normal 61 3 11 3" xfId="0"/>
    <cellStyle name="Normal 61 3 12" xfId="0"/>
    <cellStyle name="Normal 61 3 12 2" xfId="0"/>
    <cellStyle name="Normal 61 3 13" xfId="0"/>
    <cellStyle name="Normal 61 3 2" xfId="0"/>
    <cellStyle name="Normal 61 3 2 10" xfId="0"/>
    <cellStyle name="Normal 61 3 2 10 2" xfId="0"/>
    <cellStyle name="Normal 61 3 2 10 2 2" xfId="0"/>
    <cellStyle name="Normal 61 3 2 10 3" xfId="0"/>
    <cellStyle name="Normal 61 3 2 11" xfId="0"/>
    <cellStyle name="Normal 61 3 2 11 2" xfId="0"/>
    <cellStyle name="Normal 61 3 2 12" xfId="0"/>
    <cellStyle name="Normal 61 3 2 2" xfId="0"/>
    <cellStyle name="Normal 61 3 2 2 10" xfId="0"/>
    <cellStyle name="Normal 61 3 2 2 2" xfId="0"/>
    <cellStyle name="Normal 61 3 2 2 2 2" xfId="0"/>
    <cellStyle name="Normal 61 3 2 2 2 2 2" xfId="0"/>
    <cellStyle name="Normal 61 3 2 2 2 2 2 2" xfId="0"/>
    <cellStyle name="Normal 61 3 2 2 2 2 2 2 2" xfId="0"/>
    <cellStyle name="Normal 61 3 2 2 2 2 2 2 2 2" xfId="0"/>
    <cellStyle name="Normal 61 3 2 2 2 2 2 2 2 2 2" xfId="0"/>
    <cellStyle name="Normal 61 3 2 2 2 2 2 2 2 2 2 2" xfId="0"/>
    <cellStyle name="Normal 61 3 2 2 2 2 2 2 2 2 3" xfId="0"/>
    <cellStyle name="Normal 61 3 2 2 2 2 2 2 2 3" xfId="0"/>
    <cellStyle name="Normal 61 3 2 2 2 2 2 2 2 3 2" xfId="0"/>
    <cellStyle name="Normal 61 3 2 2 2 2 2 2 2 3 2 2" xfId="0"/>
    <cellStyle name="Normal 61 3 2 2 2 2 2 2 2 3 3" xfId="0"/>
    <cellStyle name="Normal 61 3 2 2 2 2 2 2 2 4" xfId="0"/>
    <cellStyle name="Normal 61 3 2 2 2 2 2 2 2 4 2" xfId="0"/>
    <cellStyle name="Normal 61 3 2 2 2 2 2 2 2 5" xfId="0"/>
    <cellStyle name="Normal 61 3 2 2 2 2 2 2 3" xfId="0"/>
    <cellStyle name="Normal 61 3 2 2 2 2 2 2 3 2" xfId="0"/>
    <cellStyle name="Normal 61 3 2 2 2 2 2 2 3 2 2" xfId="0"/>
    <cellStyle name="Normal 61 3 2 2 2 2 2 2 3 3" xfId="0"/>
    <cellStyle name="Normal 61 3 2 2 2 2 2 2 4" xfId="0"/>
    <cellStyle name="Normal 61 3 2 2 2 2 2 2 4 2" xfId="0"/>
    <cellStyle name="Normal 61 3 2 2 2 2 2 2 4 2 2" xfId="0"/>
    <cellStyle name="Normal 61 3 2 2 2 2 2 2 4 3" xfId="0"/>
    <cellStyle name="Normal 61 3 2 2 2 2 2 2 5" xfId="0"/>
    <cellStyle name="Normal 61 3 2 2 2 2 2 2 5 2" xfId="0"/>
    <cellStyle name="Normal 61 3 2 2 2 2 2 2 6" xfId="0"/>
    <cellStyle name="Normal 61 3 2 2 2 2 2 3" xfId="0"/>
    <cellStyle name="Normal 61 3 2 2 2 2 2 3 2" xfId="0"/>
    <cellStyle name="Normal 61 3 2 2 2 2 2 3 2 2" xfId="0"/>
    <cellStyle name="Normal 61 3 2 2 2 2 2 3 2 2 2" xfId="0"/>
    <cellStyle name="Normal 61 3 2 2 2 2 2 3 2 3" xfId="0"/>
    <cellStyle name="Normal 61 3 2 2 2 2 2 3 3" xfId="0"/>
    <cellStyle name="Normal 61 3 2 2 2 2 2 3 3 2" xfId="0"/>
    <cellStyle name="Normal 61 3 2 2 2 2 2 3 3 2 2" xfId="0"/>
    <cellStyle name="Normal 61 3 2 2 2 2 2 3 3 3" xfId="0"/>
    <cellStyle name="Normal 61 3 2 2 2 2 2 3 4" xfId="0"/>
    <cellStyle name="Normal 61 3 2 2 2 2 2 3 4 2" xfId="0"/>
    <cellStyle name="Normal 61 3 2 2 2 2 2 3 5" xfId="0"/>
    <cellStyle name="Normal 61 3 2 2 2 2 2 4" xfId="0"/>
    <cellStyle name="Normal 61 3 2 2 2 2 2 4 2" xfId="0"/>
    <cellStyle name="Normal 61 3 2 2 2 2 2 4 2 2" xfId="0"/>
    <cellStyle name="Normal 61 3 2 2 2 2 2 4 3" xfId="0"/>
    <cellStyle name="Normal 61 3 2 2 2 2 2 5" xfId="0"/>
    <cellStyle name="Normal 61 3 2 2 2 2 2 5 2" xfId="0"/>
    <cellStyle name="Normal 61 3 2 2 2 2 2 5 2 2" xfId="0"/>
    <cellStyle name="Normal 61 3 2 2 2 2 2 5 3" xfId="0"/>
    <cellStyle name="Normal 61 3 2 2 2 2 2 6" xfId="0"/>
    <cellStyle name="Normal 61 3 2 2 2 2 2 6 2" xfId="0"/>
    <cellStyle name="Normal 61 3 2 2 2 2 2 7" xfId="0"/>
    <cellStyle name="Normal 61 3 2 2 2 2 3" xfId="0"/>
    <cellStyle name="Normal 61 3 2 2 2 2 3 2" xfId="0"/>
    <cellStyle name="Normal 61 3 2 2 2 2 3 2 2" xfId="0"/>
    <cellStyle name="Normal 61 3 2 2 2 2 3 2 2 2" xfId="0"/>
    <cellStyle name="Normal 61 3 2 2 2 2 3 2 2 2 2" xfId="0"/>
    <cellStyle name="Normal 61 3 2 2 2 2 3 2 2 3" xfId="0"/>
    <cellStyle name="Normal 61 3 2 2 2 2 3 2 3" xfId="0"/>
    <cellStyle name="Normal 61 3 2 2 2 2 3 2 3 2" xfId="0"/>
    <cellStyle name="Normal 61 3 2 2 2 2 3 2 3 2 2" xfId="0"/>
    <cellStyle name="Normal 61 3 2 2 2 2 3 2 3 3" xfId="0"/>
    <cellStyle name="Normal 61 3 2 2 2 2 3 2 4" xfId="0"/>
    <cellStyle name="Normal 61 3 2 2 2 2 3 2 4 2" xfId="0"/>
    <cellStyle name="Normal 61 3 2 2 2 2 3 2 5" xfId="0"/>
    <cellStyle name="Normal 61 3 2 2 2 2 3 3" xfId="0"/>
    <cellStyle name="Normal 61 3 2 2 2 2 3 3 2" xfId="0"/>
    <cellStyle name="Normal 61 3 2 2 2 2 3 3 2 2" xfId="0"/>
    <cellStyle name="Normal 61 3 2 2 2 2 3 3 3" xfId="0"/>
    <cellStyle name="Normal 61 3 2 2 2 2 3 4" xfId="0"/>
    <cellStyle name="Normal 61 3 2 2 2 2 3 4 2" xfId="0"/>
    <cellStyle name="Normal 61 3 2 2 2 2 3 4 2 2" xfId="0"/>
    <cellStyle name="Normal 61 3 2 2 2 2 3 4 3" xfId="0"/>
    <cellStyle name="Normal 61 3 2 2 2 2 3 5" xfId="0"/>
    <cellStyle name="Normal 61 3 2 2 2 2 3 5 2" xfId="0"/>
    <cellStyle name="Normal 61 3 2 2 2 2 3 6" xfId="0"/>
    <cellStyle name="Normal 61 3 2 2 2 2 4" xfId="0"/>
    <cellStyle name="Normal 61 3 2 2 2 2 4 2" xfId="0"/>
    <cellStyle name="Normal 61 3 2 2 2 2 4 2 2" xfId="0"/>
    <cellStyle name="Normal 61 3 2 2 2 2 4 2 2 2" xfId="0"/>
    <cellStyle name="Normal 61 3 2 2 2 2 4 2 3" xfId="0"/>
    <cellStyle name="Normal 61 3 2 2 2 2 4 3" xfId="0"/>
    <cellStyle name="Normal 61 3 2 2 2 2 4 3 2" xfId="0"/>
    <cellStyle name="Normal 61 3 2 2 2 2 4 3 2 2" xfId="0"/>
    <cellStyle name="Normal 61 3 2 2 2 2 4 3 3" xfId="0"/>
    <cellStyle name="Normal 61 3 2 2 2 2 4 4" xfId="0"/>
    <cellStyle name="Normal 61 3 2 2 2 2 4 4 2" xfId="0"/>
    <cellStyle name="Normal 61 3 2 2 2 2 4 5" xfId="0"/>
    <cellStyle name="Normal 61 3 2 2 2 2 5" xfId="0"/>
    <cellStyle name="Normal 61 3 2 2 2 2 5 2" xfId="0"/>
    <cellStyle name="Normal 61 3 2 2 2 2 5 2 2" xfId="0"/>
    <cellStyle name="Normal 61 3 2 2 2 2 5 3" xfId="0"/>
    <cellStyle name="Normal 61 3 2 2 2 2 6" xfId="0"/>
    <cellStyle name="Normal 61 3 2 2 2 2 6 2" xfId="0"/>
    <cellStyle name="Normal 61 3 2 2 2 2 6 2 2" xfId="0"/>
    <cellStyle name="Normal 61 3 2 2 2 2 6 3" xfId="0"/>
    <cellStyle name="Normal 61 3 2 2 2 2 7" xfId="0"/>
    <cellStyle name="Normal 61 3 2 2 2 2 7 2" xfId="0"/>
    <cellStyle name="Normal 61 3 2 2 2 2 8" xfId="0"/>
    <cellStyle name="Normal 61 3 2 2 2 3" xfId="0"/>
    <cellStyle name="Normal 61 3 2 2 2 3 2" xfId="0"/>
    <cellStyle name="Normal 61 3 2 2 2 3 2 2" xfId="0"/>
    <cellStyle name="Normal 61 3 2 2 2 3 2 2 2" xfId="0"/>
    <cellStyle name="Normal 61 3 2 2 2 3 2 2 2 2" xfId="0"/>
    <cellStyle name="Normal 61 3 2 2 2 3 2 2 2 2 2" xfId="0"/>
    <cellStyle name="Normal 61 3 2 2 2 3 2 2 2 3" xfId="0"/>
    <cellStyle name="Normal 61 3 2 2 2 3 2 2 3" xfId="0"/>
    <cellStyle name="Normal 61 3 2 2 2 3 2 2 3 2" xfId="0"/>
    <cellStyle name="Normal 61 3 2 2 2 3 2 2 3 2 2" xfId="0"/>
    <cellStyle name="Normal 61 3 2 2 2 3 2 2 3 3" xfId="0"/>
    <cellStyle name="Normal 61 3 2 2 2 3 2 2 4" xfId="0"/>
    <cellStyle name="Normal 61 3 2 2 2 3 2 2 4 2" xfId="0"/>
    <cellStyle name="Normal 61 3 2 2 2 3 2 2 5" xfId="0"/>
    <cellStyle name="Normal 61 3 2 2 2 3 2 3" xfId="0"/>
    <cellStyle name="Normal 61 3 2 2 2 3 2 3 2" xfId="0"/>
    <cellStyle name="Normal 61 3 2 2 2 3 2 3 2 2" xfId="0"/>
    <cellStyle name="Normal 61 3 2 2 2 3 2 3 3" xfId="0"/>
    <cellStyle name="Normal 61 3 2 2 2 3 2 4" xfId="0"/>
    <cellStyle name="Normal 61 3 2 2 2 3 2 4 2" xfId="0"/>
    <cellStyle name="Normal 61 3 2 2 2 3 2 4 2 2" xfId="0"/>
    <cellStyle name="Normal 61 3 2 2 2 3 2 4 3" xfId="0"/>
    <cellStyle name="Normal 61 3 2 2 2 3 2 5" xfId="0"/>
    <cellStyle name="Normal 61 3 2 2 2 3 2 5 2" xfId="0"/>
    <cellStyle name="Normal 61 3 2 2 2 3 2 6" xfId="0"/>
    <cellStyle name="Normal 61 3 2 2 2 3 3" xfId="0"/>
    <cellStyle name="Normal 61 3 2 2 2 3 3 2" xfId="0"/>
    <cellStyle name="Normal 61 3 2 2 2 3 3 2 2" xfId="0"/>
    <cellStyle name="Normal 61 3 2 2 2 3 3 2 2 2" xfId="0"/>
    <cellStyle name="Normal 61 3 2 2 2 3 3 2 3" xfId="0"/>
    <cellStyle name="Normal 61 3 2 2 2 3 3 3" xfId="0"/>
    <cellStyle name="Normal 61 3 2 2 2 3 3 3 2" xfId="0"/>
    <cellStyle name="Normal 61 3 2 2 2 3 3 3 2 2" xfId="0"/>
    <cellStyle name="Normal 61 3 2 2 2 3 3 3 3" xfId="0"/>
    <cellStyle name="Normal 61 3 2 2 2 3 3 4" xfId="0"/>
    <cellStyle name="Normal 61 3 2 2 2 3 3 4 2" xfId="0"/>
    <cellStyle name="Normal 61 3 2 2 2 3 3 5" xfId="0"/>
    <cellStyle name="Normal 61 3 2 2 2 3 4" xfId="0"/>
    <cellStyle name="Normal 61 3 2 2 2 3 4 2" xfId="0"/>
    <cellStyle name="Normal 61 3 2 2 2 3 4 2 2" xfId="0"/>
    <cellStyle name="Normal 61 3 2 2 2 3 4 3" xfId="0"/>
    <cellStyle name="Normal 61 3 2 2 2 3 5" xfId="0"/>
    <cellStyle name="Normal 61 3 2 2 2 3 5 2" xfId="0"/>
    <cellStyle name="Normal 61 3 2 2 2 3 5 2 2" xfId="0"/>
    <cellStyle name="Normal 61 3 2 2 2 3 5 3" xfId="0"/>
    <cellStyle name="Normal 61 3 2 2 2 3 6" xfId="0"/>
    <cellStyle name="Normal 61 3 2 2 2 3 6 2" xfId="0"/>
    <cellStyle name="Normal 61 3 2 2 2 3 7" xfId="0"/>
    <cellStyle name="Normal 61 3 2 2 2 4" xfId="0"/>
    <cellStyle name="Normal 61 3 2 2 2 4 2" xfId="0"/>
    <cellStyle name="Normal 61 3 2 2 2 4 2 2" xfId="0"/>
    <cellStyle name="Normal 61 3 2 2 2 4 2 2 2" xfId="0"/>
    <cellStyle name="Normal 61 3 2 2 2 4 2 2 2 2" xfId="0"/>
    <cellStyle name="Normal 61 3 2 2 2 4 2 2 3" xfId="0"/>
    <cellStyle name="Normal 61 3 2 2 2 4 2 3" xfId="0"/>
    <cellStyle name="Normal 61 3 2 2 2 4 2 3 2" xfId="0"/>
    <cellStyle name="Normal 61 3 2 2 2 4 2 3 2 2" xfId="0"/>
    <cellStyle name="Normal 61 3 2 2 2 4 2 3 3" xfId="0"/>
    <cellStyle name="Normal 61 3 2 2 2 4 2 4" xfId="0"/>
    <cellStyle name="Normal 61 3 2 2 2 4 2 4 2" xfId="0"/>
    <cellStyle name="Normal 61 3 2 2 2 4 2 5" xfId="0"/>
    <cellStyle name="Normal 61 3 2 2 2 4 3" xfId="0"/>
    <cellStyle name="Normal 61 3 2 2 2 4 3 2" xfId="0"/>
    <cellStyle name="Normal 61 3 2 2 2 4 3 2 2" xfId="0"/>
    <cellStyle name="Normal 61 3 2 2 2 4 3 3" xfId="0"/>
    <cellStyle name="Normal 61 3 2 2 2 4 4" xfId="0"/>
    <cellStyle name="Normal 61 3 2 2 2 4 4 2" xfId="0"/>
    <cellStyle name="Normal 61 3 2 2 2 4 4 2 2" xfId="0"/>
    <cellStyle name="Normal 61 3 2 2 2 4 4 3" xfId="0"/>
    <cellStyle name="Normal 61 3 2 2 2 4 5" xfId="0"/>
    <cellStyle name="Normal 61 3 2 2 2 4 5 2" xfId="0"/>
    <cellStyle name="Normal 61 3 2 2 2 4 6" xfId="0"/>
    <cellStyle name="Normal 61 3 2 2 2 5" xfId="0"/>
    <cellStyle name="Normal 61 3 2 2 2 5 2" xfId="0"/>
    <cellStyle name="Normal 61 3 2 2 2 5 2 2" xfId="0"/>
    <cellStyle name="Normal 61 3 2 2 2 5 2 2 2" xfId="0"/>
    <cellStyle name="Normal 61 3 2 2 2 5 2 3" xfId="0"/>
    <cellStyle name="Normal 61 3 2 2 2 5 3" xfId="0"/>
    <cellStyle name="Normal 61 3 2 2 2 5 3 2" xfId="0"/>
    <cellStyle name="Normal 61 3 2 2 2 5 3 2 2" xfId="0"/>
    <cellStyle name="Normal 61 3 2 2 2 5 3 3" xfId="0"/>
    <cellStyle name="Normal 61 3 2 2 2 5 4" xfId="0"/>
    <cellStyle name="Normal 61 3 2 2 2 5 4 2" xfId="0"/>
    <cellStyle name="Normal 61 3 2 2 2 5 5" xfId="0"/>
    <cellStyle name="Normal 61 3 2 2 2 6" xfId="0"/>
    <cellStyle name="Normal 61 3 2 2 2 6 2" xfId="0"/>
    <cellStyle name="Normal 61 3 2 2 2 6 2 2" xfId="0"/>
    <cellStyle name="Normal 61 3 2 2 2 6 3" xfId="0"/>
    <cellStyle name="Normal 61 3 2 2 2 7" xfId="0"/>
    <cellStyle name="Normal 61 3 2 2 2 7 2" xfId="0"/>
    <cellStyle name="Normal 61 3 2 2 2 7 2 2" xfId="0"/>
    <cellStyle name="Normal 61 3 2 2 2 7 3" xfId="0"/>
    <cellStyle name="Normal 61 3 2 2 2 8" xfId="0"/>
    <cellStyle name="Normal 61 3 2 2 2 8 2" xfId="0"/>
    <cellStyle name="Normal 61 3 2 2 2 9" xfId="0"/>
    <cellStyle name="Normal 61 3 2 2 3" xfId="0"/>
    <cellStyle name="Normal 61 3 2 2 3 2" xfId="0"/>
    <cellStyle name="Normal 61 3 2 2 3 2 2" xfId="0"/>
    <cellStyle name="Normal 61 3 2 2 3 2 2 2" xfId="0"/>
    <cellStyle name="Normal 61 3 2 2 3 2 2 2 2" xfId="0"/>
    <cellStyle name="Normal 61 3 2 2 3 2 2 2 2 2" xfId="0"/>
    <cellStyle name="Normal 61 3 2 2 3 2 2 2 2 2 2" xfId="0"/>
    <cellStyle name="Normal 61 3 2 2 3 2 2 2 2 3" xfId="0"/>
    <cellStyle name="Normal 61 3 2 2 3 2 2 2 3" xfId="0"/>
    <cellStyle name="Normal 61 3 2 2 3 2 2 2 3 2" xfId="0"/>
    <cellStyle name="Normal 61 3 2 2 3 2 2 2 3 2 2" xfId="0"/>
    <cellStyle name="Normal 61 3 2 2 3 2 2 2 3 3" xfId="0"/>
    <cellStyle name="Normal 61 3 2 2 3 2 2 2 4" xfId="0"/>
    <cellStyle name="Normal 61 3 2 2 3 2 2 2 4 2" xfId="0"/>
    <cellStyle name="Normal 61 3 2 2 3 2 2 2 5" xfId="0"/>
    <cellStyle name="Normal 61 3 2 2 3 2 2 3" xfId="0"/>
    <cellStyle name="Normal 61 3 2 2 3 2 2 3 2" xfId="0"/>
    <cellStyle name="Normal 61 3 2 2 3 2 2 3 2 2" xfId="0"/>
    <cellStyle name="Normal 61 3 2 2 3 2 2 3 3" xfId="0"/>
    <cellStyle name="Normal 61 3 2 2 3 2 2 4" xfId="0"/>
    <cellStyle name="Normal 61 3 2 2 3 2 2 4 2" xfId="0"/>
    <cellStyle name="Normal 61 3 2 2 3 2 2 4 2 2" xfId="0"/>
    <cellStyle name="Normal 61 3 2 2 3 2 2 4 3" xfId="0"/>
    <cellStyle name="Normal 61 3 2 2 3 2 2 5" xfId="0"/>
    <cellStyle name="Normal 61 3 2 2 3 2 2 5 2" xfId="0"/>
    <cellStyle name="Normal 61 3 2 2 3 2 2 6" xfId="0"/>
    <cellStyle name="Normal 61 3 2 2 3 2 3" xfId="0"/>
    <cellStyle name="Normal 61 3 2 2 3 2 3 2" xfId="0"/>
    <cellStyle name="Normal 61 3 2 2 3 2 3 2 2" xfId="0"/>
    <cellStyle name="Normal 61 3 2 2 3 2 3 2 2 2" xfId="0"/>
    <cellStyle name="Normal 61 3 2 2 3 2 3 2 3" xfId="0"/>
    <cellStyle name="Normal 61 3 2 2 3 2 3 3" xfId="0"/>
    <cellStyle name="Normal 61 3 2 2 3 2 3 3 2" xfId="0"/>
    <cellStyle name="Normal 61 3 2 2 3 2 3 3 2 2" xfId="0"/>
    <cellStyle name="Normal 61 3 2 2 3 2 3 3 3" xfId="0"/>
    <cellStyle name="Normal 61 3 2 2 3 2 3 4" xfId="0"/>
    <cellStyle name="Normal 61 3 2 2 3 2 3 4 2" xfId="0"/>
    <cellStyle name="Normal 61 3 2 2 3 2 3 5" xfId="0"/>
    <cellStyle name="Normal 61 3 2 2 3 2 4" xfId="0"/>
    <cellStyle name="Normal 61 3 2 2 3 2 4 2" xfId="0"/>
    <cellStyle name="Normal 61 3 2 2 3 2 4 2 2" xfId="0"/>
    <cellStyle name="Normal 61 3 2 2 3 2 4 3" xfId="0"/>
    <cellStyle name="Normal 61 3 2 2 3 2 5" xfId="0"/>
    <cellStyle name="Normal 61 3 2 2 3 2 5 2" xfId="0"/>
    <cellStyle name="Normal 61 3 2 2 3 2 5 2 2" xfId="0"/>
    <cellStyle name="Normal 61 3 2 2 3 2 5 3" xfId="0"/>
    <cellStyle name="Normal 61 3 2 2 3 2 6" xfId="0"/>
    <cellStyle name="Normal 61 3 2 2 3 2 6 2" xfId="0"/>
    <cellStyle name="Normal 61 3 2 2 3 2 7" xfId="0"/>
    <cellStyle name="Normal 61 3 2 2 3 3" xfId="0"/>
    <cellStyle name="Normal 61 3 2 2 3 3 2" xfId="0"/>
    <cellStyle name="Normal 61 3 2 2 3 3 2 2" xfId="0"/>
    <cellStyle name="Normal 61 3 2 2 3 3 2 2 2" xfId="0"/>
    <cellStyle name="Normal 61 3 2 2 3 3 2 2 2 2" xfId="0"/>
    <cellStyle name="Normal 61 3 2 2 3 3 2 2 3" xfId="0"/>
    <cellStyle name="Normal 61 3 2 2 3 3 2 3" xfId="0"/>
    <cellStyle name="Normal 61 3 2 2 3 3 2 3 2" xfId="0"/>
    <cellStyle name="Normal 61 3 2 2 3 3 2 3 2 2" xfId="0"/>
    <cellStyle name="Normal 61 3 2 2 3 3 2 3 3" xfId="0"/>
    <cellStyle name="Normal 61 3 2 2 3 3 2 4" xfId="0"/>
    <cellStyle name="Normal 61 3 2 2 3 3 2 4 2" xfId="0"/>
    <cellStyle name="Normal 61 3 2 2 3 3 2 5" xfId="0"/>
    <cellStyle name="Normal 61 3 2 2 3 3 3" xfId="0"/>
    <cellStyle name="Normal 61 3 2 2 3 3 3 2" xfId="0"/>
    <cellStyle name="Normal 61 3 2 2 3 3 3 2 2" xfId="0"/>
    <cellStyle name="Normal 61 3 2 2 3 3 3 3" xfId="0"/>
    <cellStyle name="Normal 61 3 2 2 3 3 4" xfId="0"/>
    <cellStyle name="Normal 61 3 2 2 3 3 4 2" xfId="0"/>
    <cellStyle name="Normal 61 3 2 2 3 3 4 2 2" xfId="0"/>
    <cellStyle name="Normal 61 3 2 2 3 3 4 3" xfId="0"/>
    <cellStyle name="Normal 61 3 2 2 3 3 5" xfId="0"/>
    <cellStyle name="Normal 61 3 2 2 3 3 5 2" xfId="0"/>
    <cellStyle name="Normal 61 3 2 2 3 3 6" xfId="0"/>
    <cellStyle name="Normal 61 3 2 2 3 4" xfId="0"/>
    <cellStyle name="Normal 61 3 2 2 3 4 2" xfId="0"/>
    <cellStyle name="Normal 61 3 2 2 3 4 2 2" xfId="0"/>
    <cellStyle name="Normal 61 3 2 2 3 4 2 2 2" xfId="0"/>
    <cellStyle name="Normal 61 3 2 2 3 4 2 3" xfId="0"/>
    <cellStyle name="Normal 61 3 2 2 3 4 3" xfId="0"/>
    <cellStyle name="Normal 61 3 2 2 3 4 3 2" xfId="0"/>
    <cellStyle name="Normal 61 3 2 2 3 4 3 2 2" xfId="0"/>
    <cellStyle name="Normal 61 3 2 2 3 4 3 3" xfId="0"/>
    <cellStyle name="Normal 61 3 2 2 3 4 4" xfId="0"/>
    <cellStyle name="Normal 61 3 2 2 3 4 4 2" xfId="0"/>
    <cellStyle name="Normal 61 3 2 2 3 4 5" xfId="0"/>
    <cellStyle name="Normal 61 3 2 2 3 5" xfId="0"/>
    <cellStyle name="Normal 61 3 2 2 3 5 2" xfId="0"/>
    <cellStyle name="Normal 61 3 2 2 3 5 2 2" xfId="0"/>
    <cellStyle name="Normal 61 3 2 2 3 5 3" xfId="0"/>
    <cellStyle name="Normal 61 3 2 2 3 6" xfId="0"/>
    <cellStyle name="Normal 61 3 2 2 3 6 2" xfId="0"/>
    <cellStyle name="Normal 61 3 2 2 3 6 2 2" xfId="0"/>
    <cellStyle name="Normal 61 3 2 2 3 6 3" xfId="0"/>
    <cellStyle name="Normal 61 3 2 2 3 7" xfId="0"/>
    <cellStyle name="Normal 61 3 2 2 3 7 2" xfId="0"/>
    <cellStyle name="Normal 61 3 2 2 3 8" xfId="0"/>
    <cellStyle name="Normal 61 3 2 2 4" xfId="0"/>
    <cellStyle name="Normal 61 3 2 2 4 2" xfId="0"/>
    <cellStyle name="Normal 61 3 2 2 4 2 2" xfId="0"/>
    <cellStyle name="Normal 61 3 2 2 4 2 2 2" xfId="0"/>
    <cellStyle name="Normal 61 3 2 2 4 2 2 2 2" xfId="0"/>
    <cellStyle name="Normal 61 3 2 2 4 2 2 2 2 2" xfId="0"/>
    <cellStyle name="Normal 61 3 2 2 4 2 2 2 3" xfId="0"/>
    <cellStyle name="Normal 61 3 2 2 4 2 2 3" xfId="0"/>
    <cellStyle name="Normal 61 3 2 2 4 2 2 3 2" xfId="0"/>
    <cellStyle name="Normal 61 3 2 2 4 2 2 3 2 2" xfId="0"/>
    <cellStyle name="Normal 61 3 2 2 4 2 2 3 3" xfId="0"/>
    <cellStyle name="Normal 61 3 2 2 4 2 2 4" xfId="0"/>
    <cellStyle name="Normal 61 3 2 2 4 2 2 4 2" xfId="0"/>
    <cellStyle name="Normal 61 3 2 2 4 2 2 5" xfId="0"/>
    <cellStyle name="Normal 61 3 2 2 4 2 3" xfId="0"/>
    <cellStyle name="Normal 61 3 2 2 4 2 3 2" xfId="0"/>
    <cellStyle name="Normal 61 3 2 2 4 2 3 2 2" xfId="0"/>
    <cellStyle name="Normal 61 3 2 2 4 2 3 3" xfId="0"/>
    <cellStyle name="Normal 61 3 2 2 4 2 4" xfId="0"/>
    <cellStyle name="Normal 61 3 2 2 4 2 4 2" xfId="0"/>
    <cellStyle name="Normal 61 3 2 2 4 2 4 2 2" xfId="0"/>
    <cellStyle name="Normal 61 3 2 2 4 2 4 3" xfId="0"/>
    <cellStyle name="Normal 61 3 2 2 4 2 5" xfId="0"/>
    <cellStyle name="Normal 61 3 2 2 4 2 5 2" xfId="0"/>
    <cellStyle name="Normal 61 3 2 2 4 2 6" xfId="0"/>
    <cellStyle name="Normal 61 3 2 2 4 3" xfId="0"/>
    <cellStyle name="Normal 61 3 2 2 4 3 2" xfId="0"/>
    <cellStyle name="Normal 61 3 2 2 4 3 2 2" xfId="0"/>
    <cellStyle name="Normal 61 3 2 2 4 3 2 2 2" xfId="0"/>
    <cellStyle name="Normal 61 3 2 2 4 3 2 3" xfId="0"/>
    <cellStyle name="Normal 61 3 2 2 4 3 3" xfId="0"/>
    <cellStyle name="Normal 61 3 2 2 4 3 3 2" xfId="0"/>
    <cellStyle name="Normal 61 3 2 2 4 3 3 2 2" xfId="0"/>
    <cellStyle name="Normal 61 3 2 2 4 3 3 3" xfId="0"/>
    <cellStyle name="Normal 61 3 2 2 4 3 4" xfId="0"/>
    <cellStyle name="Normal 61 3 2 2 4 3 4 2" xfId="0"/>
    <cellStyle name="Normal 61 3 2 2 4 3 5" xfId="0"/>
    <cellStyle name="Normal 61 3 2 2 4 4" xfId="0"/>
    <cellStyle name="Normal 61 3 2 2 4 4 2" xfId="0"/>
    <cellStyle name="Normal 61 3 2 2 4 4 2 2" xfId="0"/>
    <cellStyle name="Normal 61 3 2 2 4 4 3" xfId="0"/>
    <cellStyle name="Normal 61 3 2 2 4 5" xfId="0"/>
    <cellStyle name="Normal 61 3 2 2 4 5 2" xfId="0"/>
    <cellStyle name="Normal 61 3 2 2 4 5 2 2" xfId="0"/>
    <cellStyle name="Normal 61 3 2 2 4 5 3" xfId="0"/>
    <cellStyle name="Normal 61 3 2 2 4 6" xfId="0"/>
    <cellStyle name="Normal 61 3 2 2 4 6 2" xfId="0"/>
    <cellStyle name="Normal 61 3 2 2 4 7" xfId="0"/>
    <cellStyle name="Normal 61 3 2 2 5" xfId="0"/>
    <cellStyle name="Normal 61 3 2 2 5 2" xfId="0"/>
    <cellStyle name="Normal 61 3 2 2 5 2 2" xfId="0"/>
    <cellStyle name="Normal 61 3 2 2 5 2 2 2" xfId="0"/>
    <cellStyle name="Normal 61 3 2 2 5 2 2 2 2" xfId="0"/>
    <cellStyle name="Normal 61 3 2 2 5 2 2 3" xfId="0"/>
    <cellStyle name="Normal 61 3 2 2 5 2 3" xfId="0"/>
    <cellStyle name="Normal 61 3 2 2 5 2 3 2" xfId="0"/>
    <cellStyle name="Normal 61 3 2 2 5 2 3 2 2" xfId="0"/>
    <cellStyle name="Normal 61 3 2 2 5 2 3 3" xfId="0"/>
    <cellStyle name="Normal 61 3 2 2 5 2 4" xfId="0"/>
    <cellStyle name="Normal 61 3 2 2 5 2 4 2" xfId="0"/>
    <cellStyle name="Normal 61 3 2 2 5 2 5" xfId="0"/>
    <cellStyle name="Normal 61 3 2 2 5 3" xfId="0"/>
    <cellStyle name="Normal 61 3 2 2 5 3 2" xfId="0"/>
    <cellStyle name="Normal 61 3 2 2 5 3 2 2" xfId="0"/>
    <cellStyle name="Normal 61 3 2 2 5 3 3" xfId="0"/>
    <cellStyle name="Normal 61 3 2 2 5 4" xfId="0"/>
    <cellStyle name="Normal 61 3 2 2 5 4 2" xfId="0"/>
    <cellStyle name="Normal 61 3 2 2 5 4 2 2" xfId="0"/>
    <cellStyle name="Normal 61 3 2 2 5 4 3" xfId="0"/>
    <cellStyle name="Normal 61 3 2 2 5 5" xfId="0"/>
    <cellStyle name="Normal 61 3 2 2 5 5 2" xfId="0"/>
    <cellStyle name="Normal 61 3 2 2 5 6" xfId="0"/>
    <cellStyle name="Normal 61 3 2 2 6" xfId="0"/>
    <cellStyle name="Normal 61 3 2 2 6 2" xfId="0"/>
    <cellStyle name="Normal 61 3 2 2 6 2 2" xfId="0"/>
    <cellStyle name="Normal 61 3 2 2 6 2 2 2" xfId="0"/>
    <cellStyle name="Normal 61 3 2 2 6 2 3" xfId="0"/>
    <cellStyle name="Normal 61 3 2 2 6 3" xfId="0"/>
    <cellStyle name="Normal 61 3 2 2 6 3 2" xfId="0"/>
    <cellStyle name="Normal 61 3 2 2 6 3 2 2" xfId="0"/>
    <cellStyle name="Normal 61 3 2 2 6 3 3" xfId="0"/>
    <cellStyle name="Normal 61 3 2 2 6 4" xfId="0"/>
    <cellStyle name="Normal 61 3 2 2 6 4 2" xfId="0"/>
    <cellStyle name="Normal 61 3 2 2 6 5" xfId="0"/>
    <cellStyle name="Normal 61 3 2 2 7" xfId="0"/>
    <cellStyle name="Normal 61 3 2 2 7 2" xfId="0"/>
    <cellStyle name="Normal 61 3 2 2 7 2 2" xfId="0"/>
    <cellStyle name="Normal 61 3 2 2 7 3" xfId="0"/>
    <cellStyle name="Normal 61 3 2 2 8" xfId="0"/>
    <cellStyle name="Normal 61 3 2 2 8 2" xfId="0"/>
    <cellStyle name="Normal 61 3 2 2 8 2 2" xfId="0"/>
    <cellStyle name="Normal 61 3 2 2 8 3" xfId="0"/>
    <cellStyle name="Normal 61 3 2 2 9" xfId="0"/>
    <cellStyle name="Normal 61 3 2 2 9 2" xfId="0"/>
    <cellStyle name="Normal 61 3 2 3" xfId="0"/>
    <cellStyle name="Normal 61 3 2 3 10" xfId="0"/>
    <cellStyle name="Normal 61 3 2 3 2" xfId="0"/>
    <cellStyle name="Normal 61 3 2 3 2 2" xfId="0"/>
    <cellStyle name="Normal 61 3 2 3 2 2 2" xfId="0"/>
    <cellStyle name="Normal 61 3 2 3 2 2 2 2" xfId="0"/>
    <cellStyle name="Normal 61 3 2 3 2 2 2 2 2" xfId="0"/>
    <cellStyle name="Normal 61 3 2 3 2 2 2 2 2 2" xfId="0"/>
    <cellStyle name="Normal 61 3 2 3 2 2 2 2 2 2 2" xfId="0"/>
    <cellStyle name="Normal 61 3 2 3 2 2 2 2 2 2 2 2" xfId="0"/>
    <cellStyle name="Normal 61 3 2 3 2 2 2 2 2 2 3" xfId="0"/>
    <cellStyle name="Normal 61 3 2 3 2 2 2 2 2 3" xfId="0"/>
    <cellStyle name="Normal 61 3 2 3 2 2 2 2 2 3 2" xfId="0"/>
    <cellStyle name="Normal 61 3 2 3 2 2 2 2 2 3 2 2" xfId="0"/>
    <cellStyle name="Normal 61 3 2 3 2 2 2 2 2 3 3" xfId="0"/>
    <cellStyle name="Normal 61 3 2 3 2 2 2 2 2 4" xfId="0"/>
    <cellStyle name="Normal 61 3 2 3 2 2 2 2 2 4 2" xfId="0"/>
    <cellStyle name="Normal 61 3 2 3 2 2 2 2 2 5" xfId="0"/>
    <cellStyle name="Normal 61 3 2 3 2 2 2 2 3" xfId="0"/>
    <cellStyle name="Normal 61 3 2 3 2 2 2 2 3 2" xfId="0"/>
    <cellStyle name="Normal 61 3 2 3 2 2 2 2 3 2 2" xfId="0"/>
    <cellStyle name="Normal 61 3 2 3 2 2 2 2 3 3" xfId="0"/>
    <cellStyle name="Normal 61 3 2 3 2 2 2 2 4" xfId="0"/>
    <cellStyle name="Normal 61 3 2 3 2 2 2 2 4 2" xfId="0"/>
    <cellStyle name="Normal 61 3 2 3 2 2 2 2 4 2 2" xfId="0"/>
    <cellStyle name="Normal 61 3 2 3 2 2 2 2 4 3" xfId="0"/>
    <cellStyle name="Normal 61 3 2 3 2 2 2 2 5" xfId="0"/>
    <cellStyle name="Normal 61 3 2 3 2 2 2 2 5 2" xfId="0"/>
    <cellStyle name="Normal 61 3 2 3 2 2 2 2 6" xfId="0"/>
    <cellStyle name="Normal 61 3 2 3 2 2 2 3" xfId="0"/>
    <cellStyle name="Normal 61 3 2 3 2 2 2 3 2" xfId="0"/>
    <cellStyle name="Normal 61 3 2 3 2 2 2 3 2 2" xfId="0"/>
    <cellStyle name="Normal 61 3 2 3 2 2 2 3 2 2 2" xfId="0"/>
    <cellStyle name="Normal 61 3 2 3 2 2 2 3 2 3" xfId="0"/>
    <cellStyle name="Normal 61 3 2 3 2 2 2 3 3" xfId="0"/>
    <cellStyle name="Normal 61 3 2 3 2 2 2 3 3 2" xfId="0"/>
    <cellStyle name="Normal 61 3 2 3 2 2 2 3 3 2 2" xfId="0"/>
    <cellStyle name="Normal 61 3 2 3 2 2 2 3 3 3" xfId="0"/>
    <cellStyle name="Normal 61 3 2 3 2 2 2 3 4" xfId="0"/>
    <cellStyle name="Normal 61 3 2 3 2 2 2 3 4 2" xfId="0"/>
    <cellStyle name="Normal 61 3 2 3 2 2 2 3 5" xfId="0"/>
    <cellStyle name="Normal 61 3 2 3 2 2 2 4" xfId="0"/>
    <cellStyle name="Normal 61 3 2 3 2 2 2 4 2" xfId="0"/>
    <cellStyle name="Normal 61 3 2 3 2 2 2 4 2 2" xfId="0"/>
    <cellStyle name="Normal 61 3 2 3 2 2 2 4 3" xfId="0"/>
    <cellStyle name="Normal 61 3 2 3 2 2 2 5" xfId="0"/>
    <cellStyle name="Normal 61 3 2 3 2 2 2 5 2" xfId="0"/>
    <cellStyle name="Normal 61 3 2 3 2 2 2 5 2 2" xfId="0"/>
    <cellStyle name="Normal 61 3 2 3 2 2 2 5 3" xfId="0"/>
    <cellStyle name="Normal 61 3 2 3 2 2 2 6" xfId="0"/>
    <cellStyle name="Normal 61 3 2 3 2 2 2 6 2" xfId="0"/>
    <cellStyle name="Normal 61 3 2 3 2 2 2 7" xfId="0"/>
    <cellStyle name="Normal 61 3 2 3 2 2 3" xfId="0"/>
    <cellStyle name="Normal 61 3 2 3 2 2 3 2" xfId="0"/>
    <cellStyle name="Normal 61 3 2 3 2 2 3 2 2" xfId="0"/>
    <cellStyle name="Normal 61 3 2 3 2 2 3 2 2 2" xfId="0"/>
    <cellStyle name="Normal 61 3 2 3 2 2 3 2 2 2 2" xfId="0"/>
    <cellStyle name="Normal 61 3 2 3 2 2 3 2 2 3" xfId="0"/>
    <cellStyle name="Normal 61 3 2 3 2 2 3 2 3" xfId="0"/>
    <cellStyle name="Normal 61 3 2 3 2 2 3 2 3 2" xfId="0"/>
    <cellStyle name="Normal 61 3 2 3 2 2 3 2 3 2 2" xfId="0"/>
    <cellStyle name="Normal 61 3 2 3 2 2 3 2 3 3" xfId="0"/>
    <cellStyle name="Normal 61 3 2 3 2 2 3 2 4" xfId="0"/>
    <cellStyle name="Normal 61 3 2 3 2 2 3 2 4 2" xfId="0"/>
    <cellStyle name="Normal 61 3 2 3 2 2 3 2 5" xfId="0"/>
    <cellStyle name="Normal 61 3 2 3 2 2 3 3" xfId="0"/>
    <cellStyle name="Normal 61 3 2 3 2 2 3 3 2" xfId="0"/>
    <cellStyle name="Normal 61 3 2 3 2 2 3 3 2 2" xfId="0"/>
    <cellStyle name="Normal 61 3 2 3 2 2 3 3 3" xfId="0"/>
    <cellStyle name="Normal 61 3 2 3 2 2 3 4" xfId="0"/>
    <cellStyle name="Normal 61 3 2 3 2 2 3 4 2" xfId="0"/>
    <cellStyle name="Normal 61 3 2 3 2 2 3 4 2 2" xfId="0"/>
    <cellStyle name="Normal 61 3 2 3 2 2 3 4 3" xfId="0"/>
    <cellStyle name="Normal 61 3 2 3 2 2 3 5" xfId="0"/>
    <cellStyle name="Normal 61 3 2 3 2 2 3 5 2" xfId="0"/>
    <cellStyle name="Normal 61 3 2 3 2 2 3 6" xfId="0"/>
    <cellStyle name="Normal 61 3 2 3 2 2 4" xfId="0"/>
    <cellStyle name="Normal 61 3 2 3 2 2 4 2" xfId="0"/>
    <cellStyle name="Normal 61 3 2 3 2 2 4 2 2" xfId="0"/>
    <cellStyle name="Normal 61 3 2 3 2 2 4 2 2 2" xfId="0"/>
    <cellStyle name="Normal 61 3 2 3 2 2 4 2 3" xfId="0"/>
    <cellStyle name="Normal 61 3 2 3 2 2 4 3" xfId="0"/>
    <cellStyle name="Normal 61 3 2 3 2 2 4 3 2" xfId="0"/>
    <cellStyle name="Normal 61 3 2 3 2 2 4 3 2 2" xfId="0"/>
    <cellStyle name="Normal 61 3 2 3 2 2 4 3 3" xfId="0"/>
    <cellStyle name="Normal 61 3 2 3 2 2 4 4" xfId="0"/>
    <cellStyle name="Normal 61 3 2 3 2 2 4 4 2" xfId="0"/>
    <cellStyle name="Normal 61 3 2 3 2 2 4 5" xfId="0"/>
    <cellStyle name="Normal 61 3 2 3 2 2 5" xfId="0"/>
    <cellStyle name="Normal 61 3 2 3 2 2 5 2" xfId="0"/>
    <cellStyle name="Normal 61 3 2 3 2 2 5 2 2" xfId="0"/>
    <cellStyle name="Normal 61 3 2 3 2 2 5 3" xfId="0"/>
    <cellStyle name="Normal 61 3 2 3 2 2 6" xfId="0"/>
    <cellStyle name="Normal 61 3 2 3 2 2 6 2" xfId="0"/>
    <cellStyle name="Normal 61 3 2 3 2 2 6 2 2" xfId="0"/>
    <cellStyle name="Normal 61 3 2 3 2 2 6 3" xfId="0"/>
    <cellStyle name="Normal 61 3 2 3 2 2 7" xfId="0"/>
    <cellStyle name="Normal 61 3 2 3 2 2 7 2" xfId="0"/>
    <cellStyle name="Normal 61 3 2 3 2 2 8" xfId="0"/>
    <cellStyle name="Normal 61 3 2 3 2 3" xfId="0"/>
    <cellStyle name="Normal 61 3 2 3 2 3 2" xfId="0"/>
    <cellStyle name="Normal 61 3 2 3 2 3 2 2" xfId="0"/>
    <cellStyle name="Normal 61 3 2 3 2 3 2 2 2" xfId="0"/>
    <cellStyle name="Normal 61 3 2 3 2 3 2 2 2 2" xfId="0"/>
    <cellStyle name="Normal 61 3 2 3 2 3 2 2 2 2 2" xfId="0"/>
    <cellStyle name="Normal 61 3 2 3 2 3 2 2 2 3" xfId="0"/>
    <cellStyle name="Normal 61 3 2 3 2 3 2 2 3" xfId="0"/>
    <cellStyle name="Normal 61 3 2 3 2 3 2 2 3 2" xfId="0"/>
    <cellStyle name="Normal 61 3 2 3 2 3 2 2 3 2 2" xfId="0"/>
    <cellStyle name="Normal 61 3 2 3 2 3 2 2 3 3" xfId="0"/>
    <cellStyle name="Normal 61 3 2 3 2 3 2 2 4" xfId="0"/>
    <cellStyle name="Normal 61 3 2 3 2 3 2 2 4 2" xfId="0"/>
    <cellStyle name="Normal 61 3 2 3 2 3 2 2 5" xfId="0"/>
    <cellStyle name="Normal 61 3 2 3 2 3 2 3" xfId="0"/>
    <cellStyle name="Normal 61 3 2 3 2 3 2 3 2" xfId="0"/>
    <cellStyle name="Normal 61 3 2 3 2 3 2 3 2 2" xfId="0"/>
    <cellStyle name="Normal 61 3 2 3 2 3 2 3 3" xfId="0"/>
    <cellStyle name="Normal 61 3 2 3 2 3 2 4" xfId="0"/>
    <cellStyle name="Normal 61 3 2 3 2 3 2 4 2" xfId="0"/>
    <cellStyle name="Normal 61 3 2 3 2 3 2 4 2 2" xfId="0"/>
    <cellStyle name="Normal 61 3 2 3 2 3 2 4 3" xfId="0"/>
    <cellStyle name="Normal 61 3 2 3 2 3 2 5" xfId="0"/>
    <cellStyle name="Normal 61 3 2 3 2 3 2 5 2" xfId="0"/>
    <cellStyle name="Normal 61 3 2 3 2 3 2 6" xfId="0"/>
    <cellStyle name="Normal 61 3 2 3 2 3 3" xfId="0"/>
    <cellStyle name="Normal 61 3 2 3 2 3 3 2" xfId="0"/>
    <cellStyle name="Normal 61 3 2 3 2 3 3 2 2" xfId="0"/>
    <cellStyle name="Normal 61 3 2 3 2 3 3 2 2 2" xfId="0"/>
    <cellStyle name="Normal 61 3 2 3 2 3 3 2 3" xfId="0"/>
    <cellStyle name="Normal 61 3 2 3 2 3 3 3" xfId="0"/>
    <cellStyle name="Normal 61 3 2 3 2 3 3 3 2" xfId="0"/>
    <cellStyle name="Normal 61 3 2 3 2 3 3 3 2 2" xfId="0"/>
    <cellStyle name="Normal 61 3 2 3 2 3 3 3 3" xfId="0"/>
    <cellStyle name="Normal 61 3 2 3 2 3 3 4" xfId="0"/>
    <cellStyle name="Normal 61 3 2 3 2 3 3 4 2" xfId="0"/>
    <cellStyle name="Normal 61 3 2 3 2 3 3 5" xfId="0"/>
    <cellStyle name="Normal 61 3 2 3 2 3 4" xfId="0"/>
    <cellStyle name="Normal 61 3 2 3 2 3 4 2" xfId="0"/>
    <cellStyle name="Normal 61 3 2 3 2 3 4 2 2" xfId="0"/>
    <cellStyle name="Normal 61 3 2 3 2 3 4 3" xfId="0"/>
    <cellStyle name="Normal 61 3 2 3 2 3 5" xfId="0"/>
    <cellStyle name="Normal 61 3 2 3 2 3 5 2" xfId="0"/>
    <cellStyle name="Normal 61 3 2 3 2 3 5 2 2" xfId="0"/>
    <cellStyle name="Normal 61 3 2 3 2 3 5 3" xfId="0"/>
    <cellStyle name="Normal 61 3 2 3 2 3 6" xfId="0"/>
    <cellStyle name="Normal 61 3 2 3 2 3 6 2" xfId="0"/>
    <cellStyle name="Normal 61 3 2 3 2 3 7" xfId="0"/>
    <cellStyle name="Normal 61 3 2 3 2 4" xfId="0"/>
    <cellStyle name="Normal 61 3 2 3 2 4 2" xfId="0"/>
    <cellStyle name="Normal 61 3 2 3 2 4 2 2" xfId="0"/>
    <cellStyle name="Normal 61 3 2 3 2 4 2 2 2" xfId="0"/>
    <cellStyle name="Normal 61 3 2 3 2 4 2 2 2 2" xfId="0"/>
    <cellStyle name="Normal 61 3 2 3 2 4 2 2 3" xfId="0"/>
    <cellStyle name="Normal 61 3 2 3 2 4 2 3" xfId="0"/>
    <cellStyle name="Normal 61 3 2 3 2 4 2 3 2" xfId="0"/>
    <cellStyle name="Normal 61 3 2 3 2 4 2 3 2 2" xfId="0"/>
    <cellStyle name="Normal 61 3 2 3 2 4 2 3 3" xfId="0"/>
    <cellStyle name="Normal 61 3 2 3 2 4 2 4" xfId="0"/>
    <cellStyle name="Normal 61 3 2 3 2 4 2 4 2" xfId="0"/>
    <cellStyle name="Normal 61 3 2 3 2 4 2 5" xfId="0"/>
    <cellStyle name="Normal 61 3 2 3 2 4 3" xfId="0"/>
    <cellStyle name="Normal 61 3 2 3 2 4 3 2" xfId="0"/>
    <cellStyle name="Normal 61 3 2 3 2 4 3 2 2" xfId="0"/>
    <cellStyle name="Normal 61 3 2 3 2 4 3 3" xfId="0"/>
    <cellStyle name="Normal 61 3 2 3 2 4 4" xfId="0"/>
    <cellStyle name="Normal 61 3 2 3 2 4 4 2" xfId="0"/>
    <cellStyle name="Normal 61 3 2 3 2 4 4 2 2" xfId="0"/>
    <cellStyle name="Normal 61 3 2 3 2 4 4 3" xfId="0"/>
    <cellStyle name="Normal 61 3 2 3 2 4 5" xfId="0"/>
    <cellStyle name="Normal 61 3 2 3 2 4 5 2" xfId="0"/>
    <cellStyle name="Normal 61 3 2 3 2 4 6" xfId="0"/>
    <cellStyle name="Normal 61 3 2 3 2 5" xfId="0"/>
    <cellStyle name="Normal 61 3 2 3 2 5 2" xfId="0"/>
    <cellStyle name="Normal 61 3 2 3 2 5 2 2" xfId="0"/>
    <cellStyle name="Normal 61 3 2 3 2 5 2 2 2" xfId="0"/>
    <cellStyle name="Normal 61 3 2 3 2 5 2 3" xfId="0"/>
    <cellStyle name="Normal 61 3 2 3 2 5 3" xfId="0"/>
    <cellStyle name="Normal 61 3 2 3 2 5 3 2" xfId="0"/>
    <cellStyle name="Normal 61 3 2 3 2 5 3 2 2" xfId="0"/>
    <cellStyle name="Normal 61 3 2 3 2 5 3 3" xfId="0"/>
    <cellStyle name="Normal 61 3 2 3 2 5 4" xfId="0"/>
    <cellStyle name="Normal 61 3 2 3 2 5 4 2" xfId="0"/>
    <cellStyle name="Normal 61 3 2 3 2 5 5" xfId="0"/>
    <cellStyle name="Normal 61 3 2 3 2 6" xfId="0"/>
    <cellStyle name="Normal 61 3 2 3 2 6 2" xfId="0"/>
    <cellStyle name="Normal 61 3 2 3 2 6 2 2" xfId="0"/>
    <cellStyle name="Normal 61 3 2 3 2 6 3" xfId="0"/>
    <cellStyle name="Normal 61 3 2 3 2 7" xfId="0"/>
    <cellStyle name="Normal 61 3 2 3 2 7 2" xfId="0"/>
    <cellStyle name="Normal 61 3 2 3 2 7 2 2" xfId="0"/>
    <cellStyle name="Normal 61 3 2 3 2 7 3" xfId="0"/>
    <cellStyle name="Normal 61 3 2 3 2 8" xfId="0"/>
    <cellStyle name="Normal 61 3 2 3 2 8 2" xfId="0"/>
    <cellStyle name="Normal 61 3 2 3 2 9" xfId="0"/>
    <cellStyle name="Normal 61 3 2 3 3" xfId="0"/>
    <cellStyle name="Normal 61 3 2 3 3 2" xfId="0"/>
    <cellStyle name="Normal 61 3 2 3 3 2 2" xfId="0"/>
    <cellStyle name="Normal 61 3 2 3 3 2 2 2" xfId="0"/>
    <cellStyle name="Normal 61 3 2 3 3 2 2 2 2" xfId="0"/>
    <cellStyle name="Normal 61 3 2 3 3 2 2 2 2 2" xfId="0"/>
    <cellStyle name="Normal 61 3 2 3 3 2 2 2 2 2 2" xfId="0"/>
    <cellStyle name="Normal 61 3 2 3 3 2 2 2 2 3" xfId="0"/>
    <cellStyle name="Normal 61 3 2 3 3 2 2 2 3" xfId="0"/>
    <cellStyle name="Normal 61 3 2 3 3 2 2 2 3 2" xfId="0"/>
    <cellStyle name="Normal 61 3 2 3 3 2 2 2 3 2 2" xfId="0"/>
    <cellStyle name="Normal 61 3 2 3 3 2 2 2 3 3" xfId="0"/>
    <cellStyle name="Normal 61 3 2 3 3 2 2 2 4" xfId="0"/>
    <cellStyle name="Normal 61 3 2 3 3 2 2 2 4 2" xfId="0"/>
    <cellStyle name="Normal 61 3 2 3 3 2 2 2 5" xfId="0"/>
    <cellStyle name="Normal 61 3 2 3 3 2 2 3" xfId="0"/>
    <cellStyle name="Normal 61 3 2 3 3 2 2 3 2" xfId="0"/>
    <cellStyle name="Normal 61 3 2 3 3 2 2 3 2 2" xfId="0"/>
    <cellStyle name="Normal 61 3 2 3 3 2 2 3 3" xfId="0"/>
    <cellStyle name="Normal 61 3 2 3 3 2 2 4" xfId="0"/>
    <cellStyle name="Normal 61 3 2 3 3 2 2 4 2" xfId="0"/>
    <cellStyle name="Normal 61 3 2 3 3 2 2 4 2 2" xfId="0"/>
    <cellStyle name="Normal 61 3 2 3 3 2 2 4 3" xfId="0"/>
    <cellStyle name="Normal 61 3 2 3 3 2 2 5" xfId="0"/>
    <cellStyle name="Normal 61 3 2 3 3 2 2 5 2" xfId="0"/>
    <cellStyle name="Normal 61 3 2 3 3 2 2 6" xfId="0"/>
    <cellStyle name="Normal 61 3 2 3 3 2 3" xfId="0"/>
    <cellStyle name="Normal 61 3 2 3 3 2 3 2" xfId="0"/>
    <cellStyle name="Normal 61 3 2 3 3 2 3 2 2" xfId="0"/>
    <cellStyle name="Normal 61 3 2 3 3 2 3 2 2 2" xfId="0"/>
    <cellStyle name="Normal 61 3 2 3 3 2 3 2 3" xfId="0"/>
    <cellStyle name="Normal 61 3 2 3 3 2 3 3" xfId="0"/>
    <cellStyle name="Normal 61 3 2 3 3 2 3 3 2" xfId="0"/>
    <cellStyle name="Normal 61 3 2 3 3 2 3 3 2 2" xfId="0"/>
    <cellStyle name="Normal 61 3 2 3 3 2 3 3 3" xfId="0"/>
    <cellStyle name="Normal 61 3 2 3 3 2 3 4" xfId="0"/>
    <cellStyle name="Normal 61 3 2 3 3 2 3 4 2" xfId="0"/>
    <cellStyle name="Normal 61 3 2 3 3 2 3 5" xfId="0"/>
    <cellStyle name="Normal 61 3 2 3 3 2 4" xfId="0"/>
    <cellStyle name="Normal 61 3 2 3 3 2 4 2" xfId="0"/>
    <cellStyle name="Normal 61 3 2 3 3 2 4 2 2" xfId="0"/>
    <cellStyle name="Normal 61 3 2 3 3 2 4 3" xfId="0"/>
    <cellStyle name="Normal 61 3 2 3 3 2 5" xfId="0"/>
    <cellStyle name="Normal 61 3 2 3 3 2 5 2" xfId="0"/>
    <cellStyle name="Normal 61 3 2 3 3 2 5 2 2" xfId="0"/>
    <cellStyle name="Normal 61 3 2 3 3 2 5 3" xfId="0"/>
    <cellStyle name="Normal 61 3 2 3 3 2 6" xfId="0"/>
    <cellStyle name="Normal 61 3 2 3 3 2 6 2" xfId="0"/>
    <cellStyle name="Normal 61 3 2 3 3 2 7" xfId="0"/>
    <cellStyle name="Normal 61 3 2 3 3 3" xfId="0"/>
    <cellStyle name="Normal 61 3 2 3 3 3 2" xfId="0"/>
    <cellStyle name="Normal 61 3 2 3 3 3 2 2" xfId="0"/>
    <cellStyle name="Normal 61 3 2 3 3 3 2 2 2" xfId="0"/>
    <cellStyle name="Normal 61 3 2 3 3 3 2 2 2 2" xfId="0"/>
    <cellStyle name="Normal 61 3 2 3 3 3 2 2 3" xfId="0"/>
    <cellStyle name="Normal 61 3 2 3 3 3 2 3" xfId="0"/>
    <cellStyle name="Normal 61 3 2 3 3 3 2 3 2" xfId="0"/>
    <cellStyle name="Normal 61 3 2 3 3 3 2 3 2 2" xfId="0"/>
    <cellStyle name="Normal 61 3 2 3 3 3 2 3 3" xfId="0"/>
    <cellStyle name="Normal 61 3 2 3 3 3 2 4" xfId="0"/>
    <cellStyle name="Normal 61 3 2 3 3 3 2 4 2" xfId="0"/>
    <cellStyle name="Normal 61 3 2 3 3 3 2 5" xfId="0"/>
    <cellStyle name="Normal 61 3 2 3 3 3 3" xfId="0"/>
    <cellStyle name="Normal 61 3 2 3 3 3 3 2" xfId="0"/>
    <cellStyle name="Normal 61 3 2 3 3 3 3 2 2" xfId="0"/>
    <cellStyle name="Normal 61 3 2 3 3 3 3 3" xfId="0"/>
    <cellStyle name="Normal 61 3 2 3 3 3 4" xfId="0"/>
    <cellStyle name="Normal 61 3 2 3 3 3 4 2" xfId="0"/>
    <cellStyle name="Normal 61 3 2 3 3 3 4 2 2" xfId="0"/>
    <cellStyle name="Normal 61 3 2 3 3 3 4 3" xfId="0"/>
    <cellStyle name="Normal 61 3 2 3 3 3 5" xfId="0"/>
    <cellStyle name="Normal 61 3 2 3 3 3 5 2" xfId="0"/>
    <cellStyle name="Normal 61 3 2 3 3 3 6" xfId="0"/>
    <cellStyle name="Normal 61 3 2 3 3 4" xfId="0"/>
    <cellStyle name="Normal 61 3 2 3 3 4 2" xfId="0"/>
    <cellStyle name="Normal 61 3 2 3 3 4 2 2" xfId="0"/>
    <cellStyle name="Normal 61 3 2 3 3 4 2 2 2" xfId="0"/>
    <cellStyle name="Normal 61 3 2 3 3 4 2 3" xfId="0"/>
    <cellStyle name="Normal 61 3 2 3 3 4 3" xfId="0"/>
    <cellStyle name="Normal 61 3 2 3 3 4 3 2" xfId="0"/>
    <cellStyle name="Normal 61 3 2 3 3 4 3 2 2" xfId="0"/>
    <cellStyle name="Normal 61 3 2 3 3 4 3 3" xfId="0"/>
    <cellStyle name="Normal 61 3 2 3 3 4 4" xfId="0"/>
    <cellStyle name="Normal 61 3 2 3 3 4 4 2" xfId="0"/>
    <cellStyle name="Normal 61 3 2 3 3 4 5" xfId="0"/>
    <cellStyle name="Normal 61 3 2 3 3 5" xfId="0"/>
    <cellStyle name="Normal 61 3 2 3 3 5 2" xfId="0"/>
    <cellStyle name="Normal 61 3 2 3 3 5 2 2" xfId="0"/>
    <cellStyle name="Normal 61 3 2 3 3 5 3" xfId="0"/>
    <cellStyle name="Normal 61 3 2 3 3 6" xfId="0"/>
    <cellStyle name="Normal 61 3 2 3 3 6 2" xfId="0"/>
    <cellStyle name="Normal 61 3 2 3 3 6 2 2" xfId="0"/>
    <cellStyle name="Normal 61 3 2 3 3 6 3" xfId="0"/>
    <cellStyle name="Normal 61 3 2 3 3 7" xfId="0"/>
    <cellStyle name="Normal 61 3 2 3 3 7 2" xfId="0"/>
    <cellStyle name="Normal 61 3 2 3 3 8" xfId="0"/>
    <cellStyle name="Normal 61 3 2 3 4" xfId="0"/>
    <cellStyle name="Normal 61 3 2 3 4 2" xfId="0"/>
    <cellStyle name="Normal 61 3 2 3 4 2 2" xfId="0"/>
    <cellStyle name="Normal 61 3 2 3 4 2 2 2" xfId="0"/>
    <cellStyle name="Normal 61 3 2 3 4 2 2 2 2" xfId="0"/>
    <cellStyle name="Normal 61 3 2 3 4 2 2 2 2 2" xfId="0"/>
    <cellStyle name="Normal 61 3 2 3 4 2 2 2 3" xfId="0"/>
    <cellStyle name="Normal 61 3 2 3 4 2 2 3" xfId="0"/>
    <cellStyle name="Normal 61 3 2 3 4 2 2 3 2" xfId="0"/>
    <cellStyle name="Normal 61 3 2 3 4 2 2 3 2 2" xfId="0"/>
    <cellStyle name="Normal 61 3 2 3 4 2 2 3 3" xfId="0"/>
    <cellStyle name="Normal 61 3 2 3 4 2 2 4" xfId="0"/>
    <cellStyle name="Normal 61 3 2 3 4 2 2 4 2" xfId="0"/>
    <cellStyle name="Normal 61 3 2 3 4 2 2 5" xfId="0"/>
    <cellStyle name="Normal 61 3 2 3 4 2 3" xfId="0"/>
    <cellStyle name="Normal 61 3 2 3 4 2 3 2" xfId="0"/>
    <cellStyle name="Normal 61 3 2 3 4 2 3 2 2" xfId="0"/>
    <cellStyle name="Normal 61 3 2 3 4 2 3 3" xfId="0"/>
    <cellStyle name="Normal 61 3 2 3 4 2 4" xfId="0"/>
    <cellStyle name="Normal 61 3 2 3 4 2 4 2" xfId="0"/>
    <cellStyle name="Normal 61 3 2 3 4 2 4 2 2" xfId="0"/>
    <cellStyle name="Normal 61 3 2 3 4 2 4 3" xfId="0"/>
    <cellStyle name="Normal 61 3 2 3 4 2 5" xfId="0"/>
    <cellStyle name="Normal 61 3 2 3 4 2 5 2" xfId="0"/>
    <cellStyle name="Normal 61 3 2 3 4 2 6" xfId="0"/>
    <cellStyle name="Normal 61 3 2 3 4 3" xfId="0"/>
    <cellStyle name="Normal 61 3 2 3 4 3 2" xfId="0"/>
    <cellStyle name="Normal 61 3 2 3 4 3 2 2" xfId="0"/>
    <cellStyle name="Normal 61 3 2 3 4 3 2 2 2" xfId="0"/>
    <cellStyle name="Normal 61 3 2 3 4 3 2 3" xfId="0"/>
    <cellStyle name="Normal 61 3 2 3 4 3 3" xfId="0"/>
    <cellStyle name="Normal 61 3 2 3 4 3 3 2" xfId="0"/>
    <cellStyle name="Normal 61 3 2 3 4 3 3 2 2" xfId="0"/>
    <cellStyle name="Normal 61 3 2 3 4 3 3 3" xfId="0"/>
    <cellStyle name="Normal 61 3 2 3 4 3 4" xfId="0"/>
    <cellStyle name="Normal 61 3 2 3 4 3 4 2" xfId="0"/>
    <cellStyle name="Normal 61 3 2 3 4 3 5" xfId="0"/>
    <cellStyle name="Normal 61 3 2 3 4 4" xfId="0"/>
    <cellStyle name="Normal 61 3 2 3 4 4 2" xfId="0"/>
    <cellStyle name="Normal 61 3 2 3 4 4 2 2" xfId="0"/>
    <cellStyle name="Normal 61 3 2 3 4 4 3" xfId="0"/>
    <cellStyle name="Normal 61 3 2 3 4 5" xfId="0"/>
    <cellStyle name="Normal 61 3 2 3 4 5 2" xfId="0"/>
    <cellStyle name="Normal 61 3 2 3 4 5 2 2" xfId="0"/>
    <cellStyle name="Normal 61 3 2 3 4 5 3" xfId="0"/>
    <cellStyle name="Normal 61 3 2 3 4 6" xfId="0"/>
    <cellStyle name="Normal 61 3 2 3 4 6 2" xfId="0"/>
    <cellStyle name="Normal 61 3 2 3 4 7" xfId="0"/>
    <cellStyle name="Normal 61 3 2 3 5" xfId="0"/>
    <cellStyle name="Normal 61 3 2 3 5 2" xfId="0"/>
    <cellStyle name="Normal 61 3 2 3 5 2 2" xfId="0"/>
    <cellStyle name="Normal 61 3 2 3 5 2 2 2" xfId="0"/>
    <cellStyle name="Normal 61 3 2 3 5 2 2 2 2" xfId="0"/>
    <cellStyle name="Normal 61 3 2 3 5 2 2 3" xfId="0"/>
    <cellStyle name="Normal 61 3 2 3 5 2 3" xfId="0"/>
    <cellStyle name="Normal 61 3 2 3 5 2 3 2" xfId="0"/>
    <cellStyle name="Normal 61 3 2 3 5 2 3 2 2" xfId="0"/>
    <cellStyle name="Normal 61 3 2 3 5 2 3 3" xfId="0"/>
    <cellStyle name="Normal 61 3 2 3 5 2 4" xfId="0"/>
    <cellStyle name="Normal 61 3 2 3 5 2 4 2" xfId="0"/>
    <cellStyle name="Normal 61 3 2 3 5 2 5" xfId="0"/>
    <cellStyle name="Normal 61 3 2 3 5 3" xfId="0"/>
    <cellStyle name="Normal 61 3 2 3 5 3 2" xfId="0"/>
    <cellStyle name="Normal 61 3 2 3 5 3 2 2" xfId="0"/>
    <cellStyle name="Normal 61 3 2 3 5 3 3" xfId="0"/>
    <cellStyle name="Normal 61 3 2 3 5 4" xfId="0"/>
    <cellStyle name="Normal 61 3 2 3 5 4 2" xfId="0"/>
    <cellStyle name="Normal 61 3 2 3 5 4 2 2" xfId="0"/>
    <cellStyle name="Normal 61 3 2 3 5 4 3" xfId="0"/>
    <cellStyle name="Normal 61 3 2 3 5 5" xfId="0"/>
    <cellStyle name="Normal 61 3 2 3 5 5 2" xfId="0"/>
    <cellStyle name="Normal 61 3 2 3 5 6" xfId="0"/>
    <cellStyle name="Normal 61 3 2 3 6" xfId="0"/>
    <cellStyle name="Normal 61 3 2 3 6 2" xfId="0"/>
    <cellStyle name="Normal 61 3 2 3 6 2 2" xfId="0"/>
    <cellStyle name="Normal 61 3 2 3 6 2 2 2" xfId="0"/>
    <cellStyle name="Normal 61 3 2 3 6 2 3" xfId="0"/>
    <cellStyle name="Normal 61 3 2 3 6 3" xfId="0"/>
    <cellStyle name="Normal 61 3 2 3 6 3 2" xfId="0"/>
    <cellStyle name="Normal 61 3 2 3 6 3 2 2" xfId="0"/>
    <cellStyle name="Normal 61 3 2 3 6 3 3" xfId="0"/>
    <cellStyle name="Normal 61 3 2 3 6 4" xfId="0"/>
    <cellStyle name="Normal 61 3 2 3 6 4 2" xfId="0"/>
    <cellStyle name="Normal 61 3 2 3 6 5" xfId="0"/>
    <cellStyle name="Normal 61 3 2 3 7" xfId="0"/>
    <cellStyle name="Normal 61 3 2 3 7 2" xfId="0"/>
    <cellStyle name="Normal 61 3 2 3 7 2 2" xfId="0"/>
    <cellStyle name="Normal 61 3 2 3 7 3" xfId="0"/>
    <cellStyle name="Normal 61 3 2 3 8" xfId="0"/>
    <cellStyle name="Normal 61 3 2 3 8 2" xfId="0"/>
    <cellStyle name="Normal 61 3 2 3 8 2 2" xfId="0"/>
    <cellStyle name="Normal 61 3 2 3 8 3" xfId="0"/>
    <cellStyle name="Normal 61 3 2 3 9" xfId="0"/>
    <cellStyle name="Normal 61 3 2 3 9 2" xfId="0"/>
    <cellStyle name="Normal 61 3 2 4" xfId="0"/>
    <cellStyle name="Normal 61 3 2 4 2" xfId="0"/>
    <cellStyle name="Normal 61 3 2 4 2 2" xfId="0"/>
    <cellStyle name="Normal 61 3 2 4 2 2 2" xfId="0"/>
    <cellStyle name="Normal 61 3 2 4 2 2 2 2" xfId="0"/>
    <cellStyle name="Normal 61 3 2 4 2 2 2 2 2" xfId="0"/>
    <cellStyle name="Normal 61 3 2 4 2 2 2 2 2 2" xfId="0"/>
    <cellStyle name="Normal 61 3 2 4 2 2 2 2 2 2 2" xfId="0"/>
    <cellStyle name="Normal 61 3 2 4 2 2 2 2 2 3" xfId="0"/>
    <cellStyle name="Normal 61 3 2 4 2 2 2 2 3" xfId="0"/>
    <cellStyle name="Normal 61 3 2 4 2 2 2 2 3 2" xfId="0"/>
    <cellStyle name="Normal 61 3 2 4 2 2 2 2 3 2 2" xfId="0"/>
    <cellStyle name="Normal 61 3 2 4 2 2 2 2 3 3" xfId="0"/>
    <cellStyle name="Normal 61 3 2 4 2 2 2 2 4" xfId="0"/>
    <cellStyle name="Normal 61 3 2 4 2 2 2 2 4 2" xfId="0"/>
    <cellStyle name="Normal 61 3 2 4 2 2 2 2 5" xfId="0"/>
    <cellStyle name="Normal 61 3 2 4 2 2 2 3" xfId="0"/>
    <cellStyle name="Normal 61 3 2 4 2 2 2 3 2" xfId="0"/>
    <cellStyle name="Normal 61 3 2 4 2 2 2 3 2 2" xfId="0"/>
    <cellStyle name="Normal 61 3 2 4 2 2 2 3 3" xfId="0"/>
    <cellStyle name="Normal 61 3 2 4 2 2 2 4" xfId="0"/>
    <cellStyle name="Normal 61 3 2 4 2 2 2 4 2" xfId="0"/>
    <cellStyle name="Normal 61 3 2 4 2 2 2 4 2 2" xfId="0"/>
    <cellStyle name="Normal 61 3 2 4 2 2 2 4 3" xfId="0"/>
    <cellStyle name="Normal 61 3 2 4 2 2 2 5" xfId="0"/>
    <cellStyle name="Normal 61 3 2 4 2 2 2 5 2" xfId="0"/>
    <cellStyle name="Normal 61 3 2 4 2 2 2 6" xfId="0"/>
    <cellStyle name="Normal 61 3 2 4 2 2 3" xfId="0"/>
    <cellStyle name="Normal 61 3 2 4 2 2 3 2" xfId="0"/>
    <cellStyle name="Normal 61 3 2 4 2 2 3 2 2" xfId="0"/>
    <cellStyle name="Normal 61 3 2 4 2 2 3 2 2 2" xfId="0"/>
    <cellStyle name="Normal 61 3 2 4 2 2 3 2 3" xfId="0"/>
    <cellStyle name="Normal 61 3 2 4 2 2 3 3" xfId="0"/>
    <cellStyle name="Normal 61 3 2 4 2 2 3 3 2" xfId="0"/>
    <cellStyle name="Normal 61 3 2 4 2 2 3 3 2 2" xfId="0"/>
    <cellStyle name="Normal 61 3 2 4 2 2 3 3 3" xfId="0"/>
    <cellStyle name="Normal 61 3 2 4 2 2 3 4" xfId="0"/>
    <cellStyle name="Normal 61 3 2 4 2 2 3 4 2" xfId="0"/>
    <cellStyle name="Normal 61 3 2 4 2 2 3 5" xfId="0"/>
    <cellStyle name="Normal 61 3 2 4 2 2 4" xfId="0"/>
    <cellStyle name="Normal 61 3 2 4 2 2 4 2" xfId="0"/>
    <cellStyle name="Normal 61 3 2 4 2 2 4 2 2" xfId="0"/>
    <cellStyle name="Normal 61 3 2 4 2 2 4 3" xfId="0"/>
    <cellStyle name="Normal 61 3 2 4 2 2 5" xfId="0"/>
    <cellStyle name="Normal 61 3 2 4 2 2 5 2" xfId="0"/>
    <cellStyle name="Normal 61 3 2 4 2 2 5 2 2" xfId="0"/>
    <cellStyle name="Normal 61 3 2 4 2 2 5 3" xfId="0"/>
    <cellStyle name="Normal 61 3 2 4 2 2 6" xfId="0"/>
    <cellStyle name="Normal 61 3 2 4 2 2 6 2" xfId="0"/>
    <cellStyle name="Normal 61 3 2 4 2 2 7" xfId="0"/>
    <cellStyle name="Normal 61 3 2 4 2 3" xfId="0"/>
    <cellStyle name="Normal 61 3 2 4 2 3 2" xfId="0"/>
    <cellStyle name="Normal 61 3 2 4 2 3 2 2" xfId="0"/>
    <cellStyle name="Normal 61 3 2 4 2 3 2 2 2" xfId="0"/>
    <cellStyle name="Normal 61 3 2 4 2 3 2 2 2 2" xfId="0"/>
    <cellStyle name="Normal 61 3 2 4 2 3 2 2 3" xfId="0"/>
    <cellStyle name="Normal 61 3 2 4 2 3 2 3" xfId="0"/>
    <cellStyle name="Normal 61 3 2 4 2 3 2 3 2" xfId="0"/>
    <cellStyle name="Normal 61 3 2 4 2 3 2 3 2 2" xfId="0"/>
    <cellStyle name="Normal 61 3 2 4 2 3 2 3 3" xfId="0"/>
    <cellStyle name="Normal 61 3 2 4 2 3 2 4" xfId="0"/>
    <cellStyle name="Normal 61 3 2 4 2 3 2 4 2" xfId="0"/>
    <cellStyle name="Normal 61 3 2 4 2 3 2 5" xfId="0"/>
    <cellStyle name="Normal 61 3 2 4 2 3 3" xfId="0"/>
    <cellStyle name="Normal 61 3 2 4 2 3 3 2" xfId="0"/>
    <cellStyle name="Normal 61 3 2 4 2 3 3 2 2" xfId="0"/>
    <cellStyle name="Normal 61 3 2 4 2 3 3 3" xfId="0"/>
    <cellStyle name="Normal 61 3 2 4 2 3 4" xfId="0"/>
    <cellStyle name="Normal 61 3 2 4 2 3 4 2" xfId="0"/>
    <cellStyle name="Normal 61 3 2 4 2 3 4 2 2" xfId="0"/>
    <cellStyle name="Normal 61 3 2 4 2 3 4 3" xfId="0"/>
    <cellStyle name="Normal 61 3 2 4 2 3 5" xfId="0"/>
    <cellStyle name="Normal 61 3 2 4 2 3 5 2" xfId="0"/>
    <cellStyle name="Normal 61 3 2 4 2 3 6" xfId="0"/>
    <cellStyle name="Normal 61 3 2 4 2 4" xfId="0"/>
    <cellStyle name="Normal 61 3 2 4 2 4 2" xfId="0"/>
    <cellStyle name="Normal 61 3 2 4 2 4 2 2" xfId="0"/>
    <cellStyle name="Normal 61 3 2 4 2 4 2 2 2" xfId="0"/>
    <cellStyle name="Normal 61 3 2 4 2 4 2 3" xfId="0"/>
    <cellStyle name="Normal 61 3 2 4 2 4 3" xfId="0"/>
    <cellStyle name="Normal 61 3 2 4 2 4 3 2" xfId="0"/>
    <cellStyle name="Normal 61 3 2 4 2 4 3 2 2" xfId="0"/>
    <cellStyle name="Normal 61 3 2 4 2 4 3 3" xfId="0"/>
    <cellStyle name="Normal 61 3 2 4 2 4 4" xfId="0"/>
    <cellStyle name="Normal 61 3 2 4 2 4 4 2" xfId="0"/>
    <cellStyle name="Normal 61 3 2 4 2 4 5" xfId="0"/>
    <cellStyle name="Normal 61 3 2 4 2 5" xfId="0"/>
    <cellStyle name="Normal 61 3 2 4 2 5 2" xfId="0"/>
    <cellStyle name="Normal 61 3 2 4 2 5 2 2" xfId="0"/>
    <cellStyle name="Normal 61 3 2 4 2 5 3" xfId="0"/>
    <cellStyle name="Normal 61 3 2 4 2 6" xfId="0"/>
    <cellStyle name="Normal 61 3 2 4 2 6 2" xfId="0"/>
    <cellStyle name="Normal 61 3 2 4 2 6 2 2" xfId="0"/>
    <cellStyle name="Normal 61 3 2 4 2 6 3" xfId="0"/>
    <cellStyle name="Normal 61 3 2 4 2 7" xfId="0"/>
    <cellStyle name="Normal 61 3 2 4 2 7 2" xfId="0"/>
    <cellStyle name="Normal 61 3 2 4 2 8" xfId="0"/>
    <cellStyle name="Normal 61 3 2 4 3" xfId="0"/>
    <cellStyle name="Normal 61 3 2 4 3 2" xfId="0"/>
    <cellStyle name="Normal 61 3 2 4 3 2 2" xfId="0"/>
    <cellStyle name="Normal 61 3 2 4 3 2 2 2" xfId="0"/>
    <cellStyle name="Normal 61 3 2 4 3 2 2 2 2" xfId="0"/>
    <cellStyle name="Normal 61 3 2 4 3 2 2 2 2 2" xfId="0"/>
    <cellStyle name="Normal 61 3 2 4 3 2 2 2 3" xfId="0"/>
    <cellStyle name="Normal 61 3 2 4 3 2 2 3" xfId="0"/>
    <cellStyle name="Normal 61 3 2 4 3 2 2 3 2" xfId="0"/>
    <cellStyle name="Normal 61 3 2 4 3 2 2 3 2 2" xfId="0"/>
    <cellStyle name="Normal 61 3 2 4 3 2 2 3 3" xfId="0"/>
    <cellStyle name="Normal 61 3 2 4 3 2 2 4" xfId="0"/>
    <cellStyle name="Normal 61 3 2 4 3 2 2 4 2" xfId="0"/>
    <cellStyle name="Normal 61 3 2 4 3 2 2 5" xfId="0"/>
    <cellStyle name="Normal 61 3 2 4 3 2 3" xfId="0"/>
    <cellStyle name="Normal 61 3 2 4 3 2 3 2" xfId="0"/>
    <cellStyle name="Normal 61 3 2 4 3 2 3 2 2" xfId="0"/>
    <cellStyle name="Normal 61 3 2 4 3 2 3 3" xfId="0"/>
    <cellStyle name="Normal 61 3 2 4 3 2 4" xfId="0"/>
    <cellStyle name="Normal 61 3 2 4 3 2 4 2" xfId="0"/>
    <cellStyle name="Normal 61 3 2 4 3 2 4 2 2" xfId="0"/>
    <cellStyle name="Normal 61 3 2 4 3 2 4 3" xfId="0"/>
    <cellStyle name="Normal 61 3 2 4 3 2 5" xfId="0"/>
    <cellStyle name="Normal 61 3 2 4 3 2 5 2" xfId="0"/>
    <cellStyle name="Normal 61 3 2 4 3 2 6" xfId="0"/>
    <cellStyle name="Normal 61 3 2 4 3 3" xfId="0"/>
    <cellStyle name="Normal 61 3 2 4 3 3 2" xfId="0"/>
    <cellStyle name="Normal 61 3 2 4 3 3 2 2" xfId="0"/>
    <cellStyle name="Normal 61 3 2 4 3 3 2 2 2" xfId="0"/>
    <cellStyle name="Normal 61 3 2 4 3 3 2 3" xfId="0"/>
    <cellStyle name="Normal 61 3 2 4 3 3 3" xfId="0"/>
    <cellStyle name="Normal 61 3 2 4 3 3 3 2" xfId="0"/>
    <cellStyle name="Normal 61 3 2 4 3 3 3 2 2" xfId="0"/>
    <cellStyle name="Normal 61 3 2 4 3 3 3 3" xfId="0"/>
    <cellStyle name="Normal 61 3 2 4 3 3 4" xfId="0"/>
    <cellStyle name="Normal 61 3 2 4 3 3 4 2" xfId="0"/>
    <cellStyle name="Normal 61 3 2 4 3 3 5" xfId="0"/>
    <cellStyle name="Normal 61 3 2 4 3 4" xfId="0"/>
    <cellStyle name="Normal 61 3 2 4 3 4 2" xfId="0"/>
    <cellStyle name="Normal 61 3 2 4 3 4 2 2" xfId="0"/>
    <cellStyle name="Normal 61 3 2 4 3 4 3" xfId="0"/>
    <cellStyle name="Normal 61 3 2 4 3 5" xfId="0"/>
    <cellStyle name="Normal 61 3 2 4 3 5 2" xfId="0"/>
    <cellStyle name="Normal 61 3 2 4 3 5 2 2" xfId="0"/>
    <cellStyle name="Normal 61 3 2 4 3 5 3" xfId="0"/>
    <cellStyle name="Normal 61 3 2 4 3 6" xfId="0"/>
    <cellStyle name="Normal 61 3 2 4 3 6 2" xfId="0"/>
    <cellStyle name="Normal 61 3 2 4 3 7" xfId="0"/>
    <cellStyle name="Normal 61 3 2 4 4" xfId="0"/>
    <cellStyle name="Normal 61 3 2 4 4 2" xfId="0"/>
    <cellStyle name="Normal 61 3 2 4 4 2 2" xfId="0"/>
    <cellStyle name="Normal 61 3 2 4 4 2 2 2" xfId="0"/>
    <cellStyle name="Normal 61 3 2 4 4 2 2 2 2" xfId="0"/>
    <cellStyle name="Normal 61 3 2 4 4 2 2 3" xfId="0"/>
    <cellStyle name="Normal 61 3 2 4 4 2 3" xfId="0"/>
    <cellStyle name="Normal 61 3 2 4 4 2 3 2" xfId="0"/>
    <cellStyle name="Normal 61 3 2 4 4 2 3 2 2" xfId="0"/>
    <cellStyle name="Normal 61 3 2 4 4 2 3 3" xfId="0"/>
    <cellStyle name="Normal 61 3 2 4 4 2 4" xfId="0"/>
    <cellStyle name="Normal 61 3 2 4 4 2 4 2" xfId="0"/>
    <cellStyle name="Normal 61 3 2 4 4 2 5" xfId="0"/>
    <cellStyle name="Normal 61 3 2 4 4 3" xfId="0"/>
    <cellStyle name="Normal 61 3 2 4 4 3 2" xfId="0"/>
    <cellStyle name="Normal 61 3 2 4 4 3 2 2" xfId="0"/>
    <cellStyle name="Normal 61 3 2 4 4 3 3" xfId="0"/>
    <cellStyle name="Normal 61 3 2 4 4 4" xfId="0"/>
    <cellStyle name="Normal 61 3 2 4 4 4 2" xfId="0"/>
    <cellStyle name="Normal 61 3 2 4 4 4 2 2" xfId="0"/>
    <cellStyle name="Normal 61 3 2 4 4 4 3" xfId="0"/>
    <cellStyle name="Normal 61 3 2 4 4 5" xfId="0"/>
    <cellStyle name="Normal 61 3 2 4 4 5 2" xfId="0"/>
    <cellStyle name="Normal 61 3 2 4 4 6" xfId="0"/>
    <cellStyle name="Normal 61 3 2 4 5" xfId="0"/>
    <cellStyle name="Normal 61 3 2 4 5 2" xfId="0"/>
    <cellStyle name="Normal 61 3 2 4 5 2 2" xfId="0"/>
    <cellStyle name="Normal 61 3 2 4 5 2 2 2" xfId="0"/>
    <cellStyle name="Normal 61 3 2 4 5 2 3" xfId="0"/>
    <cellStyle name="Normal 61 3 2 4 5 3" xfId="0"/>
    <cellStyle name="Normal 61 3 2 4 5 3 2" xfId="0"/>
    <cellStyle name="Normal 61 3 2 4 5 3 2 2" xfId="0"/>
    <cellStyle name="Normal 61 3 2 4 5 3 3" xfId="0"/>
    <cellStyle name="Normal 61 3 2 4 5 4" xfId="0"/>
    <cellStyle name="Normal 61 3 2 4 5 4 2" xfId="0"/>
    <cellStyle name="Normal 61 3 2 4 5 5" xfId="0"/>
    <cellStyle name="Normal 61 3 2 4 6" xfId="0"/>
    <cellStyle name="Normal 61 3 2 4 6 2" xfId="0"/>
    <cellStyle name="Normal 61 3 2 4 6 2 2" xfId="0"/>
    <cellStyle name="Normal 61 3 2 4 6 3" xfId="0"/>
    <cellStyle name="Normal 61 3 2 4 7" xfId="0"/>
    <cellStyle name="Normal 61 3 2 4 7 2" xfId="0"/>
    <cellStyle name="Normal 61 3 2 4 7 2 2" xfId="0"/>
    <cellStyle name="Normal 61 3 2 4 7 3" xfId="0"/>
    <cellStyle name="Normal 61 3 2 4 8" xfId="0"/>
    <cellStyle name="Normal 61 3 2 4 8 2" xfId="0"/>
    <cellStyle name="Normal 61 3 2 4 9" xfId="0"/>
    <cellStyle name="Normal 61 3 2 5" xfId="0"/>
    <cellStyle name="Normal 61 3 2 5 2" xfId="0"/>
    <cellStyle name="Normal 61 3 2 5 2 2" xfId="0"/>
    <cellStyle name="Normal 61 3 2 5 2 2 2" xfId="0"/>
    <cellStyle name="Normal 61 3 2 5 2 2 2 2" xfId="0"/>
    <cellStyle name="Normal 61 3 2 5 2 2 2 2 2" xfId="0"/>
    <cellStyle name="Normal 61 3 2 5 2 2 2 2 2 2" xfId="0"/>
    <cellStyle name="Normal 61 3 2 5 2 2 2 2 3" xfId="0"/>
    <cellStyle name="Normal 61 3 2 5 2 2 2 3" xfId="0"/>
    <cellStyle name="Normal 61 3 2 5 2 2 2 3 2" xfId="0"/>
    <cellStyle name="Normal 61 3 2 5 2 2 2 3 2 2" xfId="0"/>
    <cellStyle name="Normal 61 3 2 5 2 2 2 3 3" xfId="0"/>
    <cellStyle name="Normal 61 3 2 5 2 2 2 4" xfId="0"/>
    <cellStyle name="Normal 61 3 2 5 2 2 2 4 2" xfId="0"/>
    <cellStyle name="Normal 61 3 2 5 2 2 2 5" xfId="0"/>
    <cellStyle name="Normal 61 3 2 5 2 2 3" xfId="0"/>
    <cellStyle name="Normal 61 3 2 5 2 2 3 2" xfId="0"/>
    <cellStyle name="Normal 61 3 2 5 2 2 3 2 2" xfId="0"/>
    <cellStyle name="Normal 61 3 2 5 2 2 3 3" xfId="0"/>
    <cellStyle name="Normal 61 3 2 5 2 2 4" xfId="0"/>
    <cellStyle name="Normal 61 3 2 5 2 2 4 2" xfId="0"/>
    <cellStyle name="Normal 61 3 2 5 2 2 4 2 2" xfId="0"/>
    <cellStyle name="Normal 61 3 2 5 2 2 4 3" xfId="0"/>
    <cellStyle name="Normal 61 3 2 5 2 2 5" xfId="0"/>
    <cellStyle name="Normal 61 3 2 5 2 2 5 2" xfId="0"/>
    <cellStyle name="Normal 61 3 2 5 2 2 6" xfId="0"/>
    <cellStyle name="Normal 61 3 2 5 2 3" xfId="0"/>
    <cellStyle name="Normal 61 3 2 5 2 3 2" xfId="0"/>
    <cellStyle name="Normal 61 3 2 5 2 3 2 2" xfId="0"/>
    <cellStyle name="Normal 61 3 2 5 2 3 2 2 2" xfId="0"/>
    <cellStyle name="Normal 61 3 2 5 2 3 2 3" xfId="0"/>
    <cellStyle name="Normal 61 3 2 5 2 3 3" xfId="0"/>
    <cellStyle name="Normal 61 3 2 5 2 3 3 2" xfId="0"/>
    <cellStyle name="Normal 61 3 2 5 2 3 3 2 2" xfId="0"/>
    <cellStyle name="Normal 61 3 2 5 2 3 3 3" xfId="0"/>
    <cellStyle name="Normal 61 3 2 5 2 3 4" xfId="0"/>
    <cellStyle name="Normal 61 3 2 5 2 3 4 2" xfId="0"/>
    <cellStyle name="Normal 61 3 2 5 2 3 5" xfId="0"/>
    <cellStyle name="Normal 61 3 2 5 2 4" xfId="0"/>
    <cellStyle name="Normal 61 3 2 5 2 4 2" xfId="0"/>
    <cellStyle name="Normal 61 3 2 5 2 4 2 2" xfId="0"/>
    <cellStyle name="Normal 61 3 2 5 2 4 3" xfId="0"/>
    <cellStyle name="Normal 61 3 2 5 2 5" xfId="0"/>
    <cellStyle name="Normal 61 3 2 5 2 5 2" xfId="0"/>
    <cellStyle name="Normal 61 3 2 5 2 5 2 2" xfId="0"/>
    <cellStyle name="Normal 61 3 2 5 2 5 3" xfId="0"/>
    <cellStyle name="Normal 61 3 2 5 2 6" xfId="0"/>
    <cellStyle name="Normal 61 3 2 5 2 6 2" xfId="0"/>
    <cellStyle name="Normal 61 3 2 5 2 7" xfId="0"/>
    <cellStyle name="Normal 61 3 2 5 3" xfId="0"/>
    <cellStyle name="Normal 61 3 2 5 3 2" xfId="0"/>
    <cellStyle name="Normal 61 3 2 5 3 2 2" xfId="0"/>
    <cellStyle name="Normal 61 3 2 5 3 2 2 2" xfId="0"/>
    <cellStyle name="Normal 61 3 2 5 3 2 2 2 2" xfId="0"/>
    <cellStyle name="Normal 61 3 2 5 3 2 2 3" xfId="0"/>
    <cellStyle name="Normal 61 3 2 5 3 2 3" xfId="0"/>
    <cellStyle name="Normal 61 3 2 5 3 2 3 2" xfId="0"/>
    <cellStyle name="Normal 61 3 2 5 3 2 3 2 2" xfId="0"/>
    <cellStyle name="Normal 61 3 2 5 3 2 3 3" xfId="0"/>
    <cellStyle name="Normal 61 3 2 5 3 2 4" xfId="0"/>
    <cellStyle name="Normal 61 3 2 5 3 2 4 2" xfId="0"/>
    <cellStyle name="Normal 61 3 2 5 3 2 5" xfId="0"/>
    <cellStyle name="Normal 61 3 2 5 3 3" xfId="0"/>
    <cellStyle name="Normal 61 3 2 5 3 3 2" xfId="0"/>
    <cellStyle name="Normal 61 3 2 5 3 3 2 2" xfId="0"/>
    <cellStyle name="Normal 61 3 2 5 3 3 3" xfId="0"/>
    <cellStyle name="Normal 61 3 2 5 3 4" xfId="0"/>
    <cellStyle name="Normal 61 3 2 5 3 4 2" xfId="0"/>
    <cellStyle name="Normal 61 3 2 5 3 4 2 2" xfId="0"/>
    <cellStyle name="Normal 61 3 2 5 3 4 3" xfId="0"/>
    <cellStyle name="Normal 61 3 2 5 3 5" xfId="0"/>
    <cellStyle name="Normal 61 3 2 5 3 5 2" xfId="0"/>
    <cellStyle name="Normal 61 3 2 5 3 6" xfId="0"/>
    <cellStyle name="Normal 61 3 2 5 4" xfId="0"/>
    <cellStyle name="Normal 61 3 2 5 4 2" xfId="0"/>
    <cellStyle name="Normal 61 3 2 5 4 2 2" xfId="0"/>
    <cellStyle name="Normal 61 3 2 5 4 2 2 2" xfId="0"/>
    <cellStyle name="Normal 61 3 2 5 4 2 3" xfId="0"/>
    <cellStyle name="Normal 61 3 2 5 4 3" xfId="0"/>
    <cellStyle name="Normal 61 3 2 5 4 3 2" xfId="0"/>
    <cellStyle name="Normal 61 3 2 5 4 3 2 2" xfId="0"/>
    <cellStyle name="Normal 61 3 2 5 4 3 3" xfId="0"/>
    <cellStyle name="Normal 61 3 2 5 4 4" xfId="0"/>
    <cellStyle name="Normal 61 3 2 5 4 4 2" xfId="0"/>
    <cellStyle name="Normal 61 3 2 5 4 5" xfId="0"/>
    <cellStyle name="Normal 61 3 2 5 5" xfId="0"/>
    <cellStyle name="Normal 61 3 2 5 5 2" xfId="0"/>
    <cellStyle name="Normal 61 3 2 5 5 2 2" xfId="0"/>
    <cellStyle name="Normal 61 3 2 5 5 3" xfId="0"/>
    <cellStyle name="Normal 61 3 2 5 6" xfId="0"/>
    <cellStyle name="Normal 61 3 2 5 6 2" xfId="0"/>
    <cellStyle name="Normal 61 3 2 5 6 2 2" xfId="0"/>
    <cellStyle name="Normal 61 3 2 5 6 3" xfId="0"/>
    <cellStyle name="Normal 61 3 2 5 7" xfId="0"/>
    <cellStyle name="Normal 61 3 2 5 7 2" xfId="0"/>
    <cellStyle name="Normal 61 3 2 5 8" xfId="0"/>
    <cellStyle name="Normal 61 3 2 6" xfId="0"/>
    <cellStyle name="Normal 61 3 2 6 2" xfId="0"/>
    <cellStyle name="Normal 61 3 2 6 2 2" xfId="0"/>
    <cellStyle name="Normal 61 3 2 6 2 2 2" xfId="0"/>
    <cellStyle name="Normal 61 3 2 6 2 2 2 2" xfId="0"/>
    <cellStyle name="Normal 61 3 2 6 2 2 2 2 2" xfId="0"/>
    <cellStyle name="Normal 61 3 2 6 2 2 2 3" xfId="0"/>
    <cellStyle name="Normal 61 3 2 6 2 2 3" xfId="0"/>
    <cellStyle name="Normal 61 3 2 6 2 2 3 2" xfId="0"/>
    <cellStyle name="Normal 61 3 2 6 2 2 3 2 2" xfId="0"/>
    <cellStyle name="Normal 61 3 2 6 2 2 3 3" xfId="0"/>
    <cellStyle name="Normal 61 3 2 6 2 2 4" xfId="0"/>
    <cellStyle name="Normal 61 3 2 6 2 2 4 2" xfId="0"/>
    <cellStyle name="Normal 61 3 2 6 2 2 5" xfId="0"/>
    <cellStyle name="Normal 61 3 2 6 2 3" xfId="0"/>
    <cellStyle name="Normal 61 3 2 6 2 3 2" xfId="0"/>
    <cellStyle name="Normal 61 3 2 6 2 3 2 2" xfId="0"/>
    <cellStyle name="Normal 61 3 2 6 2 3 3" xfId="0"/>
    <cellStyle name="Normal 61 3 2 6 2 4" xfId="0"/>
    <cellStyle name="Normal 61 3 2 6 2 4 2" xfId="0"/>
    <cellStyle name="Normal 61 3 2 6 2 4 2 2" xfId="0"/>
    <cellStyle name="Normal 61 3 2 6 2 4 3" xfId="0"/>
    <cellStyle name="Normal 61 3 2 6 2 5" xfId="0"/>
    <cellStyle name="Normal 61 3 2 6 2 5 2" xfId="0"/>
    <cellStyle name="Normal 61 3 2 6 2 6" xfId="0"/>
    <cellStyle name="Normal 61 3 2 6 3" xfId="0"/>
    <cellStyle name="Normal 61 3 2 6 3 2" xfId="0"/>
    <cellStyle name="Normal 61 3 2 6 3 2 2" xfId="0"/>
    <cellStyle name="Normal 61 3 2 6 3 2 2 2" xfId="0"/>
    <cellStyle name="Normal 61 3 2 6 3 2 3" xfId="0"/>
    <cellStyle name="Normal 61 3 2 6 3 3" xfId="0"/>
    <cellStyle name="Normal 61 3 2 6 3 3 2" xfId="0"/>
    <cellStyle name="Normal 61 3 2 6 3 3 2 2" xfId="0"/>
    <cellStyle name="Normal 61 3 2 6 3 3 3" xfId="0"/>
    <cellStyle name="Normal 61 3 2 6 3 4" xfId="0"/>
    <cellStyle name="Normal 61 3 2 6 3 4 2" xfId="0"/>
    <cellStyle name="Normal 61 3 2 6 3 5" xfId="0"/>
    <cellStyle name="Normal 61 3 2 6 4" xfId="0"/>
    <cellStyle name="Normal 61 3 2 6 4 2" xfId="0"/>
    <cellStyle name="Normal 61 3 2 6 4 2 2" xfId="0"/>
    <cellStyle name="Normal 61 3 2 6 4 3" xfId="0"/>
    <cellStyle name="Normal 61 3 2 6 5" xfId="0"/>
    <cellStyle name="Normal 61 3 2 6 5 2" xfId="0"/>
    <cellStyle name="Normal 61 3 2 6 5 2 2" xfId="0"/>
    <cellStyle name="Normal 61 3 2 6 5 3" xfId="0"/>
    <cellStyle name="Normal 61 3 2 6 6" xfId="0"/>
    <cellStyle name="Normal 61 3 2 6 6 2" xfId="0"/>
    <cellStyle name="Normal 61 3 2 6 7" xfId="0"/>
    <cellStyle name="Normal 61 3 2 7" xfId="0"/>
    <cellStyle name="Normal 61 3 2 7 2" xfId="0"/>
    <cellStyle name="Normal 61 3 2 7 2 2" xfId="0"/>
    <cellStyle name="Normal 61 3 2 7 2 2 2" xfId="0"/>
    <cellStyle name="Normal 61 3 2 7 2 2 2 2" xfId="0"/>
    <cellStyle name="Normal 61 3 2 7 2 2 3" xfId="0"/>
    <cellStyle name="Normal 61 3 2 7 2 3" xfId="0"/>
    <cellStyle name="Normal 61 3 2 7 2 3 2" xfId="0"/>
    <cellStyle name="Normal 61 3 2 7 2 3 2 2" xfId="0"/>
    <cellStyle name="Normal 61 3 2 7 2 3 3" xfId="0"/>
    <cellStyle name="Normal 61 3 2 7 2 4" xfId="0"/>
    <cellStyle name="Normal 61 3 2 7 2 4 2" xfId="0"/>
    <cellStyle name="Normal 61 3 2 7 2 5" xfId="0"/>
    <cellStyle name="Normal 61 3 2 7 3" xfId="0"/>
    <cellStyle name="Normal 61 3 2 7 3 2" xfId="0"/>
    <cellStyle name="Normal 61 3 2 7 3 2 2" xfId="0"/>
    <cellStyle name="Normal 61 3 2 7 3 3" xfId="0"/>
    <cellStyle name="Normal 61 3 2 7 4" xfId="0"/>
    <cellStyle name="Normal 61 3 2 7 4 2" xfId="0"/>
    <cellStyle name="Normal 61 3 2 7 4 2 2" xfId="0"/>
    <cellStyle name="Normal 61 3 2 7 4 3" xfId="0"/>
    <cellStyle name="Normal 61 3 2 7 5" xfId="0"/>
    <cellStyle name="Normal 61 3 2 7 5 2" xfId="0"/>
    <cellStyle name="Normal 61 3 2 7 6" xfId="0"/>
    <cellStyle name="Normal 61 3 2 8" xfId="0"/>
    <cellStyle name="Normal 61 3 2 8 2" xfId="0"/>
    <cellStyle name="Normal 61 3 2 8 2 2" xfId="0"/>
    <cellStyle name="Normal 61 3 2 8 2 2 2" xfId="0"/>
    <cellStyle name="Normal 61 3 2 8 2 3" xfId="0"/>
    <cellStyle name="Normal 61 3 2 8 3" xfId="0"/>
    <cellStyle name="Normal 61 3 2 8 3 2" xfId="0"/>
    <cellStyle name="Normal 61 3 2 8 3 2 2" xfId="0"/>
    <cellStyle name="Normal 61 3 2 8 3 3" xfId="0"/>
    <cellStyle name="Normal 61 3 2 8 4" xfId="0"/>
    <cellStyle name="Normal 61 3 2 8 4 2" xfId="0"/>
    <cellStyle name="Normal 61 3 2 8 5" xfId="0"/>
    <cellStyle name="Normal 61 3 2 9" xfId="0"/>
    <cellStyle name="Normal 61 3 2 9 2" xfId="0"/>
    <cellStyle name="Normal 61 3 2 9 2 2" xfId="0"/>
    <cellStyle name="Normal 61 3 2 9 3" xfId="0"/>
    <cellStyle name="Normal 61 3 3" xfId="0"/>
    <cellStyle name="Normal 61 3 3 10" xfId="0"/>
    <cellStyle name="Normal 61 3 3 2" xfId="0"/>
    <cellStyle name="Normal 61 3 3 2 2" xfId="0"/>
    <cellStyle name="Normal 61 3 3 2 2 2" xfId="0"/>
    <cellStyle name="Normal 61 3 3 2 2 2 2" xfId="0"/>
    <cellStyle name="Normal 61 3 3 2 2 2 2 2" xfId="0"/>
    <cellStyle name="Normal 61 3 3 2 2 2 2 2 2" xfId="0"/>
    <cellStyle name="Normal 61 3 3 2 2 2 2 2 2 2" xfId="0"/>
    <cellStyle name="Normal 61 3 3 2 2 2 2 2 2 2 2" xfId="0"/>
    <cellStyle name="Normal 61 3 3 2 2 2 2 2 2 3" xfId="0"/>
    <cellStyle name="Normal 61 3 3 2 2 2 2 2 3" xfId="0"/>
    <cellStyle name="Normal 61 3 3 2 2 2 2 2 3 2" xfId="0"/>
    <cellStyle name="Normal 61 3 3 2 2 2 2 2 3 2 2" xfId="0"/>
    <cellStyle name="Normal 61 3 3 2 2 2 2 2 3 3" xfId="0"/>
    <cellStyle name="Normal 61 3 3 2 2 2 2 2 4" xfId="0"/>
    <cellStyle name="Normal 61 3 3 2 2 2 2 2 4 2" xfId="0"/>
    <cellStyle name="Normal 61 3 3 2 2 2 2 2 5" xfId="0"/>
    <cellStyle name="Normal 61 3 3 2 2 2 2 3" xfId="0"/>
    <cellStyle name="Normal 61 3 3 2 2 2 2 3 2" xfId="0"/>
    <cellStyle name="Normal 61 3 3 2 2 2 2 3 2 2" xfId="0"/>
    <cellStyle name="Normal 61 3 3 2 2 2 2 3 3" xfId="0"/>
    <cellStyle name="Normal 61 3 3 2 2 2 2 4" xfId="0"/>
    <cellStyle name="Normal 61 3 3 2 2 2 2 4 2" xfId="0"/>
    <cellStyle name="Normal 61 3 3 2 2 2 2 4 2 2" xfId="0"/>
    <cellStyle name="Normal 61 3 3 2 2 2 2 4 3" xfId="0"/>
    <cellStyle name="Normal 61 3 3 2 2 2 2 5" xfId="0"/>
    <cellStyle name="Normal 61 3 3 2 2 2 2 5 2" xfId="0"/>
    <cellStyle name="Normal 61 3 3 2 2 2 2 6" xfId="0"/>
    <cellStyle name="Normal 61 3 3 2 2 2 3" xfId="0"/>
    <cellStyle name="Normal 61 3 3 2 2 2 3 2" xfId="0"/>
    <cellStyle name="Normal 61 3 3 2 2 2 3 2 2" xfId="0"/>
    <cellStyle name="Normal 61 3 3 2 2 2 3 2 2 2" xfId="0"/>
    <cellStyle name="Normal 61 3 3 2 2 2 3 2 3" xfId="0"/>
    <cellStyle name="Normal 61 3 3 2 2 2 3 3" xfId="0"/>
    <cellStyle name="Normal 61 3 3 2 2 2 3 3 2" xfId="0"/>
    <cellStyle name="Normal 61 3 3 2 2 2 3 3 2 2" xfId="0"/>
    <cellStyle name="Normal 61 3 3 2 2 2 3 3 3" xfId="0"/>
    <cellStyle name="Normal 61 3 3 2 2 2 3 4" xfId="0"/>
    <cellStyle name="Normal 61 3 3 2 2 2 3 4 2" xfId="0"/>
    <cellStyle name="Normal 61 3 3 2 2 2 3 5" xfId="0"/>
    <cellStyle name="Normal 61 3 3 2 2 2 4" xfId="0"/>
    <cellStyle name="Normal 61 3 3 2 2 2 4 2" xfId="0"/>
    <cellStyle name="Normal 61 3 3 2 2 2 4 2 2" xfId="0"/>
    <cellStyle name="Normal 61 3 3 2 2 2 4 3" xfId="0"/>
    <cellStyle name="Normal 61 3 3 2 2 2 5" xfId="0"/>
    <cellStyle name="Normal 61 3 3 2 2 2 5 2" xfId="0"/>
    <cellStyle name="Normal 61 3 3 2 2 2 5 2 2" xfId="0"/>
    <cellStyle name="Normal 61 3 3 2 2 2 5 3" xfId="0"/>
    <cellStyle name="Normal 61 3 3 2 2 2 6" xfId="0"/>
    <cellStyle name="Normal 61 3 3 2 2 2 6 2" xfId="0"/>
    <cellStyle name="Normal 61 3 3 2 2 2 7" xfId="0"/>
    <cellStyle name="Normal 61 3 3 2 2 3" xfId="0"/>
    <cellStyle name="Normal 61 3 3 2 2 3 2" xfId="0"/>
    <cellStyle name="Normal 61 3 3 2 2 3 2 2" xfId="0"/>
    <cellStyle name="Normal 61 3 3 2 2 3 2 2 2" xfId="0"/>
    <cellStyle name="Normal 61 3 3 2 2 3 2 2 2 2" xfId="0"/>
    <cellStyle name="Normal 61 3 3 2 2 3 2 2 3" xfId="0"/>
    <cellStyle name="Normal 61 3 3 2 2 3 2 3" xfId="0"/>
    <cellStyle name="Normal 61 3 3 2 2 3 2 3 2" xfId="0"/>
    <cellStyle name="Normal 61 3 3 2 2 3 2 3 2 2" xfId="0"/>
    <cellStyle name="Normal 61 3 3 2 2 3 2 3 3" xfId="0"/>
    <cellStyle name="Normal 61 3 3 2 2 3 2 4" xfId="0"/>
    <cellStyle name="Normal 61 3 3 2 2 3 2 4 2" xfId="0"/>
    <cellStyle name="Normal 61 3 3 2 2 3 2 5" xfId="0"/>
    <cellStyle name="Normal 61 3 3 2 2 3 3" xfId="0"/>
    <cellStyle name="Normal 61 3 3 2 2 3 3 2" xfId="0"/>
    <cellStyle name="Normal 61 3 3 2 2 3 3 2 2" xfId="0"/>
    <cellStyle name="Normal 61 3 3 2 2 3 3 3" xfId="0"/>
    <cellStyle name="Normal 61 3 3 2 2 3 4" xfId="0"/>
    <cellStyle name="Normal 61 3 3 2 2 3 4 2" xfId="0"/>
    <cellStyle name="Normal 61 3 3 2 2 3 4 2 2" xfId="0"/>
    <cellStyle name="Normal 61 3 3 2 2 3 4 3" xfId="0"/>
    <cellStyle name="Normal 61 3 3 2 2 3 5" xfId="0"/>
    <cellStyle name="Normal 61 3 3 2 2 3 5 2" xfId="0"/>
    <cellStyle name="Normal 61 3 3 2 2 3 6" xfId="0"/>
    <cellStyle name="Normal 61 3 3 2 2 4" xfId="0"/>
    <cellStyle name="Normal 61 3 3 2 2 4 2" xfId="0"/>
    <cellStyle name="Normal 61 3 3 2 2 4 2 2" xfId="0"/>
    <cellStyle name="Normal 61 3 3 2 2 4 2 2 2" xfId="0"/>
    <cellStyle name="Normal 61 3 3 2 2 4 2 3" xfId="0"/>
    <cellStyle name="Normal 61 3 3 2 2 4 3" xfId="0"/>
    <cellStyle name="Normal 61 3 3 2 2 4 3 2" xfId="0"/>
    <cellStyle name="Normal 61 3 3 2 2 4 3 2 2" xfId="0"/>
    <cellStyle name="Normal 61 3 3 2 2 4 3 3" xfId="0"/>
    <cellStyle name="Normal 61 3 3 2 2 4 4" xfId="0"/>
    <cellStyle name="Normal 61 3 3 2 2 4 4 2" xfId="0"/>
    <cellStyle name="Normal 61 3 3 2 2 4 5" xfId="0"/>
    <cellStyle name="Normal 61 3 3 2 2 5" xfId="0"/>
    <cellStyle name="Normal 61 3 3 2 2 5 2" xfId="0"/>
    <cellStyle name="Normal 61 3 3 2 2 5 2 2" xfId="0"/>
    <cellStyle name="Normal 61 3 3 2 2 5 3" xfId="0"/>
    <cellStyle name="Normal 61 3 3 2 2 6" xfId="0"/>
    <cellStyle name="Normal 61 3 3 2 2 6 2" xfId="0"/>
    <cellStyle name="Normal 61 3 3 2 2 6 2 2" xfId="0"/>
    <cellStyle name="Normal 61 3 3 2 2 6 3" xfId="0"/>
    <cellStyle name="Normal 61 3 3 2 2 7" xfId="0"/>
    <cellStyle name="Normal 61 3 3 2 2 7 2" xfId="0"/>
    <cellStyle name="Normal 61 3 3 2 2 8" xfId="0"/>
    <cellStyle name="Normal 61 3 3 2 3" xfId="0"/>
    <cellStyle name="Normal 61 3 3 2 3 2" xfId="0"/>
    <cellStyle name="Normal 61 3 3 2 3 2 2" xfId="0"/>
    <cellStyle name="Normal 61 3 3 2 3 2 2 2" xfId="0"/>
    <cellStyle name="Normal 61 3 3 2 3 2 2 2 2" xfId="0"/>
    <cellStyle name="Normal 61 3 3 2 3 2 2 2 2 2" xfId="0"/>
    <cellStyle name="Normal 61 3 3 2 3 2 2 2 3" xfId="0"/>
    <cellStyle name="Normal 61 3 3 2 3 2 2 3" xfId="0"/>
    <cellStyle name="Normal 61 3 3 2 3 2 2 3 2" xfId="0"/>
    <cellStyle name="Normal 61 3 3 2 3 2 2 3 2 2" xfId="0"/>
    <cellStyle name="Normal 61 3 3 2 3 2 2 3 3" xfId="0"/>
    <cellStyle name="Normal 61 3 3 2 3 2 2 4" xfId="0"/>
    <cellStyle name="Normal 61 3 3 2 3 2 2 4 2" xfId="0"/>
    <cellStyle name="Normal 61 3 3 2 3 2 2 5" xfId="0"/>
    <cellStyle name="Normal 61 3 3 2 3 2 3" xfId="0"/>
    <cellStyle name="Normal 61 3 3 2 3 2 3 2" xfId="0"/>
    <cellStyle name="Normal 61 3 3 2 3 2 3 2 2" xfId="0"/>
    <cellStyle name="Normal 61 3 3 2 3 2 3 3" xfId="0"/>
    <cellStyle name="Normal 61 3 3 2 3 2 4" xfId="0"/>
    <cellStyle name="Normal 61 3 3 2 3 2 4 2" xfId="0"/>
    <cellStyle name="Normal 61 3 3 2 3 2 4 2 2" xfId="0"/>
    <cellStyle name="Normal 61 3 3 2 3 2 4 3" xfId="0"/>
    <cellStyle name="Normal 61 3 3 2 3 2 5" xfId="0"/>
    <cellStyle name="Normal 61 3 3 2 3 2 5 2" xfId="0"/>
    <cellStyle name="Normal 61 3 3 2 3 2 6" xfId="0"/>
    <cellStyle name="Normal 61 3 3 2 3 3" xfId="0"/>
    <cellStyle name="Normal 61 3 3 2 3 3 2" xfId="0"/>
    <cellStyle name="Normal 61 3 3 2 3 3 2 2" xfId="0"/>
    <cellStyle name="Normal 61 3 3 2 3 3 2 2 2" xfId="0"/>
    <cellStyle name="Normal 61 3 3 2 3 3 2 3" xfId="0"/>
    <cellStyle name="Normal 61 3 3 2 3 3 3" xfId="0"/>
    <cellStyle name="Normal 61 3 3 2 3 3 3 2" xfId="0"/>
    <cellStyle name="Normal 61 3 3 2 3 3 3 2 2" xfId="0"/>
    <cellStyle name="Normal 61 3 3 2 3 3 3 3" xfId="0"/>
    <cellStyle name="Normal 61 3 3 2 3 3 4" xfId="0"/>
    <cellStyle name="Normal 61 3 3 2 3 3 4 2" xfId="0"/>
    <cellStyle name="Normal 61 3 3 2 3 3 5" xfId="0"/>
    <cellStyle name="Normal 61 3 3 2 3 4" xfId="0"/>
    <cellStyle name="Normal 61 3 3 2 3 4 2" xfId="0"/>
    <cellStyle name="Normal 61 3 3 2 3 4 2 2" xfId="0"/>
    <cellStyle name="Normal 61 3 3 2 3 4 3" xfId="0"/>
    <cellStyle name="Normal 61 3 3 2 3 5" xfId="0"/>
    <cellStyle name="Normal 61 3 3 2 3 5 2" xfId="0"/>
    <cellStyle name="Normal 61 3 3 2 3 5 2 2" xfId="0"/>
    <cellStyle name="Normal 61 3 3 2 3 5 3" xfId="0"/>
    <cellStyle name="Normal 61 3 3 2 3 6" xfId="0"/>
    <cellStyle name="Normal 61 3 3 2 3 6 2" xfId="0"/>
    <cellStyle name="Normal 61 3 3 2 3 7" xfId="0"/>
    <cellStyle name="Normal 61 3 3 2 4" xfId="0"/>
    <cellStyle name="Normal 61 3 3 2 4 2" xfId="0"/>
    <cellStyle name="Normal 61 3 3 2 4 2 2" xfId="0"/>
    <cellStyle name="Normal 61 3 3 2 4 2 2 2" xfId="0"/>
    <cellStyle name="Normal 61 3 3 2 4 2 2 2 2" xfId="0"/>
    <cellStyle name="Normal 61 3 3 2 4 2 2 3" xfId="0"/>
    <cellStyle name="Normal 61 3 3 2 4 2 3" xfId="0"/>
    <cellStyle name="Normal 61 3 3 2 4 2 3 2" xfId="0"/>
    <cellStyle name="Normal 61 3 3 2 4 2 3 2 2" xfId="0"/>
    <cellStyle name="Normal 61 3 3 2 4 2 3 3" xfId="0"/>
    <cellStyle name="Normal 61 3 3 2 4 2 4" xfId="0"/>
    <cellStyle name="Normal 61 3 3 2 4 2 4 2" xfId="0"/>
    <cellStyle name="Normal 61 3 3 2 4 2 5" xfId="0"/>
    <cellStyle name="Normal 61 3 3 2 4 3" xfId="0"/>
    <cellStyle name="Normal 61 3 3 2 4 3 2" xfId="0"/>
    <cellStyle name="Normal 61 3 3 2 4 3 2 2" xfId="0"/>
    <cellStyle name="Normal 61 3 3 2 4 3 3" xfId="0"/>
    <cellStyle name="Normal 61 3 3 2 4 4" xfId="0"/>
    <cellStyle name="Normal 61 3 3 2 4 4 2" xfId="0"/>
    <cellStyle name="Normal 61 3 3 2 4 4 2 2" xfId="0"/>
    <cellStyle name="Normal 61 3 3 2 4 4 3" xfId="0"/>
    <cellStyle name="Normal 61 3 3 2 4 5" xfId="0"/>
    <cellStyle name="Normal 61 3 3 2 4 5 2" xfId="0"/>
    <cellStyle name="Normal 61 3 3 2 4 6" xfId="0"/>
    <cellStyle name="Normal 61 3 3 2 5" xfId="0"/>
    <cellStyle name="Normal 61 3 3 2 5 2" xfId="0"/>
    <cellStyle name="Normal 61 3 3 2 5 2 2" xfId="0"/>
    <cellStyle name="Normal 61 3 3 2 5 2 2 2" xfId="0"/>
    <cellStyle name="Normal 61 3 3 2 5 2 3" xfId="0"/>
    <cellStyle name="Normal 61 3 3 2 5 3" xfId="0"/>
    <cellStyle name="Normal 61 3 3 2 5 3 2" xfId="0"/>
    <cellStyle name="Normal 61 3 3 2 5 3 2 2" xfId="0"/>
    <cellStyle name="Normal 61 3 3 2 5 3 3" xfId="0"/>
    <cellStyle name="Normal 61 3 3 2 5 4" xfId="0"/>
    <cellStyle name="Normal 61 3 3 2 5 4 2" xfId="0"/>
    <cellStyle name="Normal 61 3 3 2 5 5" xfId="0"/>
    <cellStyle name="Normal 61 3 3 2 6" xfId="0"/>
    <cellStyle name="Normal 61 3 3 2 6 2" xfId="0"/>
    <cellStyle name="Normal 61 3 3 2 6 2 2" xfId="0"/>
    <cellStyle name="Normal 61 3 3 2 6 3" xfId="0"/>
    <cellStyle name="Normal 61 3 3 2 7" xfId="0"/>
    <cellStyle name="Normal 61 3 3 2 7 2" xfId="0"/>
    <cellStyle name="Normal 61 3 3 2 7 2 2" xfId="0"/>
    <cellStyle name="Normal 61 3 3 2 7 3" xfId="0"/>
    <cellStyle name="Normal 61 3 3 2 8" xfId="0"/>
    <cellStyle name="Normal 61 3 3 2 8 2" xfId="0"/>
    <cellStyle name="Normal 61 3 3 2 9" xfId="0"/>
    <cellStyle name="Normal 61 3 3 3" xfId="0"/>
    <cellStyle name="Normal 61 3 3 3 2" xfId="0"/>
    <cellStyle name="Normal 61 3 3 3 2 2" xfId="0"/>
    <cellStyle name="Normal 61 3 3 3 2 2 2" xfId="0"/>
    <cellStyle name="Normal 61 3 3 3 2 2 2 2" xfId="0"/>
    <cellStyle name="Normal 61 3 3 3 2 2 2 2 2" xfId="0"/>
    <cellStyle name="Normal 61 3 3 3 2 2 2 2 2 2" xfId="0"/>
    <cellStyle name="Normal 61 3 3 3 2 2 2 2 3" xfId="0"/>
    <cellStyle name="Normal 61 3 3 3 2 2 2 3" xfId="0"/>
    <cellStyle name="Normal 61 3 3 3 2 2 2 3 2" xfId="0"/>
    <cellStyle name="Normal 61 3 3 3 2 2 2 3 2 2" xfId="0"/>
    <cellStyle name="Normal 61 3 3 3 2 2 2 3 3" xfId="0"/>
    <cellStyle name="Normal 61 3 3 3 2 2 2 4" xfId="0"/>
    <cellStyle name="Normal 61 3 3 3 2 2 2 4 2" xfId="0"/>
    <cellStyle name="Normal 61 3 3 3 2 2 2 5" xfId="0"/>
    <cellStyle name="Normal 61 3 3 3 2 2 3" xfId="0"/>
    <cellStyle name="Normal 61 3 3 3 2 2 3 2" xfId="0"/>
    <cellStyle name="Normal 61 3 3 3 2 2 3 2 2" xfId="0"/>
    <cellStyle name="Normal 61 3 3 3 2 2 3 3" xfId="0"/>
    <cellStyle name="Normal 61 3 3 3 2 2 4" xfId="0"/>
    <cellStyle name="Normal 61 3 3 3 2 2 4 2" xfId="0"/>
    <cellStyle name="Normal 61 3 3 3 2 2 4 2 2" xfId="0"/>
    <cellStyle name="Normal 61 3 3 3 2 2 4 3" xfId="0"/>
    <cellStyle name="Normal 61 3 3 3 2 2 5" xfId="0"/>
    <cellStyle name="Normal 61 3 3 3 2 2 5 2" xfId="0"/>
    <cellStyle name="Normal 61 3 3 3 2 2 6" xfId="0"/>
    <cellStyle name="Normal 61 3 3 3 2 3" xfId="0"/>
    <cellStyle name="Normal 61 3 3 3 2 3 2" xfId="0"/>
    <cellStyle name="Normal 61 3 3 3 2 3 2 2" xfId="0"/>
    <cellStyle name="Normal 61 3 3 3 2 3 2 2 2" xfId="0"/>
    <cellStyle name="Normal 61 3 3 3 2 3 2 3" xfId="0"/>
    <cellStyle name="Normal 61 3 3 3 2 3 3" xfId="0"/>
    <cellStyle name="Normal 61 3 3 3 2 3 3 2" xfId="0"/>
    <cellStyle name="Normal 61 3 3 3 2 3 3 2 2" xfId="0"/>
    <cellStyle name="Normal 61 3 3 3 2 3 3 3" xfId="0"/>
    <cellStyle name="Normal 61 3 3 3 2 3 4" xfId="0"/>
    <cellStyle name="Normal 61 3 3 3 2 3 4 2" xfId="0"/>
    <cellStyle name="Normal 61 3 3 3 2 3 5" xfId="0"/>
    <cellStyle name="Normal 61 3 3 3 2 4" xfId="0"/>
    <cellStyle name="Normal 61 3 3 3 2 4 2" xfId="0"/>
    <cellStyle name="Normal 61 3 3 3 2 4 2 2" xfId="0"/>
    <cellStyle name="Normal 61 3 3 3 2 4 3" xfId="0"/>
    <cellStyle name="Normal 61 3 3 3 2 5" xfId="0"/>
    <cellStyle name="Normal 61 3 3 3 2 5 2" xfId="0"/>
    <cellStyle name="Normal 61 3 3 3 2 5 2 2" xfId="0"/>
    <cellStyle name="Normal 61 3 3 3 2 5 3" xfId="0"/>
    <cellStyle name="Normal 61 3 3 3 2 6" xfId="0"/>
    <cellStyle name="Normal 61 3 3 3 2 6 2" xfId="0"/>
    <cellStyle name="Normal 61 3 3 3 2 7" xfId="0"/>
    <cellStyle name="Normal 61 3 3 3 3" xfId="0"/>
    <cellStyle name="Normal 61 3 3 3 3 2" xfId="0"/>
    <cellStyle name="Normal 61 3 3 3 3 2 2" xfId="0"/>
    <cellStyle name="Normal 61 3 3 3 3 2 2 2" xfId="0"/>
    <cellStyle name="Normal 61 3 3 3 3 2 2 2 2" xfId="0"/>
    <cellStyle name="Normal 61 3 3 3 3 2 2 3" xfId="0"/>
    <cellStyle name="Normal 61 3 3 3 3 2 3" xfId="0"/>
    <cellStyle name="Normal 61 3 3 3 3 2 3 2" xfId="0"/>
    <cellStyle name="Normal 61 3 3 3 3 2 3 2 2" xfId="0"/>
    <cellStyle name="Normal 61 3 3 3 3 2 3 3" xfId="0"/>
    <cellStyle name="Normal 61 3 3 3 3 2 4" xfId="0"/>
    <cellStyle name="Normal 61 3 3 3 3 2 4 2" xfId="0"/>
    <cellStyle name="Normal 61 3 3 3 3 2 5" xfId="0"/>
    <cellStyle name="Normal 61 3 3 3 3 3" xfId="0"/>
    <cellStyle name="Normal 61 3 3 3 3 3 2" xfId="0"/>
    <cellStyle name="Normal 61 3 3 3 3 3 2 2" xfId="0"/>
    <cellStyle name="Normal 61 3 3 3 3 3 3" xfId="0"/>
    <cellStyle name="Normal 61 3 3 3 3 4" xfId="0"/>
    <cellStyle name="Normal 61 3 3 3 3 4 2" xfId="0"/>
    <cellStyle name="Normal 61 3 3 3 3 4 2 2" xfId="0"/>
    <cellStyle name="Normal 61 3 3 3 3 4 3" xfId="0"/>
    <cellStyle name="Normal 61 3 3 3 3 5" xfId="0"/>
    <cellStyle name="Normal 61 3 3 3 3 5 2" xfId="0"/>
    <cellStyle name="Normal 61 3 3 3 3 6" xfId="0"/>
    <cellStyle name="Normal 61 3 3 3 4" xfId="0"/>
    <cellStyle name="Normal 61 3 3 3 4 2" xfId="0"/>
    <cellStyle name="Normal 61 3 3 3 4 2 2" xfId="0"/>
    <cellStyle name="Normal 61 3 3 3 4 2 2 2" xfId="0"/>
    <cellStyle name="Normal 61 3 3 3 4 2 3" xfId="0"/>
    <cellStyle name="Normal 61 3 3 3 4 3" xfId="0"/>
    <cellStyle name="Normal 61 3 3 3 4 3 2" xfId="0"/>
    <cellStyle name="Normal 61 3 3 3 4 3 2 2" xfId="0"/>
    <cellStyle name="Normal 61 3 3 3 4 3 3" xfId="0"/>
    <cellStyle name="Normal 61 3 3 3 4 4" xfId="0"/>
    <cellStyle name="Normal 61 3 3 3 4 4 2" xfId="0"/>
    <cellStyle name="Normal 61 3 3 3 4 5" xfId="0"/>
    <cellStyle name="Normal 61 3 3 3 5" xfId="0"/>
    <cellStyle name="Normal 61 3 3 3 5 2" xfId="0"/>
    <cellStyle name="Normal 61 3 3 3 5 2 2" xfId="0"/>
    <cellStyle name="Normal 61 3 3 3 5 3" xfId="0"/>
    <cellStyle name="Normal 61 3 3 3 6" xfId="0"/>
    <cellStyle name="Normal 61 3 3 3 6 2" xfId="0"/>
    <cellStyle name="Normal 61 3 3 3 6 2 2" xfId="0"/>
    <cellStyle name="Normal 61 3 3 3 6 3" xfId="0"/>
    <cellStyle name="Normal 61 3 3 3 7" xfId="0"/>
    <cellStyle name="Normal 61 3 3 3 7 2" xfId="0"/>
    <cellStyle name="Normal 61 3 3 3 8" xfId="0"/>
    <cellStyle name="Normal 61 3 3 4" xfId="0"/>
    <cellStyle name="Normal 61 3 3 4 2" xfId="0"/>
    <cellStyle name="Normal 61 3 3 4 2 2" xfId="0"/>
    <cellStyle name="Normal 61 3 3 4 2 2 2" xfId="0"/>
    <cellStyle name="Normal 61 3 3 4 2 2 2 2" xfId="0"/>
    <cellStyle name="Normal 61 3 3 4 2 2 2 2 2" xfId="0"/>
    <cellStyle name="Normal 61 3 3 4 2 2 2 3" xfId="0"/>
    <cellStyle name="Normal 61 3 3 4 2 2 3" xfId="0"/>
    <cellStyle name="Normal 61 3 3 4 2 2 3 2" xfId="0"/>
    <cellStyle name="Normal 61 3 3 4 2 2 3 2 2" xfId="0"/>
    <cellStyle name="Normal 61 3 3 4 2 2 3 3" xfId="0"/>
    <cellStyle name="Normal 61 3 3 4 2 2 4" xfId="0"/>
    <cellStyle name="Normal 61 3 3 4 2 2 4 2" xfId="0"/>
    <cellStyle name="Normal 61 3 3 4 2 2 5" xfId="0"/>
    <cellStyle name="Normal 61 3 3 4 2 3" xfId="0"/>
    <cellStyle name="Normal 61 3 3 4 2 3 2" xfId="0"/>
    <cellStyle name="Normal 61 3 3 4 2 3 2 2" xfId="0"/>
    <cellStyle name="Normal 61 3 3 4 2 3 3" xfId="0"/>
    <cellStyle name="Normal 61 3 3 4 2 4" xfId="0"/>
    <cellStyle name="Normal 61 3 3 4 2 4 2" xfId="0"/>
    <cellStyle name="Normal 61 3 3 4 2 4 2 2" xfId="0"/>
    <cellStyle name="Normal 61 3 3 4 2 4 3" xfId="0"/>
    <cellStyle name="Normal 61 3 3 4 2 5" xfId="0"/>
    <cellStyle name="Normal 61 3 3 4 2 5 2" xfId="0"/>
    <cellStyle name="Normal 61 3 3 4 2 6" xfId="0"/>
    <cellStyle name="Normal 61 3 3 4 3" xfId="0"/>
    <cellStyle name="Normal 61 3 3 4 3 2" xfId="0"/>
    <cellStyle name="Normal 61 3 3 4 3 2 2" xfId="0"/>
    <cellStyle name="Normal 61 3 3 4 3 2 2 2" xfId="0"/>
    <cellStyle name="Normal 61 3 3 4 3 2 3" xfId="0"/>
    <cellStyle name="Normal 61 3 3 4 3 3" xfId="0"/>
    <cellStyle name="Normal 61 3 3 4 3 3 2" xfId="0"/>
    <cellStyle name="Normal 61 3 3 4 3 3 2 2" xfId="0"/>
    <cellStyle name="Normal 61 3 3 4 3 3 3" xfId="0"/>
    <cellStyle name="Normal 61 3 3 4 3 4" xfId="0"/>
    <cellStyle name="Normal 61 3 3 4 3 4 2" xfId="0"/>
    <cellStyle name="Normal 61 3 3 4 3 5" xfId="0"/>
    <cellStyle name="Normal 61 3 3 4 4" xfId="0"/>
    <cellStyle name="Normal 61 3 3 4 4 2" xfId="0"/>
    <cellStyle name="Normal 61 3 3 4 4 2 2" xfId="0"/>
    <cellStyle name="Normal 61 3 3 4 4 3" xfId="0"/>
    <cellStyle name="Normal 61 3 3 4 5" xfId="0"/>
    <cellStyle name="Normal 61 3 3 4 5 2" xfId="0"/>
    <cellStyle name="Normal 61 3 3 4 5 2 2" xfId="0"/>
    <cellStyle name="Normal 61 3 3 4 5 3" xfId="0"/>
    <cellStyle name="Normal 61 3 3 4 6" xfId="0"/>
    <cellStyle name="Normal 61 3 3 4 6 2" xfId="0"/>
    <cellStyle name="Normal 61 3 3 4 7" xfId="0"/>
    <cellStyle name="Normal 61 3 3 5" xfId="0"/>
    <cellStyle name="Normal 61 3 3 5 2" xfId="0"/>
    <cellStyle name="Normal 61 3 3 5 2 2" xfId="0"/>
    <cellStyle name="Normal 61 3 3 5 2 2 2" xfId="0"/>
    <cellStyle name="Normal 61 3 3 5 2 2 2 2" xfId="0"/>
    <cellStyle name="Normal 61 3 3 5 2 2 3" xfId="0"/>
    <cellStyle name="Normal 61 3 3 5 2 3" xfId="0"/>
    <cellStyle name="Normal 61 3 3 5 2 3 2" xfId="0"/>
    <cellStyle name="Normal 61 3 3 5 2 3 2 2" xfId="0"/>
    <cellStyle name="Normal 61 3 3 5 2 3 3" xfId="0"/>
    <cellStyle name="Normal 61 3 3 5 2 4" xfId="0"/>
    <cellStyle name="Normal 61 3 3 5 2 4 2" xfId="0"/>
    <cellStyle name="Normal 61 3 3 5 2 5" xfId="0"/>
    <cellStyle name="Normal 61 3 3 5 3" xfId="0"/>
    <cellStyle name="Normal 61 3 3 5 3 2" xfId="0"/>
    <cellStyle name="Normal 61 3 3 5 3 2 2" xfId="0"/>
    <cellStyle name="Normal 61 3 3 5 3 3" xfId="0"/>
    <cellStyle name="Normal 61 3 3 5 4" xfId="0"/>
    <cellStyle name="Normal 61 3 3 5 4 2" xfId="0"/>
    <cellStyle name="Normal 61 3 3 5 4 2 2" xfId="0"/>
    <cellStyle name="Normal 61 3 3 5 4 3" xfId="0"/>
    <cellStyle name="Normal 61 3 3 5 5" xfId="0"/>
    <cellStyle name="Normal 61 3 3 5 5 2" xfId="0"/>
    <cellStyle name="Normal 61 3 3 5 6" xfId="0"/>
    <cellStyle name="Normal 61 3 3 6" xfId="0"/>
    <cellStyle name="Normal 61 3 3 6 2" xfId="0"/>
    <cellStyle name="Normal 61 3 3 6 2 2" xfId="0"/>
    <cellStyle name="Normal 61 3 3 6 2 2 2" xfId="0"/>
    <cellStyle name="Normal 61 3 3 6 2 3" xfId="0"/>
    <cellStyle name="Normal 61 3 3 6 3" xfId="0"/>
    <cellStyle name="Normal 61 3 3 6 3 2" xfId="0"/>
    <cellStyle name="Normal 61 3 3 6 3 2 2" xfId="0"/>
    <cellStyle name="Normal 61 3 3 6 3 3" xfId="0"/>
    <cellStyle name="Normal 61 3 3 6 4" xfId="0"/>
    <cellStyle name="Normal 61 3 3 6 4 2" xfId="0"/>
    <cellStyle name="Normal 61 3 3 6 5" xfId="0"/>
    <cellStyle name="Normal 61 3 3 7" xfId="0"/>
    <cellStyle name="Normal 61 3 3 7 2" xfId="0"/>
    <cellStyle name="Normal 61 3 3 7 2 2" xfId="0"/>
    <cellStyle name="Normal 61 3 3 7 3" xfId="0"/>
    <cellStyle name="Normal 61 3 3 8" xfId="0"/>
    <cellStyle name="Normal 61 3 3 8 2" xfId="0"/>
    <cellStyle name="Normal 61 3 3 8 2 2" xfId="0"/>
    <cellStyle name="Normal 61 3 3 8 3" xfId="0"/>
    <cellStyle name="Normal 61 3 3 9" xfId="0"/>
    <cellStyle name="Normal 61 3 3 9 2" xfId="0"/>
    <cellStyle name="Normal 61 3 4" xfId="0"/>
    <cellStyle name="Normal 61 3 4 10" xfId="0"/>
    <cellStyle name="Normal 61 3 4 2" xfId="0"/>
    <cellStyle name="Normal 61 3 4 2 2" xfId="0"/>
    <cellStyle name="Normal 61 3 4 2 2 2" xfId="0"/>
    <cellStyle name="Normal 61 3 4 2 2 2 2" xfId="0"/>
    <cellStyle name="Normal 61 3 4 2 2 2 2 2" xfId="0"/>
    <cellStyle name="Normal 61 3 4 2 2 2 2 2 2" xfId="0"/>
    <cellStyle name="Normal 61 3 4 2 2 2 2 2 2 2" xfId="0"/>
    <cellStyle name="Normal 61 3 4 2 2 2 2 2 2 2 2" xfId="0"/>
    <cellStyle name="Normal 61 3 4 2 2 2 2 2 2 3" xfId="0"/>
    <cellStyle name="Normal 61 3 4 2 2 2 2 2 3" xfId="0"/>
    <cellStyle name="Normal 61 3 4 2 2 2 2 2 3 2" xfId="0"/>
    <cellStyle name="Normal 61 3 4 2 2 2 2 2 3 2 2" xfId="0"/>
    <cellStyle name="Normal 61 3 4 2 2 2 2 2 3 3" xfId="0"/>
    <cellStyle name="Normal 61 3 4 2 2 2 2 2 4" xfId="0"/>
    <cellStyle name="Normal 61 3 4 2 2 2 2 2 4 2" xfId="0"/>
    <cellStyle name="Normal 61 3 4 2 2 2 2 2 5" xfId="0"/>
    <cellStyle name="Normal 61 3 4 2 2 2 2 3" xfId="0"/>
    <cellStyle name="Normal 61 3 4 2 2 2 2 3 2" xfId="0"/>
    <cellStyle name="Normal 61 3 4 2 2 2 2 3 2 2" xfId="0"/>
    <cellStyle name="Normal 61 3 4 2 2 2 2 3 3" xfId="0"/>
    <cellStyle name="Normal 61 3 4 2 2 2 2 4" xfId="0"/>
    <cellStyle name="Normal 61 3 4 2 2 2 2 4 2" xfId="0"/>
    <cellStyle name="Normal 61 3 4 2 2 2 2 4 2 2" xfId="0"/>
    <cellStyle name="Normal 61 3 4 2 2 2 2 4 3" xfId="0"/>
    <cellStyle name="Normal 61 3 4 2 2 2 2 5" xfId="0"/>
    <cellStyle name="Normal 61 3 4 2 2 2 2 5 2" xfId="0"/>
    <cellStyle name="Normal 61 3 4 2 2 2 2 6" xfId="0"/>
    <cellStyle name="Normal 61 3 4 2 2 2 3" xfId="0"/>
    <cellStyle name="Normal 61 3 4 2 2 2 3 2" xfId="0"/>
    <cellStyle name="Normal 61 3 4 2 2 2 3 2 2" xfId="0"/>
    <cellStyle name="Normal 61 3 4 2 2 2 3 2 2 2" xfId="0"/>
    <cellStyle name="Normal 61 3 4 2 2 2 3 2 3" xfId="0"/>
    <cellStyle name="Normal 61 3 4 2 2 2 3 3" xfId="0"/>
    <cellStyle name="Normal 61 3 4 2 2 2 3 3 2" xfId="0"/>
    <cellStyle name="Normal 61 3 4 2 2 2 3 3 2 2" xfId="0"/>
    <cellStyle name="Normal 61 3 4 2 2 2 3 3 3" xfId="0"/>
    <cellStyle name="Normal 61 3 4 2 2 2 3 4" xfId="0"/>
    <cellStyle name="Normal 61 3 4 2 2 2 3 4 2" xfId="0"/>
    <cellStyle name="Normal 61 3 4 2 2 2 3 5" xfId="0"/>
    <cellStyle name="Normal 61 3 4 2 2 2 4" xfId="0"/>
    <cellStyle name="Normal 61 3 4 2 2 2 4 2" xfId="0"/>
    <cellStyle name="Normal 61 3 4 2 2 2 4 2 2" xfId="0"/>
    <cellStyle name="Normal 61 3 4 2 2 2 4 3" xfId="0"/>
    <cellStyle name="Normal 61 3 4 2 2 2 5" xfId="0"/>
    <cellStyle name="Normal 61 3 4 2 2 2 5 2" xfId="0"/>
    <cellStyle name="Normal 61 3 4 2 2 2 5 2 2" xfId="0"/>
    <cellStyle name="Normal 61 3 4 2 2 2 5 3" xfId="0"/>
    <cellStyle name="Normal 61 3 4 2 2 2 6" xfId="0"/>
    <cellStyle name="Normal 61 3 4 2 2 2 6 2" xfId="0"/>
    <cellStyle name="Normal 61 3 4 2 2 2 7" xfId="0"/>
    <cellStyle name="Normal 61 3 4 2 2 3" xfId="0"/>
    <cellStyle name="Normal 61 3 4 2 2 3 2" xfId="0"/>
    <cellStyle name="Normal 61 3 4 2 2 3 2 2" xfId="0"/>
    <cellStyle name="Normal 61 3 4 2 2 3 2 2 2" xfId="0"/>
    <cellStyle name="Normal 61 3 4 2 2 3 2 2 2 2" xfId="0"/>
    <cellStyle name="Normal 61 3 4 2 2 3 2 2 3" xfId="0"/>
    <cellStyle name="Normal 61 3 4 2 2 3 2 3" xfId="0"/>
    <cellStyle name="Normal 61 3 4 2 2 3 2 3 2" xfId="0"/>
    <cellStyle name="Normal 61 3 4 2 2 3 2 3 2 2" xfId="0"/>
    <cellStyle name="Normal 61 3 4 2 2 3 2 3 3" xfId="0"/>
    <cellStyle name="Normal 61 3 4 2 2 3 2 4" xfId="0"/>
    <cellStyle name="Normal 61 3 4 2 2 3 2 4 2" xfId="0"/>
    <cellStyle name="Normal 61 3 4 2 2 3 2 5" xfId="0"/>
    <cellStyle name="Normal 61 3 4 2 2 3 3" xfId="0"/>
    <cellStyle name="Normal 61 3 4 2 2 3 3 2" xfId="0"/>
    <cellStyle name="Normal 61 3 4 2 2 3 3 2 2" xfId="0"/>
    <cellStyle name="Normal 61 3 4 2 2 3 3 3" xfId="0"/>
    <cellStyle name="Normal 61 3 4 2 2 3 4" xfId="0"/>
    <cellStyle name="Normal 61 3 4 2 2 3 4 2" xfId="0"/>
    <cellStyle name="Normal 61 3 4 2 2 3 4 2 2" xfId="0"/>
    <cellStyle name="Normal 61 3 4 2 2 3 4 3" xfId="0"/>
    <cellStyle name="Normal 61 3 4 2 2 3 5" xfId="0"/>
    <cellStyle name="Normal 61 3 4 2 2 3 5 2" xfId="0"/>
    <cellStyle name="Normal 61 3 4 2 2 3 6" xfId="0"/>
    <cellStyle name="Normal 61 3 4 2 2 4" xfId="0"/>
    <cellStyle name="Normal 61 3 4 2 2 4 2" xfId="0"/>
    <cellStyle name="Normal 61 3 4 2 2 4 2 2" xfId="0"/>
    <cellStyle name="Normal 61 3 4 2 2 4 2 2 2" xfId="0"/>
    <cellStyle name="Normal 61 3 4 2 2 4 2 3" xfId="0"/>
    <cellStyle name="Normal 61 3 4 2 2 4 3" xfId="0"/>
    <cellStyle name="Normal 61 3 4 2 2 4 3 2" xfId="0"/>
    <cellStyle name="Normal 61 3 4 2 2 4 3 2 2" xfId="0"/>
    <cellStyle name="Normal 61 3 4 2 2 4 3 3" xfId="0"/>
    <cellStyle name="Normal 61 3 4 2 2 4 4" xfId="0"/>
    <cellStyle name="Normal 61 3 4 2 2 4 4 2" xfId="0"/>
    <cellStyle name="Normal 61 3 4 2 2 4 5" xfId="0"/>
    <cellStyle name="Normal 61 3 4 2 2 5" xfId="0"/>
    <cellStyle name="Normal 61 3 4 2 2 5 2" xfId="0"/>
    <cellStyle name="Normal 61 3 4 2 2 5 2 2" xfId="0"/>
    <cellStyle name="Normal 61 3 4 2 2 5 3" xfId="0"/>
    <cellStyle name="Normal 61 3 4 2 2 6" xfId="0"/>
    <cellStyle name="Normal 61 3 4 2 2 6 2" xfId="0"/>
    <cellStyle name="Normal 61 3 4 2 2 6 2 2" xfId="0"/>
    <cellStyle name="Normal 61 3 4 2 2 6 3" xfId="0"/>
    <cellStyle name="Normal 61 3 4 2 2 7" xfId="0"/>
    <cellStyle name="Normal 61 3 4 2 2 7 2" xfId="0"/>
    <cellStyle name="Normal 61 3 4 2 2 8" xfId="0"/>
    <cellStyle name="Normal 61 3 4 2 3" xfId="0"/>
    <cellStyle name="Normal 61 3 4 2 3 2" xfId="0"/>
    <cellStyle name="Normal 61 3 4 2 3 2 2" xfId="0"/>
    <cellStyle name="Normal 61 3 4 2 3 2 2 2" xfId="0"/>
    <cellStyle name="Normal 61 3 4 2 3 2 2 2 2" xfId="0"/>
    <cellStyle name="Normal 61 3 4 2 3 2 2 2 2 2" xfId="0"/>
    <cellStyle name="Normal 61 3 4 2 3 2 2 2 3" xfId="0"/>
    <cellStyle name="Normal 61 3 4 2 3 2 2 3" xfId="0"/>
    <cellStyle name="Normal 61 3 4 2 3 2 2 3 2" xfId="0"/>
    <cellStyle name="Normal 61 3 4 2 3 2 2 3 2 2" xfId="0"/>
    <cellStyle name="Normal 61 3 4 2 3 2 2 3 3" xfId="0"/>
    <cellStyle name="Normal 61 3 4 2 3 2 2 4" xfId="0"/>
    <cellStyle name="Normal 61 3 4 2 3 2 2 4 2" xfId="0"/>
    <cellStyle name="Normal 61 3 4 2 3 2 2 5" xfId="0"/>
    <cellStyle name="Normal 61 3 4 2 3 2 3" xfId="0"/>
    <cellStyle name="Normal 61 3 4 2 3 2 3 2" xfId="0"/>
    <cellStyle name="Normal 61 3 4 2 3 2 3 2 2" xfId="0"/>
    <cellStyle name="Normal 61 3 4 2 3 2 3 3" xfId="0"/>
    <cellStyle name="Normal 61 3 4 2 3 2 4" xfId="0"/>
    <cellStyle name="Normal 61 3 4 2 3 2 4 2" xfId="0"/>
    <cellStyle name="Normal 61 3 4 2 3 2 4 2 2" xfId="0"/>
    <cellStyle name="Normal 61 3 4 2 3 2 4 3" xfId="0"/>
    <cellStyle name="Normal 61 3 4 2 3 2 5" xfId="0"/>
    <cellStyle name="Normal 61 3 4 2 3 2 5 2" xfId="0"/>
    <cellStyle name="Normal 61 3 4 2 3 2 6" xfId="0"/>
    <cellStyle name="Normal 61 3 4 2 3 3" xfId="0"/>
    <cellStyle name="Normal 61 3 4 2 3 3 2" xfId="0"/>
    <cellStyle name="Normal 61 3 4 2 3 3 2 2" xfId="0"/>
    <cellStyle name="Normal 61 3 4 2 3 3 2 2 2" xfId="0"/>
    <cellStyle name="Normal 61 3 4 2 3 3 2 3" xfId="0"/>
    <cellStyle name="Normal 61 3 4 2 3 3 3" xfId="0"/>
    <cellStyle name="Normal 61 3 4 2 3 3 3 2" xfId="0"/>
    <cellStyle name="Normal 61 3 4 2 3 3 3 2 2" xfId="0"/>
    <cellStyle name="Normal 61 3 4 2 3 3 3 3" xfId="0"/>
    <cellStyle name="Normal 61 3 4 2 3 3 4" xfId="0"/>
    <cellStyle name="Normal 61 3 4 2 3 3 4 2" xfId="0"/>
    <cellStyle name="Normal 61 3 4 2 3 3 5" xfId="0"/>
    <cellStyle name="Normal 61 3 4 2 3 4" xfId="0"/>
    <cellStyle name="Normal 61 3 4 2 3 4 2" xfId="0"/>
    <cellStyle name="Normal 61 3 4 2 3 4 2 2" xfId="0"/>
    <cellStyle name="Normal 61 3 4 2 3 4 3" xfId="0"/>
    <cellStyle name="Normal 61 3 4 2 3 5" xfId="0"/>
    <cellStyle name="Normal 61 3 4 2 3 5 2" xfId="0"/>
    <cellStyle name="Normal 61 3 4 2 3 5 2 2" xfId="0"/>
    <cellStyle name="Normal 61 3 4 2 3 5 3" xfId="0"/>
    <cellStyle name="Normal 61 3 4 2 3 6" xfId="0"/>
    <cellStyle name="Normal 61 3 4 2 3 6 2" xfId="0"/>
    <cellStyle name="Normal 61 3 4 2 3 7" xfId="0"/>
    <cellStyle name="Normal 61 3 4 2 4" xfId="0"/>
    <cellStyle name="Normal 61 3 4 2 4 2" xfId="0"/>
    <cellStyle name="Normal 61 3 4 2 4 2 2" xfId="0"/>
    <cellStyle name="Normal 61 3 4 2 4 2 2 2" xfId="0"/>
    <cellStyle name="Normal 61 3 4 2 4 2 2 2 2" xfId="0"/>
    <cellStyle name="Normal 61 3 4 2 4 2 2 3" xfId="0"/>
    <cellStyle name="Normal 61 3 4 2 4 2 3" xfId="0"/>
    <cellStyle name="Normal 61 3 4 2 4 2 3 2" xfId="0"/>
    <cellStyle name="Normal 61 3 4 2 4 2 3 2 2" xfId="0"/>
    <cellStyle name="Normal 61 3 4 2 4 2 3 3" xfId="0"/>
    <cellStyle name="Normal 61 3 4 2 4 2 4" xfId="0"/>
    <cellStyle name="Normal 61 3 4 2 4 2 4 2" xfId="0"/>
    <cellStyle name="Normal 61 3 4 2 4 2 5" xfId="0"/>
    <cellStyle name="Normal 61 3 4 2 4 3" xfId="0"/>
    <cellStyle name="Normal 61 3 4 2 4 3 2" xfId="0"/>
    <cellStyle name="Normal 61 3 4 2 4 3 2 2" xfId="0"/>
    <cellStyle name="Normal 61 3 4 2 4 3 3" xfId="0"/>
    <cellStyle name="Normal 61 3 4 2 4 4" xfId="0"/>
    <cellStyle name="Normal 61 3 4 2 4 4 2" xfId="0"/>
    <cellStyle name="Normal 61 3 4 2 4 4 2 2" xfId="0"/>
    <cellStyle name="Normal 61 3 4 2 4 4 3" xfId="0"/>
    <cellStyle name="Normal 61 3 4 2 4 5" xfId="0"/>
    <cellStyle name="Normal 61 3 4 2 4 5 2" xfId="0"/>
    <cellStyle name="Normal 61 3 4 2 4 6" xfId="0"/>
    <cellStyle name="Normal 61 3 4 2 5" xfId="0"/>
    <cellStyle name="Normal 61 3 4 2 5 2" xfId="0"/>
    <cellStyle name="Normal 61 3 4 2 5 2 2" xfId="0"/>
    <cellStyle name="Normal 61 3 4 2 5 2 2 2" xfId="0"/>
    <cellStyle name="Normal 61 3 4 2 5 2 3" xfId="0"/>
    <cellStyle name="Normal 61 3 4 2 5 3" xfId="0"/>
    <cellStyle name="Normal 61 3 4 2 5 3 2" xfId="0"/>
    <cellStyle name="Normal 61 3 4 2 5 3 2 2" xfId="0"/>
    <cellStyle name="Normal 61 3 4 2 5 3 3" xfId="0"/>
    <cellStyle name="Normal 61 3 4 2 5 4" xfId="0"/>
    <cellStyle name="Normal 61 3 4 2 5 4 2" xfId="0"/>
    <cellStyle name="Normal 61 3 4 2 5 5" xfId="0"/>
    <cellStyle name="Normal 61 3 4 2 6" xfId="0"/>
    <cellStyle name="Normal 61 3 4 2 6 2" xfId="0"/>
    <cellStyle name="Normal 61 3 4 2 6 2 2" xfId="0"/>
    <cellStyle name="Normal 61 3 4 2 6 3" xfId="0"/>
    <cellStyle name="Normal 61 3 4 2 7" xfId="0"/>
    <cellStyle name="Normal 61 3 4 2 7 2" xfId="0"/>
    <cellStyle name="Normal 61 3 4 2 7 2 2" xfId="0"/>
    <cellStyle name="Normal 61 3 4 2 7 3" xfId="0"/>
    <cellStyle name="Normal 61 3 4 2 8" xfId="0"/>
    <cellStyle name="Normal 61 3 4 2 8 2" xfId="0"/>
    <cellStyle name="Normal 61 3 4 2 9" xfId="0"/>
    <cellStyle name="Normal 61 3 4 3" xfId="0"/>
    <cellStyle name="Normal 61 3 4 3 2" xfId="0"/>
    <cellStyle name="Normal 61 3 4 3 2 2" xfId="0"/>
    <cellStyle name="Normal 61 3 4 3 2 2 2" xfId="0"/>
    <cellStyle name="Normal 61 3 4 3 2 2 2 2" xfId="0"/>
    <cellStyle name="Normal 61 3 4 3 2 2 2 2 2" xfId="0"/>
    <cellStyle name="Normal 61 3 4 3 2 2 2 2 2 2" xfId="0"/>
    <cellStyle name="Normal 61 3 4 3 2 2 2 2 3" xfId="0"/>
    <cellStyle name="Normal 61 3 4 3 2 2 2 3" xfId="0"/>
    <cellStyle name="Normal 61 3 4 3 2 2 2 3 2" xfId="0"/>
    <cellStyle name="Normal 61 3 4 3 2 2 2 3 2 2" xfId="0"/>
    <cellStyle name="Normal 61 3 4 3 2 2 2 3 3" xfId="0"/>
    <cellStyle name="Normal 61 3 4 3 2 2 2 4" xfId="0"/>
    <cellStyle name="Normal 61 3 4 3 2 2 2 4 2" xfId="0"/>
    <cellStyle name="Normal 61 3 4 3 2 2 2 5" xfId="0"/>
    <cellStyle name="Normal 61 3 4 3 2 2 3" xfId="0"/>
    <cellStyle name="Normal 61 3 4 3 2 2 3 2" xfId="0"/>
    <cellStyle name="Normal 61 3 4 3 2 2 3 2 2" xfId="0"/>
    <cellStyle name="Normal 61 3 4 3 2 2 3 3" xfId="0"/>
    <cellStyle name="Normal 61 3 4 3 2 2 4" xfId="0"/>
    <cellStyle name="Normal 61 3 4 3 2 2 4 2" xfId="0"/>
    <cellStyle name="Normal 61 3 4 3 2 2 4 2 2" xfId="0"/>
    <cellStyle name="Normal 61 3 4 3 2 2 4 3" xfId="0"/>
    <cellStyle name="Normal 61 3 4 3 2 2 5" xfId="0"/>
    <cellStyle name="Normal 61 3 4 3 2 2 5 2" xfId="0"/>
    <cellStyle name="Normal 61 3 4 3 2 2 6" xfId="0"/>
    <cellStyle name="Normal 61 3 4 3 2 3" xfId="0"/>
    <cellStyle name="Normal 61 3 4 3 2 3 2" xfId="0"/>
    <cellStyle name="Normal 61 3 4 3 2 3 2 2" xfId="0"/>
    <cellStyle name="Normal 61 3 4 3 2 3 2 2 2" xfId="0"/>
    <cellStyle name="Normal 61 3 4 3 2 3 2 3" xfId="0"/>
    <cellStyle name="Normal 61 3 4 3 2 3 3" xfId="0"/>
    <cellStyle name="Normal 61 3 4 3 2 3 3 2" xfId="0"/>
    <cellStyle name="Normal 61 3 4 3 2 3 3 2 2" xfId="0"/>
    <cellStyle name="Normal 61 3 4 3 2 3 3 3" xfId="0"/>
    <cellStyle name="Normal 61 3 4 3 2 3 4" xfId="0"/>
    <cellStyle name="Normal 61 3 4 3 2 3 4 2" xfId="0"/>
    <cellStyle name="Normal 61 3 4 3 2 3 5" xfId="0"/>
    <cellStyle name="Normal 61 3 4 3 2 4" xfId="0"/>
    <cellStyle name="Normal 61 3 4 3 2 4 2" xfId="0"/>
    <cellStyle name="Normal 61 3 4 3 2 4 2 2" xfId="0"/>
    <cellStyle name="Normal 61 3 4 3 2 4 3" xfId="0"/>
    <cellStyle name="Normal 61 3 4 3 2 5" xfId="0"/>
    <cellStyle name="Normal 61 3 4 3 2 5 2" xfId="0"/>
    <cellStyle name="Normal 61 3 4 3 2 5 2 2" xfId="0"/>
    <cellStyle name="Normal 61 3 4 3 2 5 3" xfId="0"/>
    <cellStyle name="Normal 61 3 4 3 2 6" xfId="0"/>
    <cellStyle name="Normal 61 3 4 3 2 6 2" xfId="0"/>
    <cellStyle name="Normal 61 3 4 3 2 7" xfId="0"/>
    <cellStyle name="Normal 61 3 4 3 3" xfId="0"/>
    <cellStyle name="Normal 61 3 4 3 3 2" xfId="0"/>
    <cellStyle name="Normal 61 3 4 3 3 2 2" xfId="0"/>
    <cellStyle name="Normal 61 3 4 3 3 2 2 2" xfId="0"/>
    <cellStyle name="Normal 61 3 4 3 3 2 2 2 2" xfId="0"/>
    <cellStyle name="Normal 61 3 4 3 3 2 2 3" xfId="0"/>
    <cellStyle name="Normal 61 3 4 3 3 2 3" xfId="0"/>
    <cellStyle name="Normal 61 3 4 3 3 2 3 2" xfId="0"/>
    <cellStyle name="Normal 61 3 4 3 3 2 3 2 2" xfId="0"/>
    <cellStyle name="Normal 61 3 4 3 3 2 3 3" xfId="0"/>
    <cellStyle name="Normal 61 3 4 3 3 2 4" xfId="0"/>
    <cellStyle name="Normal 61 3 4 3 3 2 4 2" xfId="0"/>
    <cellStyle name="Normal 61 3 4 3 3 2 5" xfId="0"/>
    <cellStyle name="Normal 61 3 4 3 3 3" xfId="0"/>
    <cellStyle name="Normal 61 3 4 3 3 3 2" xfId="0"/>
    <cellStyle name="Normal 61 3 4 3 3 3 2 2" xfId="0"/>
    <cellStyle name="Normal 61 3 4 3 3 3 3" xfId="0"/>
    <cellStyle name="Normal 61 3 4 3 3 4" xfId="0"/>
    <cellStyle name="Normal 61 3 4 3 3 4 2" xfId="0"/>
    <cellStyle name="Normal 61 3 4 3 3 4 2 2" xfId="0"/>
    <cellStyle name="Normal 61 3 4 3 3 4 3" xfId="0"/>
    <cellStyle name="Normal 61 3 4 3 3 5" xfId="0"/>
    <cellStyle name="Normal 61 3 4 3 3 5 2" xfId="0"/>
    <cellStyle name="Normal 61 3 4 3 3 6" xfId="0"/>
    <cellStyle name="Normal 61 3 4 3 4" xfId="0"/>
    <cellStyle name="Normal 61 3 4 3 4 2" xfId="0"/>
    <cellStyle name="Normal 61 3 4 3 4 2 2" xfId="0"/>
    <cellStyle name="Normal 61 3 4 3 4 2 2 2" xfId="0"/>
    <cellStyle name="Normal 61 3 4 3 4 2 3" xfId="0"/>
    <cellStyle name="Normal 61 3 4 3 4 3" xfId="0"/>
    <cellStyle name="Normal 61 3 4 3 4 3 2" xfId="0"/>
    <cellStyle name="Normal 61 3 4 3 4 3 2 2" xfId="0"/>
    <cellStyle name="Normal 61 3 4 3 4 3 3" xfId="0"/>
    <cellStyle name="Normal 61 3 4 3 4 4" xfId="0"/>
    <cellStyle name="Normal 61 3 4 3 4 4 2" xfId="0"/>
    <cellStyle name="Normal 61 3 4 3 4 5" xfId="0"/>
    <cellStyle name="Normal 61 3 4 3 5" xfId="0"/>
    <cellStyle name="Normal 61 3 4 3 5 2" xfId="0"/>
    <cellStyle name="Normal 61 3 4 3 5 2 2" xfId="0"/>
    <cellStyle name="Normal 61 3 4 3 5 3" xfId="0"/>
    <cellStyle name="Normal 61 3 4 3 6" xfId="0"/>
    <cellStyle name="Normal 61 3 4 3 6 2" xfId="0"/>
    <cellStyle name="Normal 61 3 4 3 6 2 2" xfId="0"/>
    <cellStyle name="Normal 61 3 4 3 6 3" xfId="0"/>
    <cellStyle name="Normal 61 3 4 3 7" xfId="0"/>
    <cellStyle name="Normal 61 3 4 3 7 2" xfId="0"/>
    <cellStyle name="Normal 61 3 4 3 8" xfId="0"/>
    <cellStyle name="Normal 61 3 4 4" xfId="0"/>
    <cellStyle name="Normal 61 3 4 4 2" xfId="0"/>
    <cellStyle name="Normal 61 3 4 4 2 2" xfId="0"/>
    <cellStyle name="Normal 61 3 4 4 2 2 2" xfId="0"/>
    <cellStyle name="Normal 61 3 4 4 2 2 2 2" xfId="0"/>
    <cellStyle name="Normal 61 3 4 4 2 2 2 2 2" xfId="0"/>
    <cellStyle name="Normal 61 3 4 4 2 2 2 3" xfId="0"/>
    <cellStyle name="Normal 61 3 4 4 2 2 3" xfId="0"/>
    <cellStyle name="Normal 61 3 4 4 2 2 3 2" xfId="0"/>
    <cellStyle name="Normal 61 3 4 4 2 2 3 2 2" xfId="0"/>
    <cellStyle name="Normal 61 3 4 4 2 2 3 3" xfId="0"/>
    <cellStyle name="Normal 61 3 4 4 2 2 4" xfId="0"/>
    <cellStyle name="Normal 61 3 4 4 2 2 4 2" xfId="0"/>
    <cellStyle name="Normal 61 3 4 4 2 2 5" xfId="0"/>
    <cellStyle name="Normal 61 3 4 4 2 3" xfId="0"/>
    <cellStyle name="Normal 61 3 4 4 2 3 2" xfId="0"/>
    <cellStyle name="Normal 61 3 4 4 2 3 2 2" xfId="0"/>
    <cellStyle name="Normal 61 3 4 4 2 3 3" xfId="0"/>
    <cellStyle name="Normal 61 3 4 4 2 4" xfId="0"/>
    <cellStyle name="Normal 61 3 4 4 2 4 2" xfId="0"/>
    <cellStyle name="Normal 61 3 4 4 2 4 2 2" xfId="0"/>
    <cellStyle name="Normal 61 3 4 4 2 4 3" xfId="0"/>
    <cellStyle name="Normal 61 3 4 4 2 5" xfId="0"/>
    <cellStyle name="Normal 61 3 4 4 2 5 2" xfId="0"/>
    <cellStyle name="Normal 61 3 4 4 2 6" xfId="0"/>
    <cellStyle name="Normal 61 3 4 4 3" xfId="0"/>
    <cellStyle name="Normal 61 3 4 4 3 2" xfId="0"/>
    <cellStyle name="Normal 61 3 4 4 3 2 2" xfId="0"/>
    <cellStyle name="Normal 61 3 4 4 3 2 2 2" xfId="0"/>
    <cellStyle name="Normal 61 3 4 4 3 2 3" xfId="0"/>
    <cellStyle name="Normal 61 3 4 4 3 3" xfId="0"/>
    <cellStyle name="Normal 61 3 4 4 3 3 2" xfId="0"/>
    <cellStyle name="Normal 61 3 4 4 3 3 2 2" xfId="0"/>
    <cellStyle name="Normal 61 3 4 4 3 3 3" xfId="0"/>
    <cellStyle name="Normal 61 3 4 4 3 4" xfId="0"/>
    <cellStyle name="Normal 61 3 4 4 3 4 2" xfId="0"/>
    <cellStyle name="Normal 61 3 4 4 3 5" xfId="0"/>
    <cellStyle name="Normal 61 3 4 4 4" xfId="0"/>
    <cellStyle name="Normal 61 3 4 4 4 2" xfId="0"/>
    <cellStyle name="Normal 61 3 4 4 4 2 2" xfId="0"/>
    <cellStyle name="Normal 61 3 4 4 4 3" xfId="0"/>
    <cellStyle name="Normal 61 3 4 4 5" xfId="0"/>
    <cellStyle name="Normal 61 3 4 4 5 2" xfId="0"/>
    <cellStyle name="Normal 61 3 4 4 5 2 2" xfId="0"/>
    <cellStyle name="Normal 61 3 4 4 5 3" xfId="0"/>
    <cellStyle name="Normal 61 3 4 4 6" xfId="0"/>
    <cellStyle name="Normal 61 3 4 4 6 2" xfId="0"/>
    <cellStyle name="Normal 61 3 4 4 7" xfId="0"/>
    <cellStyle name="Normal 61 3 4 5" xfId="0"/>
    <cellStyle name="Normal 61 3 4 5 2" xfId="0"/>
    <cellStyle name="Normal 61 3 4 5 2 2" xfId="0"/>
    <cellStyle name="Normal 61 3 4 5 2 2 2" xfId="0"/>
    <cellStyle name="Normal 61 3 4 5 2 2 2 2" xfId="0"/>
    <cellStyle name="Normal 61 3 4 5 2 2 3" xfId="0"/>
    <cellStyle name="Normal 61 3 4 5 2 3" xfId="0"/>
    <cellStyle name="Normal 61 3 4 5 2 3 2" xfId="0"/>
    <cellStyle name="Normal 61 3 4 5 2 3 2 2" xfId="0"/>
    <cellStyle name="Normal 61 3 4 5 2 3 3" xfId="0"/>
    <cellStyle name="Normal 61 3 4 5 2 4" xfId="0"/>
    <cellStyle name="Normal 61 3 4 5 2 4 2" xfId="0"/>
    <cellStyle name="Normal 61 3 4 5 2 5" xfId="0"/>
    <cellStyle name="Normal 61 3 4 5 3" xfId="0"/>
    <cellStyle name="Normal 61 3 4 5 3 2" xfId="0"/>
    <cellStyle name="Normal 61 3 4 5 3 2 2" xfId="0"/>
    <cellStyle name="Normal 61 3 4 5 3 3" xfId="0"/>
    <cellStyle name="Normal 61 3 4 5 4" xfId="0"/>
    <cellStyle name="Normal 61 3 4 5 4 2" xfId="0"/>
    <cellStyle name="Normal 61 3 4 5 4 2 2" xfId="0"/>
    <cellStyle name="Normal 61 3 4 5 4 3" xfId="0"/>
    <cellStyle name="Normal 61 3 4 5 5" xfId="0"/>
    <cellStyle name="Normal 61 3 4 5 5 2" xfId="0"/>
    <cellStyle name="Normal 61 3 4 5 6" xfId="0"/>
    <cellStyle name="Normal 61 3 4 6" xfId="0"/>
    <cellStyle name="Normal 61 3 4 6 2" xfId="0"/>
    <cellStyle name="Normal 61 3 4 6 2 2" xfId="0"/>
    <cellStyle name="Normal 61 3 4 6 2 2 2" xfId="0"/>
    <cellStyle name="Normal 61 3 4 6 2 3" xfId="0"/>
    <cellStyle name="Normal 61 3 4 6 3" xfId="0"/>
    <cellStyle name="Normal 61 3 4 6 3 2" xfId="0"/>
    <cellStyle name="Normal 61 3 4 6 3 2 2" xfId="0"/>
    <cellStyle name="Normal 61 3 4 6 3 3" xfId="0"/>
    <cellStyle name="Normal 61 3 4 6 4" xfId="0"/>
    <cellStyle name="Normal 61 3 4 6 4 2" xfId="0"/>
    <cellStyle name="Normal 61 3 4 6 5" xfId="0"/>
    <cellStyle name="Normal 61 3 4 7" xfId="0"/>
    <cellStyle name="Normal 61 3 4 7 2" xfId="0"/>
    <cellStyle name="Normal 61 3 4 7 2 2" xfId="0"/>
    <cellStyle name="Normal 61 3 4 7 3" xfId="0"/>
    <cellStyle name="Normal 61 3 4 8" xfId="0"/>
    <cellStyle name="Normal 61 3 4 8 2" xfId="0"/>
    <cellStyle name="Normal 61 3 4 8 2 2" xfId="0"/>
    <cellStyle name="Normal 61 3 4 8 3" xfId="0"/>
    <cellStyle name="Normal 61 3 4 9" xfId="0"/>
    <cellStyle name="Normal 61 3 4 9 2" xfId="0"/>
    <cellStyle name="Normal 61 3 5" xfId="0"/>
    <cellStyle name="Normal 61 3 5 2" xfId="0"/>
    <cellStyle name="Normal 61 3 5 2 2" xfId="0"/>
    <cellStyle name="Normal 61 3 5 2 2 2" xfId="0"/>
    <cellStyle name="Normal 61 3 5 2 2 2 2" xfId="0"/>
    <cellStyle name="Normal 61 3 5 2 2 2 2 2" xfId="0"/>
    <cellStyle name="Normal 61 3 5 2 2 2 2 2 2" xfId="0"/>
    <cellStyle name="Normal 61 3 5 2 2 2 2 2 2 2" xfId="0"/>
    <cellStyle name="Normal 61 3 5 2 2 2 2 2 3" xfId="0"/>
    <cellStyle name="Normal 61 3 5 2 2 2 2 3" xfId="0"/>
    <cellStyle name="Normal 61 3 5 2 2 2 2 3 2" xfId="0"/>
    <cellStyle name="Normal 61 3 5 2 2 2 2 3 2 2" xfId="0"/>
    <cellStyle name="Normal 61 3 5 2 2 2 2 3 3" xfId="0"/>
    <cellStyle name="Normal 61 3 5 2 2 2 2 4" xfId="0"/>
    <cellStyle name="Normal 61 3 5 2 2 2 2 4 2" xfId="0"/>
    <cellStyle name="Normal 61 3 5 2 2 2 2 5" xfId="0"/>
    <cellStyle name="Normal 61 3 5 2 2 2 3" xfId="0"/>
    <cellStyle name="Normal 61 3 5 2 2 2 3 2" xfId="0"/>
    <cellStyle name="Normal 61 3 5 2 2 2 3 2 2" xfId="0"/>
    <cellStyle name="Normal 61 3 5 2 2 2 3 3" xfId="0"/>
    <cellStyle name="Normal 61 3 5 2 2 2 4" xfId="0"/>
    <cellStyle name="Normal 61 3 5 2 2 2 4 2" xfId="0"/>
    <cellStyle name="Normal 61 3 5 2 2 2 4 2 2" xfId="0"/>
    <cellStyle name="Normal 61 3 5 2 2 2 4 3" xfId="0"/>
    <cellStyle name="Normal 61 3 5 2 2 2 5" xfId="0"/>
    <cellStyle name="Normal 61 3 5 2 2 2 5 2" xfId="0"/>
    <cellStyle name="Normal 61 3 5 2 2 2 6" xfId="0"/>
    <cellStyle name="Normal 61 3 5 2 2 3" xfId="0"/>
    <cellStyle name="Normal 61 3 5 2 2 3 2" xfId="0"/>
    <cellStyle name="Normal 61 3 5 2 2 3 2 2" xfId="0"/>
    <cellStyle name="Normal 61 3 5 2 2 3 2 2 2" xfId="0"/>
    <cellStyle name="Normal 61 3 5 2 2 3 2 3" xfId="0"/>
    <cellStyle name="Normal 61 3 5 2 2 3 3" xfId="0"/>
    <cellStyle name="Normal 61 3 5 2 2 3 3 2" xfId="0"/>
    <cellStyle name="Normal 61 3 5 2 2 3 3 2 2" xfId="0"/>
    <cellStyle name="Normal 61 3 5 2 2 3 3 3" xfId="0"/>
    <cellStyle name="Normal 61 3 5 2 2 3 4" xfId="0"/>
    <cellStyle name="Normal 61 3 5 2 2 3 4 2" xfId="0"/>
    <cellStyle name="Normal 61 3 5 2 2 3 5" xfId="0"/>
    <cellStyle name="Normal 61 3 5 2 2 4" xfId="0"/>
    <cellStyle name="Normal 61 3 5 2 2 4 2" xfId="0"/>
    <cellStyle name="Normal 61 3 5 2 2 4 2 2" xfId="0"/>
    <cellStyle name="Normal 61 3 5 2 2 4 3" xfId="0"/>
    <cellStyle name="Normal 61 3 5 2 2 5" xfId="0"/>
    <cellStyle name="Normal 61 3 5 2 2 5 2" xfId="0"/>
    <cellStyle name="Normal 61 3 5 2 2 5 2 2" xfId="0"/>
    <cellStyle name="Normal 61 3 5 2 2 5 3" xfId="0"/>
    <cellStyle name="Normal 61 3 5 2 2 6" xfId="0"/>
    <cellStyle name="Normal 61 3 5 2 2 6 2" xfId="0"/>
    <cellStyle name="Normal 61 3 5 2 2 7" xfId="0"/>
    <cellStyle name="Normal 61 3 5 2 3" xfId="0"/>
    <cellStyle name="Normal 61 3 5 2 3 2" xfId="0"/>
    <cellStyle name="Normal 61 3 5 2 3 2 2" xfId="0"/>
    <cellStyle name="Normal 61 3 5 2 3 2 2 2" xfId="0"/>
    <cellStyle name="Normal 61 3 5 2 3 2 2 2 2" xfId="0"/>
    <cellStyle name="Normal 61 3 5 2 3 2 2 3" xfId="0"/>
    <cellStyle name="Normal 61 3 5 2 3 2 3" xfId="0"/>
    <cellStyle name="Normal 61 3 5 2 3 2 3 2" xfId="0"/>
    <cellStyle name="Normal 61 3 5 2 3 2 3 2 2" xfId="0"/>
    <cellStyle name="Normal 61 3 5 2 3 2 3 3" xfId="0"/>
    <cellStyle name="Normal 61 3 5 2 3 2 4" xfId="0"/>
    <cellStyle name="Normal 61 3 5 2 3 2 4 2" xfId="0"/>
    <cellStyle name="Normal 61 3 5 2 3 2 5" xfId="0"/>
    <cellStyle name="Normal 61 3 5 2 3 3" xfId="0"/>
    <cellStyle name="Normal 61 3 5 2 3 3 2" xfId="0"/>
    <cellStyle name="Normal 61 3 5 2 3 3 2 2" xfId="0"/>
    <cellStyle name="Normal 61 3 5 2 3 3 3" xfId="0"/>
    <cellStyle name="Normal 61 3 5 2 3 4" xfId="0"/>
    <cellStyle name="Normal 61 3 5 2 3 4 2" xfId="0"/>
    <cellStyle name="Normal 61 3 5 2 3 4 2 2" xfId="0"/>
    <cellStyle name="Normal 61 3 5 2 3 4 3" xfId="0"/>
    <cellStyle name="Normal 61 3 5 2 3 5" xfId="0"/>
    <cellStyle name="Normal 61 3 5 2 3 5 2" xfId="0"/>
    <cellStyle name="Normal 61 3 5 2 3 6" xfId="0"/>
    <cellStyle name="Normal 61 3 5 2 4" xfId="0"/>
    <cellStyle name="Normal 61 3 5 2 4 2" xfId="0"/>
    <cellStyle name="Normal 61 3 5 2 4 2 2" xfId="0"/>
    <cellStyle name="Normal 61 3 5 2 4 2 2 2" xfId="0"/>
    <cellStyle name="Normal 61 3 5 2 4 2 3" xfId="0"/>
    <cellStyle name="Normal 61 3 5 2 4 3" xfId="0"/>
    <cellStyle name="Normal 61 3 5 2 4 3 2" xfId="0"/>
    <cellStyle name="Normal 61 3 5 2 4 3 2 2" xfId="0"/>
    <cellStyle name="Normal 61 3 5 2 4 3 3" xfId="0"/>
    <cellStyle name="Normal 61 3 5 2 4 4" xfId="0"/>
    <cellStyle name="Normal 61 3 5 2 4 4 2" xfId="0"/>
    <cellStyle name="Normal 61 3 5 2 4 5" xfId="0"/>
    <cellStyle name="Normal 61 3 5 2 5" xfId="0"/>
    <cellStyle name="Normal 61 3 5 2 5 2" xfId="0"/>
    <cellStyle name="Normal 61 3 5 2 5 2 2" xfId="0"/>
    <cellStyle name="Normal 61 3 5 2 5 3" xfId="0"/>
    <cellStyle name="Normal 61 3 5 2 6" xfId="0"/>
    <cellStyle name="Normal 61 3 5 2 6 2" xfId="0"/>
    <cellStyle name="Normal 61 3 5 2 6 2 2" xfId="0"/>
    <cellStyle name="Normal 61 3 5 2 6 3" xfId="0"/>
    <cellStyle name="Normal 61 3 5 2 7" xfId="0"/>
    <cellStyle name="Normal 61 3 5 2 7 2" xfId="0"/>
    <cellStyle name="Normal 61 3 5 2 8" xfId="0"/>
    <cellStyle name="Normal 61 3 5 3" xfId="0"/>
    <cellStyle name="Normal 61 3 5 3 2" xfId="0"/>
    <cellStyle name="Normal 61 3 5 3 2 2" xfId="0"/>
    <cellStyle name="Normal 61 3 5 3 2 2 2" xfId="0"/>
    <cellStyle name="Normal 61 3 5 3 2 2 2 2" xfId="0"/>
    <cellStyle name="Normal 61 3 5 3 2 2 2 2 2" xfId="0"/>
    <cellStyle name="Normal 61 3 5 3 2 2 2 3" xfId="0"/>
    <cellStyle name="Normal 61 3 5 3 2 2 3" xfId="0"/>
    <cellStyle name="Normal 61 3 5 3 2 2 3 2" xfId="0"/>
    <cellStyle name="Normal 61 3 5 3 2 2 3 2 2" xfId="0"/>
    <cellStyle name="Normal 61 3 5 3 2 2 3 3" xfId="0"/>
    <cellStyle name="Normal 61 3 5 3 2 2 4" xfId="0"/>
    <cellStyle name="Normal 61 3 5 3 2 2 4 2" xfId="0"/>
    <cellStyle name="Normal 61 3 5 3 2 2 5" xfId="0"/>
    <cellStyle name="Normal 61 3 5 3 2 3" xfId="0"/>
    <cellStyle name="Normal 61 3 5 3 2 3 2" xfId="0"/>
    <cellStyle name="Normal 61 3 5 3 2 3 2 2" xfId="0"/>
    <cellStyle name="Normal 61 3 5 3 2 3 3" xfId="0"/>
    <cellStyle name="Normal 61 3 5 3 2 4" xfId="0"/>
    <cellStyle name="Normal 61 3 5 3 2 4 2" xfId="0"/>
    <cellStyle name="Normal 61 3 5 3 2 4 2 2" xfId="0"/>
    <cellStyle name="Normal 61 3 5 3 2 4 3" xfId="0"/>
    <cellStyle name="Normal 61 3 5 3 2 5" xfId="0"/>
    <cellStyle name="Normal 61 3 5 3 2 5 2" xfId="0"/>
    <cellStyle name="Normal 61 3 5 3 2 6" xfId="0"/>
    <cellStyle name="Normal 61 3 5 3 3" xfId="0"/>
    <cellStyle name="Normal 61 3 5 3 3 2" xfId="0"/>
    <cellStyle name="Normal 61 3 5 3 3 2 2" xfId="0"/>
    <cellStyle name="Normal 61 3 5 3 3 2 2 2" xfId="0"/>
    <cellStyle name="Normal 61 3 5 3 3 2 3" xfId="0"/>
    <cellStyle name="Normal 61 3 5 3 3 3" xfId="0"/>
    <cellStyle name="Normal 61 3 5 3 3 3 2" xfId="0"/>
    <cellStyle name="Normal 61 3 5 3 3 3 2 2" xfId="0"/>
    <cellStyle name="Normal 61 3 5 3 3 3 3" xfId="0"/>
    <cellStyle name="Normal 61 3 5 3 3 4" xfId="0"/>
    <cellStyle name="Normal 61 3 5 3 3 4 2" xfId="0"/>
    <cellStyle name="Normal 61 3 5 3 3 5" xfId="0"/>
    <cellStyle name="Normal 61 3 5 3 4" xfId="0"/>
    <cellStyle name="Normal 61 3 5 3 4 2" xfId="0"/>
    <cellStyle name="Normal 61 3 5 3 4 2 2" xfId="0"/>
    <cellStyle name="Normal 61 3 5 3 4 3" xfId="0"/>
    <cellStyle name="Normal 61 3 5 3 5" xfId="0"/>
    <cellStyle name="Normal 61 3 5 3 5 2" xfId="0"/>
    <cellStyle name="Normal 61 3 5 3 5 2 2" xfId="0"/>
    <cellStyle name="Normal 61 3 5 3 5 3" xfId="0"/>
    <cellStyle name="Normal 61 3 5 3 6" xfId="0"/>
    <cellStyle name="Normal 61 3 5 3 6 2" xfId="0"/>
    <cellStyle name="Normal 61 3 5 3 7" xfId="0"/>
    <cellStyle name="Normal 61 3 5 4" xfId="0"/>
    <cellStyle name="Normal 61 3 5 4 2" xfId="0"/>
    <cellStyle name="Normal 61 3 5 4 2 2" xfId="0"/>
    <cellStyle name="Normal 61 3 5 4 2 2 2" xfId="0"/>
    <cellStyle name="Normal 61 3 5 4 2 2 2 2" xfId="0"/>
    <cellStyle name="Normal 61 3 5 4 2 2 3" xfId="0"/>
    <cellStyle name="Normal 61 3 5 4 2 3" xfId="0"/>
    <cellStyle name="Normal 61 3 5 4 2 3 2" xfId="0"/>
    <cellStyle name="Normal 61 3 5 4 2 3 2 2" xfId="0"/>
    <cellStyle name="Normal 61 3 5 4 2 3 3" xfId="0"/>
    <cellStyle name="Normal 61 3 5 4 2 4" xfId="0"/>
    <cellStyle name="Normal 61 3 5 4 2 4 2" xfId="0"/>
    <cellStyle name="Normal 61 3 5 4 2 5" xfId="0"/>
    <cellStyle name="Normal 61 3 5 4 3" xfId="0"/>
    <cellStyle name="Normal 61 3 5 4 3 2" xfId="0"/>
    <cellStyle name="Normal 61 3 5 4 3 2 2" xfId="0"/>
    <cellStyle name="Normal 61 3 5 4 3 3" xfId="0"/>
    <cellStyle name="Normal 61 3 5 4 4" xfId="0"/>
    <cellStyle name="Normal 61 3 5 4 4 2" xfId="0"/>
    <cellStyle name="Normal 61 3 5 4 4 2 2" xfId="0"/>
    <cellStyle name="Normal 61 3 5 4 4 3" xfId="0"/>
    <cellStyle name="Normal 61 3 5 4 5" xfId="0"/>
    <cellStyle name="Normal 61 3 5 4 5 2" xfId="0"/>
    <cellStyle name="Normal 61 3 5 4 6" xfId="0"/>
    <cellStyle name="Normal 61 3 5 5" xfId="0"/>
    <cellStyle name="Normal 61 3 5 5 2" xfId="0"/>
    <cellStyle name="Normal 61 3 5 5 2 2" xfId="0"/>
    <cellStyle name="Normal 61 3 5 5 2 2 2" xfId="0"/>
    <cellStyle name="Normal 61 3 5 5 2 3" xfId="0"/>
    <cellStyle name="Normal 61 3 5 5 3" xfId="0"/>
    <cellStyle name="Normal 61 3 5 5 3 2" xfId="0"/>
    <cellStyle name="Normal 61 3 5 5 3 2 2" xfId="0"/>
    <cellStyle name="Normal 61 3 5 5 3 3" xfId="0"/>
    <cellStyle name="Normal 61 3 5 5 4" xfId="0"/>
    <cellStyle name="Normal 61 3 5 5 4 2" xfId="0"/>
    <cellStyle name="Normal 61 3 5 5 5" xfId="0"/>
    <cellStyle name="Normal 61 3 5 6" xfId="0"/>
    <cellStyle name="Normal 61 3 5 6 2" xfId="0"/>
    <cellStyle name="Normal 61 3 5 6 2 2" xfId="0"/>
    <cellStyle name="Normal 61 3 5 6 3" xfId="0"/>
    <cellStyle name="Normal 61 3 5 7" xfId="0"/>
    <cellStyle name="Normal 61 3 5 7 2" xfId="0"/>
    <cellStyle name="Normal 61 3 5 7 2 2" xfId="0"/>
    <cellStyle name="Normal 61 3 5 7 3" xfId="0"/>
    <cellStyle name="Normal 61 3 5 8" xfId="0"/>
    <cellStyle name="Normal 61 3 5 8 2" xfId="0"/>
    <cellStyle name="Normal 61 3 5 9" xfId="0"/>
    <cellStyle name="Normal 61 3 6" xfId="0"/>
    <cellStyle name="Normal 61 3 6 2" xfId="0"/>
    <cellStyle name="Normal 61 3 6 2 2" xfId="0"/>
    <cellStyle name="Normal 61 3 6 2 2 2" xfId="0"/>
    <cellStyle name="Normal 61 3 6 2 2 2 2" xfId="0"/>
    <cellStyle name="Normal 61 3 6 2 2 2 2 2" xfId="0"/>
    <cellStyle name="Normal 61 3 6 2 2 2 2 2 2" xfId="0"/>
    <cellStyle name="Normal 61 3 6 2 2 2 2 3" xfId="0"/>
    <cellStyle name="Normal 61 3 6 2 2 2 3" xfId="0"/>
    <cellStyle name="Normal 61 3 6 2 2 2 3 2" xfId="0"/>
    <cellStyle name="Normal 61 3 6 2 2 2 3 2 2" xfId="0"/>
    <cellStyle name="Normal 61 3 6 2 2 2 3 3" xfId="0"/>
    <cellStyle name="Normal 61 3 6 2 2 2 4" xfId="0"/>
    <cellStyle name="Normal 61 3 6 2 2 2 4 2" xfId="0"/>
    <cellStyle name="Normal 61 3 6 2 2 2 5" xfId="0"/>
    <cellStyle name="Normal 61 3 6 2 2 3" xfId="0"/>
    <cellStyle name="Normal 61 3 6 2 2 3 2" xfId="0"/>
    <cellStyle name="Normal 61 3 6 2 2 3 2 2" xfId="0"/>
    <cellStyle name="Normal 61 3 6 2 2 3 3" xfId="0"/>
    <cellStyle name="Normal 61 3 6 2 2 4" xfId="0"/>
    <cellStyle name="Normal 61 3 6 2 2 4 2" xfId="0"/>
    <cellStyle name="Normal 61 3 6 2 2 4 2 2" xfId="0"/>
    <cellStyle name="Normal 61 3 6 2 2 4 3" xfId="0"/>
    <cellStyle name="Normal 61 3 6 2 2 5" xfId="0"/>
    <cellStyle name="Normal 61 3 6 2 2 5 2" xfId="0"/>
    <cellStyle name="Normal 61 3 6 2 2 6" xfId="0"/>
    <cellStyle name="Normal 61 3 6 2 3" xfId="0"/>
    <cellStyle name="Normal 61 3 6 2 3 2" xfId="0"/>
    <cellStyle name="Normal 61 3 6 2 3 2 2" xfId="0"/>
    <cellStyle name="Normal 61 3 6 2 3 2 2 2" xfId="0"/>
    <cellStyle name="Normal 61 3 6 2 3 2 3" xfId="0"/>
    <cellStyle name="Normal 61 3 6 2 3 3" xfId="0"/>
    <cellStyle name="Normal 61 3 6 2 3 3 2" xfId="0"/>
    <cellStyle name="Normal 61 3 6 2 3 3 2 2" xfId="0"/>
    <cellStyle name="Normal 61 3 6 2 3 3 3" xfId="0"/>
    <cellStyle name="Normal 61 3 6 2 3 4" xfId="0"/>
    <cellStyle name="Normal 61 3 6 2 3 4 2" xfId="0"/>
    <cellStyle name="Normal 61 3 6 2 3 5" xfId="0"/>
    <cellStyle name="Normal 61 3 6 2 4" xfId="0"/>
    <cellStyle name="Normal 61 3 6 2 4 2" xfId="0"/>
    <cellStyle name="Normal 61 3 6 2 4 2 2" xfId="0"/>
    <cellStyle name="Normal 61 3 6 2 4 3" xfId="0"/>
    <cellStyle name="Normal 61 3 6 2 5" xfId="0"/>
    <cellStyle name="Normal 61 3 6 2 5 2" xfId="0"/>
    <cellStyle name="Normal 61 3 6 2 5 2 2" xfId="0"/>
    <cellStyle name="Normal 61 3 6 2 5 3" xfId="0"/>
    <cellStyle name="Normal 61 3 6 2 6" xfId="0"/>
    <cellStyle name="Normal 61 3 6 2 6 2" xfId="0"/>
    <cellStyle name="Normal 61 3 6 2 7" xfId="0"/>
    <cellStyle name="Normal 61 3 6 3" xfId="0"/>
    <cellStyle name="Normal 61 3 6 3 2" xfId="0"/>
    <cellStyle name="Normal 61 3 6 3 2 2" xfId="0"/>
    <cellStyle name="Normal 61 3 6 3 2 2 2" xfId="0"/>
    <cellStyle name="Normal 61 3 6 3 2 2 2 2" xfId="0"/>
    <cellStyle name="Normal 61 3 6 3 2 2 3" xfId="0"/>
    <cellStyle name="Normal 61 3 6 3 2 3" xfId="0"/>
    <cellStyle name="Normal 61 3 6 3 2 3 2" xfId="0"/>
    <cellStyle name="Normal 61 3 6 3 2 3 2 2" xfId="0"/>
    <cellStyle name="Normal 61 3 6 3 2 3 3" xfId="0"/>
    <cellStyle name="Normal 61 3 6 3 2 4" xfId="0"/>
    <cellStyle name="Normal 61 3 6 3 2 4 2" xfId="0"/>
    <cellStyle name="Normal 61 3 6 3 2 5" xfId="0"/>
    <cellStyle name="Normal 61 3 6 3 3" xfId="0"/>
    <cellStyle name="Normal 61 3 6 3 3 2" xfId="0"/>
    <cellStyle name="Normal 61 3 6 3 3 2 2" xfId="0"/>
    <cellStyle name="Normal 61 3 6 3 3 3" xfId="0"/>
    <cellStyle name="Normal 61 3 6 3 4" xfId="0"/>
    <cellStyle name="Normal 61 3 6 3 4 2" xfId="0"/>
    <cellStyle name="Normal 61 3 6 3 4 2 2" xfId="0"/>
    <cellStyle name="Normal 61 3 6 3 4 3" xfId="0"/>
    <cellStyle name="Normal 61 3 6 3 5" xfId="0"/>
    <cellStyle name="Normal 61 3 6 3 5 2" xfId="0"/>
    <cellStyle name="Normal 61 3 6 3 6" xfId="0"/>
    <cellStyle name="Normal 61 3 6 4" xfId="0"/>
    <cellStyle name="Normal 61 3 6 4 2" xfId="0"/>
    <cellStyle name="Normal 61 3 6 4 2 2" xfId="0"/>
    <cellStyle name="Normal 61 3 6 4 2 2 2" xfId="0"/>
    <cellStyle name="Normal 61 3 6 4 2 3" xfId="0"/>
    <cellStyle name="Normal 61 3 6 4 3" xfId="0"/>
    <cellStyle name="Normal 61 3 6 4 3 2" xfId="0"/>
    <cellStyle name="Normal 61 3 6 4 3 2 2" xfId="0"/>
    <cellStyle name="Normal 61 3 6 4 3 3" xfId="0"/>
    <cellStyle name="Normal 61 3 6 4 4" xfId="0"/>
    <cellStyle name="Normal 61 3 6 4 4 2" xfId="0"/>
    <cellStyle name="Normal 61 3 6 4 5" xfId="0"/>
    <cellStyle name="Normal 61 3 6 5" xfId="0"/>
    <cellStyle name="Normal 61 3 6 5 2" xfId="0"/>
    <cellStyle name="Normal 61 3 6 5 2 2" xfId="0"/>
    <cellStyle name="Normal 61 3 6 5 3" xfId="0"/>
    <cellStyle name="Normal 61 3 6 6" xfId="0"/>
    <cellStyle name="Normal 61 3 6 6 2" xfId="0"/>
    <cellStyle name="Normal 61 3 6 6 2 2" xfId="0"/>
    <cellStyle name="Normal 61 3 6 6 3" xfId="0"/>
    <cellStyle name="Normal 61 3 6 7" xfId="0"/>
    <cellStyle name="Normal 61 3 6 7 2" xfId="0"/>
    <cellStyle name="Normal 61 3 6 8" xfId="0"/>
    <cellStyle name="Normal 61 3 7" xfId="0"/>
    <cellStyle name="Normal 61 3 7 2" xfId="0"/>
    <cellStyle name="Normal 61 3 7 2 2" xfId="0"/>
    <cellStyle name="Normal 61 3 7 2 2 2" xfId="0"/>
    <cellStyle name="Normal 61 3 7 2 2 2 2" xfId="0"/>
    <cellStyle name="Normal 61 3 7 2 2 2 2 2" xfId="0"/>
    <cellStyle name="Normal 61 3 7 2 2 2 3" xfId="0"/>
    <cellStyle name="Normal 61 3 7 2 2 3" xfId="0"/>
    <cellStyle name="Normal 61 3 7 2 2 3 2" xfId="0"/>
    <cellStyle name="Normal 61 3 7 2 2 3 2 2" xfId="0"/>
    <cellStyle name="Normal 61 3 7 2 2 3 3" xfId="0"/>
    <cellStyle name="Normal 61 3 7 2 2 4" xfId="0"/>
    <cellStyle name="Normal 61 3 7 2 2 4 2" xfId="0"/>
    <cellStyle name="Normal 61 3 7 2 2 5" xfId="0"/>
    <cellStyle name="Normal 61 3 7 2 3" xfId="0"/>
    <cellStyle name="Normal 61 3 7 2 3 2" xfId="0"/>
    <cellStyle name="Normal 61 3 7 2 3 2 2" xfId="0"/>
    <cellStyle name="Normal 61 3 7 2 3 3" xfId="0"/>
    <cellStyle name="Normal 61 3 7 2 4" xfId="0"/>
    <cellStyle name="Normal 61 3 7 2 4 2" xfId="0"/>
    <cellStyle name="Normal 61 3 7 2 4 2 2" xfId="0"/>
    <cellStyle name="Normal 61 3 7 2 4 3" xfId="0"/>
    <cellStyle name="Normal 61 3 7 2 5" xfId="0"/>
    <cellStyle name="Normal 61 3 7 2 5 2" xfId="0"/>
    <cellStyle name="Normal 61 3 7 2 6" xfId="0"/>
    <cellStyle name="Normal 61 3 7 3" xfId="0"/>
    <cellStyle name="Normal 61 3 7 3 2" xfId="0"/>
    <cellStyle name="Normal 61 3 7 3 2 2" xfId="0"/>
    <cellStyle name="Normal 61 3 7 3 2 2 2" xfId="0"/>
    <cellStyle name="Normal 61 3 7 3 2 3" xfId="0"/>
    <cellStyle name="Normal 61 3 7 3 3" xfId="0"/>
    <cellStyle name="Normal 61 3 7 3 3 2" xfId="0"/>
    <cellStyle name="Normal 61 3 7 3 3 2 2" xfId="0"/>
    <cellStyle name="Normal 61 3 7 3 3 3" xfId="0"/>
    <cellStyle name="Normal 61 3 7 3 4" xfId="0"/>
    <cellStyle name="Normal 61 3 7 3 4 2" xfId="0"/>
    <cellStyle name="Normal 61 3 7 3 5" xfId="0"/>
    <cellStyle name="Normal 61 3 7 4" xfId="0"/>
    <cellStyle name="Normal 61 3 7 4 2" xfId="0"/>
    <cellStyle name="Normal 61 3 7 4 2 2" xfId="0"/>
    <cellStyle name="Normal 61 3 7 4 3" xfId="0"/>
    <cellStyle name="Normal 61 3 7 5" xfId="0"/>
    <cellStyle name="Normal 61 3 7 5 2" xfId="0"/>
    <cellStyle name="Normal 61 3 7 5 2 2" xfId="0"/>
    <cellStyle name="Normal 61 3 7 5 3" xfId="0"/>
    <cellStyle name="Normal 61 3 7 6" xfId="0"/>
    <cellStyle name="Normal 61 3 7 6 2" xfId="0"/>
    <cellStyle name="Normal 61 3 7 7" xfId="0"/>
    <cellStyle name="Normal 61 3 8" xfId="0"/>
    <cellStyle name="Normal 61 3 8 2" xfId="0"/>
    <cellStyle name="Normal 61 3 8 2 2" xfId="0"/>
    <cellStyle name="Normal 61 3 8 2 2 2" xfId="0"/>
    <cellStyle name="Normal 61 3 8 2 2 2 2" xfId="0"/>
    <cellStyle name="Normal 61 3 8 2 2 3" xfId="0"/>
    <cellStyle name="Normal 61 3 8 2 3" xfId="0"/>
    <cellStyle name="Normal 61 3 8 2 3 2" xfId="0"/>
    <cellStyle name="Normal 61 3 8 2 3 2 2" xfId="0"/>
    <cellStyle name="Normal 61 3 8 2 3 3" xfId="0"/>
    <cellStyle name="Normal 61 3 8 2 4" xfId="0"/>
    <cellStyle name="Normal 61 3 8 2 4 2" xfId="0"/>
    <cellStyle name="Normal 61 3 8 2 5" xfId="0"/>
    <cellStyle name="Normal 61 3 8 3" xfId="0"/>
    <cellStyle name="Normal 61 3 8 3 2" xfId="0"/>
    <cellStyle name="Normal 61 3 8 3 2 2" xfId="0"/>
    <cellStyle name="Normal 61 3 8 3 3" xfId="0"/>
    <cellStyle name="Normal 61 3 8 4" xfId="0"/>
    <cellStyle name="Normal 61 3 8 4 2" xfId="0"/>
    <cellStyle name="Normal 61 3 8 4 2 2" xfId="0"/>
    <cellStyle name="Normal 61 3 8 4 3" xfId="0"/>
    <cellStyle name="Normal 61 3 8 5" xfId="0"/>
    <cellStyle name="Normal 61 3 8 5 2" xfId="0"/>
    <cellStyle name="Normal 61 3 8 6" xfId="0"/>
    <cellStyle name="Normal 61 3 9" xfId="0"/>
    <cellStyle name="Normal 61 3 9 2" xfId="0"/>
    <cellStyle name="Normal 61 3 9 2 2" xfId="0"/>
    <cellStyle name="Normal 61 3 9 2 2 2" xfId="0"/>
    <cellStyle name="Normal 61 3 9 2 3" xfId="0"/>
    <cellStyle name="Normal 61 3 9 3" xfId="0"/>
    <cellStyle name="Normal 61 3 9 3 2" xfId="0"/>
    <cellStyle name="Normal 61 3 9 3 2 2" xfId="0"/>
    <cellStyle name="Normal 61 3 9 3 3" xfId="0"/>
    <cellStyle name="Normal 61 3 9 4" xfId="0"/>
    <cellStyle name="Normal 61 3 9 4 2" xfId="0"/>
    <cellStyle name="Normal 61 3 9 5" xfId="0"/>
    <cellStyle name="Normal 61 4" xfId="0"/>
    <cellStyle name="Normal 61 4 10" xfId="0"/>
    <cellStyle name="Normal 61 4 10 2" xfId="0"/>
    <cellStyle name="Normal 61 4 10 2 2" xfId="0"/>
    <cellStyle name="Normal 61 4 10 3" xfId="0"/>
    <cellStyle name="Normal 61 4 11" xfId="0"/>
    <cellStyle name="Normal 61 4 11 2" xfId="0"/>
    <cellStyle name="Normal 61 4 11 2 2" xfId="0"/>
    <cellStyle name="Normal 61 4 11 3" xfId="0"/>
    <cellStyle name="Normal 61 4 12" xfId="0"/>
    <cellStyle name="Normal 61 4 12 2" xfId="0"/>
    <cellStyle name="Normal 61 4 13" xfId="0"/>
    <cellStyle name="Normal 61 4 2" xfId="0"/>
    <cellStyle name="Normal 61 4 2 10" xfId="0"/>
    <cellStyle name="Normal 61 4 2 10 2" xfId="0"/>
    <cellStyle name="Normal 61 4 2 10 2 2" xfId="0"/>
    <cellStyle name="Normal 61 4 2 10 3" xfId="0"/>
    <cellStyle name="Normal 61 4 2 11" xfId="0"/>
    <cellStyle name="Normal 61 4 2 11 2" xfId="0"/>
    <cellStyle name="Normal 61 4 2 12" xfId="0"/>
    <cellStyle name="Normal 61 4 2 2" xfId="0"/>
    <cellStyle name="Normal 61 4 2 2 10" xfId="0"/>
    <cellStyle name="Normal 61 4 2 2 2" xfId="0"/>
    <cellStyle name="Normal 61 4 2 2 2 2" xfId="0"/>
    <cellStyle name="Normal 61 4 2 2 2 2 2" xfId="0"/>
    <cellStyle name="Normal 61 4 2 2 2 2 2 2" xfId="0"/>
    <cellStyle name="Normal 61 4 2 2 2 2 2 2 2" xfId="0"/>
    <cellStyle name="Normal 61 4 2 2 2 2 2 2 2 2" xfId="0"/>
    <cellStyle name="Normal 61 4 2 2 2 2 2 2 2 2 2" xfId="0"/>
    <cellStyle name="Normal 61 4 2 2 2 2 2 2 2 2 2 2" xfId="0"/>
    <cellStyle name="Normal 61 4 2 2 2 2 2 2 2 2 3" xfId="0"/>
    <cellStyle name="Normal 61 4 2 2 2 2 2 2 2 3" xfId="0"/>
    <cellStyle name="Normal 61 4 2 2 2 2 2 2 2 3 2" xfId="0"/>
    <cellStyle name="Normal 61 4 2 2 2 2 2 2 2 3 2 2" xfId="0"/>
    <cellStyle name="Normal 61 4 2 2 2 2 2 2 2 3 3" xfId="0"/>
    <cellStyle name="Normal 61 4 2 2 2 2 2 2 2 4" xfId="0"/>
    <cellStyle name="Normal 61 4 2 2 2 2 2 2 2 4 2" xfId="0"/>
    <cellStyle name="Normal 61 4 2 2 2 2 2 2 2 5" xfId="0"/>
    <cellStyle name="Normal 61 4 2 2 2 2 2 2 3" xfId="0"/>
    <cellStyle name="Normal 61 4 2 2 2 2 2 2 3 2" xfId="0"/>
    <cellStyle name="Normal 61 4 2 2 2 2 2 2 3 2 2" xfId="0"/>
    <cellStyle name="Normal 61 4 2 2 2 2 2 2 3 3" xfId="0"/>
    <cellStyle name="Normal 61 4 2 2 2 2 2 2 4" xfId="0"/>
    <cellStyle name="Normal 61 4 2 2 2 2 2 2 4 2" xfId="0"/>
    <cellStyle name="Normal 61 4 2 2 2 2 2 2 4 2 2" xfId="0"/>
    <cellStyle name="Normal 61 4 2 2 2 2 2 2 4 3" xfId="0"/>
    <cellStyle name="Normal 61 4 2 2 2 2 2 2 5" xfId="0"/>
    <cellStyle name="Normal 61 4 2 2 2 2 2 2 5 2" xfId="0"/>
    <cellStyle name="Normal 61 4 2 2 2 2 2 2 6" xfId="0"/>
    <cellStyle name="Normal 61 4 2 2 2 2 2 3" xfId="0"/>
    <cellStyle name="Normal 61 4 2 2 2 2 2 3 2" xfId="0"/>
    <cellStyle name="Normal 61 4 2 2 2 2 2 3 2 2" xfId="0"/>
    <cellStyle name="Normal 61 4 2 2 2 2 2 3 2 2 2" xfId="0"/>
    <cellStyle name="Normal 61 4 2 2 2 2 2 3 2 3" xfId="0"/>
    <cellStyle name="Normal 61 4 2 2 2 2 2 3 3" xfId="0"/>
    <cellStyle name="Normal 61 4 2 2 2 2 2 3 3 2" xfId="0"/>
    <cellStyle name="Normal 61 4 2 2 2 2 2 3 3 2 2" xfId="0"/>
    <cellStyle name="Normal 61 4 2 2 2 2 2 3 3 3" xfId="0"/>
    <cellStyle name="Normal 61 4 2 2 2 2 2 3 4" xfId="0"/>
    <cellStyle name="Normal 61 4 2 2 2 2 2 3 4 2" xfId="0"/>
    <cellStyle name="Normal 61 4 2 2 2 2 2 3 5" xfId="0"/>
    <cellStyle name="Normal 61 4 2 2 2 2 2 4" xfId="0"/>
    <cellStyle name="Normal 61 4 2 2 2 2 2 4 2" xfId="0"/>
    <cellStyle name="Normal 61 4 2 2 2 2 2 4 2 2" xfId="0"/>
    <cellStyle name="Normal 61 4 2 2 2 2 2 4 3" xfId="0"/>
    <cellStyle name="Normal 61 4 2 2 2 2 2 5" xfId="0"/>
    <cellStyle name="Normal 61 4 2 2 2 2 2 5 2" xfId="0"/>
    <cellStyle name="Normal 61 4 2 2 2 2 2 5 2 2" xfId="0"/>
    <cellStyle name="Normal 61 4 2 2 2 2 2 5 3" xfId="0"/>
    <cellStyle name="Normal 61 4 2 2 2 2 2 6" xfId="0"/>
    <cellStyle name="Normal 61 4 2 2 2 2 2 6 2" xfId="0"/>
    <cellStyle name="Normal 61 4 2 2 2 2 2 7" xfId="0"/>
    <cellStyle name="Normal 61 4 2 2 2 2 3" xfId="0"/>
    <cellStyle name="Normal 61 4 2 2 2 2 3 2" xfId="0"/>
    <cellStyle name="Normal 61 4 2 2 2 2 3 2 2" xfId="0"/>
    <cellStyle name="Normal 61 4 2 2 2 2 3 2 2 2" xfId="0"/>
    <cellStyle name="Normal 61 4 2 2 2 2 3 2 2 2 2" xfId="0"/>
    <cellStyle name="Normal 61 4 2 2 2 2 3 2 2 3" xfId="0"/>
    <cellStyle name="Normal 61 4 2 2 2 2 3 2 3" xfId="0"/>
    <cellStyle name="Normal 61 4 2 2 2 2 3 2 3 2" xfId="0"/>
    <cellStyle name="Normal 61 4 2 2 2 2 3 2 3 2 2" xfId="0"/>
    <cellStyle name="Normal 61 4 2 2 2 2 3 2 3 3" xfId="0"/>
    <cellStyle name="Normal 61 4 2 2 2 2 3 2 4" xfId="0"/>
    <cellStyle name="Normal 61 4 2 2 2 2 3 2 4 2" xfId="0"/>
    <cellStyle name="Normal 61 4 2 2 2 2 3 2 5" xfId="0"/>
    <cellStyle name="Normal 61 4 2 2 2 2 3 3" xfId="0"/>
    <cellStyle name="Normal 61 4 2 2 2 2 3 3 2" xfId="0"/>
    <cellStyle name="Normal 61 4 2 2 2 2 3 3 2 2" xfId="0"/>
    <cellStyle name="Normal 61 4 2 2 2 2 3 3 3" xfId="0"/>
    <cellStyle name="Normal 61 4 2 2 2 2 3 4" xfId="0"/>
    <cellStyle name="Normal 61 4 2 2 2 2 3 4 2" xfId="0"/>
    <cellStyle name="Normal 61 4 2 2 2 2 3 4 2 2" xfId="0"/>
    <cellStyle name="Normal 61 4 2 2 2 2 3 4 3" xfId="0"/>
    <cellStyle name="Normal 61 4 2 2 2 2 3 5" xfId="0"/>
    <cellStyle name="Normal 61 4 2 2 2 2 3 5 2" xfId="0"/>
    <cellStyle name="Normal 61 4 2 2 2 2 3 6" xfId="0"/>
    <cellStyle name="Normal 61 4 2 2 2 2 4" xfId="0"/>
    <cellStyle name="Normal 61 4 2 2 2 2 4 2" xfId="0"/>
    <cellStyle name="Normal 61 4 2 2 2 2 4 2 2" xfId="0"/>
    <cellStyle name="Normal 61 4 2 2 2 2 4 2 2 2" xfId="0"/>
    <cellStyle name="Normal 61 4 2 2 2 2 4 2 3" xfId="0"/>
    <cellStyle name="Normal 61 4 2 2 2 2 4 3" xfId="0"/>
    <cellStyle name="Normal 61 4 2 2 2 2 4 3 2" xfId="0"/>
    <cellStyle name="Normal 61 4 2 2 2 2 4 3 2 2" xfId="0"/>
    <cellStyle name="Normal 61 4 2 2 2 2 4 3 3" xfId="0"/>
    <cellStyle name="Normal 61 4 2 2 2 2 4 4" xfId="0"/>
    <cellStyle name="Normal 61 4 2 2 2 2 4 4 2" xfId="0"/>
    <cellStyle name="Normal 61 4 2 2 2 2 4 5" xfId="0"/>
    <cellStyle name="Normal 61 4 2 2 2 2 5" xfId="0"/>
    <cellStyle name="Normal 61 4 2 2 2 2 5 2" xfId="0"/>
    <cellStyle name="Normal 61 4 2 2 2 2 5 2 2" xfId="0"/>
    <cellStyle name="Normal 61 4 2 2 2 2 5 3" xfId="0"/>
    <cellStyle name="Normal 61 4 2 2 2 2 6" xfId="0"/>
    <cellStyle name="Normal 61 4 2 2 2 2 6 2" xfId="0"/>
    <cellStyle name="Normal 61 4 2 2 2 2 6 2 2" xfId="0"/>
    <cellStyle name="Normal 61 4 2 2 2 2 6 3" xfId="0"/>
    <cellStyle name="Normal 61 4 2 2 2 2 7" xfId="0"/>
    <cellStyle name="Normal 61 4 2 2 2 2 7 2" xfId="0"/>
    <cellStyle name="Normal 61 4 2 2 2 2 8" xfId="0"/>
    <cellStyle name="Normal 61 4 2 2 2 3" xfId="0"/>
    <cellStyle name="Normal 61 4 2 2 2 3 2" xfId="0"/>
    <cellStyle name="Normal 61 4 2 2 2 3 2 2" xfId="0"/>
    <cellStyle name="Normal 61 4 2 2 2 3 2 2 2" xfId="0"/>
    <cellStyle name="Normal 61 4 2 2 2 3 2 2 2 2" xfId="0"/>
    <cellStyle name="Normal 61 4 2 2 2 3 2 2 2 2 2" xfId="0"/>
    <cellStyle name="Normal 61 4 2 2 2 3 2 2 2 3" xfId="0"/>
    <cellStyle name="Normal 61 4 2 2 2 3 2 2 3" xfId="0"/>
    <cellStyle name="Normal 61 4 2 2 2 3 2 2 3 2" xfId="0"/>
    <cellStyle name="Normal 61 4 2 2 2 3 2 2 3 2 2" xfId="0"/>
    <cellStyle name="Normal 61 4 2 2 2 3 2 2 3 3" xfId="0"/>
    <cellStyle name="Normal 61 4 2 2 2 3 2 2 4" xfId="0"/>
    <cellStyle name="Normal 61 4 2 2 2 3 2 2 4 2" xfId="0"/>
    <cellStyle name="Normal 61 4 2 2 2 3 2 2 5" xfId="0"/>
    <cellStyle name="Normal 61 4 2 2 2 3 2 3" xfId="0"/>
    <cellStyle name="Normal 61 4 2 2 2 3 2 3 2" xfId="0"/>
    <cellStyle name="Normal 61 4 2 2 2 3 2 3 2 2" xfId="0"/>
    <cellStyle name="Normal 61 4 2 2 2 3 2 3 3" xfId="0"/>
    <cellStyle name="Normal 61 4 2 2 2 3 2 4" xfId="0"/>
    <cellStyle name="Normal 61 4 2 2 2 3 2 4 2" xfId="0"/>
    <cellStyle name="Normal 61 4 2 2 2 3 2 4 2 2" xfId="0"/>
    <cellStyle name="Normal 61 4 2 2 2 3 2 4 3" xfId="0"/>
    <cellStyle name="Normal 61 4 2 2 2 3 2 5" xfId="0"/>
    <cellStyle name="Normal 61 4 2 2 2 3 2 5 2" xfId="0"/>
    <cellStyle name="Normal 61 4 2 2 2 3 2 6" xfId="0"/>
    <cellStyle name="Normal 61 4 2 2 2 3 3" xfId="0"/>
    <cellStyle name="Normal 61 4 2 2 2 3 3 2" xfId="0"/>
    <cellStyle name="Normal 61 4 2 2 2 3 3 2 2" xfId="0"/>
    <cellStyle name="Normal 61 4 2 2 2 3 3 2 2 2" xfId="0"/>
    <cellStyle name="Normal 61 4 2 2 2 3 3 2 3" xfId="0"/>
    <cellStyle name="Normal 61 4 2 2 2 3 3 3" xfId="0"/>
    <cellStyle name="Normal 61 4 2 2 2 3 3 3 2" xfId="0"/>
    <cellStyle name="Normal 61 4 2 2 2 3 3 3 2 2" xfId="0"/>
    <cellStyle name="Normal 61 4 2 2 2 3 3 3 3" xfId="0"/>
    <cellStyle name="Normal 61 4 2 2 2 3 3 4" xfId="0"/>
    <cellStyle name="Normal 61 4 2 2 2 3 3 4 2" xfId="0"/>
    <cellStyle name="Normal 61 4 2 2 2 3 3 5" xfId="0"/>
    <cellStyle name="Normal 61 4 2 2 2 3 4" xfId="0"/>
    <cellStyle name="Normal 61 4 2 2 2 3 4 2" xfId="0"/>
    <cellStyle name="Normal 61 4 2 2 2 3 4 2 2" xfId="0"/>
    <cellStyle name="Normal 61 4 2 2 2 3 4 3" xfId="0"/>
    <cellStyle name="Normal 61 4 2 2 2 3 5" xfId="0"/>
    <cellStyle name="Normal 61 4 2 2 2 3 5 2" xfId="0"/>
    <cellStyle name="Normal 61 4 2 2 2 3 5 2 2" xfId="0"/>
    <cellStyle name="Normal 61 4 2 2 2 3 5 3" xfId="0"/>
    <cellStyle name="Normal 61 4 2 2 2 3 6" xfId="0"/>
    <cellStyle name="Normal 61 4 2 2 2 3 6 2" xfId="0"/>
    <cellStyle name="Normal 61 4 2 2 2 3 7" xfId="0"/>
    <cellStyle name="Normal 61 4 2 2 2 4" xfId="0"/>
    <cellStyle name="Normal 61 4 2 2 2 4 2" xfId="0"/>
    <cellStyle name="Normal 61 4 2 2 2 4 2 2" xfId="0"/>
    <cellStyle name="Normal 61 4 2 2 2 4 2 2 2" xfId="0"/>
    <cellStyle name="Normal 61 4 2 2 2 4 2 2 2 2" xfId="0"/>
    <cellStyle name="Normal 61 4 2 2 2 4 2 2 3" xfId="0"/>
    <cellStyle name="Normal 61 4 2 2 2 4 2 3" xfId="0"/>
    <cellStyle name="Normal 61 4 2 2 2 4 2 3 2" xfId="0"/>
    <cellStyle name="Normal 61 4 2 2 2 4 2 3 2 2" xfId="0"/>
    <cellStyle name="Normal 61 4 2 2 2 4 2 3 3" xfId="0"/>
    <cellStyle name="Normal 61 4 2 2 2 4 2 4" xfId="0"/>
    <cellStyle name="Normal 61 4 2 2 2 4 2 4 2" xfId="0"/>
    <cellStyle name="Normal 61 4 2 2 2 4 2 5" xfId="0"/>
    <cellStyle name="Normal 61 4 2 2 2 4 3" xfId="0"/>
    <cellStyle name="Normal 61 4 2 2 2 4 3 2" xfId="0"/>
    <cellStyle name="Normal 61 4 2 2 2 4 3 2 2" xfId="0"/>
    <cellStyle name="Normal 61 4 2 2 2 4 3 3" xfId="0"/>
    <cellStyle name="Normal 61 4 2 2 2 4 4" xfId="0"/>
    <cellStyle name="Normal 61 4 2 2 2 4 4 2" xfId="0"/>
    <cellStyle name="Normal 61 4 2 2 2 4 4 2 2" xfId="0"/>
    <cellStyle name="Normal 61 4 2 2 2 4 4 3" xfId="0"/>
    <cellStyle name="Normal 61 4 2 2 2 4 5" xfId="0"/>
    <cellStyle name="Normal 61 4 2 2 2 4 5 2" xfId="0"/>
    <cellStyle name="Normal 61 4 2 2 2 4 6" xfId="0"/>
    <cellStyle name="Normal 61 4 2 2 2 5" xfId="0"/>
    <cellStyle name="Normal 61 4 2 2 2 5 2" xfId="0"/>
    <cellStyle name="Normal 61 4 2 2 2 5 2 2" xfId="0"/>
    <cellStyle name="Normal 61 4 2 2 2 5 2 2 2" xfId="0"/>
    <cellStyle name="Normal 61 4 2 2 2 5 2 3" xfId="0"/>
    <cellStyle name="Normal 61 4 2 2 2 5 3" xfId="0"/>
    <cellStyle name="Normal 61 4 2 2 2 5 3 2" xfId="0"/>
    <cellStyle name="Normal 61 4 2 2 2 5 3 2 2" xfId="0"/>
    <cellStyle name="Normal 61 4 2 2 2 5 3 3" xfId="0"/>
    <cellStyle name="Normal 61 4 2 2 2 5 4" xfId="0"/>
    <cellStyle name="Normal 61 4 2 2 2 5 4 2" xfId="0"/>
    <cellStyle name="Normal 61 4 2 2 2 5 5" xfId="0"/>
    <cellStyle name="Normal 61 4 2 2 2 6" xfId="0"/>
    <cellStyle name="Normal 61 4 2 2 2 6 2" xfId="0"/>
    <cellStyle name="Normal 61 4 2 2 2 6 2 2" xfId="0"/>
    <cellStyle name="Normal 61 4 2 2 2 6 3" xfId="0"/>
    <cellStyle name="Normal 61 4 2 2 2 7" xfId="0"/>
    <cellStyle name="Normal 61 4 2 2 2 7 2" xfId="0"/>
    <cellStyle name="Normal 61 4 2 2 2 7 2 2" xfId="0"/>
    <cellStyle name="Normal 61 4 2 2 2 7 3" xfId="0"/>
    <cellStyle name="Normal 61 4 2 2 2 8" xfId="0"/>
    <cellStyle name="Normal 61 4 2 2 2 8 2" xfId="0"/>
    <cellStyle name="Normal 61 4 2 2 2 9" xfId="0"/>
    <cellStyle name="Normal 61 4 2 2 3" xfId="0"/>
    <cellStyle name="Normal 61 4 2 2 3 2" xfId="0"/>
    <cellStyle name="Normal 61 4 2 2 3 2 2" xfId="0"/>
    <cellStyle name="Normal 61 4 2 2 3 2 2 2" xfId="0"/>
    <cellStyle name="Normal 61 4 2 2 3 2 2 2 2" xfId="0"/>
    <cellStyle name="Normal 61 4 2 2 3 2 2 2 2 2" xfId="0"/>
    <cellStyle name="Normal 61 4 2 2 3 2 2 2 2 2 2" xfId="0"/>
    <cellStyle name="Normal 61 4 2 2 3 2 2 2 2 3" xfId="0"/>
    <cellStyle name="Normal 61 4 2 2 3 2 2 2 3" xfId="0"/>
    <cellStyle name="Normal 61 4 2 2 3 2 2 2 3 2" xfId="0"/>
    <cellStyle name="Normal 61 4 2 2 3 2 2 2 3 2 2" xfId="0"/>
    <cellStyle name="Normal 61 4 2 2 3 2 2 2 3 3" xfId="0"/>
    <cellStyle name="Normal 61 4 2 2 3 2 2 2 4" xfId="0"/>
    <cellStyle name="Normal 61 4 2 2 3 2 2 2 4 2" xfId="0"/>
    <cellStyle name="Normal 61 4 2 2 3 2 2 2 5" xfId="0"/>
    <cellStyle name="Normal 61 4 2 2 3 2 2 3" xfId="0"/>
    <cellStyle name="Normal 61 4 2 2 3 2 2 3 2" xfId="0"/>
    <cellStyle name="Normal 61 4 2 2 3 2 2 3 2 2" xfId="0"/>
    <cellStyle name="Normal 61 4 2 2 3 2 2 3 3" xfId="0"/>
    <cellStyle name="Normal 61 4 2 2 3 2 2 4" xfId="0"/>
    <cellStyle name="Normal 61 4 2 2 3 2 2 4 2" xfId="0"/>
    <cellStyle name="Normal 61 4 2 2 3 2 2 4 2 2" xfId="0"/>
    <cellStyle name="Normal 61 4 2 2 3 2 2 4 3" xfId="0"/>
    <cellStyle name="Normal 61 4 2 2 3 2 2 5" xfId="0"/>
    <cellStyle name="Normal 61 4 2 2 3 2 2 5 2" xfId="0"/>
    <cellStyle name="Normal 61 4 2 2 3 2 2 6" xfId="0"/>
    <cellStyle name="Normal 61 4 2 2 3 2 3" xfId="0"/>
    <cellStyle name="Normal 61 4 2 2 3 2 3 2" xfId="0"/>
    <cellStyle name="Normal 61 4 2 2 3 2 3 2 2" xfId="0"/>
    <cellStyle name="Normal 61 4 2 2 3 2 3 2 2 2" xfId="0"/>
    <cellStyle name="Normal 61 4 2 2 3 2 3 2 3" xfId="0"/>
    <cellStyle name="Normal 61 4 2 2 3 2 3 3" xfId="0"/>
    <cellStyle name="Normal 61 4 2 2 3 2 3 3 2" xfId="0"/>
    <cellStyle name="Normal 61 4 2 2 3 2 3 3 2 2" xfId="0"/>
    <cellStyle name="Normal 61 4 2 2 3 2 3 3 3" xfId="0"/>
    <cellStyle name="Normal 61 4 2 2 3 2 3 4" xfId="0"/>
    <cellStyle name="Normal 61 4 2 2 3 2 3 4 2" xfId="0"/>
    <cellStyle name="Normal 61 4 2 2 3 2 3 5" xfId="0"/>
    <cellStyle name="Normal 61 4 2 2 3 2 4" xfId="0"/>
    <cellStyle name="Normal 61 4 2 2 3 2 4 2" xfId="0"/>
    <cellStyle name="Normal 61 4 2 2 3 2 4 2 2" xfId="0"/>
    <cellStyle name="Normal 61 4 2 2 3 2 4 3" xfId="0"/>
    <cellStyle name="Normal 61 4 2 2 3 2 5" xfId="0"/>
    <cellStyle name="Normal 61 4 2 2 3 2 5 2" xfId="0"/>
    <cellStyle name="Normal 61 4 2 2 3 2 5 2 2" xfId="0"/>
    <cellStyle name="Normal 61 4 2 2 3 2 5 3" xfId="0"/>
    <cellStyle name="Normal 61 4 2 2 3 2 6" xfId="0"/>
    <cellStyle name="Normal 61 4 2 2 3 2 6 2" xfId="0"/>
    <cellStyle name="Normal 61 4 2 2 3 2 7" xfId="0"/>
    <cellStyle name="Normal 61 4 2 2 3 3" xfId="0"/>
    <cellStyle name="Normal 61 4 2 2 3 3 2" xfId="0"/>
    <cellStyle name="Normal 61 4 2 2 3 3 2 2" xfId="0"/>
    <cellStyle name="Normal 61 4 2 2 3 3 2 2 2" xfId="0"/>
    <cellStyle name="Normal 61 4 2 2 3 3 2 2 2 2" xfId="0"/>
    <cellStyle name="Normal 61 4 2 2 3 3 2 2 3" xfId="0"/>
    <cellStyle name="Normal 61 4 2 2 3 3 2 3" xfId="0"/>
    <cellStyle name="Normal 61 4 2 2 3 3 2 3 2" xfId="0"/>
    <cellStyle name="Normal 61 4 2 2 3 3 2 3 2 2" xfId="0"/>
    <cellStyle name="Normal 61 4 2 2 3 3 2 3 3" xfId="0"/>
    <cellStyle name="Normal 61 4 2 2 3 3 2 4" xfId="0"/>
    <cellStyle name="Normal 61 4 2 2 3 3 2 4 2" xfId="0"/>
    <cellStyle name="Normal 61 4 2 2 3 3 2 5" xfId="0"/>
    <cellStyle name="Normal 61 4 2 2 3 3 3" xfId="0"/>
    <cellStyle name="Normal 61 4 2 2 3 3 3 2" xfId="0"/>
    <cellStyle name="Normal 61 4 2 2 3 3 3 2 2" xfId="0"/>
    <cellStyle name="Normal 61 4 2 2 3 3 3 3" xfId="0"/>
    <cellStyle name="Normal 61 4 2 2 3 3 4" xfId="0"/>
    <cellStyle name="Normal 61 4 2 2 3 3 4 2" xfId="0"/>
    <cellStyle name="Normal 61 4 2 2 3 3 4 2 2" xfId="0"/>
    <cellStyle name="Normal 61 4 2 2 3 3 4 3" xfId="0"/>
    <cellStyle name="Normal 61 4 2 2 3 3 5" xfId="0"/>
    <cellStyle name="Normal 61 4 2 2 3 3 5 2" xfId="0"/>
    <cellStyle name="Normal 61 4 2 2 3 3 6" xfId="0"/>
    <cellStyle name="Normal 61 4 2 2 3 4" xfId="0"/>
    <cellStyle name="Normal 61 4 2 2 3 4 2" xfId="0"/>
    <cellStyle name="Normal 61 4 2 2 3 4 2 2" xfId="0"/>
    <cellStyle name="Normal 61 4 2 2 3 4 2 2 2" xfId="0"/>
    <cellStyle name="Normal 61 4 2 2 3 4 2 3" xfId="0"/>
    <cellStyle name="Normal 61 4 2 2 3 4 3" xfId="0"/>
    <cellStyle name="Normal 61 4 2 2 3 4 3 2" xfId="0"/>
    <cellStyle name="Normal 61 4 2 2 3 4 3 2 2" xfId="0"/>
    <cellStyle name="Normal 61 4 2 2 3 4 3 3" xfId="0"/>
    <cellStyle name="Normal 61 4 2 2 3 4 4" xfId="0"/>
    <cellStyle name="Normal 61 4 2 2 3 4 4 2" xfId="0"/>
    <cellStyle name="Normal 61 4 2 2 3 4 5" xfId="0"/>
    <cellStyle name="Normal 61 4 2 2 3 5" xfId="0"/>
    <cellStyle name="Normal 61 4 2 2 3 5 2" xfId="0"/>
    <cellStyle name="Normal 61 4 2 2 3 5 2 2" xfId="0"/>
    <cellStyle name="Normal 61 4 2 2 3 5 3" xfId="0"/>
    <cellStyle name="Normal 61 4 2 2 3 6" xfId="0"/>
    <cellStyle name="Normal 61 4 2 2 3 6 2" xfId="0"/>
    <cellStyle name="Normal 61 4 2 2 3 6 2 2" xfId="0"/>
    <cellStyle name="Normal 61 4 2 2 3 6 3" xfId="0"/>
    <cellStyle name="Normal 61 4 2 2 3 7" xfId="0"/>
    <cellStyle name="Normal 61 4 2 2 3 7 2" xfId="0"/>
    <cellStyle name="Normal 61 4 2 2 3 8" xfId="0"/>
    <cellStyle name="Normal 61 4 2 2 4" xfId="0"/>
    <cellStyle name="Normal 61 4 2 2 4 2" xfId="0"/>
    <cellStyle name="Normal 61 4 2 2 4 2 2" xfId="0"/>
    <cellStyle name="Normal 61 4 2 2 4 2 2 2" xfId="0"/>
    <cellStyle name="Normal 61 4 2 2 4 2 2 2 2" xfId="0"/>
    <cellStyle name="Normal 61 4 2 2 4 2 2 2 2 2" xfId="0"/>
    <cellStyle name="Normal 61 4 2 2 4 2 2 2 3" xfId="0"/>
    <cellStyle name="Normal 61 4 2 2 4 2 2 3" xfId="0"/>
    <cellStyle name="Normal 61 4 2 2 4 2 2 3 2" xfId="0"/>
    <cellStyle name="Normal 61 4 2 2 4 2 2 3 2 2" xfId="0"/>
    <cellStyle name="Normal 61 4 2 2 4 2 2 3 3" xfId="0"/>
    <cellStyle name="Normal 61 4 2 2 4 2 2 4" xfId="0"/>
    <cellStyle name="Normal 61 4 2 2 4 2 2 4 2" xfId="0"/>
    <cellStyle name="Normal 61 4 2 2 4 2 2 5" xfId="0"/>
    <cellStyle name="Normal 61 4 2 2 4 2 3" xfId="0"/>
    <cellStyle name="Normal 61 4 2 2 4 2 3 2" xfId="0"/>
    <cellStyle name="Normal 61 4 2 2 4 2 3 2 2" xfId="0"/>
    <cellStyle name="Normal 61 4 2 2 4 2 3 3" xfId="0"/>
    <cellStyle name="Normal 61 4 2 2 4 2 4" xfId="0"/>
    <cellStyle name="Normal 61 4 2 2 4 2 4 2" xfId="0"/>
    <cellStyle name="Normal 61 4 2 2 4 2 4 2 2" xfId="0"/>
    <cellStyle name="Normal 61 4 2 2 4 2 4 3" xfId="0"/>
    <cellStyle name="Normal 61 4 2 2 4 2 5" xfId="0"/>
    <cellStyle name="Normal 61 4 2 2 4 2 5 2" xfId="0"/>
    <cellStyle name="Normal 61 4 2 2 4 2 6" xfId="0"/>
    <cellStyle name="Normal 61 4 2 2 4 3" xfId="0"/>
    <cellStyle name="Normal 61 4 2 2 4 3 2" xfId="0"/>
    <cellStyle name="Normal 61 4 2 2 4 3 2 2" xfId="0"/>
    <cellStyle name="Normal 61 4 2 2 4 3 2 2 2" xfId="0"/>
    <cellStyle name="Normal 61 4 2 2 4 3 2 3" xfId="0"/>
    <cellStyle name="Normal 61 4 2 2 4 3 3" xfId="0"/>
    <cellStyle name="Normal 61 4 2 2 4 3 3 2" xfId="0"/>
    <cellStyle name="Normal 61 4 2 2 4 3 3 2 2" xfId="0"/>
    <cellStyle name="Normal 61 4 2 2 4 3 3 3" xfId="0"/>
    <cellStyle name="Normal 61 4 2 2 4 3 4" xfId="0"/>
    <cellStyle name="Normal 61 4 2 2 4 3 4 2" xfId="0"/>
    <cellStyle name="Normal 61 4 2 2 4 3 5" xfId="0"/>
    <cellStyle name="Normal 61 4 2 2 4 4" xfId="0"/>
    <cellStyle name="Normal 61 4 2 2 4 4 2" xfId="0"/>
    <cellStyle name="Normal 61 4 2 2 4 4 2 2" xfId="0"/>
    <cellStyle name="Normal 61 4 2 2 4 4 3" xfId="0"/>
    <cellStyle name="Normal 61 4 2 2 4 5" xfId="0"/>
    <cellStyle name="Normal 61 4 2 2 4 5 2" xfId="0"/>
    <cellStyle name="Normal 61 4 2 2 4 5 2 2" xfId="0"/>
    <cellStyle name="Normal 61 4 2 2 4 5 3" xfId="0"/>
    <cellStyle name="Normal 61 4 2 2 4 6" xfId="0"/>
    <cellStyle name="Normal 61 4 2 2 4 6 2" xfId="0"/>
    <cellStyle name="Normal 61 4 2 2 4 7" xfId="0"/>
    <cellStyle name="Normal 61 4 2 2 5" xfId="0"/>
    <cellStyle name="Normal 61 4 2 2 5 2" xfId="0"/>
    <cellStyle name="Normal 61 4 2 2 5 2 2" xfId="0"/>
    <cellStyle name="Normal 61 4 2 2 5 2 2 2" xfId="0"/>
    <cellStyle name="Normal 61 4 2 2 5 2 2 2 2" xfId="0"/>
    <cellStyle name="Normal 61 4 2 2 5 2 2 3" xfId="0"/>
    <cellStyle name="Normal 61 4 2 2 5 2 3" xfId="0"/>
    <cellStyle name="Normal 61 4 2 2 5 2 3 2" xfId="0"/>
    <cellStyle name="Normal 61 4 2 2 5 2 3 2 2" xfId="0"/>
    <cellStyle name="Normal 61 4 2 2 5 2 3 3" xfId="0"/>
    <cellStyle name="Normal 61 4 2 2 5 2 4" xfId="0"/>
    <cellStyle name="Normal 61 4 2 2 5 2 4 2" xfId="0"/>
    <cellStyle name="Normal 61 4 2 2 5 2 5" xfId="0"/>
    <cellStyle name="Normal 61 4 2 2 5 3" xfId="0"/>
    <cellStyle name="Normal 61 4 2 2 5 3 2" xfId="0"/>
    <cellStyle name="Normal 61 4 2 2 5 3 2 2" xfId="0"/>
    <cellStyle name="Normal 61 4 2 2 5 3 3" xfId="0"/>
    <cellStyle name="Normal 61 4 2 2 5 4" xfId="0"/>
    <cellStyle name="Normal 61 4 2 2 5 4 2" xfId="0"/>
    <cellStyle name="Normal 61 4 2 2 5 4 2 2" xfId="0"/>
    <cellStyle name="Normal 61 4 2 2 5 4 3" xfId="0"/>
    <cellStyle name="Normal 61 4 2 2 5 5" xfId="0"/>
    <cellStyle name="Normal 61 4 2 2 5 5 2" xfId="0"/>
    <cellStyle name="Normal 61 4 2 2 5 6" xfId="0"/>
    <cellStyle name="Normal 61 4 2 2 6" xfId="0"/>
    <cellStyle name="Normal 61 4 2 2 6 2" xfId="0"/>
    <cellStyle name="Normal 61 4 2 2 6 2 2" xfId="0"/>
    <cellStyle name="Normal 61 4 2 2 6 2 2 2" xfId="0"/>
    <cellStyle name="Normal 61 4 2 2 6 2 3" xfId="0"/>
    <cellStyle name="Normal 61 4 2 2 6 3" xfId="0"/>
    <cellStyle name="Normal 61 4 2 2 6 3 2" xfId="0"/>
    <cellStyle name="Normal 61 4 2 2 6 3 2 2" xfId="0"/>
    <cellStyle name="Normal 61 4 2 2 6 3 3" xfId="0"/>
    <cellStyle name="Normal 61 4 2 2 6 4" xfId="0"/>
    <cellStyle name="Normal 61 4 2 2 6 4 2" xfId="0"/>
    <cellStyle name="Normal 61 4 2 2 6 5" xfId="0"/>
    <cellStyle name="Normal 61 4 2 2 7" xfId="0"/>
    <cellStyle name="Normal 61 4 2 2 7 2" xfId="0"/>
    <cellStyle name="Normal 61 4 2 2 7 2 2" xfId="0"/>
    <cellStyle name="Normal 61 4 2 2 7 3" xfId="0"/>
    <cellStyle name="Normal 61 4 2 2 8" xfId="0"/>
    <cellStyle name="Normal 61 4 2 2 8 2" xfId="0"/>
    <cellStyle name="Normal 61 4 2 2 8 2 2" xfId="0"/>
    <cellStyle name="Normal 61 4 2 2 8 3" xfId="0"/>
    <cellStyle name="Normal 61 4 2 2 9" xfId="0"/>
    <cellStyle name="Normal 61 4 2 2 9 2" xfId="0"/>
    <cellStyle name="Normal 61 4 2 3" xfId="0"/>
    <cellStyle name="Normal 61 4 2 3 10" xfId="0"/>
    <cellStyle name="Normal 61 4 2 3 2" xfId="0"/>
    <cellStyle name="Normal 61 4 2 3 2 2" xfId="0"/>
    <cellStyle name="Normal 61 4 2 3 2 2 2" xfId="0"/>
    <cellStyle name="Normal 61 4 2 3 2 2 2 2" xfId="0"/>
    <cellStyle name="Normal 61 4 2 3 2 2 2 2 2" xfId="0"/>
    <cellStyle name="Normal 61 4 2 3 2 2 2 2 2 2" xfId="0"/>
    <cellStyle name="Normal 61 4 2 3 2 2 2 2 2 2 2" xfId="0"/>
    <cellStyle name="Normal 61 4 2 3 2 2 2 2 2 2 2 2" xfId="0"/>
    <cellStyle name="Normal 61 4 2 3 2 2 2 2 2 2 3" xfId="0"/>
    <cellStyle name="Normal 61 4 2 3 2 2 2 2 2 3" xfId="0"/>
    <cellStyle name="Normal 61 4 2 3 2 2 2 2 2 3 2" xfId="0"/>
    <cellStyle name="Normal 61 4 2 3 2 2 2 2 2 3 2 2" xfId="0"/>
    <cellStyle name="Normal 61 4 2 3 2 2 2 2 2 3 3" xfId="0"/>
    <cellStyle name="Normal 61 4 2 3 2 2 2 2 2 4" xfId="0"/>
    <cellStyle name="Normal 61 4 2 3 2 2 2 2 2 4 2" xfId="0"/>
    <cellStyle name="Normal 61 4 2 3 2 2 2 2 2 5" xfId="0"/>
    <cellStyle name="Normal 61 4 2 3 2 2 2 2 3" xfId="0"/>
    <cellStyle name="Normal 61 4 2 3 2 2 2 2 3 2" xfId="0"/>
    <cellStyle name="Normal 61 4 2 3 2 2 2 2 3 2 2" xfId="0"/>
    <cellStyle name="Normal 61 4 2 3 2 2 2 2 3 3" xfId="0"/>
    <cellStyle name="Normal 61 4 2 3 2 2 2 2 4" xfId="0"/>
    <cellStyle name="Normal 61 4 2 3 2 2 2 2 4 2" xfId="0"/>
    <cellStyle name="Normal 61 4 2 3 2 2 2 2 4 2 2" xfId="0"/>
    <cellStyle name="Normal 61 4 2 3 2 2 2 2 4 3" xfId="0"/>
    <cellStyle name="Normal 61 4 2 3 2 2 2 2 5" xfId="0"/>
    <cellStyle name="Normal 61 4 2 3 2 2 2 2 5 2" xfId="0"/>
    <cellStyle name="Normal 61 4 2 3 2 2 2 2 6" xfId="0"/>
    <cellStyle name="Normal 61 4 2 3 2 2 2 3" xfId="0"/>
    <cellStyle name="Normal 61 4 2 3 2 2 2 3 2" xfId="0"/>
    <cellStyle name="Normal 61 4 2 3 2 2 2 3 2 2" xfId="0"/>
    <cellStyle name="Normal 61 4 2 3 2 2 2 3 2 2 2" xfId="0"/>
    <cellStyle name="Normal 61 4 2 3 2 2 2 3 2 3" xfId="0"/>
    <cellStyle name="Normal 61 4 2 3 2 2 2 3 3" xfId="0"/>
    <cellStyle name="Normal 61 4 2 3 2 2 2 3 3 2" xfId="0"/>
    <cellStyle name="Normal 61 4 2 3 2 2 2 3 3 2 2" xfId="0"/>
    <cellStyle name="Normal 61 4 2 3 2 2 2 3 3 3" xfId="0"/>
    <cellStyle name="Normal 61 4 2 3 2 2 2 3 4" xfId="0"/>
    <cellStyle name="Normal 61 4 2 3 2 2 2 3 4 2" xfId="0"/>
    <cellStyle name="Normal 61 4 2 3 2 2 2 3 5" xfId="0"/>
    <cellStyle name="Normal 61 4 2 3 2 2 2 4" xfId="0"/>
    <cellStyle name="Normal 61 4 2 3 2 2 2 4 2" xfId="0"/>
    <cellStyle name="Normal 61 4 2 3 2 2 2 4 2 2" xfId="0"/>
    <cellStyle name="Normal 61 4 2 3 2 2 2 4 3" xfId="0"/>
    <cellStyle name="Normal 61 4 2 3 2 2 2 5" xfId="0"/>
    <cellStyle name="Normal 61 4 2 3 2 2 2 5 2" xfId="0"/>
    <cellStyle name="Normal 61 4 2 3 2 2 2 5 2 2" xfId="0"/>
    <cellStyle name="Normal 61 4 2 3 2 2 2 5 3" xfId="0"/>
    <cellStyle name="Normal 61 4 2 3 2 2 2 6" xfId="0"/>
    <cellStyle name="Normal 61 4 2 3 2 2 2 6 2" xfId="0"/>
    <cellStyle name="Normal 61 4 2 3 2 2 2 7" xfId="0"/>
    <cellStyle name="Normal 61 4 2 3 2 2 3" xfId="0"/>
    <cellStyle name="Normal 61 4 2 3 2 2 3 2" xfId="0"/>
    <cellStyle name="Normal 61 4 2 3 2 2 3 2 2" xfId="0"/>
    <cellStyle name="Normal 61 4 2 3 2 2 3 2 2 2" xfId="0"/>
    <cellStyle name="Normal 61 4 2 3 2 2 3 2 2 2 2" xfId="0"/>
    <cellStyle name="Normal 61 4 2 3 2 2 3 2 2 3" xfId="0"/>
    <cellStyle name="Normal 61 4 2 3 2 2 3 2 3" xfId="0"/>
    <cellStyle name="Normal 61 4 2 3 2 2 3 2 3 2" xfId="0"/>
    <cellStyle name="Normal 61 4 2 3 2 2 3 2 3 2 2" xfId="0"/>
    <cellStyle name="Normal 61 4 2 3 2 2 3 2 3 3" xfId="0"/>
    <cellStyle name="Normal 61 4 2 3 2 2 3 2 4" xfId="0"/>
    <cellStyle name="Normal 61 4 2 3 2 2 3 2 4 2" xfId="0"/>
    <cellStyle name="Normal 61 4 2 3 2 2 3 2 5" xfId="0"/>
    <cellStyle name="Normal 61 4 2 3 2 2 3 3" xfId="0"/>
    <cellStyle name="Normal 61 4 2 3 2 2 3 3 2" xfId="0"/>
    <cellStyle name="Normal 61 4 2 3 2 2 3 3 2 2" xfId="0"/>
    <cellStyle name="Normal 61 4 2 3 2 2 3 3 3" xfId="0"/>
    <cellStyle name="Normal 61 4 2 3 2 2 3 4" xfId="0"/>
    <cellStyle name="Normal 61 4 2 3 2 2 3 4 2" xfId="0"/>
    <cellStyle name="Normal 61 4 2 3 2 2 3 4 2 2" xfId="0"/>
    <cellStyle name="Normal 61 4 2 3 2 2 3 4 3" xfId="0"/>
    <cellStyle name="Normal 61 4 2 3 2 2 3 5" xfId="0"/>
    <cellStyle name="Normal 61 4 2 3 2 2 3 5 2" xfId="0"/>
    <cellStyle name="Normal 61 4 2 3 2 2 3 6" xfId="0"/>
    <cellStyle name="Normal 61 4 2 3 2 2 4" xfId="0"/>
    <cellStyle name="Normal 61 4 2 3 2 2 4 2" xfId="0"/>
    <cellStyle name="Normal 61 4 2 3 2 2 4 2 2" xfId="0"/>
    <cellStyle name="Normal 61 4 2 3 2 2 4 2 2 2" xfId="0"/>
    <cellStyle name="Normal 61 4 2 3 2 2 4 2 3" xfId="0"/>
    <cellStyle name="Normal 61 4 2 3 2 2 4 3" xfId="0"/>
    <cellStyle name="Normal 61 4 2 3 2 2 4 3 2" xfId="0"/>
    <cellStyle name="Normal 61 4 2 3 2 2 4 3 2 2" xfId="0"/>
    <cellStyle name="Normal 61 4 2 3 2 2 4 3 3" xfId="0"/>
    <cellStyle name="Normal 61 4 2 3 2 2 4 4" xfId="0"/>
    <cellStyle name="Normal 61 4 2 3 2 2 4 4 2" xfId="0"/>
    <cellStyle name="Normal 61 4 2 3 2 2 4 5" xfId="0"/>
    <cellStyle name="Normal 61 4 2 3 2 2 5" xfId="0"/>
    <cellStyle name="Normal 61 4 2 3 2 2 5 2" xfId="0"/>
    <cellStyle name="Normal 61 4 2 3 2 2 5 2 2" xfId="0"/>
    <cellStyle name="Normal 61 4 2 3 2 2 5 3" xfId="0"/>
    <cellStyle name="Normal 61 4 2 3 2 2 6" xfId="0"/>
    <cellStyle name="Normal 61 4 2 3 2 2 6 2" xfId="0"/>
    <cellStyle name="Normal 61 4 2 3 2 2 6 2 2" xfId="0"/>
    <cellStyle name="Normal 61 4 2 3 2 2 6 3" xfId="0"/>
    <cellStyle name="Normal 61 4 2 3 2 2 7" xfId="0"/>
    <cellStyle name="Normal 61 4 2 3 2 2 7 2" xfId="0"/>
    <cellStyle name="Normal 61 4 2 3 2 2 8" xfId="0"/>
    <cellStyle name="Normal 61 4 2 3 2 3" xfId="0"/>
    <cellStyle name="Normal 61 4 2 3 2 3 2" xfId="0"/>
    <cellStyle name="Normal 61 4 2 3 2 3 2 2" xfId="0"/>
    <cellStyle name="Normal 61 4 2 3 2 3 2 2 2" xfId="0"/>
    <cellStyle name="Normal 61 4 2 3 2 3 2 2 2 2" xfId="0"/>
    <cellStyle name="Normal 61 4 2 3 2 3 2 2 2 2 2" xfId="0"/>
    <cellStyle name="Normal 61 4 2 3 2 3 2 2 2 3" xfId="0"/>
    <cellStyle name="Normal 61 4 2 3 2 3 2 2 3" xfId="0"/>
    <cellStyle name="Normal 61 4 2 3 2 3 2 2 3 2" xfId="0"/>
    <cellStyle name="Normal 61 4 2 3 2 3 2 2 3 2 2" xfId="0"/>
    <cellStyle name="Normal 61 4 2 3 2 3 2 2 3 3" xfId="0"/>
    <cellStyle name="Normal 61 4 2 3 2 3 2 2 4" xfId="0"/>
    <cellStyle name="Normal 61 4 2 3 2 3 2 2 4 2" xfId="0"/>
    <cellStyle name="Normal 61 4 2 3 2 3 2 2 5" xfId="0"/>
    <cellStyle name="Normal 61 4 2 3 2 3 2 3" xfId="0"/>
    <cellStyle name="Normal 61 4 2 3 2 3 2 3 2" xfId="0"/>
    <cellStyle name="Normal 61 4 2 3 2 3 2 3 2 2" xfId="0"/>
    <cellStyle name="Normal 61 4 2 3 2 3 2 3 3" xfId="0"/>
    <cellStyle name="Normal 61 4 2 3 2 3 2 4" xfId="0"/>
    <cellStyle name="Normal 61 4 2 3 2 3 2 4 2" xfId="0"/>
    <cellStyle name="Normal 61 4 2 3 2 3 2 4 2 2" xfId="0"/>
    <cellStyle name="Normal 61 4 2 3 2 3 2 4 3" xfId="0"/>
    <cellStyle name="Normal 61 4 2 3 2 3 2 5" xfId="0"/>
    <cellStyle name="Normal 61 4 2 3 2 3 2 5 2" xfId="0"/>
    <cellStyle name="Normal 61 4 2 3 2 3 2 6" xfId="0"/>
    <cellStyle name="Normal 61 4 2 3 2 3 3" xfId="0"/>
    <cellStyle name="Normal 61 4 2 3 2 3 3 2" xfId="0"/>
    <cellStyle name="Normal 61 4 2 3 2 3 3 2 2" xfId="0"/>
    <cellStyle name="Normal 61 4 2 3 2 3 3 2 2 2" xfId="0"/>
    <cellStyle name="Normal 61 4 2 3 2 3 3 2 3" xfId="0"/>
    <cellStyle name="Normal 61 4 2 3 2 3 3 3" xfId="0"/>
    <cellStyle name="Normal 61 4 2 3 2 3 3 3 2" xfId="0"/>
    <cellStyle name="Normal 61 4 2 3 2 3 3 3 2 2" xfId="0"/>
    <cellStyle name="Normal 61 4 2 3 2 3 3 3 3" xfId="0"/>
    <cellStyle name="Normal 61 4 2 3 2 3 3 4" xfId="0"/>
    <cellStyle name="Normal 61 4 2 3 2 3 3 4 2" xfId="0"/>
    <cellStyle name="Normal 61 4 2 3 2 3 3 5" xfId="0"/>
    <cellStyle name="Normal 61 4 2 3 2 3 4" xfId="0"/>
    <cellStyle name="Normal 61 4 2 3 2 3 4 2" xfId="0"/>
    <cellStyle name="Normal 61 4 2 3 2 3 4 2 2" xfId="0"/>
    <cellStyle name="Normal 61 4 2 3 2 3 4 3" xfId="0"/>
    <cellStyle name="Normal 61 4 2 3 2 3 5" xfId="0"/>
    <cellStyle name="Normal 61 4 2 3 2 3 5 2" xfId="0"/>
    <cellStyle name="Normal 61 4 2 3 2 3 5 2 2" xfId="0"/>
    <cellStyle name="Normal 61 4 2 3 2 3 5 3" xfId="0"/>
    <cellStyle name="Normal 61 4 2 3 2 3 6" xfId="0"/>
    <cellStyle name="Normal 61 4 2 3 2 3 6 2" xfId="0"/>
    <cellStyle name="Normal 61 4 2 3 2 3 7" xfId="0"/>
    <cellStyle name="Normal 61 4 2 3 2 4" xfId="0"/>
    <cellStyle name="Normal 61 4 2 3 2 4 2" xfId="0"/>
    <cellStyle name="Normal 61 4 2 3 2 4 2 2" xfId="0"/>
    <cellStyle name="Normal 61 4 2 3 2 4 2 2 2" xfId="0"/>
    <cellStyle name="Normal 61 4 2 3 2 4 2 2 2 2" xfId="0"/>
    <cellStyle name="Normal 61 4 2 3 2 4 2 2 3" xfId="0"/>
    <cellStyle name="Normal 61 4 2 3 2 4 2 3" xfId="0"/>
    <cellStyle name="Normal 61 4 2 3 2 4 2 3 2" xfId="0"/>
    <cellStyle name="Normal 61 4 2 3 2 4 2 3 2 2" xfId="0"/>
    <cellStyle name="Normal 61 4 2 3 2 4 2 3 3" xfId="0"/>
    <cellStyle name="Normal 61 4 2 3 2 4 2 4" xfId="0"/>
    <cellStyle name="Normal 61 4 2 3 2 4 2 4 2" xfId="0"/>
    <cellStyle name="Normal 61 4 2 3 2 4 2 5" xfId="0"/>
    <cellStyle name="Normal 61 4 2 3 2 4 3" xfId="0"/>
    <cellStyle name="Normal 61 4 2 3 2 4 3 2" xfId="0"/>
    <cellStyle name="Normal 61 4 2 3 2 4 3 2 2" xfId="0"/>
    <cellStyle name="Normal 61 4 2 3 2 4 3 3" xfId="0"/>
    <cellStyle name="Normal 61 4 2 3 2 4 4" xfId="0"/>
    <cellStyle name="Normal 61 4 2 3 2 4 4 2" xfId="0"/>
    <cellStyle name="Normal 61 4 2 3 2 4 4 2 2" xfId="0"/>
    <cellStyle name="Normal 61 4 2 3 2 4 4 3" xfId="0"/>
    <cellStyle name="Normal 61 4 2 3 2 4 5" xfId="0"/>
    <cellStyle name="Normal 61 4 2 3 2 4 5 2" xfId="0"/>
    <cellStyle name="Normal 61 4 2 3 2 4 6" xfId="0"/>
    <cellStyle name="Normal 61 4 2 3 2 5" xfId="0"/>
    <cellStyle name="Normal 61 4 2 3 2 5 2" xfId="0"/>
    <cellStyle name="Normal 61 4 2 3 2 5 2 2" xfId="0"/>
    <cellStyle name="Normal 61 4 2 3 2 5 2 2 2" xfId="0"/>
    <cellStyle name="Normal 61 4 2 3 2 5 2 3" xfId="0"/>
    <cellStyle name="Normal 61 4 2 3 2 5 3" xfId="0"/>
    <cellStyle name="Normal 61 4 2 3 2 5 3 2" xfId="0"/>
    <cellStyle name="Normal 61 4 2 3 2 5 3 2 2" xfId="0"/>
    <cellStyle name="Normal 61 4 2 3 2 5 3 3" xfId="0"/>
    <cellStyle name="Normal 61 4 2 3 2 5 4" xfId="0"/>
    <cellStyle name="Normal 61 4 2 3 2 5 4 2" xfId="0"/>
    <cellStyle name="Normal 61 4 2 3 2 5 5" xfId="0"/>
    <cellStyle name="Normal 61 4 2 3 2 6" xfId="0"/>
    <cellStyle name="Normal 61 4 2 3 2 6 2" xfId="0"/>
    <cellStyle name="Normal 61 4 2 3 2 6 2 2" xfId="0"/>
    <cellStyle name="Normal 61 4 2 3 2 6 3" xfId="0"/>
    <cellStyle name="Normal 61 4 2 3 2 7" xfId="0"/>
    <cellStyle name="Normal 61 4 2 3 2 7 2" xfId="0"/>
    <cellStyle name="Normal 61 4 2 3 2 7 2 2" xfId="0"/>
    <cellStyle name="Normal 61 4 2 3 2 7 3" xfId="0"/>
    <cellStyle name="Normal 61 4 2 3 2 8" xfId="0"/>
    <cellStyle name="Normal 61 4 2 3 2 8 2" xfId="0"/>
    <cellStyle name="Normal 61 4 2 3 2 9" xfId="0"/>
    <cellStyle name="Normal 61 4 2 3 3" xfId="0"/>
    <cellStyle name="Normal 61 4 2 3 3 2" xfId="0"/>
    <cellStyle name="Normal 61 4 2 3 3 2 2" xfId="0"/>
    <cellStyle name="Normal 61 4 2 3 3 2 2 2" xfId="0"/>
    <cellStyle name="Normal 61 4 2 3 3 2 2 2 2" xfId="0"/>
    <cellStyle name="Normal 61 4 2 3 3 2 2 2 2 2" xfId="0"/>
    <cellStyle name="Normal 61 4 2 3 3 2 2 2 2 2 2" xfId="0"/>
    <cellStyle name="Normal 61 4 2 3 3 2 2 2 2 3" xfId="0"/>
    <cellStyle name="Normal 61 4 2 3 3 2 2 2 3" xfId="0"/>
    <cellStyle name="Normal 61 4 2 3 3 2 2 2 3 2" xfId="0"/>
    <cellStyle name="Normal 61 4 2 3 3 2 2 2 3 2 2" xfId="0"/>
    <cellStyle name="Normal 61 4 2 3 3 2 2 2 3 3" xfId="0"/>
    <cellStyle name="Normal 61 4 2 3 3 2 2 2 4" xfId="0"/>
    <cellStyle name="Normal 61 4 2 3 3 2 2 2 4 2" xfId="0"/>
    <cellStyle name="Normal 61 4 2 3 3 2 2 2 5" xfId="0"/>
    <cellStyle name="Normal 61 4 2 3 3 2 2 3" xfId="0"/>
    <cellStyle name="Normal 61 4 2 3 3 2 2 3 2" xfId="0"/>
    <cellStyle name="Normal 61 4 2 3 3 2 2 3 2 2" xfId="0"/>
    <cellStyle name="Normal 61 4 2 3 3 2 2 3 3" xfId="0"/>
    <cellStyle name="Normal 61 4 2 3 3 2 2 4" xfId="0"/>
    <cellStyle name="Normal 61 4 2 3 3 2 2 4 2" xfId="0"/>
    <cellStyle name="Normal 61 4 2 3 3 2 2 4 2 2" xfId="0"/>
    <cellStyle name="Normal 61 4 2 3 3 2 2 4 3" xfId="0"/>
    <cellStyle name="Normal 61 4 2 3 3 2 2 5" xfId="0"/>
    <cellStyle name="Normal 61 4 2 3 3 2 2 5 2" xfId="0"/>
    <cellStyle name="Normal 61 4 2 3 3 2 2 6" xfId="0"/>
    <cellStyle name="Normal 61 4 2 3 3 2 3" xfId="0"/>
    <cellStyle name="Normal 61 4 2 3 3 2 3 2" xfId="0"/>
    <cellStyle name="Normal 61 4 2 3 3 2 3 2 2" xfId="0"/>
    <cellStyle name="Normal 61 4 2 3 3 2 3 2 2 2" xfId="0"/>
    <cellStyle name="Normal 61 4 2 3 3 2 3 2 3" xfId="0"/>
    <cellStyle name="Normal 61 4 2 3 3 2 3 3" xfId="0"/>
    <cellStyle name="Normal 61 4 2 3 3 2 3 3 2" xfId="0"/>
    <cellStyle name="Normal 61 4 2 3 3 2 3 3 2 2" xfId="0"/>
    <cellStyle name="Normal 61 4 2 3 3 2 3 3 3" xfId="0"/>
    <cellStyle name="Normal 61 4 2 3 3 2 3 4" xfId="0"/>
    <cellStyle name="Normal 61 4 2 3 3 2 3 4 2" xfId="0"/>
    <cellStyle name="Normal 61 4 2 3 3 2 3 5" xfId="0"/>
    <cellStyle name="Normal 61 4 2 3 3 2 4" xfId="0"/>
    <cellStyle name="Normal 61 4 2 3 3 2 4 2" xfId="0"/>
    <cellStyle name="Normal 61 4 2 3 3 2 4 2 2" xfId="0"/>
    <cellStyle name="Normal 61 4 2 3 3 2 4 3" xfId="0"/>
    <cellStyle name="Normal 61 4 2 3 3 2 5" xfId="0"/>
    <cellStyle name="Normal 61 4 2 3 3 2 5 2" xfId="0"/>
    <cellStyle name="Normal 61 4 2 3 3 2 5 2 2" xfId="0"/>
    <cellStyle name="Normal 61 4 2 3 3 2 5 3" xfId="0"/>
    <cellStyle name="Normal 61 4 2 3 3 2 6" xfId="0"/>
    <cellStyle name="Normal 61 4 2 3 3 2 6 2" xfId="0"/>
    <cellStyle name="Normal 61 4 2 3 3 2 7" xfId="0"/>
    <cellStyle name="Normal 61 4 2 3 3 3" xfId="0"/>
    <cellStyle name="Normal 61 4 2 3 3 3 2" xfId="0"/>
    <cellStyle name="Normal 61 4 2 3 3 3 2 2" xfId="0"/>
    <cellStyle name="Normal 61 4 2 3 3 3 2 2 2" xfId="0"/>
    <cellStyle name="Normal 61 4 2 3 3 3 2 2 2 2" xfId="0"/>
    <cellStyle name="Normal 61 4 2 3 3 3 2 2 3" xfId="0"/>
    <cellStyle name="Normal 61 4 2 3 3 3 2 3" xfId="0"/>
    <cellStyle name="Normal 61 4 2 3 3 3 2 3 2" xfId="0"/>
    <cellStyle name="Normal 61 4 2 3 3 3 2 3 2 2" xfId="0"/>
    <cellStyle name="Normal 61 4 2 3 3 3 2 3 3" xfId="0"/>
    <cellStyle name="Normal 61 4 2 3 3 3 2 4" xfId="0"/>
    <cellStyle name="Normal 61 4 2 3 3 3 2 4 2" xfId="0"/>
    <cellStyle name="Normal 61 4 2 3 3 3 2 5" xfId="0"/>
    <cellStyle name="Normal 61 4 2 3 3 3 3" xfId="0"/>
    <cellStyle name="Normal 61 4 2 3 3 3 3 2" xfId="0"/>
    <cellStyle name="Normal 61 4 2 3 3 3 3 2 2" xfId="0"/>
    <cellStyle name="Normal 61 4 2 3 3 3 3 3" xfId="0"/>
    <cellStyle name="Normal 61 4 2 3 3 3 4" xfId="0"/>
    <cellStyle name="Normal 61 4 2 3 3 3 4 2" xfId="0"/>
    <cellStyle name="Normal 61 4 2 3 3 3 4 2 2" xfId="0"/>
    <cellStyle name="Normal 61 4 2 3 3 3 4 3" xfId="0"/>
    <cellStyle name="Normal 61 4 2 3 3 3 5" xfId="0"/>
    <cellStyle name="Normal 61 4 2 3 3 3 5 2" xfId="0"/>
    <cellStyle name="Normal 61 4 2 3 3 3 6" xfId="0"/>
    <cellStyle name="Normal 61 4 2 3 3 4" xfId="0"/>
    <cellStyle name="Normal 61 4 2 3 3 4 2" xfId="0"/>
    <cellStyle name="Normal 61 4 2 3 3 4 2 2" xfId="0"/>
    <cellStyle name="Normal 61 4 2 3 3 4 2 2 2" xfId="0"/>
    <cellStyle name="Normal 61 4 2 3 3 4 2 3" xfId="0"/>
    <cellStyle name="Normal 61 4 2 3 3 4 3" xfId="0"/>
    <cellStyle name="Normal 61 4 2 3 3 4 3 2" xfId="0"/>
    <cellStyle name="Normal 61 4 2 3 3 4 3 2 2" xfId="0"/>
    <cellStyle name="Normal 61 4 2 3 3 4 3 3" xfId="0"/>
    <cellStyle name="Normal 61 4 2 3 3 4 4" xfId="0"/>
    <cellStyle name="Normal 61 4 2 3 3 4 4 2" xfId="0"/>
    <cellStyle name="Normal 61 4 2 3 3 4 5" xfId="0"/>
    <cellStyle name="Normal 61 4 2 3 3 5" xfId="0"/>
    <cellStyle name="Normal 61 4 2 3 3 5 2" xfId="0"/>
    <cellStyle name="Normal 61 4 2 3 3 5 2 2" xfId="0"/>
    <cellStyle name="Normal 61 4 2 3 3 5 3" xfId="0"/>
    <cellStyle name="Normal 61 4 2 3 3 6" xfId="0"/>
    <cellStyle name="Normal 61 4 2 3 3 6 2" xfId="0"/>
    <cellStyle name="Normal 61 4 2 3 3 6 2 2" xfId="0"/>
    <cellStyle name="Normal 61 4 2 3 3 6 3" xfId="0"/>
    <cellStyle name="Normal 61 4 2 3 3 7" xfId="0"/>
    <cellStyle name="Normal 61 4 2 3 3 7 2" xfId="0"/>
    <cellStyle name="Normal 61 4 2 3 3 8" xfId="0"/>
    <cellStyle name="Normal 61 4 2 3 4" xfId="0"/>
    <cellStyle name="Normal 61 4 2 3 4 2" xfId="0"/>
    <cellStyle name="Normal 61 4 2 3 4 2 2" xfId="0"/>
    <cellStyle name="Normal 61 4 2 3 4 2 2 2" xfId="0"/>
    <cellStyle name="Normal 61 4 2 3 4 2 2 2 2" xfId="0"/>
    <cellStyle name="Normal 61 4 2 3 4 2 2 2 2 2" xfId="0"/>
    <cellStyle name="Normal 61 4 2 3 4 2 2 2 3" xfId="0"/>
    <cellStyle name="Normal 61 4 2 3 4 2 2 3" xfId="0"/>
    <cellStyle name="Normal 61 4 2 3 4 2 2 3 2" xfId="0"/>
    <cellStyle name="Normal 61 4 2 3 4 2 2 3 2 2" xfId="0"/>
    <cellStyle name="Normal 61 4 2 3 4 2 2 3 3" xfId="0"/>
    <cellStyle name="Normal 61 4 2 3 4 2 2 4" xfId="0"/>
    <cellStyle name="Normal 61 4 2 3 4 2 2 4 2" xfId="0"/>
    <cellStyle name="Normal 61 4 2 3 4 2 2 5" xfId="0"/>
    <cellStyle name="Normal 61 4 2 3 4 2 3" xfId="0"/>
    <cellStyle name="Normal 61 4 2 3 4 2 3 2" xfId="0"/>
    <cellStyle name="Normal 61 4 2 3 4 2 3 2 2" xfId="0"/>
    <cellStyle name="Normal 61 4 2 3 4 2 3 3" xfId="0"/>
    <cellStyle name="Normal 61 4 2 3 4 2 4" xfId="0"/>
    <cellStyle name="Normal 61 4 2 3 4 2 4 2" xfId="0"/>
    <cellStyle name="Normal 61 4 2 3 4 2 4 2 2" xfId="0"/>
    <cellStyle name="Normal 61 4 2 3 4 2 4 3" xfId="0"/>
    <cellStyle name="Normal 61 4 2 3 4 2 5" xfId="0"/>
    <cellStyle name="Normal 61 4 2 3 4 2 5 2" xfId="0"/>
    <cellStyle name="Normal 61 4 2 3 4 2 6" xfId="0"/>
    <cellStyle name="Normal 61 4 2 3 4 3" xfId="0"/>
    <cellStyle name="Normal 61 4 2 3 4 3 2" xfId="0"/>
    <cellStyle name="Normal 61 4 2 3 4 3 2 2" xfId="0"/>
    <cellStyle name="Normal 61 4 2 3 4 3 2 2 2" xfId="0"/>
    <cellStyle name="Normal 61 4 2 3 4 3 2 3" xfId="0"/>
    <cellStyle name="Normal 61 4 2 3 4 3 3" xfId="0"/>
    <cellStyle name="Normal 61 4 2 3 4 3 3 2" xfId="0"/>
    <cellStyle name="Normal 61 4 2 3 4 3 3 2 2" xfId="0"/>
    <cellStyle name="Normal 61 4 2 3 4 3 3 3" xfId="0"/>
    <cellStyle name="Normal 61 4 2 3 4 3 4" xfId="0"/>
    <cellStyle name="Normal 61 4 2 3 4 3 4 2" xfId="0"/>
    <cellStyle name="Normal 61 4 2 3 4 3 5" xfId="0"/>
    <cellStyle name="Normal 61 4 2 3 4 4" xfId="0"/>
    <cellStyle name="Normal 61 4 2 3 4 4 2" xfId="0"/>
    <cellStyle name="Normal 61 4 2 3 4 4 2 2" xfId="0"/>
    <cellStyle name="Normal 61 4 2 3 4 4 3" xfId="0"/>
    <cellStyle name="Normal 61 4 2 3 4 5" xfId="0"/>
    <cellStyle name="Normal 61 4 2 3 4 5 2" xfId="0"/>
    <cellStyle name="Normal 61 4 2 3 4 5 2 2" xfId="0"/>
    <cellStyle name="Normal 61 4 2 3 4 5 3" xfId="0"/>
    <cellStyle name="Normal 61 4 2 3 4 6" xfId="0"/>
    <cellStyle name="Normal 61 4 2 3 4 6 2" xfId="0"/>
    <cellStyle name="Normal 61 4 2 3 4 7" xfId="0"/>
    <cellStyle name="Normal 61 4 2 3 5" xfId="0"/>
    <cellStyle name="Normal 61 4 2 3 5 2" xfId="0"/>
    <cellStyle name="Normal 61 4 2 3 5 2 2" xfId="0"/>
    <cellStyle name="Normal 61 4 2 3 5 2 2 2" xfId="0"/>
    <cellStyle name="Normal 61 4 2 3 5 2 2 2 2" xfId="0"/>
    <cellStyle name="Normal 61 4 2 3 5 2 2 3" xfId="0"/>
    <cellStyle name="Normal 61 4 2 3 5 2 3" xfId="0"/>
    <cellStyle name="Normal 61 4 2 3 5 2 3 2" xfId="0"/>
    <cellStyle name="Normal 61 4 2 3 5 2 3 2 2" xfId="0"/>
    <cellStyle name="Normal 61 4 2 3 5 2 3 3" xfId="0"/>
    <cellStyle name="Normal 61 4 2 3 5 2 4" xfId="0"/>
    <cellStyle name="Normal 61 4 2 3 5 2 4 2" xfId="0"/>
    <cellStyle name="Normal 61 4 2 3 5 2 5" xfId="0"/>
    <cellStyle name="Normal 61 4 2 3 5 3" xfId="0"/>
    <cellStyle name="Normal 61 4 2 3 5 3 2" xfId="0"/>
    <cellStyle name="Normal 61 4 2 3 5 3 2 2" xfId="0"/>
    <cellStyle name="Normal 61 4 2 3 5 3 3" xfId="0"/>
    <cellStyle name="Normal 61 4 2 3 5 4" xfId="0"/>
    <cellStyle name="Normal 61 4 2 3 5 4 2" xfId="0"/>
    <cellStyle name="Normal 61 4 2 3 5 4 2 2" xfId="0"/>
    <cellStyle name="Normal 61 4 2 3 5 4 3" xfId="0"/>
    <cellStyle name="Normal 61 4 2 3 5 5" xfId="0"/>
    <cellStyle name="Normal 61 4 2 3 5 5 2" xfId="0"/>
    <cellStyle name="Normal 61 4 2 3 5 6" xfId="0"/>
    <cellStyle name="Normal 61 4 2 3 6" xfId="0"/>
    <cellStyle name="Normal 61 4 2 3 6 2" xfId="0"/>
    <cellStyle name="Normal 61 4 2 3 6 2 2" xfId="0"/>
    <cellStyle name="Normal 61 4 2 3 6 2 2 2" xfId="0"/>
    <cellStyle name="Normal 61 4 2 3 6 2 3" xfId="0"/>
    <cellStyle name="Normal 61 4 2 3 6 3" xfId="0"/>
    <cellStyle name="Normal 61 4 2 3 6 3 2" xfId="0"/>
    <cellStyle name="Normal 61 4 2 3 6 3 2 2" xfId="0"/>
    <cellStyle name="Normal 61 4 2 3 6 3 3" xfId="0"/>
    <cellStyle name="Normal 61 4 2 3 6 4" xfId="0"/>
    <cellStyle name="Normal 61 4 2 3 6 4 2" xfId="0"/>
    <cellStyle name="Normal 61 4 2 3 6 5" xfId="0"/>
    <cellStyle name="Normal 61 4 2 3 7" xfId="0"/>
    <cellStyle name="Normal 61 4 2 3 7 2" xfId="0"/>
    <cellStyle name="Normal 61 4 2 3 7 2 2" xfId="0"/>
    <cellStyle name="Normal 61 4 2 3 7 3" xfId="0"/>
    <cellStyle name="Normal 61 4 2 3 8" xfId="0"/>
    <cellStyle name="Normal 61 4 2 3 8 2" xfId="0"/>
    <cellStyle name="Normal 61 4 2 3 8 2 2" xfId="0"/>
    <cellStyle name="Normal 61 4 2 3 8 3" xfId="0"/>
    <cellStyle name="Normal 61 4 2 3 9" xfId="0"/>
    <cellStyle name="Normal 61 4 2 3 9 2" xfId="0"/>
    <cellStyle name="Normal 61 4 2 4" xfId="0"/>
    <cellStyle name="Normal 61 4 2 4 2" xfId="0"/>
    <cellStyle name="Normal 61 4 2 4 2 2" xfId="0"/>
    <cellStyle name="Normal 61 4 2 4 2 2 2" xfId="0"/>
    <cellStyle name="Normal 61 4 2 4 2 2 2 2" xfId="0"/>
    <cellStyle name="Normal 61 4 2 4 2 2 2 2 2" xfId="0"/>
    <cellStyle name="Normal 61 4 2 4 2 2 2 2 2 2" xfId="0"/>
    <cellStyle name="Normal 61 4 2 4 2 2 2 2 2 2 2" xfId="0"/>
    <cellStyle name="Normal 61 4 2 4 2 2 2 2 2 3" xfId="0"/>
    <cellStyle name="Normal 61 4 2 4 2 2 2 2 3" xfId="0"/>
    <cellStyle name="Normal 61 4 2 4 2 2 2 2 3 2" xfId="0"/>
    <cellStyle name="Normal 61 4 2 4 2 2 2 2 3 2 2" xfId="0"/>
    <cellStyle name="Normal 61 4 2 4 2 2 2 2 3 3" xfId="0"/>
    <cellStyle name="Normal 61 4 2 4 2 2 2 2 4" xfId="0"/>
    <cellStyle name="Normal 61 4 2 4 2 2 2 2 4 2" xfId="0"/>
    <cellStyle name="Normal 61 4 2 4 2 2 2 2 5" xfId="0"/>
    <cellStyle name="Normal 61 4 2 4 2 2 2 3" xfId="0"/>
    <cellStyle name="Normal 61 4 2 4 2 2 2 3 2" xfId="0"/>
    <cellStyle name="Normal 61 4 2 4 2 2 2 3 2 2" xfId="0"/>
    <cellStyle name="Normal 61 4 2 4 2 2 2 3 3" xfId="0"/>
    <cellStyle name="Normal 61 4 2 4 2 2 2 4" xfId="0"/>
    <cellStyle name="Normal 61 4 2 4 2 2 2 4 2" xfId="0"/>
    <cellStyle name="Normal 61 4 2 4 2 2 2 4 2 2" xfId="0"/>
    <cellStyle name="Normal 61 4 2 4 2 2 2 4 3" xfId="0"/>
    <cellStyle name="Normal 61 4 2 4 2 2 2 5" xfId="0"/>
    <cellStyle name="Normal 61 4 2 4 2 2 2 5 2" xfId="0"/>
    <cellStyle name="Normal 61 4 2 4 2 2 2 6" xfId="0"/>
    <cellStyle name="Normal 61 4 2 4 2 2 3" xfId="0"/>
    <cellStyle name="Normal 61 4 2 4 2 2 3 2" xfId="0"/>
    <cellStyle name="Normal 61 4 2 4 2 2 3 2 2" xfId="0"/>
    <cellStyle name="Normal 61 4 2 4 2 2 3 2 2 2" xfId="0"/>
    <cellStyle name="Normal 61 4 2 4 2 2 3 2 3" xfId="0"/>
    <cellStyle name="Normal 61 4 2 4 2 2 3 3" xfId="0"/>
    <cellStyle name="Normal 61 4 2 4 2 2 3 3 2" xfId="0"/>
    <cellStyle name="Normal 61 4 2 4 2 2 3 3 2 2" xfId="0"/>
    <cellStyle name="Normal 61 4 2 4 2 2 3 3 3" xfId="0"/>
    <cellStyle name="Normal 61 4 2 4 2 2 3 4" xfId="0"/>
    <cellStyle name="Normal 61 4 2 4 2 2 3 4 2" xfId="0"/>
    <cellStyle name="Normal 61 4 2 4 2 2 3 5" xfId="0"/>
    <cellStyle name="Normal 61 4 2 4 2 2 4" xfId="0"/>
    <cellStyle name="Normal 61 4 2 4 2 2 4 2" xfId="0"/>
    <cellStyle name="Normal 61 4 2 4 2 2 4 2 2" xfId="0"/>
    <cellStyle name="Normal 61 4 2 4 2 2 4 3" xfId="0"/>
    <cellStyle name="Normal 61 4 2 4 2 2 5" xfId="0"/>
    <cellStyle name="Normal 61 4 2 4 2 2 5 2" xfId="0"/>
    <cellStyle name="Normal 61 4 2 4 2 2 5 2 2" xfId="0"/>
    <cellStyle name="Normal 61 4 2 4 2 2 5 3" xfId="0"/>
    <cellStyle name="Normal 61 4 2 4 2 2 6" xfId="0"/>
    <cellStyle name="Normal 61 4 2 4 2 2 6 2" xfId="0"/>
    <cellStyle name="Normal 61 4 2 4 2 2 7" xfId="0"/>
    <cellStyle name="Normal 61 4 2 4 2 3" xfId="0"/>
    <cellStyle name="Normal 61 4 2 4 2 3 2" xfId="0"/>
    <cellStyle name="Normal 61 4 2 4 2 3 2 2" xfId="0"/>
    <cellStyle name="Normal 61 4 2 4 2 3 2 2 2" xfId="0"/>
    <cellStyle name="Normal 61 4 2 4 2 3 2 2 2 2" xfId="0"/>
    <cellStyle name="Normal 61 4 2 4 2 3 2 2 3" xfId="0"/>
    <cellStyle name="Normal 61 4 2 4 2 3 2 3" xfId="0"/>
    <cellStyle name="Normal 61 4 2 4 2 3 2 3 2" xfId="0"/>
    <cellStyle name="Normal 61 4 2 4 2 3 2 3 2 2" xfId="0"/>
    <cellStyle name="Normal 61 4 2 4 2 3 2 3 3" xfId="0"/>
    <cellStyle name="Normal 61 4 2 4 2 3 2 4" xfId="0"/>
    <cellStyle name="Normal 61 4 2 4 2 3 2 4 2" xfId="0"/>
    <cellStyle name="Normal 61 4 2 4 2 3 2 5" xfId="0"/>
    <cellStyle name="Normal 61 4 2 4 2 3 3" xfId="0"/>
    <cellStyle name="Normal 61 4 2 4 2 3 3 2" xfId="0"/>
    <cellStyle name="Normal 61 4 2 4 2 3 3 2 2" xfId="0"/>
    <cellStyle name="Normal 61 4 2 4 2 3 3 3" xfId="0"/>
    <cellStyle name="Normal 61 4 2 4 2 3 4" xfId="0"/>
    <cellStyle name="Normal 61 4 2 4 2 3 4 2" xfId="0"/>
    <cellStyle name="Normal 61 4 2 4 2 3 4 2 2" xfId="0"/>
    <cellStyle name="Normal 61 4 2 4 2 3 4 3" xfId="0"/>
    <cellStyle name="Normal 61 4 2 4 2 3 5" xfId="0"/>
    <cellStyle name="Normal 61 4 2 4 2 3 5 2" xfId="0"/>
    <cellStyle name="Normal 61 4 2 4 2 3 6" xfId="0"/>
    <cellStyle name="Normal 61 4 2 4 2 4" xfId="0"/>
    <cellStyle name="Normal 61 4 2 4 2 4 2" xfId="0"/>
    <cellStyle name="Normal 61 4 2 4 2 4 2 2" xfId="0"/>
    <cellStyle name="Normal 61 4 2 4 2 4 2 2 2" xfId="0"/>
    <cellStyle name="Normal 61 4 2 4 2 4 2 3" xfId="0"/>
    <cellStyle name="Normal 61 4 2 4 2 4 3" xfId="0"/>
    <cellStyle name="Normal 61 4 2 4 2 4 3 2" xfId="0"/>
    <cellStyle name="Normal 61 4 2 4 2 4 3 2 2" xfId="0"/>
    <cellStyle name="Normal 61 4 2 4 2 4 3 3" xfId="0"/>
    <cellStyle name="Normal 61 4 2 4 2 4 4" xfId="0"/>
    <cellStyle name="Normal 61 4 2 4 2 4 4 2" xfId="0"/>
    <cellStyle name="Normal 61 4 2 4 2 4 5" xfId="0"/>
    <cellStyle name="Normal 61 4 2 4 2 5" xfId="0"/>
    <cellStyle name="Normal 61 4 2 4 2 5 2" xfId="0"/>
    <cellStyle name="Normal 61 4 2 4 2 5 2 2" xfId="0"/>
    <cellStyle name="Normal 61 4 2 4 2 5 3" xfId="0"/>
    <cellStyle name="Normal 61 4 2 4 2 6" xfId="0"/>
    <cellStyle name="Normal 61 4 2 4 2 6 2" xfId="0"/>
    <cellStyle name="Normal 61 4 2 4 2 6 2 2" xfId="0"/>
    <cellStyle name="Normal 61 4 2 4 2 6 3" xfId="0"/>
    <cellStyle name="Normal 61 4 2 4 2 7" xfId="0"/>
    <cellStyle name="Normal 61 4 2 4 2 7 2" xfId="0"/>
    <cellStyle name="Normal 61 4 2 4 2 8" xfId="0"/>
    <cellStyle name="Normal 61 4 2 4 3" xfId="0"/>
    <cellStyle name="Normal 61 4 2 4 3 2" xfId="0"/>
    <cellStyle name="Normal 61 4 2 4 3 2 2" xfId="0"/>
    <cellStyle name="Normal 61 4 2 4 3 2 2 2" xfId="0"/>
    <cellStyle name="Normal 61 4 2 4 3 2 2 2 2" xfId="0"/>
    <cellStyle name="Normal 61 4 2 4 3 2 2 2 2 2" xfId="0"/>
    <cellStyle name="Normal 61 4 2 4 3 2 2 2 3" xfId="0"/>
    <cellStyle name="Normal 61 4 2 4 3 2 2 3" xfId="0"/>
    <cellStyle name="Normal 61 4 2 4 3 2 2 3 2" xfId="0"/>
    <cellStyle name="Normal 61 4 2 4 3 2 2 3 2 2" xfId="0"/>
    <cellStyle name="Normal 61 4 2 4 3 2 2 3 3" xfId="0"/>
    <cellStyle name="Normal 61 4 2 4 3 2 2 4" xfId="0"/>
    <cellStyle name="Normal 61 4 2 4 3 2 2 4 2" xfId="0"/>
    <cellStyle name="Normal 61 4 2 4 3 2 2 5" xfId="0"/>
    <cellStyle name="Normal 61 4 2 4 3 2 3" xfId="0"/>
    <cellStyle name="Normal 61 4 2 4 3 2 3 2" xfId="0"/>
    <cellStyle name="Normal 61 4 2 4 3 2 3 2 2" xfId="0"/>
    <cellStyle name="Normal 61 4 2 4 3 2 3 3" xfId="0"/>
    <cellStyle name="Normal 61 4 2 4 3 2 4" xfId="0"/>
    <cellStyle name="Normal 61 4 2 4 3 2 4 2" xfId="0"/>
    <cellStyle name="Normal 61 4 2 4 3 2 4 2 2" xfId="0"/>
    <cellStyle name="Normal 61 4 2 4 3 2 4 3" xfId="0"/>
    <cellStyle name="Normal 61 4 2 4 3 2 5" xfId="0"/>
    <cellStyle name="Normal 61 4 2 4 3 2 5 2" xfId="0"/>
    <cellStyle name="Normal 61 4 2 4 3 2 6" xfId="0"/>
    <cellStyle name="Normal 61 4 2 4 3 3" xfId="0"/>
    <cellStyle name="Normal 61 4 2 4 3 3 2" xfId="0"/>
    <cellStyle name="Normal 61 4 2 4 3 3 2 2" xfId="0"/>
    <cellStyle name="Normal 61 4 2 4 3 3 2 2 2" xfId="0"/>
    <cellStyle name="Normal 61 4 2 4 3 3 2 3" xfId="0"/>
    <cellStyle name="Normal 61 4 2 4 3 3 3" xfId="0"/>
    <cellStyle name="Normal 61 4 2 4 3 3 3 2" xfId="0"/>
    <cellStyle name="Normal 61 4 2 4 3 3 3 2 2" xfId="0"/>
    <cellStyle name="Normal 61 4 2 4 3 3 3 3" xfId="0"/>
    <cellStyle name="Normal 61 4 2 4 3 3 4" xfId="0"/>
    <cellStyle name="Normal 61 4 2 4 3 3 4 2" xfId="0"/>
    <cellStyle name="Normal 61 4 2 4 3 3 5" xfId="0"/>
    <cellStyle name="Normal 61 4 2 4 3 4" xfId="0"/>
    <cellStyle name="Normal 61 4 2 4 3 4 2" xfId="0"/>
    <cellStyle name="Normal 61 4 2 4 3 4 2 2" xfId="0"/>
    <cellStyle name="Normal 61 4 2 4 3 4 3" xfId="0"/>
    <cellStyle name="Normal 61 4 2 4 3 5" xfId="0"/>
    <cellStyle name="Normal 61 4 2 4 3 5 2" xfId="0"/>
    <cellStyle name="Normal 61 4 2 4 3 5 2 2" xfId="0"/>
    <cellStyle name="Normal 61 4 2 4 3 5 3" xfId="0"/>
    <cellStyle name="Normal 61 4 2 4 3 6" xfId="0"/>
    <cellStyle name="Normal 61 4 2 4 3 6 2" xfId="0"/>
    <cellStyle name="Normal 61 4 2 4 3 7" xfId="0"/>
    <cellStyle name="Normal 61 4 2 4 4" xfId="0"/>
    <cellStyle name="Normal 61 4 2 4 4 2" xfId="0"/>
    <cellStyle name="Normal 61 4 2 4 4 2 2" xfId="0"/>
    <cellStyle name="Normal 61 4 2 4 4 2 2 2" xfId="0"/>
    <cellStyle name="Normal 61 4 2 4 4 2 2 2 2" xfId="0"/>
    <cellStyle name="Normal 61 4 2 4 4 2 2 3" xfId="0"/>
    <cellStyle name="Normal 61 4 2 4 4 2 3" xfId="0"/>
    <cellStyle name="Normal 61 4 2 4 4 2 3 2" xfId="0"/>
    <cellStyle name="Normal 61 4 2 4 4 2 3 2 2" xfId="0"/>
    <cellStyle name="Normal 61 4 2 4 4 2 3 3" xfId="0"/>
    <cellStyle name="Normal 61 4 2 4 4 2 4" xfId="0"/>
    <cellStyle name="Normal 61 4 2 4 4 2 4 2" xfId="0"/>
    <cellStyle name="Normal 61 4 2 4 4 2 5" xfId="0"/>
    <cellStyle name="Normal 61 4 2 4 4 3" xfId="0"/>
    <cellStyle name="Normal 61 4 2 4 4 3 2" xfId="0"/>
    <cellStyle name="Normal 61 4 2 4 4 3 2 2" xfId="0"/>
    <cellStyle name="Normal 61 4 2 4 4 3 3" xfId="0"/>
    <cellStyle name="Normal 61 4 2 4 4 4" xfId="0"/>
    <cellStyle name="Normal 61 4 2 4 4 4 2" xfId="0"/>
    <cellStyle name="Normal 61 4 2 4 4 4 2 2" xfId="0"/>
    <cellStyle name="Normal 61 4 2 4 4 4 3" xfId="0"/>
    <cellStyle name="Normal 61 4 2 4 4 5" xfId="0"/>
    <cellStyle name="Normal 61 4 2 4 4 5 2" xfId="0"/>
    <cellStyle name="Normal 61 4 2 4 4 6" xfId="0"/>
    <cellStyle name="Normal 61 4 2 4 5" xfId="0"/>
    <cellStyle name="Normal 61 4 2 4 5 2" xfId="0"/>
    <cellStyle name="Normal 61 4 2 4 5 2 2" xfId="0"/>
    <cellStyle name="Normal 61 4 2 4 5 2 2 2" xfId="0"/>
    <cellStyle name="Normal 61 4 2 4 5 2 3" xfId="0"/>
    <cellStyle name="Normal 61 4 2 4 5 3" xfId="0"/>
    <cellStyle name="Normal 61 4 2 4 5 3 2" xfId="0"/>
    <cellStyle name="Normal 61 4 2 4 5 3 2 2" xfId="0"/>
    <cellStyle name="Normal 61 4 2 4 5 3 3" xfId="0"/>
    <cellStyle name="Normal 61 4 2 4 5 4" xfId="0"/>
    <cellStyle name="Normal 61 4 2 4 5 4 2" xfId="0"/>
    <cellStyle name="Normal 61 4 2 4 5 5" xfId="0"/>
    <cellStyle name="Normal 61 4 2 4 6" xfId="0"/>
    <cellStyle name="Normal 61 4 2 4 6 2" xfId="0"/>
    <cellStyle name="Normal 61 4 2 4 6 2 2" xfId="0"/>
    <cellStyle name="Normal 61 4 2 4 6 3" xfId="0"/>
    <cellStyle name="Normal 61 4 2 4 7" xfId="0"/>
    <cellStyle name="Normal 61 4 2 4 7 2" xfId="0"/>
    <cellStyle name="Normal 61 4 2 4 7 2 2" xfId="0"/>
    <cellStyle name="Normal 61 4 2 4 7 3" xfId="0"/>
    <cellStyle name="Normal 61 4 2 4 8" xfId="0"/>
    <cellStyle name="Normal 61 4 2 4 8 2" xfId="0"/>
    <cellStyle name="Normal 61 4 2 4 9" xfId="0"/>
    <cellStyle name="Normal 61 4 2 5" xfId="0"/>
    <cellStyle name="Normal 61 4 2 5 2" xfId="0"/>
    <cellStyle name="Normal 61 4 2 5 2 2" xfId="0"/>
    <cellStyle name="Normal 61 4 2 5 2 2 2" xfId="0"/>
    <cellStyle name="Normal 61 4 2 5 2 2 2 2" xfId="0"/>
    <cellStyle name="Normal 61 4 2 5 2 2 2 2 2" xfId="0"/>
    <cellStyle name="Normal 61 4 2 5 2 2 2 2 2 2" xfId="0"/>
    <cellStyle name="Normal 61 4 2 5 2 2 2 2 3" xfId="0"/>
    <cellStyle name="Normal 61 4 2 5 2 2 2 3" xfId="0"/>
    <cellStyle name="Normal 61 4 2 5 2 2 2 3 2" xfId="0"/>
    <cellStyle name="Normal 61 4 2 5 2 2 2 3 2 2" xfId="0"/>
    <cellStyle name="Normal 61 4 2 5 2 2 2 3 3" xfId="0"/>
    <cellStyle name="Normal 61 4 2 5 2 2 2 4" xfId="0"/>
    <cellStyle name="Normal 61 4 2 5 2 2 2 4 2" xfId="0"/>
    <cellStyle name="Normal 61 4 2 5 2 2 2 5" xfId="0"/>
    <cellStyle name="Normal 61 4 2 5 2 2 3" xfId="0"/>
    <cellStyle name="Normal 61 4 2 5 2 2 3 2" xfId="0"/>
    <cellStyle name="Normal 61 4 2 5 2 2 3 2 2" xfId="0"/>
    <cellStyle name="Normal 61 4 2 5 2 2 3 3" xfId="0"/>
    <cellStyle name="Normal 61 4 2 5 2 2 4" xfId="0"/>
    <cellStyle name="Normal 61 4 2 5 2 2 4 2" xfId="0"/>
    <cellStyle name="Normal 61 4 2 5 2 2 4 2 2" xfId="0"/>
    <cellStyle name="Normal 61 4 2 5 2 2 4 3" xfId="0"/>
    <cellStyle name="Normal 61 4 2 5 2 2 5" xfId="0"/>
    <cellStyle name="Normal 61 4 2 5 2 2 5 2" xfId="0"/>
    <cellStyle name="Normal 61 4 2 5 2 2 6" xfId="0"/>
    <cellStyle name="Normal 61 4 2 5 2 3" xfId="0"/>
    <cellStyle name="Normal 61 4 2 5 2 3 2" xfId="0"/>
    <cellStyle name="Normal 61 4 2 5 2 3 2 2" xfId="0"/>
    <cellStyle name="Normal 61 4 2 5 2 3 2 2 2" xfId="0"/>
    <cellStyle name="Normal 61 4 2 5 2 3 2 3" xfId="0"/>
    <cellStyle name="Normal 61 4 2 5 2 3 3" xfId="0"/>
    <cellStyle name="Normal 61 4 2 5 2 3 3 2" xfId="0"/>
    <cellStyle name="Normal 61 4 2 5 2 3 3 2 2" xfId="0"/>
    <cellStyle name="Normal 61 4 2 5 2 3 3 3" xfId="0"/>
    <cellStyle name="Normal 61 4 2 5 2 3 4" xfId="0"/>
    <cellStyle name="Normal 61 4 2 5 2 3 4 2" xfId="0"/>
    <cellStyle name="Normal 61 4 2 5 2 3 5" xfId="0"/>
    <cellStyle name="Normal 61 4 2 5 2 4" xfId="0"/>
    <cellStyle name="Normal 61 4 2 5 2 4 2" xfId="0"/>
    <cellStyle name="Normal 61 4 2 5 2 4 2 2" xfId="0"/>
    <cellStyle name="Normal 61 4 2 5 2 4 3" xfId="0"/>
    <cellStyle name="Normal 61 4 2 5 2 5" xfId="0"/>
    <cellStyle name="Normal 61 4 2 5 2 5 2" xfId="0"/>
    <cellStyle name="Normal 61 4 2 5 2 5 2 2" xfId="0"/>
    <cellStyle name="Normal 61 4 2 5 2 5 3" xfId="0"/>
    <cellStyle name="Normal 61 4 2 5 2 6" xfId="0"/>
    <cellStyle name="Normal 61 4 2 5 2 6 2" xfId="0"/>
    <cellStyle name="Normal 61 4 2 5 2 7" xfId="0"/>
    <cellStyle name="Normal 61 4 2 5 3" xfId="0"/>
    <cellStyle name="Normal 61 4 2 5 3 2" xfId="0"/>
    <cellStyle name="Normal 61 4 2 5 3 2 2" xfId="0"/>
    <cellStyle name="Normal 61 4 2 5 3 2 2 2" xfId="0"/>
    <cellStyle name="Normal 61 4 2 5 3 2 2 2 2" xfId="0"/>
    <cellStyle name="Normal 61 4 2 5 3 2 2 3" xfId="0"/>
    <cellStyle name="Normal 61 4 2 5 3 2 3" xfId="0"/>
    <cellStyle name="Normal 61 4 2 5 3 2 3 2" xfId="0"/>
    <cellStyle name="Normal 61 4 2 5 3 2 3 2 2" xfId="0"/>
    <cellStyle name="Normal 61 4 2 5 3 2 3 3" xfId="0"/>
    <cellStyle name="Normal 61 4 2 5 3 2 4" xfId="0"/>
    <cellStyle name="Normal 61 4 2 5 3 2 4 2" xfId="0"/>
    <cellStyle name="Normal 61 4 2 5 3 2 5" xfId="0"/>
    <cellStyle name="Normal 61 4 2 5 3 3" xfId="0"/>
    <cellStyle name="Normal 61 4 2 5 3 3 2" xfId="0"/>
    <cellStyle name="Normal 61 4 2 5 3 3 2 2" xfId="0"/>
    <cellStyle name="Normal 61 4 2 5 3 3 3" xfId="0"/>
    <cellStyle name="Normal 61 4 2 5 3 4" xfId="0"/>
    <cellStyle name="Normal 61 4 2 5 3 4 2" xfId="0"/>
    <cellStyle name="Normal 61 4 2 5 3 4 2 2" xfId="0"/>
    <cellStyle name="Normal 61 4 2 5 3 4 3" xfId="0"/>
    <cellStyle name="Normal 61 4 2 5 3 5" xfId="0"/>
    <cellStyle name="Normal 61 4 2 5 3 5 2" xfId="0"/>
    <cellStyle name="Normal 61 4 2 5 3 6" xfId="0"/>
    <cellStyle name="Normal 61 4 2 5 4" xfId="0"/>
    <cellStyle name="Normal 61 4 2 5 4 2" xfId="0"/>
    <cellStyle name="Normal 61 4 2 5 4 2 2" xfId="0"/>
    <cellStyle name="Normal 61 4 2 5 4 2 2 2" xfId="0"/>
    <cellStyle name="Normal 61 4 2 5 4 2 3" xfId="0"/>
    <cellStyle name="Normal 61 4 2 5 4 3" xfId="0"/>
    <cellStyle name="Normal 61 4 2 5 4 3 2" xfId="0"/>
    <cellStyle name="Normal 61 4 2 5 4 3 2 2" xfId="0"/>
    <cellStyle name="Normal 61 4 2 5 4 3 3" xfId="0"/>
    <cellStyle name="Normal 61 4 2 5 4 4" xfId="0"/>
    <cellStyle name="Normal 61 4 2 5 4 4 2" xfId="0"/>
    <cellStyle name="Normal 61 4 2 5 4 5" xfId="0"/>
    <cellStyle name="Normal 61 4 2 5 5" xfId="0"/>
    <cellStyle name="Normal 61 4 2 5 5 2" xfId="0"/>
    <cellStyle name="Normal 61 4 2 5 5 2 2" xfId="0"/>
    <cellStyle name="Normal 61 4 2 5 5 3" xfId="0"/>
    <cellStyle name="Normal 61 4 2 5 6" xfId="0"/>
    <cellStyle name="Normal 61 4 2 5 6 2" xfId="0"/>
    <cellStyle name="Normal 61 4 2 5 6 2 2" xfId="0"/>
    <cellStyle name="Normal 61 4 2 5 6 3" xfId="0"/>
    <cellStyle name="Normal 61 4 2 5 7" xfId="0"/>
    <cellStyle name="Normal 61 4 2 5 7 2" xfId="0"/>
    <cellStyle name="Normal 61 4 2 5 8" xfId="0"/>
    <cellStyle name="Normal 61 4 2 6" xfId="0"/>
    <cellStyle name="Normal 61 4 2 6 2" xfId="0"/>
    <cellStyle name="Normal 61 4 2 6 2 2" xfId="0"/>
    <cellStyle name="Normal 61 4 2 6 2 2 2" xfId="0"/>
    <cellStyle name="Normal 61 4 2 6 2 2 2 2" xfId="0"/>
    <cellStyle name="Normal 61 4 2 6 2 2 2 2 2" xfId="0"/>
    <cellStyle name="Normal 61 4 2 6 2 2 2 3" xfId="0"/>
    <cellStyle name="Normal 61 4 2 6 2 2 3" xfId="0"/>
    <cellStyle name="Normal 61 4 2 6 2 2 3 2" xfId="0"/>
    <cellStyle name="Normal 61 4 2 6 2 2 3 2 2" xfId="0"/>
    <cellStyle name="Normal 61 4 2 6 2 2 3 3" xfId="0"/>
    <cellStyle name="Normal 61 4 2 6 2 2 4" xfId="0"/>
    <cellStyle name="Normal 61 4 2 6 2 2 4 2" xfId="0"/>
    <cellStyle name="Normal 61 4 2 6 2 2 5" xfId="0"/>
    <cellStyle name="Normal 61 4 2 6 2 3" xfId="0"/>
    <cellStyle name="Normal 61 4 2 6 2 3 2" xfId="0"/>
    <cellStyle name="Normal 61 4 2 6 2 3 2 2" xfId="0"/>
    <cellStyle name="Normal 61 4 2 6 2 3 3" xfId="0"/>
    <cellStyle name="Normal 61 4 2 6 2 4" xfId="0"/>
    <cellStyle name="Normal 61 4 2 6 2 4 2" xfId="0"/>
    <cellStyle name="Normal 61 4 2 6 2 4 2 2" xfId="0"/>
    <cellStyle name="Normal 61 4 2 6 2 4 3" xfId="0"/>
    <cellStyle name="Normal 61 4 2 6 2 5" xfId="0"/>
    <cellStyle name="Normal 61 4 2 6 2 5 2" xfId="0"/>
    <cellStyle name="Normal 61 4 2 6 2 6" xfId="0"/>
    <cellStyle name="Normal 61 4 2 6 3" xfId="0"/>
    <cellStyle name="Normal 61 4 2 6 3 2" xfId="0"/>
    <cellStyle name="Normal 61 4 2 6 3 2 2" xfId="0"/>
    <cellStyle name="Normal 61 4 2 6 3 2 2 2" xfId="0"/>
    <cellStyle name="Normal 61 4 2 6 3 2 3" xfId="0"/>
    <cellStyle name="Normal 61 4 2 6 3 3" xfId="0"/>
    <cellStyle name="Normal 61 4 2 6 3 3 2" xfId="0"/>
    <cellStyle name="Normal 61 4 2 6 3 3 2 2" xfId="0"/>
    <cellStyle name="Normal 61 4 2 6 3 3 3" xfId="0"/>
    <cellStyle name="Normal 61 4 2 6 3 4" xfId="0"/>
    <cellStyle name="Normal 61 4 2 6 3 4 2" xfId="0"/>
    <cellStyle name="Normal 61 4 2 6 3 5" xfId="0"/>
    <cellStyle name="Normal 61 4 2 6 4" xfId="0"/>
    <cellStyle name="Normal 61 4 2 6 4 2" xfId="0"/>
    <cellStyle name="Normal 61 4 2 6 4 2 2" xfId="0"/>
    <cellStyle name="Normal 61 4 2 6 4 3" xfId="0"/>
    <cellStyle name="Normal 61 4 2 6 5" xfId="0"/>
    <cellStyle name="Normal 61 4 2 6 5 2" xfId="0"/>
    <cellStyle name="Normal 61 4 2 6 5 2 2" xfId="0"/>
    <cellStyle name="Normal 61 4 2 6 5 3" xfId="0"/>
    <cellStyle name="Normal 61 4 2 6 6" xfId="0"/>
    <cellStyle name="Normal 61 4 2 6 6 2" xfId="0"/>
    <cellStyle name="Normal 61 4 2 6 7" xfId="0"/>
    <cellStyle name="Normal 61 4 2 7" xfId="0"/>
    <cellStyle name="Normal 61 4 2 7 2" xfId="0"/>
    <cellStyle name="Normal 61 4 2 7 2 2" xfId="0"/>
    <cellStyle name="Normal 61 4 2 7 2 2 2" xfId="0"/>
    <cellStyle name="Normal 61 4 2 7 2 2 2 2" xfId="0"/>
    <cellStyle name="Normal 61 4 2 7 2 2 3" xfId="0"/>
    <cellStyle name="Normal 61 4 2 7 2 3" xfId="0"/>
    <cellStyle name="Normal 61 4 2 7 2 3 2" xfId="0"/>
    <cellStyle name="Normal 61 4 2 7 2 3 2 2" xfId="0"/>
    <cellStyle name="Normal 61 4 2 7 2 3 3" xfId="0"/>
    <cellStyle name="Normal 61 4 2 7 2 4" xfId="0"/>
    <cellStyle name="Normal 61 4 2 7 2 4 2" xfId="0"/>
    <cellStyle name="Normal 61 4 2 7 2 5" xfId="0"/>
    <cellStyle name="Normal 61 4 2 7 3" xfId="0"/>
    <cellStyle name="Normal 61 4 2 7 3 2" xfId="0"/>
    <cellStyle name="Normal 61 4 2 7 3 2 2" xfId="0"/>
    <cellStyle name="Normal 61 4 2 7 3 3" xfId="0"/>
    <cellStyle name="Normal 61 4 2 7 4" xfId="0"/>
    <cellStyle name="Normal 61 4 2 7 4 2" xfId="0"/>
    <cellStyle name="Normal 61 4 2 7 4 2 2" xfId="0"/>
    <cellStyle name="Normal 61 4 2 7 4 3" xfId="0"/>
    <cellStyle name="Normal 61 4 2 7 5" xfId="0"/>
    <cellStyle name="Normal 61 4 2 7 5 2" xfId="0"/>
    <cellStyle name="Normal 61 4 2 7 6" xfId="0"/>
    <cellStyle name="Normal 61 4 2 8" xfId="0"/>
    <cellStyle name="Normal 61 4 2 8 2" xfId="0"/>
    <cellStyle name="Normal 61 4 2 8 2 2" xfId="0"/>
    <cellStyle name="Normal 61 4 2 8 2 2 2" xfId="0"/>
    <cellStyle name="Normal 61 4 2 8 2 3" xfId="0"/>
    <cellStyle name="Normal 61 4 2 8 3" xfId="0"/>
    <cellStyle name="Normal 61 4 2 8 3 2" xfId="0"/>
    <cellStyle name="Normal 61 4 2 8 3 2 2" xfId="0"/>
    <cellStyle name="Normal 61 4 2 8 3 3" xfId="0"/>
    <cellStyle name="Normal 61 4 2 8 4" xfId="0"/>
    <cellStyle name="Normal 61 4 2 8 4 2" xfId="0"/>
    <cellStyle name="Normal 61 4 2 8 5" xfId="0"/>
    <cellStyle name="Normal 61 4 2 9" xfId="0"/>
    <cellStyle name="Normal 61 4 2 9 2" xfId="0"/>
    <cellStyle name="Normal 61 4 2 9 2 2" xfId="0"/>
    <cellStyle name="Normal 61 4 2 9 3" xfId="0"/>
    <cellStyle name="Normal 61 4 3" xfId="0"/>
    <cellStyle name="Normal 61 4 3 10" xfId="0"/>
    <cellStyle name="Normal 61 4 3 2" xfId="0"/>
    <cellStyle name="Normal 61 4 3 2 2" xfId="0"/>
    <cellStyle name="Normal 61 4 3 2 2 2" xfId="0"/>
    <cellStyle name="Normal 61 4 3 2 2 2 2" xfId="0"/>
    <cellStyle name="Normal 61 4 3 2 2 2 2 2" xfId="0"/>
    <cellStyle name="Normal 61 4 3 2 2 2 2 2 2" xfId="0"/>
    <cellStyle name="Normal 61 4 3 2 2 2 2 2 2 2" xfId="0"/>
    <cellStyle name="Normal 61 4 3 2 2 2 2 2 2 2 2" xfId="0"/>
    <cellStyle name="Normal 61 4 3 2 2 2 2 2 2 3" xfId="0"/>
    <cellStyle name="Normal 61 4 3 2 2 2 2 2 3" xfId="0"/>
    <cellStyle name="Normal 61 4 3 2 2 2 2 2 3 2" xfId="0"/>
    <cellStyle name="Normal 61 4 3 2 2 2 2 2 3 2 2" xfId="0"/>
    <cellStyle name="Normal 61 4 3 2 2 2 2 2 3 3" xfId="0"/>
    <cellStyle name="Normal 61 4 3 2 2 2 2 2 4" xfId="0"/>
    <cellStyle name="Normal 61 4 3 2 2 2 2 2 4 2" xfId="0"/>
    <cellStyle name="Normal 61 4 3 2 2 2 2 2 5" xfId="0"/>
    <cellStyle name="Normal 61 4 3 2 2 2 2 3" xfId="0"/>
    <cellStyle name="Normal 61 4 3 2 2 2 2 3 2" xfId="0"/>
    <cellStyle name="Normal 61 4 3 2 2 2 2 3 2 2" xfId="0"/>
    <cellStyle name="Normal 61 4 3 2 2 2 2 3 3" xfId="0"/>
    <cellStyle name="Normal 61 4 3 2 2 2 2 4" xfId="0"/>
    <cellStyle name="Normal 61 4 3 2 2 2 2 4 2" xfId="0"/>
    <cellStyle name="Normal 61 4 3 2 2 2 2 4 2 2" xfId="0"/>
    <cellStyle name="Normal 61 4 3 2 2 2 2 4 3" xfId="0"/>
    <cellStyle name="Normal 61 4 3 2 2 2 2 5" xfId="0"/>
    <cellStyle name="Normal 61 4 3 2 2 2 2 5 2" xfId="0"/>
    <cellStyle name="Normal 61 4 3 2 2 2 2 6" xfId="0"/>
    <cellStyle name="Normal 61 4 3 2 2 2 3" xfId="0"/>
    <cellStyle name="Normal 61 4 3 2 2 2 3 2" xfId="0"/>
    <cellStyle name="Normal 61 4 3 2 2 2 3 2 2" xfId="0"/>
    <cellStyle name="Normal 61 4 3 2 2 2 3 2 2 2" xfId="0"/>
    <cellStyle name="Normal 61 4 3 2 2 2 3 2 3" xfId="0"/>
    <cellStyle name="Normal 61 4 3 2 2 2 3 3" xfId="0"/>
    <cellStyle name="Normal 61 4 3 2 2 2 3 3 2" xfId="0"/>
    <cellStyle name="Normal 61 4 3 2 2 2 3 3 2 2" xfId="0"/>
    <cellStyle name="Normal 61 4 3 2 2 2 3 3 3" xfId="0"/>
    <cellStyle name="Normal 61 4 3 2 2 2 3 4" xfId="0"/>
    <cellStyle name="Normal 61 4 3 2 2 2 3 4 2" xfId="0"/>
    <cellStyle name="Normal 61 4 3 2 2 2 3 5" xfId="0"/>
    <cellStyle name="Normal 61 4 3 2 2 2 4" xfId="0"/>
    <cellStyle name="Normal 61 4 3 2 2 2 4 2" xfId="0"/>
    <cellStyle name="Normal 61 4 3 2 2 2 4 2 2" xfId="0"/>
    <cellStyle name="Normal 61 4 3 2 2 2 4 3" xfId="0"/>
    <cellStyle name="Normal 61 4 3 2 2 2 5" xfId="0"/>
    <cellStyle name="Normal 61 4 3 2 2 2 5 2" xfId="0"/>
    <cellStyle name="Normal 61 4 3 2 2 2 5 2 2" xfId="0"/>
    <cellStyle name="Normal 61 4 3 2 2 2 5 3" xfId="0"/>
    <cellStyle name="Normal 61 4 3 2 2 2 6" xfId="0"/>
    <cellStyle name="Normal 61 4 3 2 2 2 6 2" xfId="0"/>
    <cellStyle name="Normal 61 4 3 2 2 2 7" xfId="0"/>
    <cellStyle name="Normal 61 4 3 2 2 3" xfId="0"/>
    <cellStyle name="Normal 61 4 3 2 2 3 2" xfId="0"/>
    <cellStyle name="Normal 61 4 3 2 2 3 2 2" xfId="0"/>
    <cellStyle name="Normal 61 4 3 2 2 3 2 2 2" xfId="0"/>
    <cellStyle name="Normal 61 4 3 2 2 3 2 2 2 2" xfId="0"/>
    <cellStyle name="Normal 61 4 3 2 2 3 2 2 3" xfId="0"/>
    <cellStyle name="Normal 61 4 3 2 2 3 2 3" xfId="0"/>
    <cellStyle name="Normal 61 4 3 2 2 3 2 3 2" xfId="0"/>
    <cellStyle name="Normal 61 4 3 2 2 3 2 3 2 2" xfId="0"/>
    <cellStyle name="Normal 61 4 3 2 2 3 2 3 3" xfId="0"/>
    <cellStyle name="Normal 61 4 3 2 2 3 2 4" xfId="0"/>
    <cellStyle name="Normal 61 4 3 2 2 3 2 4 2" xfId="0"/>
    <cellStyle name="Normal 61 4 3 2 2 3 2 5" xfId="0"/>
    <cellStyle name="Normal 61 4 3 2 2 3 3" xfId="0"/>
    <cellStyle name="Normal 61 4 3 2 2 3 3 2" xfId="0"/>
    <cellStyle name="Normal 61 4 3 2 2 3 3 2 2" xfId="0"/>
    <cellStyle name="Normal 61 4 3 2 2 3 3 3" xfId="0"/>
    <cellStyle name="Normal 61 4 3 2 2 3 4" xfId="0"/>
    <cellStyle name="Normal 61 4 3 2 2 3 4 2" xfId="0"/>
    <cellStyle name="Normal 61 4 3 2 2 3 4 2 2" xfId="0"/>
    <cellStyle name="Normal 61 4 3 2 2 3 4 3" xfId="0"/>
    <cellStyle name="Normal 61 4 3 2 2 3 5" xfId="0"/>
    <cellStyle name="Normal 61 4 3 2 2 3 5 2" xfId="0"/>
    <cellStyle name="Normal 61 4 3 2 2 3 6" xfId="0"/>
    <cellStyle name="Normal 61 4 3 2 2 4" xfId="0"/>
    <cellStyle name="Normal 61 4 3 2 2 4 2" xfId="0"/>
    <cellStyle name="Normal 61 4 3 2 2 4 2 2" xfId="0"/>
    <cellStyle name="Normal 61 4 3 2 2 4 2 2 2" xfId="0"/>
    <cellStyle name="Normal 61 4 3 2 2 4 2 3" xfId="0"/>
    <cellStyle name="Normal 61 4 3 2 2 4 3" xfId="0"/>
    <cellStyle name="Normal 61 4 3 2 2 4 3 2" xfId="0"/>
    <cellStyle name="Normal 61 4 3 2 2 4 3 2 2" xfId="0"/>
    <cellStyle name="Normal 61 4 3 2 2 4 3 3" xfId="0"/>
    <cellStyle name="Normal 61 4 3 2 2 4 4" xfId="0"/>
    <cellStyle name="Normal 61 4 3 2 2 4 4 2" xfId="0"/>
    <cellStyle name="Normal 61 4 3 2 2 4 5" xfId="0"/>
    <cellStyle name="Normal 61 4 3 2 2 5" xfId="0"/>
    <cellStyle name="Normal 61 4 3 2 2 5 2" xfId="0"/>
    <cellStyle name="Normal 61 4 3 2 2 5 2 2" xfId="0"/>
    <cellStyle name="Normal 61 4 3 2 2 5 3" xfId="0"/>
    <cellStyle name="Normal 61 4 3 2 2 6" xfId="0"/>
    <cellStyle name="Normal 61 4 3 2 2 6 2" xfId="0"/>
    <cellStyle name="Normal 61 4 3 2 2 6 2 2" xfId="0"/>
    <cellStyle name="Normal 61 4 3 2 2 6 3" xfId="0"/>
    <cellStyle name="Normal 61 4 3 2 2 7" xfId="0"/>
    <cellStyle name="Normal 61 4 3 2 2 7 2" xfId="0"/>
    <cellStyle name="Normal 61 4 3 2 2 8" xfId="0"/>
    <cellStyle name="Normal 61 4 3 2 3" xfId="0"/>
    <cellStyle name="Normal 61 4 3 2 3 2" xfId="0"/>
    <cellStyle name="Normal 61 4 3 2 3 2 2" xfId="0"/>
    <cellStyle name="Normal 61 4 3 2 3 2 2 2" xfId="0"/>
    <cellStyle name="Normal 61 4 3 2 3 2 2 2 2" xfId="0"/>
    <cellStyle name="Normal 61 4 3 2 3 2 2 2 2 2" xfId="0"/>
    <cellStyle name="Normal 61 4 3 2 3 2 2 2 3" xfId="0"/>
    <cellStyle name="Normal 61 4 3 2 3 2 2 3" xfId="0"/>
    <cellStyle name="Normal 61 4 3 2 3 2 2 3 2" xfId="0"/>
    <cellStyle name="Normal 61 4 3 2 3 2 2 3 2 2" xfId="0"/>
    <cellStyle name="Normal 61 4 3 2 3 2 2 3 3" xfId="0"/>
    <cellStyle name="Normal 61 4 3 2 3 2 2 4" xfId="0"/>
    <cellStyle name="Normal 61 4 3 2 3 2 2 4 2" xfId="0"/>
    <cellStyle name="Normal 61 4 3 2 3 2 2 5" xfId="0"/>
    <cellStyle name="Normal 61 4 3 2 3 2 3" xfId="0"/>
    <cellStyle name="Normal 61 4 3 2 3 2 3 2" xfId="0"/>
    <cellStyle name="Normal 61 4 3 2 3 2 3 2 2" xfId="0"/>
    <cellStyle name="Normal 61 4 3 2 3 2 3 3" xfId="0"/>
    <cellStyle name="Normal 61 4 3 2 3 2 4" xfId="0"/>
    <cellStyle name="Normal 61 4 3 2 3 2 4 2" xfId="0"/>
    <cellStyle name="Normal 61 4 3 2 3 2 4 2 2" xfId="0"/>
    <cellStyle name="Normal 61 4 3 2 3 2 4 3" xfId="0"/>
    <cellStyle name="Normal 61 4 3 2 3 2 5" xfId="0"/>
    <cellStyle name="Normal 61 4 3 2 3 2 5 2" xfId="0"/>
    <cellStyle name="Normal 61 4 3 2 3 2 6" xfId="0"/>
    <cellStyle name="Normal 61 4 3 2 3 3" xfId="0"/>
    <cellStyle name="Normal 61 4 3 2 3 3 2" xfId="0"/>
    <cellStyle name="Normal 61 4 3 2 3 3 2 2" xfId="0"/>
    <cellStyle name="Normal 61 4 3 2 3 3 2 2 2" xfId="0"/>
    <cellStyle name="Normal 61 4 3 2 3 3 2 3" xfId="0"/>
    <cellStyle name="Normal 61 4 3 2 3 3 3" xfId="0"/>
    <cellStyle name="Normal 61 4 3 2 3 3 3 2" xfId="0"/>
    <cellStyle name="Normal 61 4 3 2 3 3 3 2 2" xfId="0"/>
    <cellStyle name="Normal 61 4 3 2 3 3 3 3" xfId="0"/>
    <cellStyle name="Normal 61 4 3 2 3 3 4" xfId="0"/>
    <cellStyle name="Normal 61 4 3 2 3 3 4 2" xfId="0"/>
    <cellStyle name="Normal 61 4 3 2 3 3 5" xfId="0"/>
    <cellStyle name="Normal 61 4 3 2 3 4" xfId="0"/>
    <cellStyle name="Normal 61 4 3 2 3 4 2" xfId="0"/>
    <cellStyle name="Normal 61 4 3 2 3 4 2 2" xfId="0"/>
    <cellStyle name="Normal 61 4 3 2 3 4 3" xfId="0"/>
    <cellStyle name="Normal 61 4 3 2 3 5" xfId="0"/>
    <cellStyle name="Normal 61 4 3 2 3 5 2" xfId="0"/>
    <cellStyle name="Normal 61 4 3 2 3 5 2 2" xfId="0"/>
    <cellStyle name="Normal 61 4 3 2 3 5 3" xfId="0"/>
    <cellStyle name="Normal 61 4 3 2 3 6" xfId="0"/>
    <cellStyle name="Normal 61 4 3 2 3 6 2" xfId="0"/>
    <cellStyle name="Normal 61 4 3 2 3 7" xfId="0"/>
    <cellStyle name="Normal 61 4 3 2 4" xfId="0"/>
    <cellStyle name="Normal 61 4 3 2 4 2" xfId="0"/>
    <cellStyle name="Normal 61 4 3 2 4 2 2" xfId="0"/>
    <cellStyle name="Normal 61 4 3 2 4 2 2 2" xfId="0"/>
    <cellStyle name="Normal 61 4 3 2 4 2 2 2 2" xfId="0"/>
    <cellStyle name="Normal 61 4 3 2 4 2 2 3" xfId="0"/>
    <cellStyle name="Normal 61 4 3 2 4 2 3" xfId="0"/>
    <cellStyle name="Normal 61 4 3 2 4 2 3 2" xfId="0"/>
    <cellStyle name="Normal 61 4 3 2 4 2 3 2 2" xfId="0"/>
    <cellStyle name="Normal 61 4 3 2 4 2 3 3" xfId="0"/>
    <cellStyle name="Normal 61 4 3 2 4 2 4" xfId="0"/>
    <cellStyle name="Normal 61 4 3 2 4 2 4 2" xfId="0"/>
    <cellStyle name="Normal 61 4 3 2 4 2 5" xfId="0"/>
    <cellStyle name="Normal 61 4 3 2 4 3" xfId="0"/>
    <cellStyle name="Normal 61 4 3 2 4 3 2" xfId="0"/>
    <cellStyle name="Normal 61 4 3 2 4 3 2 2" xfId="0"/>
    <cellStyle name="Normal 61 4 3 2 4 3 3" xfId="0"/>
    <cellStyle name="Normal 61 4 3 2 4 4" xfId="0"/>
    <cellStyle name="Normal 61 4 3 2 4 4 2" xfId="0"/>
    <cellStyle name="Normal 61 4 3 2 4 4 2 2" xfId="0"/>
    <cellStyle name="Normal 61 4 3 2 4 4 3" xfId="0"/>
    <cellStyle name="Normal 61 4 3 2 4 5" xfId="0"/>
    <cellStyle name="Normal 61 4 3 2 4 5 2" xfId="0"/>
    <cellStyle name="Normal 61 4 3 2 4 6" xfId="0"/>
    <cellStyle name="Normal 61 4 3 2 5" xfId="0"/>
    <cellStyle name="Normal 61 4 3 2 5 2" xfId="0"/>
    <cellStyle name="Normal 61 4 3 2 5 2 2" xfId="0"/>
    <cellStyle name="Normal 61 4 3 2 5 2 2 2" xfId="0"/>
    <cellStyle name="Normal 61 4 3 2 5 2 3" xfId="0"/>
    <cellStyle name="Normal 61 4 3 2 5 3" xfId="0"/>
    <cellStyle name="Normal 61 4 3 2 5 3 2" xfId="0"/>
    <cellStyle name="Normal 61 4 3 2 5 3 2 2" xfId="0"/>
    <cellStyle name="Normal 61 4 3 2 5 3 3" xfId="0"/>
    <cellStyle name="Normal 61 4 3 2 5 4" xfId="0"/>
    <cellStyle name="Normal 61 4 3 2 5 4 2" xfId="0"/>
    <cellStyle name="Normal 61 4 3 2 5 5" xfId="0"/>
    <cellStyle name="Normal 61 4 3 2 6" xfId="0"/>
    <cellStyle name="Normal 61 4 3 2 6 2" xfId="0"/>
    <cellStyle name="Normal 61 4 3 2 6 2 2" xfId="0"/>
    <cellStyle name="Normal 61 4 3 2 6 3" xfId="0"/>
    <cellStyle name="Normal 61 4 3 2 7" xfId="0"/>
    <cellStyle name="Normal 61 4 3 2 7 2" xfId="0"/>
    <cellStyle name="Normal 61 4 3 2 7 2 2" xfId="0"/>
    <cellStyle name="Normal 61 4 3 2 7 3" xfId="0"/>
    <cellStyle name="Normal 61 4 3 2 8" xfId="0"/>
    <cellStyle name="Normal 61 4 3 2 8 2" xfId="0"/>
    <cellStyle name="Normal 61 4 3 2 9" xfId="0"/>
    <cellStyle name="Normal 61 4 3 3" xfId="0"/>
    <cellStyle name="Normal 61 4 3 3 2" xfId="0"/>
    <cellStyle name="Normal 61 4 3 3 2 2" xfId="0"/>
    <cellStyle name="Normal 61 4 3 3 2 2 2" xfId="0"/>
    <cellStyle name="Normal 61 4 3 3 2 2 2 2" xfId="0"/>
    <cellStyle name="Normal 61 4 3 3 2 2 2 2 2" xfId="0"/>
    <cellStyle name="Normal 61 4 3 3 2 2 2 2 2 2" xfId="0"/>
    <cellStyle name="Normal 61 4 3 3 2 2 2 2 3" xfId="0"/>
    <cellStyle name="Normal 61 4 3 3 2 2 2 3" xfId="0"/>
    <cellStyle name="Normal 61 4 3 3 2 2 2 3 2" xfId="0"/>
    <cellStyle name="Normal 61 4 3 3 2 2 2 3 2 2" xfId="0"/>
    <cellStyle name="Normal 61 4 3 3 2 2 2 3 3" xfId="0"/>
    <cellStyle name="Normal 61 4 3 3 2 2 2 4" xfId="0"/>
    <cellStyle name="Normal 61 4 3 3 2 2 2 4 2" xfId="0"/>
    <cellStyle name="Normal 61 4 3 3 2 2 2 5" xfId="0"/>
    <cellStyle name="Normal 61 4 3 3 2 2 3" xfId="0"/>
    <cellStyle name="Normal 61 4 3 3 2 2 3 2" xfId="0"/>
    <cellStyle name="Normal 61 4 3 3 2 2 3 2 2" xfId="0"/>
    <cellStyle name="Normal 61 4 3 3 2 2 3 3" xfId="0"/>
    <cellStyle name="Normal 61 4 3 3 2 2 4" xfId="0"/>
    <cellStyle name="Normal 61 4 3 3 2 2 4 2" xfId="0"/>
    <cellStyle name="Normal 61 4 3 3 2 2 4 2 2" xfId="0"/>
    <cellStyle name="Normal 61 4 3 3 2 2 4 3" xfId="0"/>
    <cellStyle name="Normal 61 4 3 3 2 2 5" xfId="0"/>
    <cellStyle name="Normal 61 4 3 3 2 2 5 2" xfId="0"/>
    <cellStyle name="Normal 61 4 3 3 2 2 6" xfId="0"/>
    <cellStyle name="Normal 61 4 3 3 2 3" xfId="0"/>
    <cellStyle name="Normal 61 4 3 3 2 3 2" xfId="0"/>
    <cellStyle name="Normal 61 4 3 3 2 3 2 2" xfId="0"/>
    <cellStyle name="Normal 61 4 3 3 2 3 2 2 2" xfId="0"/>
    <cellStyle name="Normal 61 4 3 3 2 3 2 3" xfId="0"/>
    <cellStyle name="Normal 61 4 3 3 2 3 3" xfId="0"/>
    <cellStyle name="Normal 61 4 3 3 2 3 3 2" xfId="0"/>
    <cellStyle name="Normal 61 4 3 3 2 3 3 2 2" xfId="0"/>
    <cellStyle name="Normal 61 4 3 3 2 3 3 3" xfId="0"/>
    <cellStyle name="Normal 61 4 3 3 2 3 4" xfId="0"/>
    <cellStyle name="Normal 61 4 3 3 2 3 4 2" xfId="0"/>
    <cellStyle name="Normal 61 4 3 3 2 3 5" xfId="0"/>
    <cellStyle name="Normal 61 4 3 3 2 4" xfId="0"/>
    <cellStyle name="Normal 61 4 3 3 2 4 2" xfId="0"/>
    <cellStyle name="Normal 61 4 3 3 2 4 2 2" xfId="0"/>
    <cellStyle name="Normal 61 4 3 3 2 4 3" xfId="0"/>
    <cellStyle name="Normal 61 4 3 3 2 5" xfId="0"/>
    <cellStyle name="Normal 61 4 3 3 2 5 2" xfId="0"/>
    <cellStyle name="Normal 61 4 3 3 2 5 2 2" xfId="0"/>
    <cellStyle name="Normal 61 4 3 3 2 5 3" xfId="0"/>
    <cellStyle name="Normal 61 4 3 3 2 6" xfId="0"/>
    <cellStyle name="Normal 61 4 3 3 2 6 2" xfId="0"/>
    <cellStyle name="Normal 61 4 3 3 2 7" xfId="0"/>
    <cellStyle name="Normal 61 4 3 3 3" xfId="0"/>
    <cellStyle name="Normal 61 4 3 3 3 2" xfId="0"/>
    <cellStyle name="Normal 61 4 3 3 3 2 2" xfId="0"/>
    <cellStyle name="Normal 61 4 3 3 3 2 2 2" xfId="0"/>
    <cellStyle name="Normal 61 4 3 3 3 2 2 2 2" xfId="0"/>
    <cellStyle name="Normal 61 4 3 3 3 2 2 3" xfId="0"/>
    <cellStyle name="Normal 61 4 3 3 3 2 3" xfId="0"/>
    <cellStyle name="Normal 61 4 3 3 3 2 3 2" xfId="0"/>
    <cellStyle name="Normal 61 4 3 3 3 2 3 2 2" xfId="0"/>
    <cellStyle name="Normal 61 4 3 3 3 2 3 3" xfId="0"/>
    <cellStyle name="Normal 61 4 3 3 3 2 4" xfId="0"/>
    <cellStyle name="Normal 61 4 3 3 3 2 4 2" xfId="0"/>
    <cellStyle name="Normal 61 4 3 3 3 2 5" xfId="0"/>
    <cellStyle name="Normal 61 4 3 3 3 3" xfId="0"/>
    <cellStyle name="Normal 61 4 3 3 3 3 2" xfId="0"/>
    <cellStyle name="Normal 61 4 3 3 3 3 2 2" xfId="0"/>
    <cellStyle name="Normal 61 4 3 3 3 3 3" xfId="0"/>
    <cellStyle name="Normal 61 4 3 3 3 4" xfId="0"/>
    <cellStyle name="Normal 61 4 3 3 3 4 2" xfId="0"/>
    <cellStyle name="Normal 61 4 3 3 3 4 2 2" xfId="0"/>
    <cellStyle name="Normal 61 4 3 3 3 4 3" xfId="0"/>
    <cellStyle name="Normal 61 4 3 3 3 5" xfId="0"/>
    <cellStyle name="Normal 61 4 3 3 3 5 2" xfId="0"/>
    <cellStyle name="Normal 61 4 3 3 3 6" xfId="0"/>
    <cellStyle name="Normal 61 4 3 3 4" xfId="0"/>
    <cellStyle name="Normal 61 4 3 3 4 2" xfId="0"/>
    <cellStyle name="Normal 61 4 3 3 4 2 2" xfId="0"/>
    <cellStyle name="Normal 61 4 3 3 4 2 2 2" xfId="0"/>
    <cellStyle name="Normal 61 4 3 3 4 2 3" xfId="0"/>
    <cellStyle name="Normal 61 4 3 3 4 3" xfId="0"/>
    <cellStyle name="Normal 61 4 3 3 4 3 2" xfId="0"/>
    <cellStyle name="Normal 61 4 3 3 4 3 2 2" xfId="0"/>
    <cellStyle name="Normal 61 4 3 3 4 3 3" xfId="0"/>
    <cellStyle name="Normal 61 4 3 3 4 4" xfId="0"/>
    <cellStyle name="Normal 61 4 3 3 4 4 2" xfId="0"/>
    <cellStyle name="Normal 61 4 3 3 4 5" xfId="0"/>
    <cellStyle name="Normal 61 4 3 3 5" xfId="0"/>
    <cellStyle name="Normal 61 4 3 3 5 2" xfId="0"/>
    <cellStyle name="Normal 61 4 3 3 5 2 2" xfId="0"/>
    <cellStyle name="Normal 61 4 3 3 5 3" xfId="0"/>
    <cellStyle name="Normal 61 4 3 3 6" xfId="0"/>
    <cellStyle name="Normal 61 4 3 3 6 2" xfId="0"/>
    <cellStyle name="Normal 61 4 3 3 6 2 2" xfId="0"/>
    <cellStyle name="Normal 61 4 3 3 6 3" xfId="0"/>
    <cellStyle name="Normal 61 4 3 3 7" xfId="0"/>
    <cellStyle name="Normal 61 4 3 3 7 2" xfId="0"/>
    <cellStyle name="Normal 61 4 3 3 8" xfId="0"/>
    <cellStyle name="Normal 61 4 3 4" xfId="0"/>
    <cellStyle name="Normal 61 4 3 4 2" xfId="0"/>
    <cellStyle name="Normal 61 4 3 4 2 2" xfId="0"/>
    <cellStyle name="Normal 61 4 3 4 2 2 2" xfId="0"/>
    <cellStyle name="Normal 61 4 3 4 2 2 2 2" xfId="0"/>
    <cellStyle name="Normal 61 4 3 4 2 2 2 2 2" xfId="0"/>
    <cellStyle name="Normal 61 4 3 4 2 2 2 3" xfId="0"/>
    <cellStyle name="Normal 61 4 3 4 2 2 3" xfId="0"/>
    <cellStyle name="Normal 61 4 3 4 2 2 3 2" xfId="0"/>
    <cellStyle name="Normal 61 4 3 4 2 2 3 2 2" xfId="0"/>
    <cellStyle name="Normal 61 4 3 4 2 2 3 3" xfId="0"/>
    <cellStyle name="Normal 61 4 3 4 2 2 4" xfId="0"/>
    <cellStyle name="Normal 61 4 3 4 2 2 4 2" xfId="0"/>
    <cellStyle name="Normal 61 4 3 4 2 2 5" xfId="0"/>
    <cellStyle name="Normal 61 4 3 4 2 3" xfId="0"/>
    <cellStyle name="Normal 61 4 3 4 2 3 2" xfId="0"/>
    <cellStyle name="Normal 61 4 3 4 2 3 2 2" xfId="0"/>
    <cellStyle name="Normal 61 4 3 4 2 3 3" xfId="0"/>
    <cellStyle name="Normal 61 4 3 4 2 4" xfId="0"/>
    <cellStyle name="Normal 61 4 3 4 2 4 2" xfId="0"/>
    <cellStyle name="Normal 61 4 3 4 2 4 2 2" xfId="0"/>
    <cellStyle name="Normal 61 4 3 4 2 4 3" xfId="0"/>
    <cellStyle name="Normal 61 4 3 4 2 5" xfId="0"/>
    <cellStyle name="Normal 61 4 3 4 2 5 2" xfId="0"/>
    <cellStyle name="Normal 61 4 3 4 2 6" xfId="0"/>
    <cellStyle name="Normal 61 4 3 4 3" xfId="0"/>
    <cellStyle name="Normal 61 4 3 4 3 2" xfId="0"/>
    <cellStyle name="Normal 61 4 3 4 3 2 2" xfId="0"/>
    <cellStyle name="Normal 61 4 3 4 3 2 2 2" xfId="0"/>
    <cellStyle name="Normal 61 4 3 4 3 2 3" xfId="0"/>
    <cellStyle name="Normal 61 4 3 4 3 3" xfId="0"/>
    <cellStyle name="Normal 61 4 3 4 3 3 2" xfId="0"/>
    <cellStyle name="Normal 61 4 3 4 3 3 2 2" xfId="0"/>
    <cellStyle name="Normal 61 4 3 4 3 3 3" xfId="0"/>
    <cellStyle name="Normal 61 4 3 4 3 4" xfId="0"/>
    <cellStyle name="Normal 61 4 3 4 3 4 2" xfId="0"/>
    <cellStyle name="Normal 61 4 3 4 3 5" xfId="0"/>
    <cellStyle name="Normal 61 4 3 4 4" xfId="0"/>
    <cellStyle name="Normal 61 4 3 4 4 2" xfId="0"/>
    <cellStyle name="Normal 61 4 3 4 4 2 2" xfId="0"/>
    <cellStyle name="Normal 61 4 3 4 4 3" xfId="0"/>
    <cellStyle name="Normal 61 4 3 4 5" xfId="0"/>
    <cellStyle name="Normal 61 4 3 4 5 2" xfId="0"/>
    <cellStyle name="Normal 61 4 3 4 5 2 2" xfId="0"/>
    <cellStyle name="Normal 61 4 3 4 5 3" xfId="0"/>
    <cellStyle name="Normal 61 4 3 4 6" xfId="0"/>
    <cellStyle name="Normal 61 4 3 4 6 2" xfId="0"/>
    <cellStyle name="Normal 61 4 3 4 7" xfId="0"/>
    <cellStyle name="Normal 61 4 3 5" xfId="0"/>
    <cellStyle name="Normal 61 4 3 5 2" xfId="0"/>
    <cellStyle name="Normal 61 4 3 5 2 2" xfId="0"/>
    <cellStyle name="Normal 61 4 3 5 2 2 2" xfId="0"/>
    <cellStyle name="Normal 61 4 3 5 2 2 2 2" xfId="0"/>
    <cellStyle name="Normal 61 4 3 5 2 2 3" xfId="0"/>
    <cellStyle name="Normal 61 4 3 5 2 3" xfId="0"/>
    <cellStyle name="Normal 61 4 3 5 2 3 2" xfId="0"/>
    <cellStyle name="Normal 61 4 3 5 2 3 2 2" xfId="0"/>
    <cellStyle name="Normal 61 4 3 5 2 3 3" xfId="0"/>
    <cellStyle name="Normal 61 4 3 5 2 4" xfId="0"/>
    <cellStyle name="Normal 61 4 3 5 2 4 2" xfId="0"/>
    <cellStyle name="Normal 61 4 3 5 2 5" xfId="0"/>
    <cellStyle name="Normal 61 4 3 5 3" xfId="0"/>
    <cellStyle name="Normal 61 4 3 5 3 2" xfId="0"/>
    <cellStyle name="Normal 61 4 3 5 3 2 2" xfId="0"/>
    <cellStyle name="Normal 61 4 3 5 3 3" xfId="0"/>
    <cellStyle name="Normal 61 4 3 5 4" xfId="0"/>
    <cellStyle name="Normal 61 4 3 5 4 2" xfId="0"/>
    <cellStyle name="Normal 61 4 3 5 4 2 2" xfId="0"/>
    <cellStyle name="Normal 61 4 3 5 4 3" xfId="0"/>
    <cellStyle name="Normal 61 4 3 5 5" xfId="0"/>
    <cellStyle name="Normal 61 4 3 5 5 2" xfId="0"/>
    <cellStyle name="Normal 61 4 3 5 6" xfId="0"/>
    <cellStyle name="Normal 61 4 3 6" xfId="0"/>
    <cellStyle name="Normal 61 4 3 6 2" xfId="0"/>
    <cellStyle name="Normal 61 4 3 6 2 2" xfId="0"/>
    <cellStyle name="Normal 61 4 3 6 2 2 2" xfId="0"/>
    <cellStyle name="Normal 61 4 3 6 2 3" xfId="0"/>
    <cellStyle name="Normal 61 4 3 6 3" xfId="0"/>
    <cellStyle name="Normal 61 4 3 6 3 2" xfId="0"/>
    <cellStyle name="Normal 61 4 3 6 3 2 2" xfId="0"/>
    <cellStyle name="Normal 61 4 3 6 3 3" xfId="0"/>
    <cellStyle name="Normal 61 4 3 6 4" xfId="0"/>
    <cellStyle name="Normal 61 4 3 6 4 2" xfId="0"/>
    <cellStyle name="Normal 61 4 3 6 5" xfId="0"/>
    <cellStyle name="Normal 61 4 3 7" xfId="0"/>
    <cellStyle name="Normal 61 4 3 7 2" xfId="0"/>
    <cellStyle name="Normal 61 4 3 7 2 2" xfId="0"/>
    <cellStyle name="Normal 61 4 3 7 3" xfId="0"/>
    <cellStyle name="Normal 61 4 3 8" xfId="0"/>
    <cellStyle name="Normal 61 4 3 8 2" xfId="0"/>
    <cellStyle name="Normal 61 4 3 8 2 2" xfId="0"/>
    <cellStyle name="Normal 61 4 3 8 3" xfId="0"/>
    <cellStyle name="Normal 61 4 3 9" xfId="0"/>
    <cellStyle name="Normal 61 4 3 9 2" xfId="0"/>
    <cellStyle name="Normal 61 4 4" xfId="0"/>
    <cellStyle name="Normal 61 4 4 10" xfId="0"/>
    <cellStyle name="Normal 61 4 4 2" xfId="0"/>
    <cellStyle name="Normal 61 4 4 2 2" xfId="0"/>
    <cellStyle name="Normal 61 4 4 2 2 2" xfId="0"/>
    <cellStyle name="Normal 61 4 4 2 2 2 2" xfId="0"/>
    <cellStyle name="Normal 61 4 4 2 2 2 2 2" xfId="0"/>
    <cellStyle name="Normal 61 4 4 2 2 2 2 2 2" xfId="0"/>
    <cellStyle name="Normal 61 4 4 2 2 2 2 2 2 2" xfId="0"/>
    <cellStyle name="Normal 61 4 4 2 2 2 2 2 2 2 2" xfId="0"/>
    <cellStyle name="Normal 61 4 4 2 2 2 2 2 2 3" xfId="0"/>
    <cellStyle name="Normal 61 4 4 2 2 2 2 2 3" xfId="0"/>
    <cellStyle name="Normal 61 4 4 2 2 2 2 2 3 2" xfId="0"/>
    <cellStyle name="Normal 61 4 4 2 2 2 2 2 3 2 2" xfId="0"/>
    <cellStyle name="Normal 61 4 4 2 2 2 2 2 3 3" xfId="0"/>
    <cellStyle name="Normal 61 4 4 2 2 2 2 2 4" xfId="0"/>
    <cellStyle name="Normal 61 4 4 2 2 2 2 2 4 2" xfId="0"/>
    <cellStyle name="Normal 61 4 4 2 2 2 2 2 5" xfId="0"/>
    <cellStyle name="Normal 61 4 4 2 2 2 2 3" xfId="0"/>
    <cellStyle name="Normal 61 4 4 2 2 2 2 3 2" xfId="0"/>
    <cellStyle name="Normal 61 4 4 2 2 2 2 3 2 2" xfId="0"/>
    <cellStyle name="Normal 61 4 4 2 2 2 2 3 3" xfId="0"/>
    <cellStyle name="Normal 61 4 4 2 2 2 2 4" xfId="0"/>
    <cellStyle name="Normal 61 4 4 2 2 2 2 4 2" xfId="0"/>
    <cellStyle name="Normal 61 4 4 2 2 2 2 4 2 2" xfId="0"/>
    <cellStyle name="Normal 61 4 4 2 2 2 2 4 3" xfId="0"/>
    <cellStyle name="Normal 61 4 4 2 2 2 2 5" xfId="0"/>
    <cellStyle name="Normal 61 4 4 2 2 2 2 5 2" xfId="0"/>
    <cellStyle name="Normal 61 4 4 2 2 2 2 6" xfId="0"/>
    <cellStyle name="Normal 61 4 4 2 2 2 3" xfId="0"/>
    <cellStyle name="Normal 61 4 4 2 2 2 3 2" xfId="0"/>
    <cellStyle name="Normal 61 4 4 2 2 2 3 2 2" xfId="0"/>
    <cellStyle name="Normal 61 4 4 2 2 2 3 2 2 2" xfId="0"/>
    <cellStyle name="Normal 61 4 4 2 2 2 3 2 3" xfId="0"/>
    <cellStyle name="Normal 61 4 4 2 2 2 3 3" xfId="0"/>
    <cellStyle name="Normal 61 4 4 2 2 2 3 3 2" xfId="0"/>
    <cellStyle name="Normal 61 4 4 2 2 2 3 3 2 2" xfId="0"/>
    <cellStyle name="Normal 61 4 4 2 2 2 3 3 3" xfId="0"/>
    <cellStyle name="Normal 61 4 4 2 2 2 3 4" xfId="0"/>
    <cellStyle name="Normal 61 4 4 2 2 2 3 4 2" xfId="0"/>
    <cellStyle name="Normal 61 4 4 2 2 2 3 5" xfId="0"/>
    <cellStyle name="Normal 61 4 4 2 2 2 4" xfId="0"/>
    <cellStyle name="Normal 61 4 4 2 2 2 4 2" xfId="0"/>
    <cellStyle name="Normal 61 4 4 2 2 2 4 2 2" xfId="0"/>
    <cellStyle name="Normal 61 4 4 2 2 2 4 3" xfId="0"/>
    <cellStyle name="Normal 61 4 4 2 2 2 5" xfId="0"/>
    <cellStyle name="Normal 61 4 4 2 2 2 5 2" xfId="0"/>
    <cellStyle name="Normal 61 4 4 2 2 2 5 2 2" xfId="0"/>
    <cellStyle name="Normal 61 4 4 2 2 2 5 3" xfId="0"/>
    <cellStyle name="Normal 61 4 4 2 2 2 6" xfId="0"/>
    <cellStyle name="Normal 61 4 4 2 2 2 6 2" xfId="0"/>
    <cellStyle name="Normal 61 4 4 2 2 2 7" xfId="0"/>
    <cellStyle name="Normal 61 4 4 2 2 3" xfId="0"/>
    <cellStyle name="Normal 61 4 4 2 2 3 2" xfId="0"/>
    <cellStyle name="Normal 61 4 4 2 2 3 2 2" xfId="0"/>
    <cellStyle name="Normal 61 4 4 2 2 3 2 2 2" xfId="0"/>
    <cellStyle name="Normal 61 4 4 2 2 3 2 2 2 2" xfId="0"/>
    <cellStyle name="Normal 61 4 4 2 2 3 2 2 3" xfId="0"/>
    <cellStyle name="Normal 61 4 4 2 2 3 2 3" xfId="0"/>
    <cellStyle name="Normal 61 4 4 2 2 3 2 3 2" xfId="0"/>
    <cellStyle name="Normal 61 4 4 2 2 3 2 3 2 2" xfId="0"/>
    <cellStyle name="Normal 61 4 4 2 2 3 2 3 3" xfId="0"/>
    <cellStyle name="Normal 61 4 4 2 2 3 2 4" xfId="0"/>
    <cellStyle name="Normal 61 4 4 2 2 3 2 4 2" xfId="0"/>
    <cellStyle name="Normal 61 4 4 2 2 3 2 5" xfId="0"/>
    <cellStyle name="Normal 61 4 4 2 2 3 3" xfId="0"/>
    <cellStyle name="Normal 61 4 4 2 2 3 3 2" xfId="0"/>
    <cellStyle name="Normal 61 4 4 2 2 3 3 2 2" xfId="0"/>
    <cellStyle name="Normal 61 4 4 2 2 3 3 3" xfId="0"/>
    <cellStyle name="Normal 61 4 4 2 2 3 4" xfId="0"/>
    <cellStyle name="Normal 61 4 4 2 2 3 4 2" xfId="0"/>
    <cellStyle name="Normal 61 4 4 2 2 3 4 2 2" xfId="0"/>
    <cellStyle name="Normal 61 4 4 2 2 3 4 3" xfId="0"/>
    <cellStyle name="Normal 61 4 4 2 2 3 5" xfId="0"/>
    <cellStyle name="Normal 61 4 4 2 2 3 5 2" xfId="0"/>
    <cellStyle name="Normal 61 4 4 2 2 3 6" xfId="0"/>
    <cellStyle name="Normal 61 4 4 2 2 4" xfId="0"/>
    <cellStyle name="Normal 61 4 4 2 2 4 2" xfId="0"/>
    <cellStyle name="Normal 61 4 4 2 2 4 2 2" xfId="0"/>
    <cellStyle name="Normal 61 4 4 2 2 4 2 2 2" xfId="0"/>
    <cellStyle name="Normal 61 4 4 2 2 4 2 3" xfId="0"/>
    <cellStyle name="Normal 61 4 4 2 2 4 3" xfId="0"/>
    <cellStyle name="Normal 61 4 4 2 2 4 3 2" xfId="0"/>
    <cellStyle name="Normal 61 4 4 2 2 4 3 2 2" xfId="0"/>
    <cellStyle name="Normal 61 4 4 2 2 4 3 3" xfId="0"/>
    <cellStyle name="Normal 61 4 4 2 2 4 4" xfId="0"/>
    <cellStyle name="Normal 61 4 4 2 2 4 4 2" xfId="0"/>
    <cellStyle name="Normal 61 4 4 2 2 4 5" xfId="0"/>
    <cellStyle name="Normal 61 4 4 2 2 5" xfId="0"/>
    <cellStyle name="Normal 61 4 4 2 2 5 2" xfId="0"/>
    <cellStyle name="Normal 61 4 4 2 2 5 2 2" xfId="0"/>
    <cellStyle name="Normal 61 4 4 2 2 5 3" xfId="0"/>
    <cellStyle name="Normal 61 4 4 2 2 6" xfId="0"/>
    <cellStyle name="Normal 61 4 4 2 2 6 2" xfId="0"/>
    <cellStyle name="Normal 61 4 4 2 2 6 2 2" xfId="0"/>
    <cellStyle name="Normal 61 4 4 2 2 6 3" xfId="0"/>
    <cellStyle name="Normal 61 4 4 2 2 7" xfId="0"/>
    <cellStyle name="Normal 61 4 4 2 2 7 2" xfId="0"/>
    <cellStyle name="Normal 61 4 4 2 2 8" xfId="0"/>
    <cellStyle name="Normal 61 4 4 2 3" xfId="0"/>
    <cellStyle name="Normal 61 4 4 2 3 2" xfId="0"/>
    <cellStyle name="Normal 61 4 4 2 3 2 2" xfId="0"/>
    <cellStyle name="Normal 61 4 4 2 3 2 2 2" xfId="0"/>
    <cellStyle name="Normal 61 4 4 2 3 2 2 2 2" xfId="0"/>
    <cellStyle name="Normal 61 4 4 2 3 2 2 2 2 2" xfId="0"/>
    <cellStyle name="Normal 61 4 4 2 3 2 2 2 3" xfId="0"/>
    <cellStyle name="Normal 61 4 4 2 3 2 2 3" xfId="0"/>
    <cellStyle name="Normal 61 4 4 2 3 2 2 3 2" xfId="0"/>
    <cellStyle name="Normal 61 4 4 2 3 2 2 3 2 2" xfId="0"/>
    <cellStyle name="Normal 61 4 4 2 3 2 2 3 3" xfId="0"/>
    <cellStyle name="Normal 61 4 4 2 3 2 2 4" xfId="0"/>
    <cellStyle name="Normal 61 4 4 2 3 2 2 4 2" xfId="0"/>
    <cellStyle name="Normal 61 4 4 2 3 2 2 5" xfId="0"/>
    <cellStyle name="Normal 61 4 4 2 3 2 3" xfId="0"/>
    <cellStyle name="Normal 61 4 4 2 3 2 3 2" xfId="0"/>
    <cellStyle name="Normal 61 4 4 2 3 2 3 2 2" xfId="0"/>
    <cellStyle name="Normal 61 4 4 2 3 2 3 3" xfId="0"/>
    <cellStyle name="Normal 61 4 4 2 3 2 4" xfId="0"/>
    <cellStyle name="Normal 61 4 4 2 3 2 4 2" xfId="0"/>
    <cellStyle name="Normal 61 4 4 2 3 2 4 2 2" xfId="0"/>
    <cellStyle name="Normal 61 4 4 2 3 2 4 3" xfId="0"/>
    <cellStyle name="Normal 61 4 4 2 3 2 5" xfId="0"/>
    <cellStyle name="Normal 61 4 4 2 3 2 5 2" xfId="0"/>
    <cellStyle name="Normal 61 4 4 2 3 2 6" xfId="0"/>
    <cellStyle name="Normal 61 4 4 2 3 3" xfId="0"/>
    <cellStyle name="Normal 61 4 4 2 3 3 2" xfId="0"/>
    <cellStyle name="Normal 61 4 4 2 3 3 2 2" xfId="0"/>
    <cellStyle name="Normal 61 4 4 2 3 3 2 2 2" xfId="0"/>
    <cellStyle name="Normal 61 4 4 2 3 3 2 3" xfId="0"/>
    <cellStyle name="Normal 61 4 4 2 3 3 3" xfId="0"/>
    <cellStyle name="Normal 61 4 4 2 3 3 3 2" xfId="0"/>
    <cellStyle name="Normal 61 4 4 2 3 3 3 2 2" xfId="0"/>
    <cellStyle name="Normal 61 4 4 2 3 3 3 3" xfId="0"/>
    <cellStyle name="Normal 61 4 4 2 3 3 4" xfId="0"/>
    <cellStyle name="Normal 61 4 4 2 3 3 4 2" xfId="0"/>
    <cellStyle name="Normal 61 4 4 2 3 3 5" xfId="0"/>
    <cellStyle name="Normal 61 4 4 2 3 4" xfId="0"/>
    <cellStyle name="Normal 61 4 4 2 3 4 2" xfId="0"/>
    <cellStyle name="Normal 61 4 4 2 3 4 2 2" xfId="0"/>
    <cellStyle name="Normal 61 4 4 2 3 4 3" xfId="0"/>
    <cellStyle name="Normal 61 4 4 2 3 5" xfId="0"/>
    <cellStyle name="Normal 61 4 4 2 3 5 2" xfId="0"/>
    <cellStyle name="Normal 61 4 4 2 3 5 2 2" xfId="0"/>
    <cellStyle name="Normal 61 4 4 2 3 5 3" xfId="0"/>
    <cellStyle name="Normal 61 4 4 2 3 6" xfId="0"/>
    <cellStyle name="Normal 61 4 4 2 3 6 2" xfId="0"/>
    <cellStyle name="Normal 61 4 4 2 3 7" xfId="0"/>
    <cellStyle name="Normal 61 4 4 2 4" xfId="0"/>
    <cellStyle name="Normal 61 4 4 2 4 2" xfId="0"/>
    <cellStyle name="Normal 61 4 4 2 4 2 2" xfId="0"/>
    <cellStyle name="Normal 61 4 4 2 4 2 2 2" xfId="0"/>
    <cellStyle name="Normal 61 4 4 2 4 2 2 2 2" xfId="0"/>
    <cellStyle name="Normal 61 4 4 2 4 2 2 3" xfId="0"/>
    <cellStyle name="Normal 61 4 4 2 4 2 3" xfId="0"/>
    <cellStyle name="Normal 61 4 4 2 4 2 3 2" xfId="0"/>
    <cellStyle name="Normal 61 4 4 2 4 2 3 2 2" xfId="0"/>
    <cellStyle name="Normal 61 4 4 2 4 2 3 3" xfId="0"/>
    <cellStyle name="Normal 61 4 4 2 4 2 4" xfId="0"/>
    <cellStyle name="Normal 61 4 4 2 4 2 4 2" xfId="0"/>
    <cellStyle name="Normal 61 4 4 2 4 2 5" xfId="0"/>
    <cellStyle name="Normal 61 4 4 2 4 3" xfId="0"/>
    <cellStyle name="Normal 61 4 4 2 4 3 2" xfId="0"/>
    <cellStyle name="Normal 61 4 4 2 4 3 2 2" xfId="0"/>
    <cellStyle name="Normal 61 4 4 2 4 3 3" xfId="0"/>
    <cellStyle name="Normal 61 4 4 2 4 4" xfId="0"/>
    <cellStyle name="Normal 61 4 4 2 4 4 2" xfId="0"/>
    <cellStyle name="Normal 61 4 4 2 4 4 2 2" xfId="0"/>
    <cellStyle name="Normal 61 4 4 2 4 4 3" xfId="0"/>
    <cellStyle name="Normal 61 4 4 2 4 5" xfId="0"/>
    <cellStyle name="Normal 61 4 4 2 4 5 2" xfId="0"/>
    <cellStyle name="Normal 61 4 4 2 4 6" xfId="0"/>
    <cellStyle name="Normal 61 4 4 2 5" xfId="0"/>
    <cellStyle name="Normal 61 4 4 2 5 2" xfId="0"/>
    <cellStyle name="Normal 61 4 4 2 5 2 2" xfId="0"/>
    <cellStyle name="Normal 61 4 4 2 5 2 2 2" xfId="0"/>
    <cellStyle name="Normal 61 4 4 2 5 2 3" xfId="0"/>
    <cellStyle name="Normal 61 4 4 2 5 3" xfId="0"/>
    <cellStyle name="Normal 61 4 4 2 5 3 2" xfId="0"/>
    <cellStyle name="Normal 61 4 4 2 5 3 2 2" xfId="0"/>
    <cellStyle name="Normal 61 4 4 2 5 3 3" xfId="0"/>
    <cellStyle name="Normal 61 4 4 2 5 4" xfId="0"/>
    <cellStyle name="Normal 61 4 4 2 5 4 2" xfId="0"/>
    <cellStyle name="Normal 61 4 4 2 5 5" xfId="0"/>
    <cellStyle name="Normal 61 4 4 2 6" xfId="0"/>
    <cellStyle name="Normal 61 4 4 2 6 2" xfId="0"/>
    <cellStyle name="Normal 61 4 4 2 6 2 2" xfId="0"/>
    <cellStyle name="Normal 61 4 4 2 6 3" xfId="0"/>
    <cellStyle name="Normal 61 4 4 2 7" xfId="0"/>
    <cellStyle name="Normal 61 4 4 2 7 2" xfId="0"/>
    <cellStyle name="Normal 61 4 4 2 7 2 2" xfId="0"/>
    <cellStyle name="Normal 61 4 4 2 7 3" xfId="0"/>
    <cellStyle name="Normal 61 4 4 2 8" xfId="0"/>
    <cellStyle name="Normal 61 4 4 2 8 2" xfId="0"/>
    <cellStyle name="Normal 61 4 4 2 9" xfId="0"/>
    <cellStyle name="Normal 61 4 4 3" xfId="0"/>
    <cellStyle name="Normal 61 4 4 3 2" xfId="0"/>
    <cellStyle name="Normal 61 4 4 3 2 2" xfId="0"/>
    <cellStyle name="Normal 61 4 4 3 2 2 2" xfId="0"/>
    <cellStyle name="Normal 61 4 4 3 2 2 2 2" xfId="0"/>
    <cellStyle name="Normal 61 4 4 3 2 2 2 2 2" xfId="0"/>
    <cellStyle name="Normal 61 4 4 3 2 2 2 2 2 2" xfId="0"/>
    <cellStyle name="Normal 61 4 4 3 2 2 2 2 3" xfId="0"/>
    <cellStyle name="Normal 61 4 4 3 2 2 2 3" xfId="0"/>
    <cellStyle name="Normal 61 4 4 3 2 2 2 3 2" xfId="0"/>
    <cellStyle name="Normal 61 4 4 3 2 2 2 3 2 2" xfId="0"/>
    <cellStyle name="Normal 61 4 4 3 2 2 2 3 3" xfId="0"/>
    <cellStyle name="Normal 61 4 4 3 2 2 2 4" xfId="0"/>
    <cellStyle name="Normal 61 4 4 3 2 2 2 4 2" xfId="0"/>
    <cellStyle name="Normal 61 4 4 3 2 2 2 5" xfId="0"/>
    <cellStyle name="Normal 61 4 4 3 2 2 3" xfId="0"/>
    <cellStyle name="Normal 61 4 4 3 2 2 3 2" xfId="0"/>
    <cellStyle name="Normal 61 4 4 3 2 2 3 2 2" xfId="0"/>
    <cellStyle name="Normal 61 4 4 3 2 2 3 3" xfId="0"/>
    <cellStyle name="Normal 61 4 4 3 2 2 4" xfId="0"/>
    <cellStyle name="Normal 61 4 4 3 2 2 4 2" xfId="0"/>
    <cellStyle name="Normal 61 4 4 3 2 2 4 2 2" xfId="0"/>
    <cellStyle name="Normal 61 4 4 3 2 2 4 3" xfId="0"/>
    <cellStyle name="Normal 61 4 4 3 2 2 5" xfId="0"/>
    <cellStyle name="Normal 61 4 4 3 2 2 5 2" xfId="0"/>
    <cellStyle name="Normal 61 4 4 3 2 2 6" xfId="0"/>
    <cellStyle name="Normal 61 4 4 3 2 3" xfId="0"/>
    <cellStyle name="Normal 61 4 4 3 2 3 2" xfId="0"/>
    <cellStyle name="Normal 61 4 4 3 2 3 2 2" xfId="0"/>
    <cellStyle name="Normal 61 4 4 3 2 3 2 2 2" xfId="0"/>
    <cellStyle name="Normal 61 4 4 3 2 3 2 3" xfId="0"/>
    <cellStyle name="Normal 61 4 4 3 2 3 3" xfId="0"/>
    <cellStyle name="Normal 61 4 4 3 2 3 3 2" xfId="0"/>
    <cellStyle name="Normal 61 4 4 3 2 3 3 2 2" xfId="0"/>
    <cellStyle name="Normal 61 4 4 3 2 3 3 3" xfId="0"/>
    <cellStyle name="Normal 61 4 4 3 2 3 4" xfId="0"/>
    <cellStyle name="Normal 61 4 4 3 2 3 4 2" xfId="0"/>
    <cellStyle name="Normal 61 4 4 3 2 3 5" xfId="0"/>
    <cellStyle name="Normal 61 4 4 3 2 4" xfId="0"/>
    <cellStyle name="Normal 61 4 4 3 2 4 2" xfId="0"/>
    <cellStyle name="Normal 61 4 4 3 2 4 2 2" xfId="0"/>
    <cellStyle name="Normal 61 4 4 3 2 4 3" xfId="0"/>
    <cellStyle name="Normal 61 4 4 3 2 5" xfId="0"/>
    <cellStyle name="Normal 61 4 4 3 2 5 2" xfId="0"/>
    <cellStyle name="Normal 61 4 4 3 2 5 2 2" xfId="0"/>
    <cellStyle name="Normal 61 4 4 3 2 5 3" xfId="0"/>
    <cellStyle name="Normal 61 4 4 3 2 6" xfId="0"/>
    <cellStyle name="Normal 61 4 4 3 2 6 2" xfId="0"/>
    <cellStyle name="Normal 61 4 4 3 2 7" xfId="0"/>
    <cellStyle name="Normal 61 4 4 3 3" xfId="0"/>
    <cellStyle name="Normal 61 4 4 3 3 2" xfId="0"/>
    <cellStyle name="Normal 61 4 4 3 3 2 2" xfId="0"/>
    <cellStyle name="Normal 61 4 4 3 3 2 2 2" xfId="0"/>
    <cellStyle name="Normal 61 4 4 3 3 2 2 2 2" xfId="0"/>
    <cellStyle name="Normal 61 4 4 3 3 2 2 3" xfId="0"/>
    <cellStyle name="Normal 61 4 4 3 3 2 3" xfId="0"/>
    <cellStyle name="Normal 61 4 4 3 3 2 3 2" xfId="0"/>
    <cellStyle name="Normal 61 4 4 3 3 2 3 2 2" xfId="0"/>
    <cellStyle name="Normal 61 4 4 3 3 2 3 3" xfId="0"/>
    <cellStyle name="Normal 61 4 4 3 3 2 4" xfId="0"/>
    <cellStyle name="Normal 61 4 4 3 3 2 4 2" xfId="0"/>
    <cellStyle name="Normal 61 4 4 3 3 2 5" xfId="0"/>
    <cellStyle name="Normal 61 4 4 3 3 3" xfId="0"/>
    <cellStyle name="Normal 61 4 4 3 3 3 2" xfId="0"/>
    <cellStyle name="Normal 61 4 4 3 3 3 2 2" xfId="0"/>
    <cellStyle name="Normal 61 4 4 3 3 3 3" xfId="0"/>
    <cellStyle name="Normal 61 4 4 3 3 4" xfId="0"/>
    <cellStyle name="Normal 61 4 4 3 3 4 2" xfId="0"/>
    <cellStyle name="Normal 61 4 4 3 3 4 2 2" xfId="0"/>
    <cellStyle name="Normal 61 4 4 3 3 4 3" xfId="0"/>
    <cellStyle name="Normal 61 4 4 3 3 5" xfId="0"/>
    <cellStyle name="Normal 61 4 4 3 3 5 2" xfId="0"/>
    <cellStyle name="Normal 61 4 4 3 3 6" xfId="0"/>
    <cellStyle name="Normal 61 4 4 3 4" xfId="0"/>
    <cellStyle name="Normal 61 4 4 3 4 2" xfId="0"/>
    <cellStyle name="Normal 61 4 4 3 4 2 2" xfId="0"/>
    <cellStyle name="Normal 61 4 4 3 4 2 2 2" xfId="0"/>
    <cellStyle name="Normal 61 4 4 3 4 2 3" xfId="0"/>
    <cellStyle name="Normal 61 4 4 3 4 3" xfId="0"/>
    <cellStyle name="Normal 61 4 4 3 4 3 2" xfId="0"/>
    <cellStyle name="Normal 61 4 4 3 4 3 2 2" xfId="0"/>
    <cellStyle name="Normal 61 4 4 3 4 3 3" xfId="0"/>
    <cellStyle name="Normal 61 4 4 3 4 4" xfId="0"/>
    <cellStyle name="Normal 61 4 4 3 4 4 2" xfId="0"/>
    <cellStyle name="Normal 61 4 4 3 4 5" xfId="0"/>
    <cellStyle name="Normal 61 4 4 3 5" xfId="0"/>
    <cellStyle name="Normal 61 4 4 3 5 2" xfId="0"/>
    <cellStyle name="Normal 61 4 4 3 5 2 2" xfId="0"/>
    <cellStyle name="Normal 61 4 4 3 5 3" xfId="0"/>
    <cellStyle name="Normal 61 4 4 3 6" xfId="0"/>
    <cellStyle name="Normal 61 4 4 3 6 2" xfId="0"/>
    <cellStyle name="Normal 61 4 4 3 6 2 2" xfId="0"/>
    <cellStyle name="Normal 61 4 4 3 6 3" xfId="0"/>
    <cellStyle name="Normal 61 4 4 3 7" xfId="0"/>
    <cellStyle name="Normal 61 4 4 3 7 2" xfId="0"/>
    <cellStyle name="Normal 61 4 4 3 8" xfId="0"/>
    <cellStyle name="Normal 61 4 4 4" xfId="0"/>
    <cellStyle name="Normal 61 4 4 4 2" xfId="0"/>
    <cellStyle name="Normal 61 4 4 4 2 2" xfId="0"/>
    <cellStyle name="Normal 61 4 4 4 2 2 2" xfId="0"/>
    <cellStyle name="Normal 61 4 4 4 2 2 2 2" xfId="0"/>
    <cellStyle name="Normal 61 4 4 4 2 2 2 2 2" xfId="0"/>
    <cellStyle name="Normal 61 4 4 4 2 2 2 3" xfId="0"/>
    <cellStyle name="Normal 61 4 4 4 2 2 3" xfId="0"/>
    <cellStyle name="Normal 61 4 4 4 2 2 3 2" xfId="0"/>
    <cellStyle name="Normal 61 4 4 4 2 2 3 2 2" xfId="0"/>
    <cellStyle name="Normal 61 4 4 4 2 2 3 3" xfId="0"/>
    <cellStyle name="Normal 61 4 4 4 2 2 4" xfId="0"/>
    <cellStyle name="Normal 61 4 4 4 2 2 4 2" xfId="0"/>
    <cellStyle name="Normal 61 4 4 4 2 2 5" xfId="0"/>
    <cellStyle name="Normal 61 4 4 4 2 3" xfId="0"/>
    <cellStyle name="Normal 61 4 4 4 2 3 2" xfId="0"/>
    <cellStyle name="Normal 61 4 4 4 2 3 2 2" xfId="0"/>
    <cellStyle name="Normal 61 4 4 4 2 3 3" xfId="0"/>
    <cellStyle name="Normal 61 4 4 4 2 4" xfId="0"/>
    <cellStyle name="Normal 61 4 4 4 2 4 2" xfId="0"/>
    <cellStyle name="Normal 61 4 4 4 2 4 2 2" xfId="0"/>
    <cellStyle name="Normal 61 4 4 4 2 4 3" xfId="0"/>
    <cellStyle name="Normal 61 4 4 4 2 5" xfId="0"/>
    <cellStyle name="Normal 61 4 4 4 2 5 2" xfId="0"/>
    <cellStyle name="Normal 61 4 4 4 2 6" xfId="0"/>
    <cellStyle name="Normal 61 4 4 4 3" xfId="0"/>
    <cellStyle name="Normal 61 4 4 4 3 2" xfId="0"/>
    <cellStyle name="Normal 61 4 4 4 3 2 2" xfId="0"/>
    <cellStyle name="Normal 61 4 4 4 3 2 2 2" xfId="0"/>
    <cellStyle name="Normal 61 4 4 4 3 2 3" xfId="0"/>
    <cellStyle name="Normal 61 4 4 4 3 3" xfId="0"/>
    <cellStyle name="Normal 61 4 4 4 3 3 2" xfId="0"/>
    <cellStyle name="Normal 61 4 4 4 3 3 2 2" xfId="0"/>
    <cellStyle name="Normal 61 4 4 4 3 3 3" xfId="0"/>
    <cellStyle name="Normal 61 4 4 4 3 4" xfId="0"/>
    <cellStyle name="Normal 61 4 4 4 3 4 2" xfId="0"/>
    <cellStyle name="Normal 61 4 4 4 3 5" xfId="0"/>
    <cellStyle name="Normal 61 4 4 4 4" xfId="0"/>
    <cellStyle name="Normal 61 4 4 4 4 2" xfId="0"/>
    <cellStyle name="Normal 61 4 4 4 4 2 2" xfId="0"/>
    <cellStyle name="Normal 61 4 4 4 4 3" xfId="0"/>
    <cellStyle name="Normal 61 4 4 4 5" xfId="0"/>
    <cellStyle name="Normal 61 4 4 4 5 2" xfId="0"/>
    <cellStyle name="Normal 61 4 4 4 5 2 2" xfId="0"/>
    <cellStyle name="Normal 61 4 4 4 5 3" xfId="0"/>
    <cellStyle name="Normal 61 4 4 4 6" xfId="0"/>
    <cellStyle name="Normal 61 4 4 4 6 2" xfId="0"/>
    <cellStyle name="Normal 61 4 4 4 7" xfId="0"/>
    <cellStyle name="Normal 61 4 4 5" xfId="0"/>
    <cellStyle name="Normal 61 4 4 5 2" xfId="0"/>
    <cellStyle name="Normal 61 4 4 5 2 2" xfId="0"/>
    <cellStyle name="Normal 61 4 4 5 2 2 2" xfId="0"/>
    <cellStyle name="Normal 61 4 4 5 2 2 2 2" xfId="0"/>
    <cellStyle name="Normal 61 4 4 5 2 2 3" xfId="0"/>
    <cellStyle name="Normal 61 4 4 5 2 3" xfId="0"/>
    <cellStyle name="Normal 61 4 4 5 2 3 2" xfId="0"/>
    <cellStyle name="Normal 61 4 4 5 2 3 2 2" xfId="0"/>
    <cellStyle name="Normal 61 4 4 5 2 3 3" xfId="0"/>
    <cellStyle name="Normal 61 4 4 5 2 4" xfId="0"/>
    <cellStyle name="Normal 61 4 4 5 2 4 2" xfId="0"/>
    <cellStyle name="Normal 61 4 4 5 2 5" xfId="0"/>
    <cellStyle name="Normal 61 4 4 5 3" xfId="0"/>
    <cellStyle name="Normal 61 4 4 5 3 2" xfId="0"/>
    <cellStyle name="Normal 61 4 4 5 3 2 2" xfId="0"/>
    <cellStyle name="Normal 61 4 4 5 3 3" xfId="0"/>
    <cellStyle name="Normal 61 4 4 5 4" xfId="0"/>
    <cellStyle name="Normal 61 4 4 5 4 2" xfId="0"/>
    <cellStyle name="Normal 61 4 4 5 4 2 2" xfId="0"/>
    <cellStyle name="Normal 61 4 4 5 4 3" xfId="0"/>
    <cellStyle name="Normal 61 4 4 5 5" xfId="0"/>
    <cellStyle name="Normal 61 4 4 5 5 2" xfId="0"/>
    <cellStyle name="Normal 61 4 4 5 6" xfId="0"/>
    <cellStyle name="Normal 61 4 4 6" xfId="0"/>
    <cellStyle name="Normal 61 4 4 6 2" xfId="0"/>
    <cellStyle name="Normal 61 4 4 6 2 2" xfId="0"/>
    <cellStyle name="Normal 61 4 4 6 2 2 2" xfId="0"/>
    <cellStyle name="Normal 61 4 4 6 2 3" xfId="0"/>
    <cellStyle name="Normal 61 4 4 6 3" xfId="0"/>
    <cellStyle name="Normal 61 4 4 6 3 2" xfId="0"/>
    <cellStyle name="Normal 61 4 4 6 3 2 2" xfId="0"/>
    <cellStyle name="Normal 61 4 4 6 3 3" xfId="0"/>
    <cellStyle name="Normal 61 4 4 6 4" xfId="0"/>
    <cellStyle name="Normal 61 4 4 6 4 2" xfId="0"/>
    <cellStyle name="Normal 61 4 4 6 5" xfId="0"/>
    <cellStyle name="Normal 61 4 4 7" xfId="0"/>
    <cellStyle name="Normal 61 4 4 7 2" xfId="0"/>
    <cellStyle name="Normal 61 4 4 7 2 2" xfId="0"/>
    <cellStyle name="Normal 61 4 4 7 3" xfId="0"/>
    <cellStyle name="Normal 61 4 4 8" xfId="0"/>
    <cellStyle name="Normal 61 4 4 8 2" xfId="0"/>
    <cellStyle name="Normal 61 4 4 8 2 2" xfId="0"/>
    <cellStyle name="Normal 61 4 4 8 3" xfId="0"/>
    <cellStyle name="Normal 61 4 4 9" xfId="0"/>
    <cellStyle name="Normal 61 4 4 9 2" xfId="0"/>
    <cellStyle name="Normal 61 4 5" xfId="0"/>
    <cellStyle name="Normal 61 4 5 2" xfId="0"/>
    <cellStyle name="Normal 61 4 5 2 2" xfId="0"/>
    <cellStyle name="Normal 61 4 5 2 2 2" xfId="0"/>
    <cellStyle name="Normal 61 4 5 2 2 2 2" xfId="0"/>
    <cellStyle name="Normal 61 4 5 2 2 2 2 2" xfId="0"/>
    <cellStyle name="Normal 61 4 5 2 2 2 2 2 2" xfId="0"/>
    <cellStyle name="Normal 61 4 5 2 2 2 2 2 2 2" xfId="0"/>
    <cellStyle name="Normal 61 4 5 2 2 2 2 2 3" xfId="0"/>
    <cellStyle name="Normal 61 4 5 2 2 2 2 3" xfId="0"/>
    <cellStyle name="Normal 61 4 5 2 2 2 2 3 2" xfId="0"/>
    <cellStyle name="Normal 61 4 5 2 2 2 2 3 2 2" xfId="0"/>
    <cellStyle name="Normal 61 4 5 2 2 2 2 3 3" xfId="0"/>
    <cellStyle name="Normal 61 4 5 2 2 2 2 4" xfId="0"/>
    <cellStyle name="Normal 61 4 5 2 2 2 2 4 2" xfId="0"/>
    <cellStyle name="Normal 61 4 5 2 2 2 2 5" xfId="0"/>
    <cellStyle name="Normal 61 4 5 2 2 2 3" xfId="0"/>
    <cellStyle name="Normal 61 4 5 2 2 2 3 2" xfId="0"/>
    <cellStyle name="Normal 61 4 5 2 2 2 3 2 2" xfId="0"/>
    <cellStyle name="Normal 61 4 5 2 2 2 3 3" xfId="0"/>
    <cellStyle name="Normal 61 4 5 2 2 2 4" xfId="0"/>
    <cellStyle name="Normal 61 4 5 2 2 2 4 2" xfId="0"/>
    <cellStyle name="Normal 61 4 5 2 2 2 4 2 2" xfId="0"/>
    <cellStyle name="Normal 61 4 5 2 2 2 4 3" xfId="0"/>
    <cellStyle name="Normal 61 4 5 2 2 2 5" xfId="0"/>
    <cellStyle name="Normal 61 4 5 2 2 2 5 2" xfId="0"/>
    <cellStyle name="Normal 61 4 5 2 2 2 6" xfId="0"/>
    <cellStyle name="Normal 61 4 5 2 2 3" xfId="0"/>
    <cellStyle name="Normal 61 4 5 2 2 3 2" xfId="0"/>
    <cellStyle name="Normal 61 4 5 2 2 3 2 2" xfId="0"/>
    <cellStyle name="Normal 61 4 5 2 2 3 2 2 2" xfId="0"/>
    <cellStyle name="Normal 61 4 5 2 2 3 2 3" xfId="0"/>
    <cellStyle name="Normal 61 4 5 2 2 3 3" xfId="0"/>
    <cellStyle name="Normal 61 4 5 2 2 3 3 2" xfId="0"/>
    <cellStyle name="Normal 61 4 5 2 2 3 3 2 2" xfId="0"/>
    <cellStyle name="Normal 61 4 5 2 2 3 3 3" xfId="0"/>
    <cellStyle name="Normal 61 4 5 2 2 3 4" xfId="0"/>
    <cellStyle name="Normal 61 4 5 2 2 3 4 2" xfId="0"/>
    <cellStyle name="Normal 61 4 5 2 2 3 5" xfId="0"/>
    <cellStyle name="Normal 61 4 5 2 2 4" xfId="0"/>
    <cellStyle name="Normal 61 4 5 2 2 4 2" xfId="0"/>
    <cellStyle name="Normal 61 4 5 2 2 4 2 2" xfId="0"/>
    <cellStyle name="Normal 61 4 5 2 2 4 3" xfId="0"/>
    <cellStyle name="Normal 61 4 5 2 2 5" xfId="0"/>
    <cellStyle name="Normal 61 4 5 2 2 5 2" xfId="0"/>
    <cellStyle name="Normal 61 4 5 2 2 5 2 2" xfId="0"/>
    <cellStyle name="Normal 61 4 5 2 2 5 3" xfId="0"/>
    <cellStyle name="Normal 61 4 5 2 2 6" xfId="0"/>
    <cellStyle name="Normal 61 4 5 2 2 6 2" xfId="0"/>
    <cellStyle name="Normal 61 4 5 2 2 7" xfId="0"/>
    <cellStyle name="Normal 61 4 5 2 3" xfId="0"/>
    <cellStyle name="Normal 61 4 5 2 3 2" xfId="0"/>
    <cellStyle name="Normal 61 4 5 2 3 2 2" xfId="0"/>
    <cellStyle name="Normal 61 4 5 2 3 2 2 2" xfId="0"/>
    <cellStyle name="Normal 61 4 5 2 3 2 2 2 2" xfId="0"/>
    <cellStyle name="Normal 61 4 5 2 3 2 2 3" xfId="0"/>
    <cellStyle name="Normal 61 4 5 2 3 2 3" xfId="0"/>
    <cellStyle name="Normal 61 4 5 2 3 2 3 2" xfId="0"/>
    <cellStyle name="Normal 61 4 5 2 3 2 3 2 2" xfId="0"/>
    <cellStyle name="Normal 61 4 5 2 3 2 3 3" xfId="0"/>
    <cellStyle name="Normal 61 4 5 2 3 2 4" xfId="0"/>
    <cellStyle name="Normal 61 4 5 2 3 2 4 2" xfId="0"/>
    <cellStyle name="Normal 61 4 5 2 3 2 5" xfId="0"/>
    <cellStyle name="Normal 61 4 5 2 3 3" xfId="0"/>
    <cellStyle name="Normal 61 4 5 2 3 3 2" xfId="0"/>
    <cellStyle name="Normal 61 4 5 2 3 3 2 2" xfId="0"/>
    <cellStyle name="Normal 61 4 5 2 3 3 3" xfId="0"/>
    <cellStyle name="Normal 61 4 5 2 3 4" xfId="0"/>
    <cellStyle name="Normal 61 4 5 2 3 4 2" xfId="0"/>
    <cellStyle name="Normal 61 4 5 2 3 4 2 2" xfId="0"/>
    <cellStyle name="Normal 61 4 5 2 3 4 3" xfId="0"/>
    <cellStyle name="Normal 61 4 5 2 3 5" xfId="0"/>
    <cellStyle name="Normal 61 4 5 2 3 5 2" xfId="0"/>
    <cellStyle name="Normal 61 4 5 2 3 6" xfId="0"/>
    <cellStyle name="Normal 61 4 5 2 4" xfId="0"/>
    <cellStyle name="Normal 61 4 5 2 4 2" xfId="0"/>
    <cellStyle name="Normal 61 4 5 2 4 2 2" xfId="0"/>
    <cellStyle name="Normal 61 4 5 2 4 2 2 2" xfId="0"/>
    <cellStyle name="Normal 61 4 5 2 4 2 3" xfId="0"/>
    <cellStyle name="Normal 61 4 5 2 4 3" xfId="0"/>
    <cellStyle name="Normal 61 4 5 2 4 3 2" xfId="0"/>
    <cellStyle name="Normal 61 4 5 2 4 3 2 2" xfId="0"/>
    <cellStyle name="Normal 61 4 5 2 4 3 3" xfId="0"/>
    <cellStyle name="Normal 61 4 5 2 4 4" xfId="0"/>
    <cellStyle name="Normal 61 4 5 2 4 4 2" xfId="0"/>
    <cellStyle name="Normal 61 4 5 2 4 5" xfId="0"/>
    <cellStyle name="Normal 61 4 5 2 5" xfId="0"/>
    <cellStyle name="Normal 61 4 5 2 5 2" xfId="0"/>
    <cellStyle name="Normal 61 4 5 2 5 2 2" xfId="0"/>
    <cellStyle name="Normal 61 4 5 2 5 3" xfId="0"/>
    <cellStyle name="Normal 61 4 5 2 6" xfId="0"/>
    <cellStyle name="Normal 61 4 5 2 6 2" xfId="0"/>
    <cellStyle name="Normal 61 4 5 2 6 2 2" xfId="0"/>
    <cellStyle name="Normal 61 4 5 2 6 3" xfId="0"/>
    <cellStyle name="Normal 61 4 5 2 7" xfId="0"/>
    <cellStyle name="Normal 61 4 5 2 7 2" xfId="0"/>
    <cellStyle name="Normal 61 4 5 2 8" xfId="0"/>
    <cellStyle name="Normal 61 4 5 3" xfId="0"/>
    <cellStyle name="Normal 61 4 5 3 2" xfId="0"/>
    <cellStyle name="Normal 61 4 5 3 2 2" xfId="0"/>
    <cellStyle name="Normal 61 4 5 3 2 2 2" xfId="0"/>
    <cellStyle name="Normal 61 4 5 3 2 2 2 2" xfId="0"/>
    <cellStyle name="Normal 61 4 5 3 2 2 2 2 2" xfId="0"/>
    <cellStyle name="Normal 61 4 5 3 2 2 2 3" xfId="0"/>
    <cellStyle name="Normal 61 4 5 3 2 2 3" xfId="0"/>
    <cellStyle name="Normal 61 4 5 3 2 2 3 2" xfId="0"/>
    <cellStyle name="Normal 61 4 5 3 2 2 3 2 2" xfId="0"/>
    <cellStyle name="Normal 61 4 5 3 2 2 3 3" xfId="0"/>
    <cellStyle name="Normal 61 4 5 3 2 2 4" xfId="0"/>
    <cellStyle name="Normal 61 4 5 3 2 2 4 2" xfId="0"/>
    <cellStyle name="Normal 61 4 5 3 2 2 5" xfId="0"/>
    <cellStyle name="Normal 61 4 5 3 2 3" xfId="0"/>
    <cellStyle name="Normal 61 4 5 3 2 3 2" xfId="0"/>
    <cellStyle name="Normal 61 4 5 3 2 3 2 2" xfId="0"/>
    <cellStyle name="Normal 61 4 5 3 2 3 3" xfId="0"/>
    <cellStyle name="Normal 61 4 5 3 2 4" xfId="0"/>
    <cellStyle name="Normal 61 4 5 3 2 4 2" xfId="0"/>
    <cellStyle name="Normal 61 4 5 3 2 4 2 2" xfId="0"/>
    <cellStyle name="Normal 61 4 5 3 2 4 3" xfId="0"/>
    <cellStyle name="Normal 61 4 5 3 2 5" xfId="0"/>
    <cellStyle name="Normal 61 4 5 3 2 5 2" xfId="0"/>
    <cellStyle name="Normal 61 4 5 3 2 6" xfId="0"/>
    <cellStyle name="Normal 61 4 5 3 3" xfId="0"/>
    <cellStyle name="Normal 61 4 5 3 3 2" xfId="0"/>
    <cellStyle name="Normal 61 4 5 3 3 2 2" xfId="0"/>
    <cellStyle name="Normal 61 4 5 3 3 2 2 2" xfId="0"/>
    <cellStyle name="Normal 61 4 5 3 3 2 3" xfId="0"/>
    <cellStyle name="Normal 61 4 5 3 3 3" xfId="0"/>
    <cellStyle name="Normal 61 4 5 3 3 3 2" xfId="0"/>
    <cellStyle name="Normal 61 4 5 3 3 3 2 2" xfId="0"/>
    <cellStyle name="Normal 61 4 5 3 3 3 3" xfId="0"/>
    <cellStyle name="Normal 61 4 5 3 3 4" xfId="0"/>
    <cellStyle name="Normal 61 4 5 3 3 4 2" xfId="0"/>
    <cellStyle name="Normal 61 4 5 3 3 5" xfId="0"/>
    <cellStyle name="Normal 61 4 5 3 4" xfId="0"/>
    <cellStyle name="Normal 61 4 5 3 4 2" xfId="0"/>
    <cellStyle name="Normal 61 4 5 3 4 2 2" xfId="0"/>
    <cellStyle name="Normal 61 4 5 3 4 3" xfId="0"/>
    <cellStyle name="Normal 61 4 5 3 5" xfId="0"/>
    <cellStyle name="Normal 61 4 5 3 5 2" xfId="0"/>
    <cellStyle name="Normal 61 4 5 3 5 2 2" xfId="0"/>
    <cellStyle name="Normal 61 4 5 3 5 3" xfId="0"/>
    <cellStyle name="Normal 61 4 5 3 6" xfId="0"/>
    <cellStyle name="Normal 61 4 5 3 6 2" xfId="0"/>
    <cellStyle name="Normal 61 4 5 3 7" xfId="0"/>
    <cellStyle name="Normal 61 4 5 4" xfId="0"/>
    <cellStyle name="Normal 61 4 5 4 2" xfId="0"/>
    <cellStyle name="Normal 61 4 5 4 2 2" xfId="0"/>
    <cellStyle name="Normal 61 4 5 4 2 2 2" xfId="0"/>
    <cellStyle name="Normal 61 4 5 4 2 2 2 2" xfId="0"/>
    <cellStyle name="Normal 61 4 5 4 2 2 3" xfId="0"/>
    <cellStyle name="Normal 61 4 5 4 2 3" xfId="0"/>
    <cellStyle name="Normal 61 4 5 4 2 3 2" xfId="0"/>
    <cellStyle name="Normal 61 4 5 4 2 3 2 2" xfId="0"/>
    <cellStyle name="Normal 61 4 5 4 2 3 3" xfId="0"/>
    <cellStyle name="Normal 61 4 5 4 2 4" xfId="0"/>
    <cellStyle name="Normal 61 4 5 4 2 4 2" xfId="0"/>
    <cellStyle name="Normal 61 4 5 4 2 5" xfId="0"/>
    <cellStyle name="Normal 61 4 5 4 3" xfId="0"/>
    <cellStyle name="Normal 61 4 5 4 3 2" xfId="0"/>
    <cellStyle name="Normal 61 4 5 4 3 2 2" xfId="0"/>
    <cellStyle name="Normal 61 4 5 4 3 3" xfId="0"/>
    <cellStyle name="Normal 61 4 5 4 4" xfId="0"/>
    <cellStyle name="Normal 61 4 5 4 4 2" xfId="0"/>
    <cellStyle name="Normal 61 4 5 4 4 2 2" xfId="0"/>
    <cellStyle name="Normal 61 4 5 4 4 3" xfId="0"/>
    <cellStyle name="Normal 61 4 5 4 5" xfId="0"/>
    <cellStyle name="Normal 61 4 5 4 5 2" xfId="0"/>
    <cellStyle name="Normal 61 4 5 4 6" xfId="0"/>
    <cellStyle name="Normal 61 4 5 5" xfId="0"/>
    <cellStyle name="Normal 61 4 5 5 2" xfId="0"/>
    <cellStyle name="Normal 61 4 5 5 2 2" xfId="0"/>
    <cellStyle name="Normal 61 4 5 5 2 2 2" xfId="0"/>
    <cellStyle name="Normal 61 4 5 5 2 3" xfId="0"/>
    <cellStyle name="Normal 61 4 5 5 3" xfId="0"/>
    <cellStyle name="Normal 61 4 5 5 3 2" xfId="0"/>
    <cellStyle name="Normal 61 4 5 5 3 2 2" xfId="0"/>
    <cellStyle name="Normal 61 4 5 5 3 3" xfId="0"/>
    <cellStyle name="Normal 61 4 5 5 4" xfId="0"/>
    <cellStyle name="Normal 61 4 5 5 4 2" xfId="0"/>
    <cellStyle name="Normal 61 4 5 5 5" xfId="0"/>
    <cellStyle name="Normal 61 4 5 6" xfId="0"/>
    <cellStyle name="Normal 61 4 5 6 2" xfId="0"/>
    <cellStyle name="Normal 61 4 5 6 2 2" xfId="0"/>
    <cellStyle name="Normal 61 4 5 6 3" xfId="0"/>
    <cellStyle name="Normal 61 4 5 7" xfId="0"/>
    <cellStyle name="Normal 61 4 5 7 2" xfId="0"/>
    <cellStyle name="Normal 61 4 5 7 2 2" xfId="0"/>
    <cellStyle name="Normal 61 4 5 7 3" xfId="0"/>
    <cellStyle name="Normal 61 4 5 8" xfId="0"/>
    <cellStyle name="Normal 61 4 5 8 2" xfId="0"/>
    <cellStyle name="Normal 61 4 5 9" xfId="0"/>
    <cellStyle name="Normal 61 4 6" xfId="0"/>
    <cellStyle name="Normal 61 4 6 2" xfId="0"/>
    <cellStyle name="Normal 61 4 6 2 2" xfId="0"/>
    <cellStyle name="Normal 61 4 6 2 2 2" xfId="0"/>
    <cellStyle name="Normal 61 4 6 2 2 2 2" xfId="0"/>
    <cellStyle name="Normal 61 4 6 2 2 2 2 2" xfId="0"/>
    <cellStyle name="Normal 61 4 6 2 2 2 2 2 2" xfId="0"/>
    <cellStyle name="Normal 61 4 6 2 2 2 2 3" xfId="0"/>
    <cellStyle name="Normal 61 4 6 2 2 2 3" xfId="0"/>
    <cellStyle name="Normal 61 4 6 2 2 2 3 2" xfId="0"/>
    <cellStyle name="Normal 61 4 6 2 2 2 3 2 2" xfId="0"/>
    <cellStyle name="Normal 61 4 6 2 2 2 3 3" xfId="0"/>
    <cellStyle name="Normal 61 4 6 2 2 2 4" xfId="0"/>
    <cellStyle name="Normal 61 4 6 2 2 2 4 2" xfId="0"/>
    <cellStyle name="Normal 61 4 6 2 2 2 5" xfId="0"/>
    <cellStyle name="Normal 61 4 6 2 2 3" xfId="0"/>
    <cellStyle name="Normal 61 4 6 2 2 3 2" xfId="0"/>
    <cellStyle name="Normal 61 4 6 2 2 3 2 2" xfId="0"/>
    <cellStyle name="Normal 61 4 6 2 2 3 3" xfId="0"/>
    <cellStyle name="Normal 61 4 6 2 2 4" xfId="0"/>
    <cellStyle name="Normal 61 4 6 2 2 4 2" xfId="0"/>
    <cellStyle name="Normal 61 4 6 2 2 4 2 2" xfId="0"/>
    <cellStyle name="Normal 61 4 6 2 2 4 3" xfId="0"/>
    <cellStyle name="Normal 61 4 6 2 2 5" xfId="0"/>
    <cellStyle name="Normal 61 4 6 2 2 5 2" xfId="0"/>
    <cellStyle name="Normal 61 4 6 2 2 6" xfId="0"/>
    <cellStyle name="Normal 61 4 6 2 3" xfId="0"/>
    <cellStyle name="Normal 61 4 6 2 3 2" xfId="0"/>
    <cellStyle name="Normal 61 4 6 2 3 2 2" xfId="0"/>
    <cellStyle name="Normal 61 4 6 2 3 2 2 2" xfId="0"/>
    <cellStyle name="Normal 61 4 6 2 3 2 3" xfId="0"/>
    <cellStyle name="Normal 61 4 6 2 3 3" xfId="0"/>
    <cellStyle name="Normal 61 4 6 2 3 3 2" xfId="0"/>
    <cellStyle name="Normal 61 4 6 2 3 3 2 2" xfId="0"/>
    <cellStyle name="Normal 61 4 6 2 3 3 3" xfId="0"/>
    <cellStyle name="Normal 61 4 6 2 3 4" xfId="0"/>
    <cellStyle name="Normal 61 4 6 2 3 4 2" xfId="0"/>
    <cellStyle name="Normal 61 4 6 2 3 5" xfId="0"/>
    <cellStyle name="Normal 61 4 6 2 4" xfId="0"/>
    <cellStyle name="Normal 61 4 6 2 4 2" xfId="0"/>
    <cellStyle name="Normal 61 4 6 2 4 2 2" xfId="0"/>
    <cellStyle name="Normal 61 4 6 2 4 3" xfId="0"/>
    <cellStyle name="Normal 61 4 6 2 5" xfId="0"/>
    <cellStyle name="Normal 61 4 6 2 5 2" xfId="0"/>
    <cellStyle name="Normal 61 4 6 2 5 2 2" xfId="0"/>
    <cellStyle name="Normal 61 4 6 2 5 3" xfId="0"/>
    <cellStyle name="Normal 61 4 6 2 6" xfId="0"/>
    <cellStyle name="Normal 61 4 6 2 6 2" xfId="0"/>
    <cellStyle name="Normal 61 4 6 2 7" xfId="0"/>
    <cellStyle name="Normal 61 4 6 3" xfId="0"/>
    <cellStyle name="Normal 61 4 6 3 2" xfId="0"/>
    <cellStyle name="Normal 61 4 6 3 2 2" xfId="0"/>
    <cellStyle name="Normal 61 4 6 3 2 2 2" xfId="0"/>
    <cellStyle name="Normal 61 4 6 3 2 2 2 2" xfId="0"/>
    <cellStyle name="Normal 61 4 6 3 2 2 3" xfId="0"/>
    <cellStyle name="Normal 61 4 6 3 2 3" xfId="0"/>
    <cellStyle name="Normal 61 4 6 3 2 3 2" xfId="0"/>
    <cellStyle name="Normal 61 4 6 3 2 3 2 2" xfId="0"/>
    <cellStyle name="Normal 61 4 6 3 2 3 3" xfId="0"/>
    <cellStyle name="Normal 61 4 6 3 2 4" xfId="0"/>
    <cellStyle name="Normal 61 4 6 3 2 4 2" xfId="0"/>
    <cellStyle name="Normal 61 4 6 3 2 5" xfId="0"/>
    <cellStyle name="Normal 61 4 6 3 3" xfId="0"/>
    <cellStyle name="Normal 61 4 6 3 3 2" xfId="0"/>
    <cellStyle name="Normal 61 4 6 3 3 2 2" xfId="0"/>
    <cellStyle name="Normal 61 4 6 3 3 3" xfId="0"/>
    <cellStyle name="Normal 61 4 6 3 4" xfId="0"/>
    <cellStyle name="Normal 61 4 6 3 4 2" xfId="0"/>
    <cellStyle name="Normal 61 4 6 3 4 2 2" xfId="0"/>
    <cellStyle name="Normal 61 4 6 3 4 3" xfId="0"/>
    <cellStyle name="Normal 61 4 6 3 5" xfId="0"/>
    <cellStyle name="Normal 61 4 6 3 5 2" xfId="0"/>
    <cellStyle name="Normal 61 4 6 3 6" xfId="0"/>
    <cellStyle name="Normal 61 4 6 4" xfId="0"/>
    <cellStyle name="Normal 61 4 6 4 2" xfId="0"/>
    <cellStyle name="Normal 61 4 6 4 2 2" xfId="0"/>
    <cellStyle name="Normal 61 4 6 4 2 2 2" xfId="0"/>
    <cellStyle name="Normal 61 4 6 4 2 3" xfId="0"/>
    <cellStyle name="Normal 61 4 6 4 3" xfId="0"/>
    <cellStyle name="Normal 61 4 6 4 3 2" xfId="0"/>
    <cellStyle name="Normal 61 4 6 4 3 2 2" xfId="0"/>
    <cellStyle name="Normal 61 4 6 4 3 3" xfId="0"/>
    <cellStyle name="Normal 61 4 6 4 4" xfId="0"/>
    <cellStyle name="Normal 61 4 6 4 4 2" xfId="0"/>
    <cellStyle name="Normal 61 4 6 4 5" xfId="0"/>
    <cellStyle name="Normal 61 4 6 5" xfId="0"/>
    <cellStyle name="Normal 61 4 6 5 2" xfId="0"/>
    <cellStyle name="Normal 61 4 6 5 2 2" xfId="0"/>
    <cellStyle name="Normal 61 4 6 5 3" xfId="0"/>
    <cellStyle name="Normal 61 4 6 6" xfId="0"/>
    <cellStyle name="Normal 61 4 6 6 2" xfId="0"/>
    <cellStyle name="Normal 61 4 6 6 2 2" xfId="0"/>
    <cellStyle name="Normal 61 4 6 6 3" xfId="0"/>
    <cellStyle name="Normal 61 4 6 7" xfId="0"/>
    <cellStyle name="Normal 61 4 6 7 2" xfId="0"/>
    <cellStyle name="Normal 61 4 6 8" xfId="0"/>
    <cellStyle name="Normal 61 4 7" xfId="0"/>
    <cellStyle name="Normal 61 4 7 2" xfId="0"/>
    <cellStyle name="Normal 61 4 7 2 2" xfId="0"/>
    <cellStyle name="Normal 61 4 7 2 2 2" xfId="0"/>
    <cellStyle name="Normal 61 4 7 2 2 2 2" xfId="0"/>
    <cellStyle name="Normal 61 4 7 2 2 2 2 2" xfId="0"/>
    <cellStyle name="Normal 61 4 7 2 2 2 3" xfId="0"/>
    <cellStyle name="Normal 61 4 7 2 2 3" xfId="0"/>
    <cellStyle name="Normal 61 4 7 2 2 3 2" xfId="0"/>
    <cellStyle name="Normal 61 4 7 2 2 3 2 2" xfId="0"/>
    <cellStyle name="Normal 61 4 7 2 2 3 3" xfId="0"/>
    <cellStyle name="Normal 61 4 7 2 2 4" xfId="0"/>
    <cellStyle name="Normal 61 4 7 2 2 4 2" xfId="0"/>
    <cellStyle name="Normal 61 4 7 2 2 5" xfId="0"/>
    <cellStyle name="Normal 61 4 7 2 3" xfId="0"/>
    <cellStyle name="Normal 61 4 7 2 3 2" xfId="0"/>
    <cellStyle name="Normal 61 4 7 2 3 2 2" xfId="0"/>
    <cellStyle name="Normal 61 4 7 2 3 3" xfId="0"/>
    <cellStyle name="Normal 61 4 7 2 4" xfId="0"/>
    <cellStyle name="Normal 61 4 7 2 4 2" xfId="0"/>
    <cellStyle name="Normal 61 4 7 2 4 2 2" xfId="0"/>
    <cellStyle name="Normal 61 4 7 2 4 3" xfId="0"/>
    <cellStyle name="Normal 61 4 7 2 5" xfId="0"/>
    <cellStyle name="Normal 61 4 7 2 5 2" xfId="0"/>
    <cellStyle name="Normal 61 4 7 2 6" xfId="0"/>
    <cellStyle name="Normal 61 4 7 3" xfId="0"/>
    <cellStyle name="Normal 61 4 7 3 2" xfId="0"/>
    <cellStyle name="Normal 61 4 7 3 2 2" xfId="0"/>
    <cellStyle name="Normal 61 4 7 3 2 2 2" xfId="0"/>
    <cellStyle name="Normal 61 4 7 3 2 3" xfId="0"/>
    <cellStyle name="Normal 61 4 7 3 3" xfId="0"/>
    <cellStyle name="Normal 61 4 7 3 3 2" xfId="0"/>
    <cellStyle name="Normal 61 4 7 3 3 2 2" xfId="0"/>
    <cellStyle name="Normal 61 4 7 3 3 3" xfId="0"/>
    <cellStyle name="Normal 61 4 7 3 4" xfId="0"/>
    <cellStyle name="Normal 61 4 7 3 4 2" xfId="0"/>
    <cellStyle name="Normal 61 4 7 3 5" xfId="0"/>
    <cellStyle name="Normal 61 4 7 4" xfId="0"/>
    <cellStyle name="Normal 61 4 7 4 2" xfId="0"/>
    <cellStyle name="Normal 61 4 7 4 2 2" xfId="0"/>
    <cellStyle name="Normal 61 4 7 4 3" xfId="0"/>
    <cellStyle name="Normal 61 4 7 5" xfId="0"/>
    <cellStyle name="Normal 61 4 7 5 2" xfId="0"/>
    <cellStyle name="Normal 61 4 7 5 2 2" xfId="0"/>
    <cellStyle name="Normal 61 4 7 5 3" xfId="0"/>
    <cellStyle name="Normal 61 4 7 6" xfId="0"/>
    <cellStyle name="Normal 61 4 7 6 2" xfId="0"/>
    <cellStyle name="Normal 61 4 7 7" xfId="0"/>
    <cellStyle name="Normal 61 4 8" xfId="0"/>
    <cellStyle name="Normal 61 4 8 2" xfId="0"/>
    <cellStyle name="Normal 61 4 8 2 2" xfId="0"/>
    <cellStyle name="Normal 61 4 8 2 2 2" xfId="0"/>
    <cellStyle name="Normal 61 4 8 2 2 2 2" xfId="0"/>
    <cellStyle name="Normal 61 4 8 2 2 3" xfId="0"/>
    <cellStyle name="Normal 61 4 8 2 3" xfId="0"/>
    <cellStyle name="Normal 61 4 8 2 3 2" xfId="0"/>
    <cellStyle name="Normal 61 4 8 2 3 2 2" xfId="0"/>
    <cellStyle name="Normal 61 4 8 2 3 3" xfId="0"/>
    <cellStyle name="Normal 61 4 8 2 4" xfId="0"/>
    <cellStyle name="Normal 61 4 8 2 4 2" xfId="0"/>
    <cellStyle name="Normal 61 4 8 2 5" xfId="0"/>
    <cellStyle name="Normal 61 4 8 3" xfId="0"/>
    <cellStyle name="Normal 61 4 8 3 2" xfId="0"/>
    <cellStyle name="Normal 61 4 8 3 2 2" xfId="0"/>
    <cellStyle name="Normal 61 4 8 3 3" xfId="0"/>
    <cellStyle name="Normal 61 4 8 4" xfId="0"/>
    <cellStyle name="Normal 61 4 8 4 2" xfId="0"/>
    <cellStyle name="Normal 61 4 8 4 2 2" xfId="0"/>
    <cellStyle name="Normal 61 4 8 4 3" xfId="0"/>
    <cellStyle name="Normal 61 4 8 5" xfId="0"/>
    <cellStyle name="Normal 61 4 8 5 2" xfId="0"/>
    <cellStyle name="Normal 61 4 8 6" xfId="0"/>
    <cellStyle name="Normal 61 4 9" xfId="0"/>
    <cellStyle name="Normal 61 4 9 2" xfId="0"/>
    <cellStyle name="Normal 61 4 9 2 2" xfId="0"/>
    <cellStyle name="Normal 61 4 9 2 2 2" xfId="0"/>
    <cellStyle name="Normal 61 4 9 2 3" xfId="0"/>
    <cellStyle name="Normal 61 4 9 3" xfId="0"/>
    <cellStyle name="Normal 61 4 9 3 2" xfId="0"/>
    <cellStyle name="Normal 61 4 9 3 2 2" xfId="0"/>
    <cellStyle name="Normal 61 4 9 3 3" xfId="0"/>
    <cellStyle name="Normal 61 4 9 4" xfId="0"/>
    <cellStyle name="Normal 61 4 9 4 2" xfId="0"/>
    <cellStyle name="Normal 61 4 9 5" xfId="0"/>
    <cellStyle name="Normal 61 5" xfId="0"/>
    <cellStyle name="Normal 61 5 10" xfId="0"/>
    <cellStyle name="Normal 61 5 10 2" xfId="0"/>
    <cellStyle name="Normal 61 5 10 2 2" xfId="0"/>
    <cellStyle name="Normal 61 5 10 3" xfId="0"/>
    <cellStyle name="Normal 61 5 11" xfId="0"/>
    <cellStyle name="Normal 61 5 11 2" xfId="0"/>
    <cellStyle name="Normal 61 5 11 2 2" xfId="0"/>
    <cellStyle name="Normal 61 5 11 3" xfId="0"/>
    <cellStyle name="Normal 61 5 12" xfId="0"/>
    <cellStyle name="Normal 61 5 12 2" xfId="0"/>
    <cellStyle name="Normal 61 5 13" xfId="0"/>
    <cellStyle name="Normal 61 5 2" xfId="0"/>
    <cellStyle name="Normal 61 5 2 10" xfId="0"/>
    <cellStyle name="Normal 61 5 2 10 2" xfId="0"/>
    <cellStyle name="Normal 61 5 2 10 2 2" xfId="0"/>
    <cellStyle name="Normal 61 5 2 10 3" xfId="0"/>
    <cellStyle name="Normal 61 5 2 11" xfId="0"/>
    <cellStyle name="Normal 61 5 2 11 2" xfId="0"/>
    <cellStyle name="Normal 61 5 2 12" xfId="0"/>
    <cellStyle name="Normal 61 5 2 2" xfId="0"/>
    <cellStyle name="Normal 61 5 2 2 10" xfId="0"/>
    <cellStyle name="Normal 61 5 2 2 2" xfId="0"/>
    <cellStyle name="Normal 61 5 2 2 2 2" xfId="0"/>
    <cellStyle name="Normal 61 5 2 2 2 2 2" xfId="0"/>
    <cellStyle name="Normal 61 5 2 2 2 2 2 2" xfId="0"/>
    <cellStyle name="Normal 61 5 2 2 2 2 2 2 2" xfId="0"/>
    <cellStyle name="Normal 61 5 2 2 2 2 2 2 2 2" xfId="0"/>
    <cellStyle name="Normal 61 5 2 2 2 2 2 2 2 2 2" xfId="0"/>
    <cellStyle name="Normal 61 5 2 2 2 2 2 2 2 2 2 2" xfId="0"/>
    <cellStyle name="Normal 61 5 2 2 2 2 2 2 2 2 3" xfId="0"/>
    <cellStyle name="Normal 61 5 2 2 2 2 2 2 2 3" xfId="0"/>
    <cellStyle name="Normal 61 5 2 2 2 2 2 2 2 3 2" xfId="0"/>
    <cellStyle name="Normal 61 5 2 2 2 2 2 2 2 3 2 2" xfId="0"/>
    <cellStyle name="Normal 61 5 2 2 2 2 2 2 2 3 3" xfId="0"/>
    <cellStyle name="Normal 61 5 2 2 2 2 2 2 2 4" xfId="0"/>
    <cellStyle name="Normal 61 5 2 2 2 2 2 2 2 4 2" xfId="0"/>
    <cellStyle name="Normal 61 5 2 2 2 2 2 2 2 5" xfId="0"/>
    <cellStyle name="Normal 61 5 2 2 2 2 2 2 3" xfId="0"/>
    <cellStyle name="Normal 61 5 2 2 2 2 2 2 3 2" xfId="0"/>
    <cellStyle name="Normal 61 5 2 2 2 2 2 2 3 2 2" xfId="0"/>
    <cellStyle name="Normal 61 5 2 2 2 2 2 2 3 3" xfId="0"/>
    <cellStyle name="Normal 61 5 2 2 2 2 2 2 4" xfId="0"/>
    <cellStyle name="Normal 61 5 2 2 2 2 2 2 4 2" xfId="0"/>
    <cellStyle name="Normal 61 5 2 2 2 2 2 2 4 2 2" xfId="0"/>
    <cellStyle name="Normal 61 5 2 2 2 2 2 2 4 3" xfId="0"/>
    <cellStyle name="Normal 61 5 2 2 2 2 2 2 5" xfId="0"/>
    <cellStyle name="Normal 61 5 2 2 2 2 2 2 5 2" xfId="0"/>
    <cellStyle name="Normal 61 5 2 2 2 2 2 2 6" xfId="0"/>
    <cellStyle name="Normal 61 5 2 2 2 2 2 3" xfId="0"/>
    <cellStyle name="Normal 61 5 2 2 2 2 2 3 2" xfId="0"/>
    <cellStyle name="Normal 61 5 2 2 2 2 2 3 2 2" xfId="0"/>
    <cellStyle name="Normal 61 5 2 2 2 2 2 3 2 2 2" xfId="0"/>
    <cellStyle name="Normal 61 5 2 2 2 2 2 3 2 3" xfId="0"/>
    <cellStyle name="Normal 61 5 2 2 2 2 2 3 3" xfId="0"/>
    <cellStyle name="Normal 61 5 2 2 2 2 2 3 3 2" xfId="0"/>
    <cellStyle name="Normal 61 5 2 2 2 2 2 3 3 2 2" xfId="0"/>
    <cellStyle name="Normal 61 5 2 2 2 2 2 3 3 3" xfId="0"/>
    <cellStyle name="Normal 61 5 2 2 2 2 2 3 4" xfId="0"/>
    <cellStyle name="Normal 61 5 2 2 2 2 2 3 4 2" xfId="0"/>
    <cellStyle name="Normal 61 5 2 2 2 2 2 3 5" xfId="0"/>
    <cellStyle name="Normal 61 5 2 2 2 2 2 4" xfId="0"/>
    <cellStyle name="Normal 61 5 2 2 2 2 2 4 2" xfId="0"/>
    <cellStyle name="Normal 61 5 2 2 2 2 2 4 2 2" xfId="0"/>
    <cellStyle name="Normal 61 5 2 2 2 2 2 4 3" xfId="0"/>
    <cellStyle name="Normal 61 5 2 2 2 2 2 5" xfId="0"/>
    <cellStyle name="Normal 61 5 2 2 2 2 2 5 2" xfId="0"/>
    <cellStyle name="Normal 61 5 2 2 2 2 2 5 2 2" xfId="0"/>
    <cellStyle name="Normal 61 5 2 2 2 2 2 5 3" xfId="0"/>
    <cellStyle name="Normal 61 5 2 2 2 2 2 6" xfId="0"/>
    <cellStyle name="Normal 61 5 2 2 2 2 2 6 2" xfId="0"/>
    <cellStyle name="Normal 61 5 2 2 2 2 2 7" xfId="0"/>
    <cellStyle name="Normal 61 5 2 2 2 2 3" xfId="0"/>
    <cellStyle name="Normal 61 5 2 2 2 2 3 2" xfId="0"/>
    <cellStyle name="Normal 61 5 2 2 2 2 3 2 2" xfId="0"/>
    <cellStyle name="Normal 61 5 2 2 2 2 3 2 2 2" xfId="0"/>
    <cellStyle name="Normal 61 5 2 2 2 2 3 2 2 2 2" xfId="0"/>
    <cellStyle name="Normal 61 5 2 2 2 2 3 2 2 3" xfId="0"/>
    <cellStyle name="Normal 61 5 2 2 2 2 3 2 3" xfId="0"/>
    <cellStyle name="Normal 61 5 2 2 2 2 3 2 3 2" xfId="0"/>
    <cellStyle name="Normal 61 5 2 2 2 2 3 2 3 2 2" xfId="0"/>
    <cellStyle name="Normal 61 5 2 2 2 2 3 2 3 3" xfId="0"/>
    <cellStyle name="Normal 61 5 2 2 2 2 3 2 4" xfId="0"/>
    <cellStyle name="Normal 61 5 2 2 2 2 3 2 4 2" xfId="0"/>
    <cellStyle name="Normal 61 5 2 2 2 2 3 2 5" xfId="0"/>
    <cellStyle name="Normal 61 5 2 2 2 2 3 3" xfId="0"/>
    <cellStyle name="Normal 61 5 2 2 2 2 3 3 2" xfId="0"/>
    <cellStyle name="Normal 61 5 2 2 2 2 3 3 2 2" xfId="0"/>
    <cellStyle name="Normal 61 5 2 2 2 2 3 3 3" xfId="0"/>
    <cellStyle name="Normal 61 5 2 2 2 2 3 4" xfId="0"/>
    <cellStyle name="Normal 61 5 2 2 2 2 3 4 2" xfId="0"/>
    <cellStyle name="Normal 61 5 2 2 2 2 3 4 2 2" xfId="0"/>
    <cellStyle name="Normal 61 5 2 2 2 2 3 4 3" xfId="0"/>
    <cellStyle name="Normal 61 5 2 2 2 2 3 5" xfId="0"/>
    <cellStyle name="Normal 61 5 2 2 2 2 3 5 2" xfId="0"/>
    <cellStyle name="Normal 61 5 2 2 2 2 3 6" xfId="0"/>
    <cellStyle name="Normal 61 5 2 2 2 2 4" xfId="0"/>
    <cellStyle name="Normal 61 5 2 2 2 2 4 2" xfId="0"/>
    <cellStyle name="Normal 61 5 2 2 2 2 4 2 2" xfId="0"/>
    <cellStyle name="Normal 61 5 2 2 2 2 4 2 2 2" xfId="0"/>
    <cellStyle name="Normal 61 5 2 2 2 2 4 2 3" xfId="0"/>
    <cellStyle name="Normal 61 5 2 2 2 2 4 3" xfId="0"/>
    <cellStyle name="Normal 61 5 2 2 2 2 4 3 2" xfId="0"/>
    <cellStyle name="Normal 61 5 2 2 2 2 4 3 2 2" xfId="0"/>
    <cellStyle name="Normal 61 5 2 2 2 2 4 3 3" xfId="0"/>
    <cellStyle name="Normal 61 5 2 2 2 2 4 4" xfId="0"/>
    <cellStyle name="Normal 61 5 2 2 2 2 4 4 2" xfId="0"/>
    <cellStyle name="Normal 61 5 2 2 2 2 4 5" xfId="0"/>
    <cellStyle name="Normal 61 5 2 2 2 2 5" xfId="0"/>
    <cellStyle name="Normal 61 5 2 2 2 2 5 2" xfId="0"/>
    <cellStyle name="Normal 61 5 2 2 2 2 5 2 2" xfId="0"/>
    <cellStyle name="Normal 61 5 2 2 2 2 5 3" xfId="0"/>
    <cellStyle name="Normal 61 5 2 2 2 2 6" xfId="0"/>
    <cellStyle name="Normal 61 5 2 2 2 2 6 2" xfId="0"/>
    <cellStyle name="Normal 61 5 2 2 2 2 6 2 2" xfId="0"/>
    <cellStyle name="Normal 61 5 2 2 2 2 6 3" xfId="0"/>
    <cellStyle name="Normal 61 5 2 2 2 2 7" xfId="0"/>
    <cellStyle name="Normal 61 5 2 2 2 2 7 2" xfId="0"/>
    <cellStyle name="Normal 61 5 2 2 2 2 8" xfId="0"/>
    <cellStyle name="Normal 61 5 2 2 2 3" xfId="0"/>
    <cellStyle name="Normal 61 5 2 2 2 3 2" xfId="0"/>
    <cellStyle name="Normal 61 5 2 2 2 3 2 2" xfId="0"/>
    <cellStyle name="Normal 61 5 2 2 2 3 2 2 2" xfId="0"/>
    <cellStyle name="Normal 61 5 2 2 2 3 2 2 2 2" xfId="0"/>
    <cellStyle name="Normal 61 5 2 2 2 3 2 2 2 2 2" xfId="0"/>
    <cellStyle name="Normal 61 5 2 2 2 3 2 2 2 3" xfId="0"/>
    <cellStyle name="Normal 61 5 2 2 2 3 2 2 3" xfId="0"/>
    <cellStyle name="Normal 61 5 2 2 2 3 2 2 3 2" xfId="0"/>
    <cellStyle name="Normal 61 5 2 2 2 3 2 2 3 2 2" xfId="0"/>
    <cellStyle name="Normal 61 5 2 2 2 3 2 2 3 3" xfId="0"/>
    <cellStyle name="Normal 61 5 2 2 2 3 2 2 4" xfId="0"/>
    <cellStyle name="Normal 61 5 2 2 2 3 2 2 4 2" xfId="0"/>
    <cellStyle name="Normal 61 5 2 2 2 3 2 2 5" xfId="0"/>
    <cellStyle name="Normal 61 5 2 2 2 3 2 3" xfId="0"/>
    <cellStyle name="Normal 61 5 2 2 2 3 2 3 2" xfId="0"/>
    <cellStyle name="Normal 61 5 2 2 2 3 2 3 2 2" xfId="0"/>
    <cellStyle name="Normal 61 5 2 2 2 3 2 3 3" xfId="0"/>
    <cellStyle name="Normal 61 5 2 2 2 3 2 4" xfId="0"/>
    <cellStyle name="Normal 61 5 2 2 2 3 2 4 2" xfId="0"/>
    <cellStyle name="Normal 61 5 2 2 2 3 2 4 2 2" xfId="0"/>
    <cellStyle name="Normal 61 5 2 2 2 3 2 4 3" xfId="0"/>
    <cellStyle name="Normal 61 5 2 2 2 3 2 5" xfId="0"/>
    <cellStyle name="Normal 61 5 2 2 2 3 2 5 2" xfId="0"/>
    <cellStyle name="Normal 61 5 2 2 2 3 2 6" xfId="0"/>
    <cellStyle name="Normal 61 5 2 2 2 3 3" xfId="0"/>
    <cellStyle name="Normal 61 5 2 2 2 3 3 2" xfId="0"/>
    <cellStyle name="Normal 61 5 2 2 2 3 3 2 2" xfId="0"/>
    <cellStyle name="Normal 61 5 2 2 2 3 3 2 2 2" xfId="0"/>
    <cellStyle name="Normal 61 5 2 2 2 3 3 2 3" xfId="0"/>
    <cellStyle name="Normal 61 5 2 2 2 3 3 3" xfId="0"/>
    <cellStyle name="Normal 61 5 2 2 2 3 3 3 2" xfId="0"/>
    <cellStyle name="Normal 61 5 2 2 2 3 3 3 2 2" xfId="0"/>
    <cellStyle name="Normal 61 5 2 2 2 3 3 3 3" xfId="0"/>
    <cellStyle name="Normal 61 5 2 2 2 3 3 4" xfId="0"/>
    <cellStyle name="Normal 61 5 2 2 2 3 3 4 2" xfId="0"/>
    <cellStyle name="Normal 61 5 2 2 2 3 3 5" xfId="0"/>
    <cellStyle name="Normal 61 5 2 2 2 3 4" xfId="0"/>
    <cellStyle name="Normal 61 5 2 2 2 3 4 2" xfId="0"/>
    <cellStyle name="Normal 61 5 2 2 2 3 4 2 2" xfId="0"/>
    <cellStyle name="Normal 61 5 2 2 2 3 4 3" xfId="0"/>
    <cellStyle name="Normal 61 5 2 2 2 3 5" xfId="0"/>
    <cellStyle name="Normal 61 5 2 2 2 3 5 2" xfId="0"/>
    <cellStyle name="Normal 61 5 2 2 2 3 5 2 2" xfId="0"/>
    <cellStyle name="Normal 61 5 2 2 2 3 5 3" xfId="0"/>
    <cellStyle name="Normal 61 5 2 2 2 3 6" xfId="0"/>
    <cellStyle name="Normal 61 5 2 2 2 3 6 2" xfId="0"/>
    <cellStyle name="Normal 61 5 2 2 2 3 7" xfId="0"/>
    <cellStyle name="Normal 61 5 2 2 2 4" xfId="0"/>
    <cellStyle name="Normal 61 5 2 2 2 4 2" xfId="0"/>
    <cellStyle name="Normal 61 5 2 2 2 4 2 2" xfId="0"/>
    <cellStyle name="Normal 61 5 2 2 2 4 2 2 2" xfId="0"/>
    <cellStyle name="Normal 61 5 2 2 2 4 2 2 2 2" xfId="0"/>
    <cellStyle name="Normal 61 5 2 2 2 4 2 2 3" xfId="0"/>
    <cellStyle name="Normal 61 5 2 2 2 4 2 3" xfId="0"/>
    <cellStyle name="Normal 61 5 2 2 2 4 2 3 2" xfId="0"/>
    <cellStyle name="Normal 61 5 2 2 2 4 2 3 2 2" xfId="0"/>
    <cellStyle name="Normal 61 5 2 2 2 4 2 3 3" xfId="0"/>
    <cellStyle name="Normal 61 5 2 2 2 4 2 4" xfId="0"/>
    <cellStyle name="Normal 61 5 2 2 2 4 2 4 2" xfId="0"/>
    <cellStyle name="Normal 61 5 2 2 2 4 2 5" xfId="0"/>
    <cellStyle name="Normal 61 5 2 2 2 4 3" xfId="0"/>
    <cellStyle name="Normal 61 5 2 2 2 4 3 2" xfId="0"/>
    <cellStyle name="Normal 61 5 2 2 2 4 3 2 2" xfId="0"/>
    <cellStyle name="Normal 61 5 2 2 2 4 3 3" xfId="0"/>
    <cellStyle name="Normal 61 5 2 2 2 4 4" xfId="0"/>
    <cellStyle name="Normal 61 5 2 2 2 4 4 2" xfId="0"/>
    <cellStyle name="Normal 61 5 2 2 2 4 4 2 2" xfId="0"/>
    <cellStyle name="Normal 61 5 2 2 2 4 4 3" xfId="0"/>
    <cellStyle name="Normal 61 5 2 2 2 4 5" xfId="0"/>
    <cellStyle name="Normal 61 5 2 2 2 4 5 2" xfId="0"/>
    <cellStyle name="Normal 61 5 2 2 2 4 6" xfId="0"/>
    <cellStyle name="Normal 61 5 2 2 2 5" xfId="0"/>
    <cellStyle name="Normal 61 5 2 2 2 5 2" xfId="0"/>
    <cellStyle name="Normal 61 5 2 2 2 5 2 2" xfId="0"/>
    <cellStyle name="Normal 61 5 2 2 2 5 2 2 2" xfId="0"/>
    <cellStyle name="Normal 61 5 2 2 2 5 2 3" xfId="0"/>
    <cellStyle name="Normal 61 5 2 2 2 5 3" xfId="0"/>
    <cellStyle name="Normal 61 5 2 2 2 5 3 2" xfId="0"/>
    <cellStyle name="Normal 61 5 2 2 2 5 3 2 2" xfId="0"/>
    <cellStyle name="Normal 61 5 2 2 2 5 3 3" xfId="0"/>
    <cellStyle name="Normal 61 5 2 2 2 5 4" xfId="0"/>
    <cellStyle name="Normal 61 5 2 2 2 5 4 2" xfId="0"/>
    <cellStyle name="Normal 61 5 2 2 2 5 5" xfId="0"/>
    <cellStyle name="Normal 61 5 2 2 2 6" xfId="0"/>
    <cellStyle name="Normal 61 5 2 2 2 6 2" xfId="0"/>
    <cellStyle name="Normal 61 5 2 2 2 6 2 2" xfId="0"/>
    <cellStyle name="Normal 61 5 2 2 2 6 3" xfId="0"/>
    <cellStyle name="Normal 61 5 2 2 2 7" xfId="0"/>
    <cellStyle name="Normal 61 5 2 2 2 7 2" xfId="0"/>
    <cellStyle name="Normal 61 5 2 2 2 7 2 2" xfId="0"/>
    <cellStyle name="Normal 61 5 2 2 2 7 3" xfId="0"/>
    <cellStyle name="Normal 61 5 2 2 2 8" xfId="0"/>
    <cellStyle name="Normal 61 5 2 2 2 8 2" xfId="0"/>
    <cellStyle name="Normal 61 5 2 2 2 9" xfId="0"/>
    <cellStyle name="Normal 61 5 2 2 3" xfId="0"/>
    <cellStyle name="Normal 61 5 2 2 3 2" xfId="0"/>
    <cellStyle name="Normal 61 5 2 2 3 2 2" xfId="0"/>
    <cellStyle name="Normal 61 5 2 2 3 2 2 2" xfId="0"/>
    <cellStyle name="Normal 61 5 2 2 3 2 2 2 2" xfId="0"/>
    <cellStyle name="Normal 61 5 2 2 3 2 2 2 2 2" xfId="0"/>
    <cellStyle name="Normal 61 5 2 2 3 2 2 2 2 2 2" xfId="0"/>
    <cellStyle name="Normal 61 5 2 2 3 2 2 2 2 3" xfId="0"/>
    <cellStyle name="Normal 61 5 2 2 3 2 2 2 3" xfId="0"/>
    <cellStyle name="Normal 61 5 2 2 3 2 2 2 3 2" xfId="0"/>
    <cellStyle name="Normal 61 5 2 2 3 2 2 2 3 2 2" xfId="0"/>
    <cellStyle name="Normal 61 5 2 2 3 2 2 2 3 3" xfId="0"/>
    <cellStyle name="Normal 61 5 2 2 3 2 2 2 4" xfId="0"/>
    <cellStyle name="Normal 61 5 2 2 3 2 2 2 4 2" xfId="0"/>
    <cellStyle name="Normal 61 5 2 2 3 2 2 2 5" xfId="0"/>
    <cellStyle name="Normal 61 5 2 2 3 2 2 3" xfId="0"/>
    <cellStyle name="Normal 61 5 2 2 3 2 2 3 2" xfId="0"/>
    <cellStyle name="Normal 61 5 2 2 3 2 2 3 2 2" xfId="0"/>
    <cellStyle name="Normal 61 5 2 2 3 2 2 3 3" xfId="0"/>
    <cellStyle name="Normal 61 5 2 2 3 2 2 4" xfId="0"/>
    <cellStyle name="Normal 61 5 2 2 3 2 2 4 2" xfId="0"/>
    <cellStyle name="Normal 61 5 2 2 3 2 2 4 2 2" xfId="0"/>
    <cellStyle name="Normal 61 5 2 2 3 2 2 4 3" xfId="0"/>
    <cellStyle name="Normal 61 5 2 2 3 2 2 5" xfId="0"/>
    <cellStyle name="Normal 61 5 2 2 3 2 2 5 2" xfId="0"/>
    <cellStyle name="Normal 61 5 2 2 3 2 2 6" xfId="0"/>
    <cellStyle name="Normal 61 5 2 2 3 2 3" xfId="0"/>
    <cellStyle name="Normal 61 5 2 2 3 2 3 2" xfId="0"/>
    <cellStyle name="Normal 61 5 2 2 3 2 3 2 2" xfId="0"/>
    <cellStyle name="Normal 61 5 2 2 3 2 3 2 2 2" xfId="0"/>
    <cellStyle name="Normal 61 5 2 2 3 2 3 2 3" xfId="0"/>
    <cellStyle name="Normal 61 5 2 2 3 2 3 3" xfId="0"/>
    <cellStyle name="Normal 61 5 2 2 3 2 3 3 2" xfId="0"/>
    <cellStyle name="Normal 61 5 2 2 3 2 3 3 2 2" xfId="0"/>
    <cellStyle name="Normal 61 5 2 2 3 2 3 3 3" xfId="0"/>
    <cellStyle name="Normal 61 5 2 2 3 2 3 4" xfId="0"/>
    <cellStyle name="Normal 61 5 2 2 3 2 3 4 2" xfId="0"/>
    <cellStyle name="Normal 61 5 2 2 3 2 3 5" xfId="0"/>
    <cellStyle name="Normal 61 5 2 2 3 2 4" xfId="0"/>
    <cellStyle name="Normal 61 5 2 2 3 2 4 2" xfId="0"/>
    <cellStyle name="Normal 61 5 2 2 3 2 4 2 2" xfId="0"/>
    <cellStyle name="Normal 61 5 2 2 3 2 4 3" xfId="0"/>
    <cellStyle name="Normal 61 5 2 2 3 2 5" xfId="0"/>
    <cellStyle name="Normal 61 5 2 2 3 2 5 2" xfId="0"/>
    <cellStyle name="Normal 61 5 2 2 3 2 5 2 2" xfId="0"/>
    <cellStyle name="Normal 61 5 2 2 3 2 5 3" xfId="0"/>
    <cellStyle name="Normal 61 5 2 2 3 2 6" xfId="0"/>
    <cellStyle name="Normal 61 5 2 2 3 2 6 2" xfId="0"/>
    <cellStyle name="Normal 61 5 2 2 3 2 7" xfId="0"/>
    <cellStyle name="Normal 61 5 2 2 3 3" xfId="0"/>
    <cellStyle name="Normal 61 5 2 2 3 3 2" xfId="0"/>
    <cellStyle name="Normal 61 5 2 2 3 3 2 2" xfId="0"/>
    <cellStyle name="Normal 61 5 2 2 3 3 2 2 2" xfId="0"/>
    <cellStyle name="Normal 61 5 2 2 3 3 2 2 2 2" xfId="0"/>
    <cellStyle name="Normal 61 5 2 2 3 3 2 2 3" xfId="0"/>
    <cellStyle name="Normal 61 5 2 2 3 3 2 3" xfId="0"/>
    <cellStyle name="Normal 61 5 2 2 3 3 2 3 2" xfId="0"/>
    <cellStyle name="Normal 61 5 2 2 3 3 2 3 2 2" xfId="0"/>
    <cellStyle name="Normal 61 5 2 2 3 3 2 3 3" xfId="0"/>
    <cellStyle name="Normal 61 5 2 2 3 3 2 4" xfId="0"/>
    <cellStyle name="Normal 61 5 2 2 3 3 2 4 2" xfId="0"/>
    <cellStyle name="Normal 61 5 2 2 3 3 2 5" xfId="0"/>
    <cellStyle name="Normal 61 5 2 2 3 3 3" xfId="0"/>
    <cellStyle name="Normal 61 5 2 2 3 3 3 2" xfId="0"/>
    <cellStyle name="Normal 61 5 2 2 3 3 3 2 2" xfId="0"/>
    <cellStyle name="Normal 61 5 2 2 3 3 3 3" xfId="0"/>
    <cellStyle name="Normal 61 5 2 2 3 3 4" xfId="0"/>
    <cellStyle name="Normal 61 5 2 2 3 3 4 2" xfId="0"/>
    <cellStyle name="Normal 61 5 2 2 3 3 4 2 2" xfId="0"/>
    <cellStyle name="Normal 61 5 2 2 3 3 4 3" xfId="0"/>
    <cellStyle name="Normal 61 5 2 2 3 3 5" xfId="0"/>
    <cellStyle name="Normal 61 5 2 2 3 3 5 2" xfId="0"/>
    <cellStyle name="Normal 61 5 2 2 3 3 6" xfId="0"/>
    <cellStyle name="Normal 61 5 2 2 3 4" xfId="0"/>
    <cellStyle name="Normal 61 5 2 2 3 4 2" xfId="0"/>
    <cellStyle name="Normal 61 5 2 2 3 4 2 2" xfId="0"/>
    <cellStyle name="Normal 61 5 2 2 3 4 2 2 2" xfId="0"/>
    <cellStyle name="Normal 61 5 2 2 3 4 2 3" xfId="0"/>
    <cellStyle name="Normal 61 5 2 2 3 4 3" xfId="0"/>
    <cellStyle name="Normal 61 5 2 2 3 4 3 2" xfId="0"/>
    <cellStyle name="Normal 61 5 2 2 3 4 3 2 2" xfId="0"/>
    <cellStyle name="Normal 61 5 2 2 3 4 3 3" xfId="0"/>
    <cellStyle name="Normal 61 5 2 2 3 4 4" xfId="0"/>
    <cellStyle name="Normal 61 5 2 2 3 4 4 2" xfId="0"/>
    <cellStyle name="Normal 61 5 2 2 3 4 5" xfId="0"/>
    <cellStyle name="Normal 61 5 2 2 3 5" xfId="0"/>
    <cellStyle name="Normal 61 5 2 2 3 5 2" xfId="0"/>
    <cellStyle name="Normal 61 5 2 2 3 5 2 2" xfId="0"/>
    <cellStyle name="Normal 61 5 2 2 3 5 3" xfId="0"/>
    <cellStyle name="Normal 61 5 2 2 3 6" xfId="0"/>
    <cellStyle name="Normal 61 5 2 2 3 6 2" xfId="0"/>
    <cellStyle name="Normal 61 5 2 2 3 6 2 2" xfId="0"/>
    <cellStyle name="Normal 61 5 2 2 3 6 3" xfId="0"/>
    <cellStyle name="Normal 61 5 2 2 3 7" xfId="0"/>
    <cellStyle name="Normal 61 5 2 2 3 7 2" xfId="0"/>
    <cellStyle name="Normal 61 5 2 2 3 8" xfId="0"/>
    <cellStyle name="Normal 61 5 2 2 4" xfId="0"/>
    <cellStyle name="Normal 61 5 2 2 4 2" xfId="0"/>
    <cellStyle name="Normal 61 5 2 2 4 2 2" xfId="0"/>
    <cellStyle name="Normal 61 5 2 2 4 2 2 2" xfId="0"/>
    <cellStyle name="Normal 61 5 2 2 4 2 2 2 2" xfId="0"/>
    <cellStyle name="Normal 61 5 2 2 4 2 2 2 2 2" xfId="0"/>
    <cellStyle name="Normal 61 5 2 2 4 2 2 2 3" xfId="0"/>
    <cellStyle name="Normal 61 5 2 2 4 2 2 3" xfId="0"/>
    <cellStyle name="Normal 61 5 2 2 4 2 2 3 2" xfId="0"/>
    <cellStyle name="Normal 61 5 2 2 4 2 2 3 2 2" xfId="0"/>
    <cellStyle name="Normal 61 5 2 2 4 2 2 3 3" xfId="0"/>
    <cellStyle name="Normal 61 5 2 2 4 2 2 4" xfId="0"/>
    <cellStyle name="Normal 61 5 2 2 4 2 2 4 2" xfId="0"/>
    <cellStyle name="Normal 61 5 2 2 4 2 2 5" xfId="0"/>
    <cellStyle name="Normal 61 5 2 2 4 2 3" xfId="0"/>
    <cellStyle name="Normal 61 5 2 2 4 2 3 2" xfId="0"/>
    <cellStyle name="Normal 61 5 2 2 4 2 3 2 2" xfId="0"/>
    <cellStyle name="Normal 61 5 2 2 4 2 3 3" xfId="0"/>
    <cellStyle name="Normal 61 5 2 2 4 2 4" xfId="0"/>
    <cellStyle name="Normal 61 5 2 2 4 2 4 2" xfId="0"/>
    <cellStyle name="Normal 61 5 2 2 4 2 4 2 2" xfId="0"/>
    <cellStyle name="Normal 61 5 2 2 4 2 4 3" xfId="0"/>
    <cellStyle name="Normal 61 5 2 2 4 2 5" xfId="0"/>
    <cellStyle name="Normal 61 5 2 2 4 2 5 2" xfId="0"/>
    <cellStyle name="Normal 61 5 2 2 4 2 6" xfId="0"/>
    <cellStyle name="Normal 61 5 2 2 4 3" xfId="0"/>
    <cellStyle name="Normal 61 5 2 2 4 3 2" xfId="0"/>
    <cellStyle name="Normal 61 5 2 2 4 3 2 2" xfId="0"/>
    <cellStyle name="Normal 61 5 2 2 4 3 2 2 2" xfId="0"/>
    <cellStyle name="Normal 61 5 2 2 4 3 2 3" xfId="0"/>
    <cellStyle name="Normal 61 5 2 2 4 3 3" xfId="0"/>
    <cellStyle name="Normal 61 5 2 2 4 3 3 2" xfId="0"/>
    <cellStyle name="Normal 61 5 2 2 4 3 3 2 2" xfId="0"/>
    <cellStyle name="Normal 61 5 2 2 4 3 3 3" xfId="0"/>
    <cellStyle name="Normal 61 5 2 2 4 3 4" xfId="0"/>
    <cellStyle name="Normal 61 5 2 2 4 3 4 2" xfId="0"/>
    <cellStyle name="Normal 61 5 2 2 4 3 5" xfId="0"/>
    <cellStyle name="Normal 61 5 2 2 4 4" xfId="0"/>
    <cellStyle name="Normal 61 5 2 2 4 4 2" xfId="0"/>
    <cellStyle name="Normal 61 5 2 2 4 4 2 2" xfId="0"/>
    <cellStyle name="Normal 61 5 2 2 4 4 3" xfId="0"/>
    <cellStyle name="Normal 61 5 2 2 4 5" xfId="0"/>
    <cellStyle name="Normal 61 5 2 2 4 5 2" xfId="0"/>
    <cellStyle name="Normal 61 5 2 2 4 5 2 2" xfId="0"/>
    <cellStyle name="Normal 61 5 2 2 4 5 3" xfId="0"/>
    <cellStyle name="Normal 61 5 2 2 4 6" xfId="0"/>
    <cellStyle name="Normal 61 5 2 2 4 6 2" xfId="0"/>
    <cellStyle name="Normal 61 5 2 2 4 7" xfId="0"/>
    <cellStyle name="Normal 61 5 2 2 5" xfId="0"/>
    <cellStyle name="Normal 61 5 2 2 5 2" xfId="0"/>
    <cellStyle name="Normal 61 5 2 2 5 2 2" xfId="0"/>
    <cellStyle name="Normal 61 5 2 2 5 2 2 2" xfId="0"/>
    <cellStyle name="Normal 61 5 2 2 5 2 2 2 2" xfId="0"/>
    <cellStyle name="Normal 61 5 2 2 5 2 2 3" xfId="0"/>
    <cellStyle name="Normal 61 5 2 2 5 2 3" xfId="0"/>
    <cellStyle name="Normal 61 5 2 2 5 2 3 2" xfId="0"/>
    <cellStyle name="Normal 61 5 2 2 5 2 3 2 2" xfId="0"/>
    <cellStyle name="Normal 61 5 2 2 5 2 3 3" xfId="0"/>
    <cellStyle name="Normal 61 5 2 2 5 2 4" xfId="0"/>
    <cellStyle name="Normal 61 5 2 2 5 2 4 2" xfId="0"/>
    <cellStyle name="Normal 61 5 2 2 5 2 5" xfId="0"/>
    <cellStyle name="Normal 61 5 2 2 5 3" xfId="0"/>
    <cellStyle name="Normal 61 5 2 2 5 3 2" xfId="0"/>
    <cellStyle name="Normal 61 5 2 2 5 3 2 2" xfId="0"/>
    <cellStyle name="Normal 61 5 2 2 5 3 3" xfId="0"/>
    <cellStyle name="Normal 61 5 2 2 5 4" xfId="0"/>
    <cellStyle name="Normal 61 5 2 2 5 4 2" xfId="0"/>
    <cellStyle name="Normal 61 5 2 2 5 4 2 2" xfId="0"/>
    <cellStyle name="Normal 61 5 2 2 5 4 3" xfId="0"/>
    <cellStyle name="Normal 61 5 2 2 5 5" xfId="0"/>
    <cellStyle name="Normal 61 5 2 2 5 5 2" xfId="0"/>
    <cellStyle name="Normal 61 5 2 2 5 6" xfId="0"/>
    <cellStyle name="Normal 61 5 2 2 6" xfId="0"/>
    <cellStyle name="Normal 61 5 2 2 6 2" xfId="0"/>
    <cellStyle name="Normal 61 5 2 2 6 2 2" xfId="0"/>
    <cellStyle name="Normal 61 5 2 2 6 2 2 2" xfId="0"/>
    <cellStyle name="Normal 61 5 2 2 6 2 3" xfId="0"/>
    <cellStyle name="Normal 61 5 2 2 6 3" xfId="0"/>
    <cellStyle name="Normal 61 5 2 2 6 3 2" xfId="0"/>
    <cellStyle name="Normal 61 5 2 2 6 3 2 2" xfId="0"/>
    <cellStyle name="Normal 61 5 2 2 6 3 3" xfId="0"/>
    <cellStyle name="Normal 61 5 2 2 6 4" xfId="0"/>
    <cellStyle name="Normal 61 5 2 2 6 4 2" xfId="0"/>
    <cellStyle name="Normal 61 5 2 2 6 5" xfId="0"/>
    <cellStyle name="Normal 61 5 2 2 7" xfId="0"/>
    <cellStyle name="Normal 61 5 2 2 7 2" xfId="0"/>
    <cellStyle name="Normal 61 5 2 2 7 2 2" xfId="0"/>
    <cellStyle name="Normal 61 5 2 2 7 3" xfId="0"/>
    <cellStyle name="Normal 61 5 2 2 8" xfId="0"/>
    <cellStyle name="Normal 61 5 2 2 8 2" xfId="0"/>
    <cellStyle name="Normal 61 5 2 2 8 2 2" xfId="0"/>
    <cellStyle name="Normal 61 5 2 2 8 3" xfId="0"/>
    <cellStyle name="Normal 61 5 2 2 9" xfId="0"/>
    <cellStyle name="Normal 61 5 2 2 9 2" xfId="0"/>
    <cellStyle name="Normal 61 5 2 3" xfId="0"/>
    <cellStyle name="Normal 61 5 2 3 10" xfId="0"/>
    <cellStyle name="Normal 61 5 2 3 2" xfId="0"/>
    <cellStyle name="Normal 61 5 2 3 2 2" xfId="0"/>
    <cellStyle name="Normal 61 5 2 3 2 2 2" xfId="0"/>
    <cellStyle name="Normal 61 5 2 3 2 2 2 2" xfId="0"/>
    <cellStyle name="Normal 61 5 2 3 2 2 2 2 2" xfId="0"/>
    <cellStyle name="Normal 61 5 2 3 2 2 2 2 2 2" xfId="0"/>
    <cellStyle name="Normal 61 5 2 3 2 2 2 2 2 2 2" xfId="0"/>
    <cellStyle name="Normal 61 5 2 3 2 2 2 2 2 2 2 2" xfId="0"/>
    <cellStyle name="Normal 61 5 2 3 2 2 2 2 2 2 3" xfId="0"/>
    <cellStyle name="Normal 61 5 2 3 2 2 2 2 2 3" xfId="0"/>
    <cellStyle name="Normal 61 5 2 3 2 2 2 2 2 3 2" xfId="0"/>
    <cellStyle name="Normal 61 5 2 3 2 2 2 2 2 3 2 2" xfId="0"/>
    <cellStyle name="Normal 61 5 2 3 2 2 2 2 2 3 3" xfId="0"/>
    <cellStyle name="Normal 61 5 2 3 2 2 2 2 2 4" xfId="0"/>
    <cellStyle name="Normal 61 5 2 3 2 2 2 2 2 4 2" xfId="0"/>
    <cellStyle name="Normal 61 5 2 3 2 2 2 2 2 5" xfId="0"/>
    <cellStyle name="Normal 61 5 2 3 2 2 2 2 3" xfId="0"/>
    <cellStyle name="Normal 61 5 2 3 2 2 2 2 3 2" xfId="0"/>
    <cellStyle name="Normal 61 5 2 3 2 2 2 2 3 2 2" xfId="0"/>
    <cellStyle name="Normal 61 5 2 3 2 2 2 2 3 3" xfId="0"/>
    <cellStyle name="Normal 61 5 2 3 2 2 2 2 4" xfId="0"/>
    <cellStyle name="Normal 61 5 2 3 2 2 2 2 4 2" xfId="0"/>
    <cellStyle name="Normal 61 5 2 3 2 2 2 2 4 2 2" xfId="0"/>
    <cellStyle name="Normal 61 5 2 3 2 2 2 2 4 3" xfId="0"/>
    <cellStyle name="Normal 61 5 2 3 2 2 2 2 5" xfId="0"/>
    <cellStyle name="Normal 61 5 2 3 2 2 2 2 5 2" xfId="0"/>
    <cellStyle name="Normal 61 5 2 3 2 2 2 2 6" xfId="0"/>
    <cellStyle name="Normal 61 5 2 3 2 2 2 3" xfId="0"/>
    <cellStyle name="Normal 61 5 2 3 2 2 2 3 2" xfId="0"/>
    <cellStyle name="Normal 61 5 2 3 2 2 2 3 2 2" xfId="0"/>
    <cellStyle name="Normal 61 5 2 3 2 2 2 3 2 2 2" xfId="0"/>
    <cellStyle name="Normal 61 5 2 3 2 2 2 3 2 3" xfId="0"/>
    <cellStyle name="Normal 61 5 2 3 2 2 2 3 3" xfId="0"/>
    <cellStyle name="Normal 61 5 2 3 2 2 2 3 3 2" xfId="0"/>
    <cellStyle name="Normal 61 5 2 3 2 2 2 3 3 2 2" xfId="0"/>
    <cellStyle name="Normal 61 5 2 3 2 2 2 3 3 3" xfId="0"/>
    <cellStyle name="Normal 61 5 2 3 2 2 2 3 4" xfId="0"/>
    <cellStyle name="Normal 61 5 2 3 2 2 2 3 4 2" xfId="0"/>
    <cellStyle name="Normal 61 5 2 3 2 2 2 3 5" xfId="0"/>
    <cellStyle name="Normal 61 5 2 3 2 2 2 4" xfId="0"/>
    <cellStyle name="Normal 61 5 2 3 2 2 2 4 2" xfId="0"/>
    <cellStyle name="Normal 61 5 2 3 2 2 2 4 2 2" xfId="0"/>
    <cellStyle name="Normal 61 5 2 3 2 2 2 4 3" xfId="0"/>
    <cellStyle name="Normal 61 5 2 3 2 2 2 5" xfId="0"/>
    <cellStyle name="Normal 61 5 2 3 2 2 2 5 2" xfId="0"/>
    <cellStyle name="Normal 61 5 2 3 2 2 2 5 2 2" xfId="0"/>
    <cellStyle name="Normal 61 5 2 3 2 2 2 5 3" xfId="0"/>
    <cellStyle name="Normal 61 5 2 3 2 2 2 6" xfId="0"/>
    <cellStyle name="Normal 61 5 2 3 2 2 2 6 2" xfId="0"/>
    <cellStyle name="Normal 61 5 2 3 2 2 2 7" xfId="0"/>
    <cellStyle name="Normal 61 5 2 3 2 2 3" xfId="0"/>
    <cellStyle name="Normal 61 5 2 3 2 2 3 2" xfId="0"/>
    <cellStyle name="Normal 61 5 2 3 2 2 3 2 2" xfId="0"/>
    <cellStyle name="Normal 61 5 2 3 2 2 3 2 2 2" xfId="0"/>
    <cellStyle name="Normal 61 5 2 3 2 2 3 2 2 2 2" xfId="0"/>
    <cellStyle name="Normal 61 5 2 3 2 2 3 2 2 3" xfId="0"/>
    <cellStyle name="Normal 61 5 2 3 2 2 3 2 3" xfId="0"/>
    <cellStyle name="Normal 61 5 2 3 2 2 3 2 3 2" xfId="0"/>
    <cellStyle name="Normal 61 5 2 3 2 2 3 2 3 2 2" xfId="0"/>
    <cellStyle name="Normal 61 5 2 3 2 2 3 2 3 3" xfId="0"/>
    <cellStyle name="Normal 61 5 2 3 2 2 3 2 4" xfId="0"/>
    <cellStyle name="Normal 61 5 2 3 2 2 3 2 4 2" xfId="0"/>
    <cellStyle name="Normal 61 5 2 3 2 2 3 2 5" xfId="0"/>
    <cellStyle name="Normal 61 5 2 3 2 2 3 3" xfId="0"/>
    <cellStyle name="Normal 61 5 2 3 2 2 3 3 2" xfId="0"/>
    <cellStyle name="Normal 61 5 2 3 2 2 3 3 2 2" xfId="0"/>
    <cellStyle name="Normal 61 5 2 3 2 2 3 3 3" xfId="0"/>
    <cellStyle name="Normal 61 5 2 3 2 2 3 4" xfId="0"/>
    <cellStyle name="Normal 61 5 2 3 2 2 3 4 2" xfId="0"/>
    <cellStyle name="Normal 61 5 2 3 2 2 3 4 2 2" xfId="0"/>
    <cellStyle name="Normal 61 5 2 3 2 2 3 4 3" xfId="0"/>
    <cellStyle name="Normal 61 5 2 3 2 2 3 5" xfId="0"/>
    <cellStyle name="Normal 61 5 2 3 2 2 3 5 2" xfId="0"/>
    <cellStyle name="Normal 61 5 2 3 2 2 3 6" xfId="0"/>
    <cellStyle name="Normal 61 5 2 3 2 2 4" xfId="0"/>
    <cellStyle name="Normal 61 5 2 3 2 2 4 2" xfId="0"/>
    <cellStyle name="Normal 61 5 2 3 2 2 4 2 2" xfId="0"/>
    <cellStyle name="Normal 61 5 2 3 2 2 4 2 2 2" xfId="0"/>
    <cellStyle name="Normal 61 5 2 3 2 2 4 2 3" xfId="0"/>
    <cellStyle name="Normal 61 5 2 3 2 2 4 3" xfId="0"/>
    <cellStyle name="Normal 61 5 2 3 2 2 4 3 2" xfId="0"/>
    <cellStyle name="Normal 61 5 2 3 2 2 4 3 2 2" xfId="0"/>
    <cellStyle name="Normal 61 5 2 3 2 2 4 3 3" xfId="0"/>
    <cellStyle name="Normal 61 5 2 3 2 2 4 4" xfId="0"/>
    <cellStyle name="Normal 61 5 2 3 2 2 4 4 2" xfId="0"/>
    <cellStyle name="Normal 61 5 2 3 2 2 4 5" xfId="0"/>
    <cellStyle name="Normal 61 5 2 3 2 2 5" xfId="0"/>
    <cellStyle name="Normal 61 5 2 3 2 2 5 2" xfId="0"/>
    <cellStyle name="Normal 61 5 2 3 2 2 5 2 2" xfId="0"/>
    <cellStyle name="Normal 61 5 2 3 2 2 5 3" xfId="0"/>
    <cellStyle name="Normal 61 5 2 3 2 2 6" xfId="0"/>
    <cellStyle name="Normal 61 5 2 3 2 2 6 2" xfId="0"/>
    <cellStyle name="Normal 61 5 2 3 2 2 6 2 2" xfId="0"/>
    <cellStyle name="Normal 61 5 2 3 2 2 6 3" xfId="0"/>
    <cellStyle name="Normal 61 5 2 3 2 2 7" xfId="0"/>
    <cellStyle name="Normal 61 5 2 3 2 2 7 2" xfId="0"/>
    <cellStyle name="Normal 61 5 2 3 2 2 8" xfId="0"/>
    <cellStyle name="Normal 61 5 2 3 2 3" xfId="0"/>
    <cellStyle name="Normal 61 5 2 3 2 3 2" xfId="0"/>
    <cellStyle name="Normal 61 5 2 3 2 3 2 2" xfId="0"/>
    <cellStyle name="Normal 61 5 2 3 2 3 2 2 2" xfId="0"/>
    <cellStyle name="Normal 61 5 2 3 2 3 2 2 2 2" xfId="0"/>
    <cellStyle name="Normal 61 5 2 3 2 3 2 2 2 2 2" xfId="0"/>
    <cellStyle name="Normal 61 5 2 3 2 3 2 2 2 3" xfId="0"/>
    <cellStyle name="Normal 61 5 2 3 2 3 2 2 3" xfId="0"/>
    <cellStyle name="Normal 61 5 2 3 2 3 2 2 3 2" xfId="0"/>
    <cellStyle name="Normal 61 5 2 3 2 3 2 2 3 2 2" xfId="0"/>
    <cellStyle name="Normal 61 5 2 3 2 3 2 2 3 3" xfId="0"/>
    <cellStyle name="Normal 61 5 2 3 2 3 2 2 4" xfId="0"/>
    <cellStyle name="Normal 61 5 2 3 2 3 2 2 4 2" xfId="0"/>
    <cellStyle name="Normal 61 5 2 3 2 3 2 2 5" xfId="0"/>
    <cellStyle name="Normal 61 5 2 3 2 3 2 3" xfId="0"/>
    <cellStyle name="Normal 61 5 2 3 2 3 2 3 2" xfId="0"/>
    <cellStyle name="Normal 61 5 2 3 2 3 2 3 2 2" xfId="0"/>
    <cellStyle name="Normal 61 5 2 3 2 3 2 3 3" xfId="0"/>
    <cellStyle name="Normal 61 5 2 3 2 3 2 4" xfId="0"/>
    <cellStyle name="Normal 61 5 2 3 2 3 2 4 2" xfId="0"/>
    <cellStyle name="Normal 61 5 2 3 2 3 2 4 2 2" xfId="0"/>
    <cellStyle name="Normal 61 5 2 3 2 3 2 4 3" xfId="0"/>
    <cellStyle name="Normal 61 5 2 3 2 3 2 5" xfId="0"/>
    <cellStyle name="Normal 61 5 2 3 2 3 2 5 2" xfId="0"/>
    <cellStyle name="Normal 61 5 2 3 2 3 2 6" xfId="0"/>
    <cellStyle name="Normal 61 5 2 3 2 3 3" xfId="0"/>
    <cellStyle name="Normal 61 5 2 3 2 3 3 2" xfId="0"/>
    <cellStyle name="Normal 61 5 2 3 2 3 3 2 2" xfId="0"/>
    <cellStyle name="Normal 61 5 2 3 2 3 3 2 2 2" xfId="0"/>
    <cellStyle name="Normal 61 5 2 3 2 3 3 2 3" xfId="0"/>
    <cellStyle name="Normal 61 5 2 3 2 3 3 3" xfId="0"/>
    <cellStyle name="Normal 61 5 2 3 2 3 3 3 2" xfId="0"/>
    <cellStyle name="Normal 61 5 2 3 2 3 3 3 2 2" xfId="0"/>
    <cellStyle name="Normal 61 5 2 3 2 3 3 3 3" xfId="0"/>
    <cellStyle name="Normal 61 5 2 3 2 3 3 4" xfId="0"/>
    <cellStyle name="Normal 61 5 2 3 2 3 3 4 2" xfId="0"/>
    <cellStyle name="Normal 61 5 2 3 2 3 3 5" xfId="0"/>
    <cellStyle name="Normal 61 5 2 3 2 3 4" xfId="0"/>
    <cellStyle name="Normal 61 5 2 3 2 3 4 2" xfId="0"/>
    <cellStyle name="Normal 61 5 2 3 2 3 4 2 2" xfId="0"/>
    <cellStyle name="Normal 61 5 2 3 2 3 4 3" xfId="0"/>
    <cellStyle name="Normal 61 5 2 3 2 3 5" xfId="0"/>
    <cellStyle name="Normal 61 5 2 3 2 3 5 2" xfId="0"/>
    <cellStyle name="Normal 61 5 2 3 2 3 5 2 2" xfId="0"/>
    <cellStyle name="Normal 61 5 2 3 2 3 5 3" xfId="0"/>
    <cellStyle name="Normal 61 5 2 3 2 3 6" xfId="0"/>
    <cellStyle name="Normal 61 5 2 3 2 3 6 2" xfId="0"/>
    <cellStyle name="Normal 61 5 2 3 2 3 7" xfId="0"/>
    <cellStyle name="Normal 61 5 2 3 2 4" xfId="0"/>
    <cellStyle name="Normal 61 5 2 3 2 4 2" xfId="0"/>
    <cellStyle name="Normal 61 5 2 3 2 4 2 2" xfId="0"/>
    <cellStyle name="Normal 61 5 2 3 2 4 2 2 2" xfId="0"/>
    <cellStyle name="Normal 61 5 2 3 2 4 2 2 2 2" xfId="0"/>
    <cellStyle name="Normal 61 5 2 3 2 4 2 2 3" xfId="0"/>
    <cellStyle name="Normal 61 5 2 3 2 4 2 3" xfId="0"/>
    <cellStyle name="Normal 61 5 2 3 2 4 2 3 2" xfId="0"/>
    <cellStyle name="Normal 61 5 2 3 2 4 2 3 2 2" xfId="0"/>
    <cellStyle name="Normal 61 5 2 3 2 4 2 3 3" xfId="0"/>
    <cellStyle name="Normal 61 5 2 3 2 4 2 4" xfId="0"/>
    <cellStyle name="Normal 61 5 2 3 2 4 2 4 2" xfId="0"/>
    <cellStyle name="Normal 61 5 2 3 2 4 2 5" xfId="0"/>
    <cellStyle name="Normal 61 5 2 3 2 4 3" xfId="0"/>
    <cellStyle name="Normal 61 5 2 3 2 4 3 2" xfId="0"/>
    <cellStyle name="Normal 61 5 2 3 2 4 3 2 2" xfId="0"/>
    <cellStyle name="Normal 61 5 2 3 2 4 3 3" xfId="0"/>
    <cellStyle name="Normal 61 5 2 3 2 4 4" xfId="0"/>
    <cellStyle name="Normal 61 5 2 3 2 4 4 2" xfId="0"/>
    <cellStyle name="Normal 61 5 2 3 2 4 4 2 2" xfId="0"/>
    <cellStyle name="Normal 61 5 2 3 2 4 4 3" xfId="0"/>
    <cellStyle name="Normal 61 5 2 3 2 4 5" xfId="0"/>
    <cellStyle name="Normal 61 5 2 3 2 4 5 2" xfId="0"/>
    <cellStyle name="Normal 61 5 2 3 2 4 6" xfId="0"/>
    <cellStyle name="Normal 61 5 2 3 2 5" xfId="0"/>
    <cellStyle name="Normal 61 5 2 3 2 5 2" xfId="0"/>
    <cellStyle name="Normal 61 5 2 3 2 5 2 2" xfId="0"/>
    <cellStyle name="Normal 61 5 2 3 2 5 2 2 2" xfId="0"/>
    <cellStyle name="Normal 61 5 2 3 2 5 2 3" xfId="0"/>
    <cellStyle name="Normal 61 5 2 3 2 5 3" xfId="0"/>
    <cellStyle name="Normal 61 5 2 3 2 5 3 2" xfId="0"/>
    <cellStyle name="Normal 61 5 2 3 2 5 3 2 2" xfId="0"/>
    <cellStyle name="Normal 61 5 2 3 2 5 3 3" xfId="0"/>
    <cellStyle name="Normal 61 5 2 3 2 5 4" xfId="0"/>
    <cellStyle name="Normal 61 5 2 3 2 5 4 2" xfId="0"/>
    <cellStyle name="Normal 61 5 2 3 2 5 5" xfId="0"/>
    <cellStyle name="Normal 61 5 2 3 2 6" xfId="0"/>
    <cellStyle name="Normal 61 5 2 3 2 6 2" xfId="0"/>
    <cellStyle name="Normal 61 5 2 3 2 6 2 2" xfId="0"/>
    <cellStyle name="Normal 61 5 2 3 2 6 3" xfId="0"/>
    <cellStyle name="Normal 61 5 2 3 2 7" xfId="0"/>
    <cellStyle name="Normal 61 5 2 3 2 7 2" xfId="0"/>
    <cellStyle name="Normal 61 5 2 3 2 7 2 2" xfId="0"/>
    <cellStyle name="Normal 61 5 2 3 2 7 3" xfId="0"/>
    <cellStyle name="Normal 61 5 2 3 2 8" xfId="0"/>
    <cellStyle name="Normal 61 5 2 3 2 8 2" xfId="0"/>
    <cellStyle name="Normal 61 5 2 3 2 9" xfId="0"/>
    <cellStyle name="Normal 61 5 2 3 3" xfId="0"/>
    <cellStyle name="Normal 61 5 2 3 3 2" xfId="0"/>
    <cellStyle name="Normal 61 5 2 3 3 2 2" xfId="0"/>
    <cellStyle name="Normal 61 5 2 3 3 2 2 2" xfId="0"/>
    <cellStyle name="Normal 61 5 2 3 3 2 2 2 2" xfId="0"/>
    <cellStyle name="Normal 61 5 2 3 3 2 2 2 2 2" xfId="0"/>
    <cellStyle name="Normal 61 5 2 3 3 2 2 2 2 2 2" xfId="0"/>
    <cellStyle name="Normal 61 5 2 3 3 2 2 2 2 3" xfId="0"/>
    <cellStyle name="Normal 61 5 2 3 3 2 2 2 3" xfId="0"/>
    <cellStyle name="Normal 61 5 2 3 3 2 2 2 3 2" xfId="0"/>
    <cellStyle name="Normal 61 5 2 3 3 2 2 2 3 2 2" xfId="0"/>
    <cellStyle name="Normal 61 5 2 3 3 2 2 2 3 3" xfId="0"/>
    <cellStyle name="Normal 61 5 2 3 3 2 2 2 4" xfId="0"/>
    <cellStyle name="Normal 61 5 2 3 3 2 2 2 4 2" xfId="0"/>
    <cellStyle name="Normal 61 5 2 3 3 2 2 2 5" xfId="0"/>
    <cellStyle name="Normal 61 5 2 3 3 2 2 3" xfId="0"/>
    <cellStyle name="Normal 61 5 2 3 3 2 2 3 2" xfId="0"/>
    <cellStyle name="Normal 61 5 2 3 3 2 2 3 2 2" xfId="0"/>
    <cellStyle name="Normal 61 5 2 3 3 2 2 3 3" xfId="0"/>
    <cellStyle name="Normal 61 5 2 3 3 2 2 4" xfId="0"/>
    <cellStyle name="Normal 61 5 2 3 3 2 2 4 2" xfId="0"/>
    <cellStyle name="Normal 61 5 2 3 3 2 2 4 2 2" xfId="0"/>
    <cellStyle name="Normal 61 5 2 3 3 2 2 4 3" xfId="0"/>
    <cellStyle name="Normal 61 5 2 3 3 2 2 5" xfId="0"/>
    <cellStyle name="Normal 61 5 2 3 3 2 2 5 2" xfId="0"/>
    <cellStyle name="Normal 61 5 2 3 3 2 2 6" xfId="0"/>
    <cellStyle name="Normal 61 5 2 3 3 2 3" xfId="0"/>
    <cellStyle name="Normal 61 5 2 3 3 2 3 2" xfId="0"/>
    <cellStyle name="Normal 61 5 2 3 3 2 3 2 2" xfId="0"/>
    <cellStyle name="Normal 61 5 2 3 3 2 3 2 2 2" xfId="0"/>
    <cellStyle name="Normal 61 5 2 3 3 2 3 2 3" xfId="0"/>
    <cellStyle name="Normal 61 5 2 3 3 2 3 3" xfId="0"/>
    <cellStyle name="Normal 61 5 2 3 3 2 3 3 2" xfId="0"/>
    <cellStyle name="Normal 61 5 2 3 3 2 3 3 2 2" xfId="0"/>
    <cellStyle name="Normal 61 5 2 3 3 2 3 3 3" xfId="0"/>
    <cellStyle name="Normal 61 5 2 3 3 2 3 4" xfId="0"/>
    <cellStyle name="Normal 61 5 2 3 3 2 3 4 2" xfId="0"/>
    <cellStyle name="Normal 61 5 2 3 3 2 3 5" xfId="0"/>
    <cellStyle name="Normal 61 5 2 3 3 2 4" xfId="0"/>
    <cellStyle name="Normal 61 5 2 3 3 2 4 2" xfId="0"/>
    <cellStyle name="Normal 61 5 2 3 3 2 4 2 2" xfId="0"/>
    <cellStyle name="Normal 61 5 2 3 3 2 4 3" xfId="0"/>
    <cellStyle name="Normal 61 5 2 3 3 2 5" xfId="0"/>
    <cellStyle name="Normal 61 5 2 3 3 2 5 2" xfId="0"/>
    <cellStyle name="Normal 61 5 2 3 3 2 5 2 2" xfId="0"/>
    <cellStyle name="Normal 61 5 2 3 3 2 5 3" xfId="0"/>
    <cellStyle name="Normal 61 5 2 3 3 2 6" xfId="0"/>
    <cellStyle name="Normal 61 5 2 3 3 2 6 2" xfId="0"/>
    <cellStyle name="Normal 61 5 2 3 3 2 7" xfId="0"/>
    <cellStyle name="Normal 61 5 2 3 3 3" xfId="0"/>
    <cellStyle name="Normal 61 5 2 3 3 3 2" xfId="0"/>
    <cellStyle name="Normal 61 5 2 3 3 3 2 2" xfId="0"/>
    <cellStyle name="Normal 61 5 2 3 3 3 2 2 2" xfId="0"/>
    <cellStyle name="Normal 61 5 2 3 3 3 2 2 2 2" xfId="0"/>
    <cellStyle name="Normal 61 5 2 3 3 3 2 2 3" xfId="0"/>
    <cellStyle name="Normal 61 5 2 3 3 3 2 3" xfId="0"/>
    <cellStyle name="Normal 61 5 2 3 3 3 2 3 2" xfId="0"/>
    <cellStyle name="Normal 61 5 2 3 3 3 2 3 2 2" xfId="0"/>
    <cellStyle name="Normal 61 5 2 3 3 3 2 3 3" xfId="0"/>
    <cellStyle name="Normal 61 5 2 3 3 3 2 4" xfId="0"/>
    <cellStyle name="Normal 61 5 2 3 3 3 2 4 2" xfId="0"/>
    <cellStyle name="Normal 61 5 2 3 3 3 2 5" xfId="0"/>
    <cellStyle name="Normal 61 5 2 3 3 3 3" xfId="0"/>
    <cellStyle name="Normal 61 5 2 3 3 3 3 2" xfId="0"/>
    <cellStyle name="Normal 61 5 2 3 3 3 3 2 2" xfId="0"/>
    <cellStyle name="Normal 61 5 2 3 3 3 3 3" xfId="0"/>
    <cellStyle name="Normal 61 5 2 3 3 3 4" xfId="0"/>
    <cellStyle name="Normal 61 5 2 3 3 3 4 2" xfId="0"/>
    <cellStyle name="Normal 61 5 2 3 3 3 4 2 2" xfId="0"/>
    <cellStyle name="Normal 61 5 2 3 3 3 4 3" xfId="0"/>
    <cellStyle name="Normal 61 5 2 3 3 3 5" xfId="0"/>
    <cellStyle name="Normal 61 5 2 3 3 3 5 2" xfId="0"/>
    <cellStyle name="Normal 61 5 2 3 3 3 6" xfId="0"/>
    <cellStyle name="Normal 61 5 2 3 3 4" xfId="0"/>
    <cellStyle name="Normal 61 5 2 3 3 4 2" xfId="0"/>
    <cellStyle name="Normal 61 5 2 3 3 4 2 2" xfId="0"/>
    <cellStyle name="Normal 61 5 2 3 3 4 2 2 2" xfId="0"/>
    <cellStyle name="Normal 61 5 2 3 3 4 2 3" xfId="0"/>
    <cellStyle name="Normal 61 5 2 3 3 4 3" xfId="0"/>
    <cellStyle name="Normal 61 5 2 3 3 4 3 2" xfId="0"/>
    <cellStyle name="Normal 61 5 2 3 3 4 3 2 2" xfId="0"/>
    <cellStyle name="Normal 61 5 2 3 3 4 3 3" xfId="0"/>
    <cellStyle name="Normal 61 5 2 3 3 4 4" xfId="0"/>
    <cellStyle name="Normal 61 5 2 3 3 4 4 2" xfId="0"/>
    <cellStyle name="Normal 61 5 2 3 3 4 5" xfId="0"/>
    <cellStyle name="Normal 61 5 2 3 3 5" xfId="0"/>
    <cellStyle name="Normal 61 5 2 3 3 5 2" xfId="0"/>
    <cellStyle name="Normal 61 5 2 3 3 5 2 2" xfId="0"/>
    <cellStyle name="Normal 61 5 2 3 3 5 3" xfId="0"/>
    <cellStyle name="Normal 61 5 2 3 3 6" xfId="0"/>
    <cellStyle name="Normal 61 5 2 3 3 6 2" xfId="0"/>
    <cellStyle name="Normal 61 5 2 3 3 6 2 2" xfId="0"/>
    <cellStyle name="Normal 61 5 2 3 3 6 3" xfId="0"/>
    <cellStyle name="Normal 61 5 2 3 3 7" xfId="0"/>
    <cellStyle name="Normal 61 5 2 3 3 7 2" xfId="0"/>
    <cellStyle name="Normal 61 5 2 3 3 8" xfId="0"/>
    <cellStyle name="Normal 61 5 2 3 4" xfId="0"/>
    <cellStyle name="Normal 61 5 2 3 4 2" xfId="0"/>
    <cellStyle name="Normal 61 5 2 3 4 2 2" xfId="0"/>
    <cellStyle name="Normal 61 5 2 3 4 2 2 2" xfId="0"/>
    <cellStyle name="Normal 61 5 2 3 4 2 2 2 2" xfId="0"/>
    <cellStyle name="Normal 61 5 2 3 4 2 2 2 2 2" xfId="0"/>
    <cellStyle name="Normal 61 5 2 3 4 2 2 2 3" xfId="0"/>
    <cellStyle name="Normal 61 5 2 3 4 2 2 3" xfId="0"/>
    <cellStyle name="Normal 61 5 2 3 4 2 2 3 2" xfId="0"/>
    <cellStyle name="Normal 61 5 2 3 4 2 2 3 2 2" xfId="0"/>
    <cellStyle name="Normal 61 5 2 3 4 2 2 3 3" xfId="0"/>
    <cellStyle name="Normal 61 5 2 3 4 2 2 4" xfId="0"/>
    <cellStyle name="Normal 61 5 2 3 4 2 2 4 2" xfId="0"/>
    <cellStyle name="Normal 61 5 2 3 4 2 2 5" xfId="0"/>
    <cellStyle name="Normal 61 5 2 3 4 2 3" xfId="0"/>
    <cellStyle name="Normal 61 5 2 3 4 2 3 2" xfId="0"/>
    <cellStyle name="Normal 61 5 2 3 4 2 3 2 2" xfId="0"/>
    <cellStyle name="Normal 61 5 2 3 4 2 3 3" xfId="0"/>
    <cellStyle name="Normal 61 5 2 3 4 2 4" xfId="0"/>
    <cellStyle name="Normal 61 5 2 3 4 2 4 2" xfId="0"/>
    <cellStyle name="Normal 61 5 2 3 4 2 4 2 2" xfId="0"/>
    <cellStyle name="Normal 61 5 2 3 4 2 4 3" xfId="0"/>
    <cellStyle name="Normal 61 5 2 3 4 2 5" xfId="0"/>
    <cellStyle name="Normal 61 5 2 3 4 2 5 2" xfId="0"/>
    <cellStyle name="Normal 61 5 2 3 4 2 6" xfId="0"/>
    <cellStyle name="Normal 61 5 2 3 4 3" xfId="0"/>
    <cellStyle name="Normal 61 5 2 3 4 3 2" xfId="0"/>
    <cellStyle name="Normal 61 5 2 3 4 3 2 2" xfId="0"/>
    <cellStyle name="Normal 61 5 2 3 4 3 2 2 2" xfId="0"/>
    <cellStyle name="Normal 61 5 2 3 4 3 2 3" xfId="0"/>
    <cellStyle name="Normal 61 5 2 3 4 3 3" xfId="0"/>
    <cellStyle name="Normal 61 5 2 3 4 3 3 2" xfId="0"/>
    <cellStyle name="Normal 61 5 2 3 4 3 3 2 2" xfId="0"/>
    <cellStyle name="Normal 61 5 2 3 4 3 3 3" xfId="0"/>
    <cellStyle name="Normal 61 5 2 3 4 3 4" xfId="0"/>
    <cellStyle name="Normal 61 5 2 3 4 3 4 2" xfId="0"/>
    <cellStyle name="Normal 61 5 2 3 4 3 5" xfId="0"/>
    <cellStyle name="Normal 61 5 2 3 4 4" xfId="0"/>
    <cellStyle name="Normal 61 5 2 3 4 4 2" xfId="0"/>
    <cellStyle name="Normal 61 5 2 3 4 4 2 2" xfId="0"/>
    <cellStyle name="Normal 61 5 2 3 4 4 3" xfId="0"/>
    <cellStyle name="Normal 61 5 2 3 4 5" xfId="0"/>
    <cellStyle name="Normal 61 5 2 3 4 5 2" xfId="0"/>
    <cellStyle name="Normal 61 5 2 3 4 5 2 2" xfId="0"/>
    <cellStyle name="Normal 61 5 2 3 4 5 3" xfId="0"/>
    <cellStyle name="Normal 61 5 2 3 4 6" xfId="0"/>
    <cellStyle name="Normal 61 5 2 3 4 6 2" xfId="0"/>
    <cellStyle name="Normal 61 5 2 3 4 7" xfId="0"/>
    <cellStyle name="Normal 61 5 2 3 5" xfId="0"/>
    <cellStyle name="Normal 61 5 2 3 5 2" xfId="0"/>
    <cellStyle name="Normal 61 5 2 3 5 2 2" xfId="0"/>
    <cellStyle name="Normal 61 5 2 3 5 2 2 2" xfId="0"/>
    <cellStyle name="Normal 61 5 2 3 5 2 2 2 2" xfId="0"/>
    <cellStyle name="Normal 61 5 2 3 5 2 2 3" xfId="0"/>
    <cellStyle name="Normal 61 5 2 3 5 2 3" xfId="0"/>
    <cellStyle name="Normal 61 5 2 3 5 2 3 2" xfId="0"/>
    <cellStyle name="Normal 61 5 2 3 5 2 3 2 2" xfId="0"/>
    <cellStyle name="Normal 61 5 2 3 5 2 3 3" xfId="0"/>
    <cellStyle name="Normal 61 5 2 3 5 2 4" xfId="0"/>
    <cellStyle name="Normal 61 5 2 3 5 2 4 2" xfId="0"/>
    <cellStyle name="Normal 61 5 2 3 5 2 5" xfId="0"/>
    <cellStyle name="Normal 61 5 2 3 5 3" xfId="0"/>
    <cellStyle name="Normal 61 5 2 3 5 3 2" xfId="0"/>
    <cellStyle name="Normal 61 5 2 3 5 3 2 2" xfId="0"/>
    <cellStyle name="Normal 61 5 2 3 5 3 3" xfId="0"/>
    <cellStyle name="Normal 61 5 2 3 5 4" xfId="0"/>
    <cellStyle name="Normal 61 5 2 3 5 4 2" xfId="0"/>
    <cellStyle name="Normal 61 5 2 3 5 4 2 2" xfId="0"/>
    <cellStyle name="Normal 61 5 2 3 5 4 3" xfId="0"/>
    <cellStyle name="Normal 61 5 2 3 5 5" xfId="0"/>
    <cellStyle name="Normal 61 5 2 3 5 5 2" xfId="0"/>
    <cellStyle name="Normal 61 5 2 3 5 6" xfId="0"/>
    <cellStyle name="Normal 61 5 2 3 6" xfId="0"/>
    <cellStyle name="Normal 61 5 2 3 6 2" xfId="0"/>
    <cellStyle name="Normal 61 5 2 3 6 2 2" xfId="0"/>
    <cellStyle name="Normal 61 5 2 3 6 2 2 2" xfId="0"/>
    <cellStyle name="Normal 61 5 2 3 6 2 3" xfId="0"/>
    <cellStyle name="Normal 61 5 2 3 6 3" xfId="0"/>
    <cellStyle name="Normal 61 5 2 3 6 3 2" xfId="0"/>
    <cellStyle name="Normal 61 5 2 3 6 3 2 2" xfId="0"/>
    <cellStyle name="Normal 61 5 2 3 6 3 3" xfId="0"/>
    <cellStyle name="Normal 61 5 2 3 6 4" xfId="0"/>
    <cellStyle name="Normal 61 5 2 3 6 4 2" xfId="0"/>
    <cellStyle name="Normal 61 5 2 3 6 5" xfId="0"/>
    <cellStyle name="Normal 61 5 2 3 7" xfId="0"/>
    <cellStyle name="Normal 61 5 2 3 7 2" xfId="0"/>
    <cellStyle name="Normal 61 5 2 3 7 2 2" xfId="0"/>
    <cellStyle name="Normal 61 5 2 3 7 3" xfId="0"/>
    <cellStyle name="Normal 61 5 2 3 8" xfId="0"/>
    <cellStyle name="Normal 61 5 2 3 8 2" xfId="0"/>
    <cellStyle name="Normal 61 5 2 3 8 2 2" xfId="0"/>
    <cellStyle name="Normal 61 5 2 3 8 3" xfId="0"/>
    <cellStyle name="Normal 61 5 2 3 9" xfId="0"/>
    <cellStyle name="Normal 61 5 2 3 9 2" xfId="0"/>
    <cellStyle name="Normal 61 5 2 4" xfId="0"/>
    <cellStyle name="Normal 61 5 2 4 2" xfId="0"/>
    <cellStyle name="Normal 61 5 2 4 2 2" xfId="0"/>
    <cellStyle name="Normal 61 5 2 4 2 2 2" xfId="0"/>
    <cellStyle name="Normal 61 5 2 4 2 2 2 2" xfId="0"/>
    <cellStyle name="Normal 61 5 2 4 2 2 2 2 2" xfId="0"/>
    <cellStyle name="Normal 61 5 2 4 2 2 2 2 2 2" xfId="0"/>
    <cellStyle name="Normal 61 5 2 4 2 2 2 2 2 2 2" xfId="0"/>
    <cellStyle name="Normal 61 5 2 4 2 2 2 2 2 3" xfId="0"/>
    <cellStyle name="Normal 61 5 2 4 2 2 2 2 3" xfId="0"/>
    <cellStyle name="Normal 61 5 2 4 2 2 2 2 3 2" xfId="0"/>
    <cellStyle name="Normal 61 5 2 4 2 2 2 2 3 2 2" xfId="0"/>
    <cellStyle name="Normal 61 5 2 4 2 2 2 2 3 3" xfId="0"/>
    <cellStyle name="Normal 61 5 2 4 2 2 2 2 4" xfId="0"/>
    <cellStyle name="Normal 61 5 2 4 2 2 2 2 4 2" xfId="0"/>
    <cellStyle name="Normal 61 5 2 4 2 2 2 2 5" xfId="0"/>
    <cellStyle name="Normal 61 5 2 4 2 2 2 3" xfId="0"/>
    <cellStyle name="Normal 61 5 2 4 2 2 2 3 2" xfId="0"/>
    <cellStyle name="Normal 61 5 2 4 2 2 2 3 2 2" xfId="0"/>
    <cellStyle name="Normal 61 5 2 4 2 2 2 3 3" xfId="0"/>
    <cellStyle name="Normal 61 5 2 4 2 2 2 4" xfId="0"/>
    <cellStyle name="Normal 61 5 2 4 2 2 2 4 2" xfId="0"/>
    <cellStyle name="Normal 61 5 2 4 2 2 2 4 2 2" xfId="0"/>
    <cellStyle name="Normal 61 5 2 4 2 2 2 4 3" xfId="0"/>
    <cellStyle name="Normal 61 5 2 4 2 2 2 5" xfId="0"/>
    <cellStyle name="Normal 61 5 2 4 2 2 2 5 2" xfId="0"/>
    <cellStyle name="Normal 61 5 2 4 2 2 2 6" xfId="0"/>
    <cellStyle name="Normal 61 5 2 4 2 2 3" xfId="0"/>
    <cellStyle name="Normal 61 5 2 4 2 2 3 2" xfId="0"/>
    <cellStyle name="Normal 61 5 2 4 2 2 3 2 2" xfId="0"/>
    <cellStyle name="Normal 61 5 2 4 2 2 3 2 2 2" xfId="0"/>
    <cellStyle name="Normal 61 5 2 4 2 2 3 2 3" xfId="0"/>
    <cellStyle name="Normal 61 5 2 4 2 2 3 3" xfId="0"/>
    <cellStyle name="Normal 61 5 2 4 2 2 3 3 2" xfId="0"/>
    <cellStyle name="Normal 61 5 2 4 2 2 3 3 2 2" xfId="0"/>
    <cellStyle name="Normal 61 5 2 4 2 2 3 3 3" xfId="0"/>
    <cellStyle name="Normal 61 5 2 4 2 2 3 4" xfId="0"/>
    <cellStyle name="Normal 61 5 2 4 2 2 3 4 2" xfId="0"/>
    <cellStyle name="Normal 61 5 2 4 2 2 3 5" xfId="0"/>
    <cellStyle name="Normal 61 5 2 4 2 2 4" xfId="0"/>
    <cellStyle name="Normal 61 5 2 4 2 2 4 2" xfId="0"/>
    <cellStyle name="Normal 61 5 2 4 2 2 4 2 2" xfId="0"/>
    <cellStyle name="Normal 61 5 2 4 2 2 4 3" xfId="0"/>
    <cellStyle name="Normal 61 5 2 4 2 2 5" xfId="0"/>
    <cellStyle name="Normal 61 5 2 4 2 2 5 2" xfId="0"/>
    <cellStyle name="Normal 61 5 2 4 2 2 5 2 2" xfId="0"/>
    <cellStyle name="Normal 61 5 2 4 2 2 5 3" xfId="0"/>
    <cellStyle name="Normal 61 5 2 4 2 2 6" xfId="0"/>
    <cellStyle name="Normal 61 5 2 4 2 2 6 2" xfId="0"/>
    <cellStyle name="Normal 61 5 2 4 2 2 7" xfId="0"/>
    <cellStyle name="Normal 61 5 2 4 2 3" xfId="0"/>
    <cellStyle name="Normal 61 5 2 4 2 3 2" xfId="0"/>
    <cellStyle name="Normal 61 5 2 4 2 3 2 2" xfId="0"/>
    <cellStyle name="Normal 61 5 2 4 2 3 2 2 2" xfId="0"/>
    <cellStyle name="Normal 61 5 2 4 2 3 2 2 2 2" xfId="0"/>
    <cellStyle name="Normal 61 5 2 4 2 3 2 2 3" xfId="0"/>
    <cellStyle name="Normal 61 5 2 4 2 3 2 3" xfId="0"/>
    <cellStyle name="Normal 61 5 2 4 2 3 2 3 2" xfId="0"/>
    <cellStyle name="Normal 61 5 2 4 2 3 2 3 2 2" xfId="0"/>
    <cellStyle name="Normal 61 5 2 4 2 3 2 3 3" xfId="0"/>
    <cellStyle name="Normal 61 5 2 4 2 3 2 4" xfId="0"/>
    <cellStyle name="Normal 61 5 2 4 2 3 2 4 2" xfId="0"/>
    <cellStyle name="Normal 61 5 2 4 2 3 2 5" xfId="0"/>
    <cellStyle name="Normal 61 5 2 4 2 3 3" xfId="0"/>
    <cellStyle name="Normal 61 5 2 4 2 3 3 2" xfId="0"/>
    <cellStyle name="Normal 61 5 2 4 2 3 3 2 2" xfId="0"/>
    <cellStyle name="Normal 61 5 2 4 2 3 3 3" xfId="0"/>
    <cellStyle name="Normal 61 5 2 4 2 3 4" xfId="0"/>
    <cellStyle name="Normal 61 5 2 4 2 3 4 2" xfId="0"/>
    <cellStyle name="Normal 61 5 2 4 2 3 4 2 2" xfId="0"/>
    <cellStyle name="Normal 61 5 2 4 2 3 4 3" xfId="0"/>
    <cellStyle name="Normal 61 5 2 4 2 3 5" xfId="0"/>
    <cellStyle name="Normal 61 5 2 4 2 3 5 2" xfId="0"/>
    <cellStyle name="Normal 61 5 2 4 2 3 6" xfId="0"/>
    <cellStyle name="Normal 61 5 2 4 2 4" xfId="0"/>
    <cellStyle name="Normal 61 5 2 4 2 4 2" xfId="0"/>
    <cellStyle name="Normal 61 5 2 4 2 4 2 2" xfId="0"/>
    <cellStyle name="Normal 61 5 2 4 2 4 2 2 2" xfId="0"/>
    <cellStyle name="Normal 61 5 2 4 2 4 2 3" xfId="0"/>
    <cellStyle name="Normal 61 5 2 4 2 4 3" xfId="0"/>
    <cellStyle name="Normal 61 5 2 4 2 4 3 2" xfId="0"/>
    <cellStyle name="Normal 61 5 2 4 2 4 3 2 2" xfId="0"/>
    <cellStyle name="Normal 61 5 2 4 2 4 3 3" xfId="0"/>
    <cellStyle name="Normal 61 5 2 4 2 4 4" xfId="0"/>
    <cellStyle name="Normal 61 5 2 4 2 4 4 2" xfId="0"/>
    <cellStyle name="Normal 61 5 2 4 2 4 5" xfId="0"/>
    <cellStyle name="Normal 61 5 2 4 2 5" xfId="0"/>
    <cellStyle name="Normal 61 5 2 4 2 5 2" xfId="0"/>
    <cellStyle name="Normal 61 5 2 4 2 5 2 2" xfId="0"/>
    <cellStyle name="Normal 61 5 2 4 2 5 3" xfId="0"/>
    <cellStyle name="Normal 61 5 2 4 2 6" xfId="0"/>
    <cellStyle name="Normal 61 5 2 4 2 6 2" xfId="0"/>
    <cellStyle name="Normal 61 5 2 4 2 6 2 2" xfId="0"/>
    <cellStyle name="Normal 61 5 2 4 2 6 3" xfId="0"/>
    <cellStyle name="Normal 61 5 2 4 2 7" xfId="0"/>
    <cellStyle name="Normal 61 5 2 4 2 7 2" xfId="0"/>
    <cellStyle name="Normal 61 5 2 4 2 8" xfId="0"/>
    <cellStyle name="Normal 61 5 2 4 3" xfId="0"/>
    <cellStyle name="Normal 61 5 2 4 3 2" xfId="0"/>
    <cellStyle name="Normal 61 5 2 4 3 2 2" xfId="0"/>
    <cellStyle name="Normal 61 5 2 4 3 2 2 2" xfId="0"/>
    <cellStyle name="Normal 61 5 2 4 3 2 2 2 2" xfId="0"/>
    <cellStyle name="Normal 61 5 2 4 3 2 2 2 2 2" xfId="0"/>
    <cellStyle name="Normal 61 5 2 4 3 2 2 2 3" xfId="0"/>
    <cellStyle name="Normal 61 5 2 4 3 2 2 3" xfId="0"/>
    <cellStyle name="Normal 61 5 2 4 3 2 2 3 2" xfId="0"/>
    <cellStyle name="Normal 61 5 2 4 3 2 2 3 2 2" xfId="0"/>
    <cellStyle name="Normal 61 5 2 4 3 2 2 3 3" xfId="0"/>
    <cellStyle name="Normal 61 5 2 4 3 2 2 4" xfId="0"/>
    <cellStyle name="Normal 61 5 2 4 3 2 2 4 2" xfId="0"/>
    <cellStyle name="Normal 61 5 2 4 3 2 2 5" xfId="0"/>
    <cellStyle name="Normal 61 5 2 4 3 2 3" xfId="0"/>
    <cellStyle name="Normal 61 5 2 4 3 2 3 2" xfId="0"/>
    <cellStyle name="Normal 61 5 2 4 3 2 3 2 2" xfId="0"/>
    <cellStyle name="Normal 61 5 2 4 3 2 3 3" xfId="0"/>
    <cellStyle name="Normal 61 5 2 4 3 2 4" xfId="0"/>
    <cellStyle name="Normal 61 5 2 4 3 2 4 2" xfId="0"/>
    <cellStyle name="Normal 61 5 2 4 3 2 4 2 2" xfId="0"/>
    <cellStyle name="Normal 61 5 2 4 3 2 4 3" xfId="0"/>
    <cellStyle name="Normal 61 5 2 4 3 2 5" xfId="0"/>
    <cellStyle name="Normal 61 5 2 4 3 2 5 2" xfId="0"/>
    <cellStyle name="Normal 61 5 2 4 3 2 6" xfId="0"/>
    <cellStyle name="Normal 61 5 2 4 3 3" xfId="0"/>
    <cellStyle name="Normal 61 5 2 4 3 3 2" xfId="0"/>
    <cellStyle name="Normal 61 5 2 4 3 3 2 2" xfId="0"/>
    <cellStyle name="Normal 61 5 2 4 3 3 2 2 2" xfId="0"/>
    <cellStyle name="Normal 61 5 2 4 3 3 2 3" xfId="0"/>
    <cellStyle name="Normal 61 5 2 4 3 3 3" xfId="0"/>
    <cellStyle name="Normal 61 5 2 4 3 3 3 2" xfId="0"/>
    <cellStyle name="Normal 61 5 2 4 3 3 3 2 2" xfId="0"/>
    <cellStyle name="Normal 61 5 2 4 3 3 3 3" xfId="0"/>
    <cellStyle name="Normal 61 5 2 4 3 3 4" xfId="0"/>
    <cellStyle name="Normal 61 5 2 4 3 3 4 2" xfId="0"/>
    <cellStyle name="Normal 61 5 2 4 3 3 5" xfId="0"/>
    <cellStyle name="Normal 61 5 2 4 3 4" xfId="0"/>
    <cellStyle name="Normal 61 5 2 4 3 4 2" xfId="0"/>
    <cellStyle name="Normal 61 5 2 4 3 4 2 2" xfId="0"/>
    <cellStyle name="Normal 61 5 2 4 3 4 3" xfId="0"/>
    <cellStyle name="Normal 61 5 2 4 3 5" xfId="0"/>
    <cellStyle name="Normal 61 5 2 4 3 5 2" xfId="0"/>
    <cellStyle name="Normal 61 5 2 4 3 5 2 2" xfId="0"/>
    <cellStyle name="Normal 61 5 2 4 3 5 3" xfId="0"/>
    <cellStyle name="Normal 61 5 2 4 3 6" xfId="0"/>
    <cellStyle name="Normal 61 5 2 4 3 6 2" xfId="0"/>
    <cellStyle name="Normal 61 5 2 4 3 7" xfId="0"/>
    <cellStyle name="Normal 61 5 2 4 4" xfId="0"/>
    <cellStyle name="Normal 61 5 2 4 4 2" xfId="0"/>
    <cellStyle name="Normal 61 5 2 4 4 2 2" xfId="0"/>
    <cellStyle name="Normal 61 5 2 4 4 2 2 2" xfId="0"/>
    <cellStyle name="Normal 61 5 2 4 4 2 2 2 2" xfId="0"/>
    <cellStyle name="Normal 61 5 2 4 4 2 2 3" xfId="0"/>
    <cellStyle name="Normal 61 5 2 4 4 2 3" xfId="0"/>
    <cellStyle name="Normal 61 5 2 4 4 2 3 2" xfId="0"/>
    <cellStyle name="Normal 61 5 2 4 4 2 3 2 2" xfId="0"/>
    <cellStyle name="Normal 61 5 2 4 4 2 3 3" xfId="0"/>
    <cellStyle name="Normal 61 5 2 4 4 2 4" xfId="0"/>
    <cellStyle name="Normal 61 5 2 4 4 2 4 2" xfId="0"/>
    <cellStyle name="Normal 61 5 2 4 4 2 5" xfId="0"/>
    <cellStyle name="Normal 61 5 2 4 4 3" xfId="0"/>
    <cellStyle name="Normal 61 5 2 4 4 3 2" xfId="0"/>
    <cellStyle name="Normal 61 5 2 4 4 3 2 2" xfId="0"/>
    <cellStyle name="Normal 61 5 2 4 4 3 3" xfId="0"/>
    <cellStyle name="Normal 61 5 2 4 4 4" xfId="0"/>
    <cellStyle name="Normal 61 5 2 4 4 4 2" xfId="0"/>
    <cellStyle name="Normal 61 5 2 4 4 4 2 2" xfId="0"/>
    <cellStyle name="Normal 61 5 2 4 4 4 3" xfId="0"/>
    <cellStyle name="Normal 61 5 2 4 4 5" xfId="0"/>
    <cellStyle name="Normal 61 5 2 4 4 5 2" xfId="0"/>
    <cellStyle name="Normal 61 5 2 4 4 6" xfId="0"/>
    <cellStyle name="Normal 61 5 2 4 5" xfId="0"/>
    <cellStyle name="Normal 61 5 2 4 5 2" xfId="0"/>
    <cellStyle name="Normal 61 5 2 4 5 2 2" xfId="0"/>
    <cellStyle name="Normal 61 5 2 4 5 2 2 2" xfId="0"/>
    <cellStyle name="Normal 61 5 2 4 5 2 3" xfId="0"/>
    <cellStyle name="Normal 61 5 2 4 5 3" xfId="0"/>
    <cellStyle name="Normal 61 5 2 4 5 3 2" xfId="0"/>
    <cellStyle name="Normal 61 5 2 4 5 3 2 2" xfId="0"/>
    <cellStyle name="Normal 61 5 2 4 5 3 3" xfId="0"/>
    <cellStyle name="Normal 61 5 2 4 5 4" xfId="0"/>
    <cellStyle name="Normal 61 5 2 4 5 4 2" xfId="0"/>
    <cellStyle name="Normal 61 5 2 4 5 5" xfId="0"/>
    <cellStyle name="Normal 61 5 2 4 6" xfId="0"/>
    <cellStyle name="Normal 61 5 2 4 6 2" xfId="0"/>
    <cellStyle name="Normal 61 5 2 4 6 2 2" xfId="0"/>
    <cellStyle name="Normal 61 5 2 4 6 3" xfId="0"/>
    <cellStyle name="Normal 61 5 2 4 7" xfId="0"/>
    <cellStyle name="Normal 61 5 2 4 7 2" xfId="0"/>
    <cellStyle name="Normal 61 5 2 4 7 2 2" xfId="0"/>
    <cellStyle name="Normal 61 5 2 4 7 3" xfId="0"/>
    <cellStyle name="Normal 61 5 2 4 8" xfId="0"/>
    <cellStyle name="Normal 61 5 2 4 8 2" xfId="0"/>
    <cellStyle name="Normal 61 5 2 4 9" xfId="0"/>
    <cellStyle name="Normal 61 5 2 5" xfId="0"/>
    <cellStyle name="Normal 61 5 2 5 2" xfId="0"/>
    <cellStyle name="Normal 61 5 2 5 2 2" xfId="0"/>
    <cellStyle name="Normal 61 5 2 5 2 2 2" xfId="0"/>
    <cellStyle name="Normal 61 5 2 5 2 2 2 2" xfId="0"/>
    <cellStyle name="Normal 61 5 2 5 2 2 2 2 2" xfId="0"/>
    <cellStyle name="Normal 61 5 2 5 2 2 2 2 2 2" xfId="0"/>
    <cellStyle name="Normal 61 5 2 5 2 2 2 2 3" xfId="0"/>
    <cellStyle name="Normal 61 5 2 5 2 2 2 3" xfId="0"/>
    <cellStyle name="Normal 61 5 2 5 2 2 2 3 2" xfId="0"/>
    <cellStyle name="Normal 61 5 2 5 2 2 2 3 2 2" xfId="0"/>
    <cellStyle name="Normal 61 5 2 5 2 2 2 3 3" xfId="0"/>
    <cellStyle name="Normal 61 5 2 5 2 2 2 4" xfId="0"/>
    <cellStyle name="Normal 61 5 2 5 2 2 2 4 2" xfId="0"/>
    <cellStyle name="Normal 61 5 2 5 2 2 2 5" xfId="0"/>
    <cellStyle name="Normal 61 5 2 5 2 2 3" xfId="0"/>
    <cellStyle name="Normal 61 5 2 5 2 2 3 2" xfId="0"/>
    <cellStyle name="Normal 61 5 2 5 2 2 3 2 2" xfId="0"/>
    <cellStyle name="Normal 61 5 2 5 2 2 3 3" xfId="0"/>
    <cellStyle name="Normal 61 5 2 5 2 2 4" xfId="0"/>
    <cellStyle name="Normal 61 5 2 5 2 2 4 2" xfId="0"/>
    <cellStyle name="Normal 61 5 2 5 2 2 4 2 2" xfId="0"/>
    <cellStyle name="Normal 61 5 2 5 2 2 4 3" xfId="0"/>
    <cellStyle name="Normal 61 5 2 5 2 2 5" xfId="0"/>
    <cellStyle name="Normal 61 5 2 5 2 2 5 2" xfId="0"/>
    <cellStyle name="Normal 61 5 2 5 2 2 6" xfId="0"/>
    <cellStyle name="Normal 61 5 2 5 2 3" xfId="0"/>
    <cellStyle name="Normal 61 5 2 5 2 3 2" xfId="0"/>
    <cellStyle name="Normal 61 5 2 5 2 3 2 2" xfId="0"/>
    <cellStyle name="Normal 61 5 2 5 2 3 2 2 2" xfId="0"/>
    <cellStyle name="Normal 61 5 2 5 2 3 2 3" xfId="0"/>
    <cellStyle name="Normal 61 5 2 5 2 3 3" xfId="0"/>
    <cellStyle name="Normal 61 5 2 5 2 3 3 2" xfId="0"/>
    <cellStyle name="Normal 61 5 2 5 2 3 3 2 2" xfId="0"/>
    <cellStyle name="Normal 61 5 2 5 2 3 3 3" xfId="0"/>
    <cellStyle name="Normal 61 5 2 5 2 3 4" xfId="0"/>
    <cellStyle name="Normal 61 5 2 5 2 3 4 2" xfId="0"/>
    <cellStyle name="Normal 61 5 2 5 2 3 5" xfId="0"/>
    <cellStyle name="Normal 61 5 2 5 2 4" xfId="0"/>
    <cellStyle name="Normal 61 5 2 5 2 4 2" xfId="0"/>
    <cellStyle name="Normal 61 5 2 5 2 4 2 2" xfId="0"/>
    <cellStyle name="Normal 61 5 2 5 2 4 3" xfId="0"/>
    <cellStyle name="Normal 61 5 2 5 2 5" xfId="0"/>
    <cellStyle name="Normal 61 5 2 5 2 5 2" xfId="0"/>
    <cellStyle name="Normal 61 5 2 5 2 5 2 2" xfId="0"/>
    <cellStyle name="Normal 61 5 2 5 2 5 3" xfId="0"/>
    <cellStyle name="Normal 61 5 2 5 2 6" xfId="0"/>
    <cellStyle name="Normal 61 5 2 5 2 6 2" xfId="0"/>
    <cellStyle name="Normal 61 5 2 5 2 7" xfId="0"/>
    <cellStyle name="Normal 61 5 2 5 3" xfId="0"/>
    <cellStyle name="Normal 61 5 2 5 3 2" xfId="0"/>
    <cellStyle name="Normal 61 5 2 5 3 2 2" xfId="0"/>
    <cellStyle name="Normal 61 5 2 5 3 2 2 2" xfId="0"/>
    <cellStyle name="Normal 61 5 2 5 3 2 2 2 2" xfId="0"/>
    <cellStyle name="Normal 61 5 2 5 3 2 2 3" xfId="0"/>
    <cellStyle name="Normal 61 5 2 5 3 2 3" xfId="0"/>
    <cellStyle name="Normal 61 5 2 5 3 2 3 2" xfId="0"/>
    <cellStyle name="Normal 61 5 2 5 3 2 3 2 2" xfId="0"/>
    <cellStyle name="Normal 61 5 2 5 3 2 3 3" xfId="0"/>
    <cellStyle name="Normal 61 5 2 5 3 2 4" xfId="0"/>
    <cellStyle name="Normal 61 5 2 5 3 2 4 2" xfId="0"/>
    <cellStyle name="Normal 61 5 2 5 3 2 5" xfId="0"/>
    <cellStyle name="Normal 61 5 2 5 3 3" xfId="0"/>
    <cellStyle name="Normal 61 5 2 5 3 3 2" xfId="0"/>
    <cellStyle name="Normal 61 5 2 5 3 3 2 2" xfId="0"/>
    <cellStyle name="Normal 61 5 2 5 3 3 3" xfId="0"/>
    <cellStyle name="Normal 61 5 2 5 3 4" xfId="0"/>
    <cellStyle name="Normal 61 5 2 5 3 4 2" xfId="0"/>
    <cellStyle name="Normal 61 5 2 5 3 4 2 2" xfId="0"/>
    <cellStyle name="Normal 61 5 2 5 3 4 3" xfId="0"/>
    <cellStyle name="Normal 61 5 2 5 3 5" xfId="0"/>
    <cellStyle name="Normal 61 5 2 5 3 5 2" xfId="0"/>
    <cellStyle name="Normal 61 5 2 5 3 6" xfId="0"/>
    <cellStyle name="Normal 61 5 2 5 4" xfId="0"/>
    <cellStyle name="Normal 61 5 2 5 4 2" xfId="0"/>
    <cellStyle name="Normal 61 5 2 5 4 2 2" xfId="0"/>
    <cellStyle name="Normal 61 5 2 5 4 2 2 2" xfId="0"/>
    <cellStyle name="Normal 61 5 2 5 4 2 3" xfId="0"/>
    <cellStyle name="Normal 61 5 2 5 4 3" xfId="0"/>
    <cellStyle name="Normal 61 5 2 5 4 3 2" xfId="0"/>
    <cellStyle name="Normal 61 5 2 5 4 3 2 2" xfId="0"/>
    <cellStyle name="Normal 61 5 2 5 4 3 3" xfId="0"/>
    <cellStyle name="Normal 61 5 2 5 4 4" xfId="0"/>
    <cellStyle name="Normal 61 5 2 5 4 4 2" xfId="0"/>
    <cellStyle name="Normal 61 5 2 5 4 5" xfId="0"/>
    <cellStyle name="Normal 61 5 2 5 5" xfId="0"/>
    <cellStyle name="Normal 61 5 2 5 5 2" xfId="0"/>
    <cellStyle name="Normal 61 5 2 5 5 2 2" xfId="0"/>
    <cellStyle name="Normal 61 5 2 5 5 3" xfId="0"/>
    <cellStyle name="Normal 61 5 2 5 6" xfId="0"/>
    <cellStyle name="Normal 61 5 2 5 6 2" xfId="0"/>
    <cellStyle name="Normal 61 5 2 5 6 2 2" xfId="0"/>
    <cellStyle name="Normal 61 5 2 5 6 3" xfId="0"/>
    <cellStyle name="Normal 61 5 2 5 7" xfId="0"/>
    <cellStyle name="Normal 61 5 2 5 7 2" xfId="0"/>
    <cellStyle name="Normal 61 5 2 5 8" xfId="0"/>
    <cellStyle name="Normal 61 5 2 6" xfId="0"/>
    <cellStyle name="Normal 61 5 2 6 2" xfId="0"/>
    <cellStyle name="Normal 61 5 2 6 2 2" xfId="0"/>
    <cellStyle name="Normal 61 5 2 6 2 2 2" xfId="0"/>
    <cellStyle name="Normal 61 5 2 6 2 2 2 2" xfId="0"/>
    <cellStyle name="Normal 61 5 2 6 2 2 2 2 2" xfId="0"/>
    <cellStyle name="Normal 61 5 2 6 2 2 2 3" xfId="0"/>
    <cellStyle name="Normal 61 5 2 6 2 2 3" xfId="0"/>
    <cellStyle name="Normal 61 5 2 6 2 2 3 2" xfId="0"/>
    <cellStyle name="Normal 61 5 2 6 2 2 3 2 2" xfId="0"/>
    <cellStyle name="Normal 61 5 2 6 2 2 3 3" xfId="0"/>
    <cellStyle name="Normal 61 5 2 6 2 2 4" xfId="0"/>
    <cellStyle name="Normal 61 5 2 6 2 2 4 2" xfId="0"/>
    <cellStyle name="Normal 61 5 2 6 2 2 5" xfId="0"/>
    <cellStyle name="Normal 61 5 2 6 2 3" xfId="0"/>
    <cellStyle name="Normal 61 5 2 6 2 3 2" xfId="0"/>
    <cellStyle name="Normal 61 5 2 6 2 3 2 2" xfId="0"/>
    <cellStyle name="Normal 61 5 2 6 2 3 3" xfId="0"/>
    <cellStyle name="Normal 61 5 2 6 2 4" xfId="0"/>
    <cellStyle name="Normal 61 5 2 6 2 4 2" xfId="0"/>
    <cellStyle name="Normal 61 5 2 6 2 4 2 2" xfId="0"/>
    <cellStyle name="Normal 61 5 2 6 2 4 3" xfId="0"/>
    <cellStyle name="Normal 61 5 2 6 2 5" xfId="0"/>
    <cellStyle name="Normal 61 5 2 6 2 5 2" xfId="0"/>
    <cellStyle name="Normal 61 5 2 6 2 6" xfId="0"/>
    <cellStyle name="Normal 61 5 2 6 3" xfId="0"/>
    <cellStyle name="Normal 61 5 2 6 3 2" xfId="0"/>
    <cellStyle name="Normal 61 5 2 6 3 2 2" xfId="0"/>
    <cellStyle name="Normal 61 5 2 6 3 2 2 2" xfId="0"/>
    <cellStyle name="Normal 61 5 2 6 3 2 3" xfId="0"/>
    <cellStyle name="Normal 61 5 2 6 3 3" xfId="0"/>
    <cellStyle name="Normal 61 5 2 6 3 3 2" xfId="0"/>
    <cellStyle name="Normal 61 5 2 6 3 3 2 2" xfId="0"/>
    <cellStyle name="Normal 61 5 2 6 3 3 3" xfId="0"/>
    <cellStyle name="Normal 61 5 2 6 3 4" xfId="0"/>
    <cellStyle name="Normal 61 5 2 6 3 4 2" xfId="0"/>
    <cellStyle name="Normal 61 5 2 6 3 5" xfId="0"/>
    <cellStyle name="Normal 61 5 2 6 4" xfId="0"/>
    <cellStyle name="Normal 61 5 2 6 4 2" xfId="0"/>
    <cellStyle name="Normal 61 5 2 6 4 2 2" xfId="0"/>
    <cellStyle name="Normal 61 5 2 6 4 3" xfId="0"/>
    <cellStyle name="Normal 61 5 2 6 5" xfId="0"/>
    <cellStyle name="Normal 61 5 2 6 5 2" xfId="0"/>
    <cellStyle name="Normal 61 5 2 6 5 2 2" xfId="0"/>
    <cellStyle name="Normal 61 5 2 6 5 3" xfId="0"/>
    <cellStyle name="Normal 61 5 2 6 6" xfId="0"/>
    <cellStyle name="Normal 61 5 2 6 6 2" xfId="0"/>
    <cellStyle name="Normal 61 5 2 6 7" xfId="0"/>
    <cellStyle name="Normal 61 5 2 7" xfId="0"/>
    <cellStyle name="Normal 61 5 2 7 2" xfId="0"/>
    <cellStyle name="Normal 61 5 2 7 2 2" xfId="0"/>
    <cellStyle name="Normal 61 5 2 7 2 2 2" xfId="0"/>
    <cellStyle name="Normal 61 5 2 7 2 2 2 2" xfId="0"/>
    <cellStyle name="Normal 61 5 2 7 2 2 3" xfId="0"/>
    <cellStyle name="Normal 61 5 2 7 2 3" xfId="0"/>
    <cellStyle name="Normal 61 5 2 7 2 3 2" xfId="0"/>
    <cellStyle name="Normal 61 5 2 7 2 3 2 2" xfId="0"/>
    <cellStyle name="Normal 61 5 2 7 2 3 3" xfId="0"/>
    <cellStyle name="Normal 61 5 2 7 2 4" xfId="0"/>
    <cellStyle name="Normal 61 5 2 7 2 4 2" xfId="0"/>
    <cellStyle name="Normal 61 5 2 7 2 5" xfId="0"/>
    <cellStyle name="Normal 61 5 2 7 3" xfId="0"/>
    <cellStyle name="Normal 61 5 2 7 3 2" xfId="0"/>
    <cellStyle name="Normal 61 5 2 7 3 2 2" xfId="0"/>
    <cellStyle name="Normal 61 5 2 7 3 3" xfId="0"/>
    <cellStyle name="Normal 61 5 2 7 4" xfId="0"/>
    <cellStyle name="Normal 61 5 2 7 4 2" xfId="0"/>
    <cellStyle name="Normal 61 5 2 7 4 2 2" xfId="0"/>
    <cellStyle name="Normal 61 5 2 7 4 3" xfId="0"/>
    <cellStyle name="Normal 61 5 2 7 5" xfId="0"/>
    <cellStyle name="Normal 61 5 2 7 5 2" xfId="0"/>
    <cellStyle name="Normal 61 5 2 7 6" xfId="0"/>
    <cellStyle name="Normal 61 5 2 8" xfId="0"/>
    <cellStyle name="Normal 61 5 2 8 2" xfId="0"/>
    <cellStyle name="Normal 61 5 2 8 2 2" xfId="0"/>
    <cellStyle name="Normal 61 5 2 8 2 2 2" xfId="0"/>
    <cellStyle name="Normal 61 5 2 8 2 3" xfId="0"/>
    <cellStyle name="Normal 61 5 2 8 3" xfId="0"/>
    <cellStyle name="Normal 61 5 2 8 3 2" xfId="0"/>
    <cellStyle name="Normal 61 5 2 8 3 2 2" xfId="0"/>
    <cellStyle name="Normal 61 5 2 8 3 3" xfId="0"/>
    <cellStyle name="Normal 61 5 2 8 4" xfId="0"/>
    <cellStyle name="Normal 61 5 2 8 4 2" xfId="0"/>
    <cellStyle name="Normal 61 5 2 8 5" xfId="0"/>
    <cellStyle name="Normal 61 5 2 9" xfId="0"/>
    <cellStyle name="Normal 61 5 2 9 2" xfId="0"/>
    <cellStyle name="Normal 61 5 2 9 2 2" xfId="0"/>
    <cellStyle name="Normal 61 5 2 9 3" xfId="0"/>
    <cellStyle name="Normal 61 5 3" xfId="0"/>
    <cellStyle name="Normal 61 5 3 10" xfId="0"/>
    <cellStyle name="Normal 61 5 3 2" xfId="0"/>
    <cellStyle name="Normal 61 5 3 2 2" xfId="0"/>
    <cellStyle name="Normal 61 5 3 2 2 2" xfId="0"/>
    <cellStyle name="Normal 61 5 3 2 2 2 2" xfId="0"/>
    <cellStyle name="Normal 61 5 3 2 2 2 2 2" xfId="0"/>
    <cellStyle name="Normal 61 5 3 2 2 2 2 2 2" xfId="0"/>
    <cellStyle name="Normal 61 5 3 2 2 2 2 2 2 2" xfId="0"/>
    <cellStyle name="Normal 61 5 3 2 2 2 2 2 2 2 2" xfId="0"/>
    <cellStyle name="Normal 61 5 3 2 2 2 2 2 2 3" xfId="0"/>
    <cellStyle name="Normal 61 5 3 2 2 2 2 2 3" xfId="0"/>
    <cellStyle name="Normal 61 5 3 2 2 2 2 2 3 2" xfId="0"/>
    <cellStyle name="Normal 61 5 3 2 2 2 2 2 3 2 2" xfId="0"/>
    <cellStyle name="Normal 61 5 3 2 2 2 2 2 3 3" xfId="0"/>
    <cellStyle name="Normal 61 5 3 2 2 2 2 2 4" xfId="0"/>
    <cellStyle name="Normal 61 5 3 2 2 2 2 2 4 2" xfId="0"/>
    <cellStyle name="Normal 61 5 3 2 2 2 2 2 5" xfId="0"/>
    <cellStyle name="Normal 61 5 3 2 2 2 2 3" xfId="0"/>
    <cellStyle name="Normal 61 5 3 2 2 2 2 3 2" xfId="0"/>
    <cellStyle name="Normal 61 5 3 2 2 2 2 3 2 2" xfId="0"/>
    <cellStyle name="Normal 61 5 3 2 2 2 2 3 3" xfId="0"/>
    <cellStyle name="Normal 61 5 3 2 2 2 2 4" xfId="0"/>
    <cellStyle name="Normal 61 5 3 2 2 2 2 4 2" xfId="0"/>
    <cellStyle name="Normal 61 5 3 2 2 2 2 4 2 2" xfId="0"/>
    <cellStyle name="Normal 61 5 3 2 2 2 2 4 3" xfId="0"/>
    <cellStyle name="Normal 61 5 3 2 2 2 2 5" xfId="0"/>
    <cellStyle name="Normal 61 5 3 2 2 2 2 5 2" xfId="0"/>
    <cellStyle name="Normal 61 5 3 2 2 2 2 6" xfId="0"/>
    <cellStyle name="Normal 61 5 3 2 2 2 3" xfId="0"/>
    <cellStyle name="Normal 61 5 3 2 2 2 3 2" xfId="0"/>
    <cellStyle name="Normal 61 5 3 2 2 2 3 2 2" xfId="0"/>
    <cellStyle name="Normal 61 5 3 2 2 2 3 2 2 2" xfId="0"/>
    <cellStyle name="Normal 61 5 3 2 2 2 3 2 3" xfId="0"/>
    <cellStyle name="Normal 61 5 3 2 2 2 3 3" xfId="0"/>
    <cellStyle name="Normal 61 5 3 2 2 2 3 3 2" xfId="0"/>
    <cellStyle name="Normal 61 5 3 2 2 2 3 3 2 2" xfId="0"/>
    <cellStyle name="Normal 61 5 3 2 2 2 3 3 3" xfId="0"/>
    <cellStyle name="Normal 61 5 3 2 2 2 3 4" xfId="0"/>
    <cellStyle name="Normal 61 5 3 2 2 2 3 4 2" xfId="0"/>
    <cellStyle name="Normal 61 5 3 2 2 2 3 5" xfId="0"/>
    <cellStyle name="Normal 61 5 3 2 2 2 4" xfId="0"/>
    <cellStyle name="Normal 61 5 3 2 2 2 4 2" xfId="0"/>
    <cellStyle name="Normal 61 5 3 2 2 2 4 2 2" xfId="0"/>
    <cellStyle name="Normal 61 5 3 2 2 2 4 3" xfId="0"/>
    <cellStyle name="Normal 61 5 3 2 2 2 5" xfId="0"/>
    <cellStyle name="Normal 61 5 3 2 2 2 5 2" xfId="0"/>
    <cellStyle name="Normal 61 5 3 2 2 2 5 2 2" xfId="0"/>
    <cellStyle name="Normal 61 5 3 2 2 2 5 3" xfId="0"/>
    <cellStyle name="Normal 61 5 3 2 2 2 6" xfId="0"/>
    <cellStyle name="Normal 61 5 3 2 2 2 6 2" xfId="0"/>
    <cellStyle name="Normal 61 5 3 2 2 2 7" xfId="0"/>
    <cellStyle name="Normal 61 5 3 2 2 3" xfId="0"/>
    <cellStyle name="Normal 61 5 3 2 2 3 2" xfId="0"/>
    <cellStyle name="Normal 61 5 3 2 2 3 2 2" xfId="0"/>
    <cellStyle name="Normal 61 5 3 2 2 3 2 2 2" xfId="0"/>
    <cellStyle name="Normal 61 5 3 2 2 3 2 2 2 2" xfId="0"/>
    <cellStyle name="Normal 61 5 3 2 2 3 2 2 3" xfId="0"/>
    <cellStyle name="Normal 61 5 3 2 2 3 2 3" xfId="0"/>
    <cellStyle name="Normal 61 5 3 2 2 3 2 3 2" xfId="0"/>
    <cellStyle name="Normal 61 5 3 2 2 3 2 3 2 2" xfId="0"/>
    <cellStyle name="Normal 61 5 3 2 2 3 2 3 3" xfId="0"/>
    <cellStyle name="Normal 61 5 3 2 2 3 2 4" xfId="0"/>
    <cellStyle name="Normal 61 5 3 2 2 3 2 4 2" xfId="0"/>
    <cellStyle name="Normal 61 5 3 2 2 3 2 5" xfId="0"/>
    <cellStyle name="Normal 61 5 3 2 2 3 3" xfId="0"/>
    <cellStyle name="Normal 61 5 3 2 2 3 3 2" xfId="0"/>
    <cellStyle name="Normal 61 5 3 2 2 3 3 2 2" xfId="0"/>
    <cellStyle name="Normal 61 5 3 2 2 3 3 3" xfId="0"/>
    <cellStyle name="Normal 61 5 3 2 2 3 4" xfId="0"/>
    <cellStyle name="Normal 61 5 3 2 2 3 4 2" xfId="0"/>
    <cellStyle name="Normal 61 5 3 2 2 3 4 2 2" xfId="0"/>
    <cellStyle name="Normal 61 5 3 2 2 3 4 3" xfId="0"/>
    <cellStyle name="Normal 61 5 3 2 2 3 5" xfId="0"/>
    <cellStyle name="Normal 61 5 3 2 2 3 5 2" xfId="0"/>
    <cellStyle name="Normal 61 5 3 2 2 3 6" xfId="0"/>
    <cellStyle name="Normal 61 5 3 2 2 4" xfId="0"/>
    <cellStyle name="Normal 61 5 3 2 2 4 2" xfId="0"/>
    <cellStyle name="Normal 61 5 3 2 2 4 2 2" xfId="0"/>
    <cellStyle name="Normal 61 5 3 2 2 4 2 2 2" xfId="0"/>
    <cellStyle name="Normal 61 5 3 2 2 4 2 3" xfId="0"/>
    <cellStyle name="Normal 61 5 3 2 2 4 3" xfId="0"/>
    <cellStyle name="Normal 61 5 3 2 2 4 3 2" xfId="0"/>
    <cellStyle name="Normal 61 5 3 2 2 4 3 2 2" xfId="0"/>
    <cellStyle name="Normal 61 5 3 2 2 4 3 3" xfId="0"/>
    <cellStyle name="Normal 61 5 3 2 2 4 4" xfId="0"/>
    <cellStyle name="Normal 61 5 3 2 2 4 4 2" xfId="0"/>
    <cellStyle name="Normal 61 5 3 2 2 4 5" xfId="0"/>
    <cellStyle name="Normal 61 5 3 2 2 5" xfId="0"/>
    <cellStyle name="Normal 61 5 3 2 2 5 2" xfId="0"/>
    <cellStyle name="Normal 61 5 3 2 2 5 2 2" xfId="0"/>
    <cellStyle name="Normal 61 5 3 2 2 5 3" xfId="0"/>
    <cellStyle name="Normal 61 5 3 2 2 6" xfId="0"/>
    <cellStyle name="Normal 61 5 3 2 2 6 2" xfId="0"/>
    <cellStyle name="Normal 61 5 3 2 2 6 2 2" xfId="0"/>
    <cellStyle name="Normal 61 5 3 2 2 6 3" xfId="0"/>
    <cellStyle name="Normal 61 5 3 2 2 7" xfId="0"/>
    <cellStyle name="Normal 61 5 3 2 2 7 2" xfId="0"/>
    <cellStyle name="Normal 61 5 3 2 2 8" xfId="0"/>
    <cellStyle name="Normal 61 5 3 2 3" xfId="0"/>
    <cellStyle name="Normal 61 5 3 2 3 2" xfId="0"/>
    <cellStyle name="Normal 61 5 3 2 3 2 2" xfId="0"/>
    <cellStyle name="Normal 61 5 3 2 3 2 2 2" xfId="0"/>
    <cellStyle name="Normal 61 5 3 2 3 2 2 2 2" xfId="0"/>
    <cellStyle name="Normal 61 5 3 2 3 2 2 2 2 2" xfId="0"/>
    <cellStyle name="Normal 61 5 3 2 3 2 2 2 3" xfId="0"/>
    <cellStyle name="Normal 61 5 3 2 3 2 2 3" xfId="0"/>
    <cellStyle name="Normal 61 5 3 2 3 2 2 3 2" xfId="0"/>
    <cellStyle name="Normal 61 5 3 2 3 2 2 3 2 2" xfId="0"/>
    <cellStyle name="Normal 61 5 3 2 3 2 2 3 3" xfId="0"/>
    <cellStyle name="Normal 61 5 3 2 3 2 2 4" xfId="0"/>
    <cellStyle name="Normal 61 5 3 2 3 2 2 4 2" xfId="0"/>
    <cellStyle name="Normal 61 5 3 2 3 2 2 5" xfId="0"/>
    <cellStyle name="Normal 61 5 3 2 3 2 3" xfId="0"/>
    <cellStyle name="Normal 61 5 3 2 3 2 3 2" xfId="0"/>
    <cellStyle name="Normal 61 5 3 2 3 2 3 2 2" xfId="0"/>
    <cellStyle name="Normal 61 5 3 2 3 2 3 3" xfId="0"/>
    <cellStyle name="Normal 61 5 3 2 3 2 4" xfId="0"/>
    <cellStyle name="Normal 61 5 3 2 3 2 4 2" xfId="0"/>
    <cellStyle name="Normal 61 5 3 2 3 2 4 2 2" xfId="0"/>
    <cellStyle name="Normal 61 5 3 2 3 2 4 3" xfId="0"/>
    <cellStyle name="Normal 61 5 3 2 3 2 5" xfId="0"/>
    <cellStyle name="Normal 61 5 3 2 3 2 5 2" xfId="0"/>
    <cellStyle name="Normal 61 5 3 2 3 2 6" xfId="0"/>
    <cellStyle name="Normal 61 5 3 2 3 3" xfId="0"/>
    <cellStyle name="Normal 61 5 3 2 3 3 2" xfId="0"/>
    <cellStyle name="Normal 61 5 3 2 3 3 2 2" xfId="0"/>
    <cellStyle name="Normal 61 5 3 2 3 3 2 2 2" xfId="0"/>
    <cellStyle name="Normal 61 5 3 2 3 3 2 3" xfId="0"/>
    <cellStyle name="Normal 61 5 3 2 3 3 3" xfId="0"/>
    <cellStyle name="Normal 61 5 3 2 3 3 3 2" xfId="0"/>
    <cellStyle name="Normal 61 5 3 2 3 3 3 2 2" xfId="0"/>
    <cellStyle name="Normal 61 5 3 2 3 3 3 3" xfId="0"/>
    <cellStyle name="Normal 61 5 3 2 3 3 4" xfId="0"/>
    <cellStyle name="Normal 61 5 3 2 3 3 4 2" xfId="0"/>
    <cellStyle name="Normal 61 5 3 2 3 3 5" xfId="0"/>
    <cellStyle name="Normal 61 5 3 2 3 4" xfId="0"/>
    <cellStyle name="Normal 61 5 3 2 3 4 2" xfId="0"/>
    <cellStyle name="Normal 61 5 3 2 3 4 2 2" xfId="0"/>
    <cellStyle name="Normal 61 5 3 2 3 4 3" xfId="0"/>
    <cellStyle name="Normal 61 5 3 2 3 5" xfId="0"/>
    <cellStyle name="Normal 61 5 3 2 3 5 2" xfId="0"/>
    <cellStyle name="Normal 61 5 3 2 3 5 2 2" xfId="0"/>
    <cellStyle name="Normal 61 5 3 2 3 5 3" xfId="0"/>
    <cellStyle name="Normal 61 5 3 2 3 6" xfId="0"/>
    <cellStyle name="Normal 61 5 3 2 3 6 2" xfId="0"/>
    <cellStyle name="Normal 61 5 3 2 3 7" xfId="0"/>
    <cellStyle name="Normal 61 5 3 2 4" xfId="0"/>
    <cellStyle name="Normal 61 5 3 2 4 2" xfId="0"/>
    <cellStyle name="Normal 61 5 3 2 4 2 2" xfId="0"/>
    <cellStyle name="Normal 61 5 3 2 4 2 2 2" xfId="0"/>
    <cellStyle name="Normal 61 5 3 2 4 2 2 2 2" xfId="0"/>
    <cellStyle name="Normal 61 5 3 2 4 2 2 3" xfId="0"/>
    <cellStyle name="Normal 61 5 3 2 4 2 3" xfId="0"/>
    <cellStyle name="Normal 61 5 3 2 4 2 3 2" xfId="0"/>
    <cellStyle name="Normal 61 5 3 2 4 2 3 2 2" xfId="0"/>
    <cellStyle name="Normal 61 5 3 2 4 2 3 3" xfId="0"/>
    <cellStyle name="Normal 61 5 3 2 4 2 4" xfId="0"/>
    <cellStyle name="Normal 61 5 3 2 4 2 4 2" xfId="0"/>
    <cellStyle name="Normal 61 5 3 2 4 2 5" xfId="0"/>
    <cellStyle name="Normal 61 5 3 2 4 3" xfId="0"/>
    <cellStyle name="Normal 61 5 3 2 4 3 2" xfId="0"/>
    <cellStyle name="Normal 61 5 3 2 4 3 2 2" xfId="0"/>
    <cellStyle name="Normal 61 5 3 2 4 3 3" xfId="0"/>
    <cellStyle name="Normal 61 5 3 2 4 4" xfId="0"/>
    <cellStyle name="Normal 61 5 3 2 4 4 2" xfId="0"/>
    <cellStyle name="Normal 61 5 3 2 4 4 2 2" xfId="0"/>
    <cellStyle name="Normal 61 5 3 2 4 4 3" xfId="0"/>
    <cellStyle name="Normal 61 5 3 2 4 5" xfId="0"/>
    <cellStyle name="Normal 61 5 3 2 4 5 2" xfId="0"/>
    <cellStyle name="Normal 61 5 3 2 4 6" xfId="0"/>
    <cellStyle name="Normal 61 5 3 2 5" xfId="0"/>
    <cellStyle name="Normal 61 5 3 2 5 2" xfId="0"/>
    <cellStyle name="Normal 61 5 3 2 5 2 2" xfId="0"/>
    <cellStyle name="Normal 61 5 3 2 5 2 2 2" xfId="0"/>
    <cellStyle name="Normal 61 5 3 2 5 2 3" xfId="0"/>
    <cellStyle name="Normal 61 5 3 2 5 3" xfId="0"/>
    <cellStyle name="Normal 61 5 3 2 5 3 2" xfId="0"/>
    <cellStyle name="Normal 61 5 3 2 5 3 2 2" xfId="0"/>
    <cellStyle name="Normal 61 5 3 2 5 3 3" xfId="0"/>
    <cellStyle name="Normal 61 5 3 2 5 4" xfId="0"/>
    <cellStyle name="Normal 61 5 3 2 5 4 2" xfId="0"/>
    <cellStyle name="Normal 61 5 3 2 5 5" xfId="0"/>
    <cellStyle name="Normal 61 5 3 2 6" xfId="0"/>
    <cellStyle name="Normal 61 5 3 2 6 2" xfId="0"/>
    <cellStyle name="Normal 61 5 3 2 6 2 2" xfId="0"/>
    <cellStyle name="Normal 61 5 3 2 6 3" xfId="0"/>
    <cellStyle name="Normal 61 5 3 2 7" xfId="0"/>
    <cellStyle name="Normal 61 5 3 2 7 2" xfId="0"/>
    <cellStyle name="Normal 61 5 3 2 7 2 2" xfId="0"/>
    <cellStyle name="Normal 61 5 3 2 7 3" xfId="0"/>
    <cellStyle name="Normal 61 5 3 2 8" xfId="0"/>
    <cellStyle name="Normal 61 5 3 2 8 2" xfId="0"/>
    <cellStyle name="Normal 61 5 3 2 9" xfId="0"/>
    <cellStyle name="Normal 61 5 3 3" xfId="0"/>
    <cellStyle name="Normal 61 5 3 3 2" xfId="0"/>
    <cellStyle name="Normal 61 5 3 3 2 2" xfId="0"/>
    <cellStyle name="Normal 61 5 3 3 2 2 2" xfId="0"/>
    <cellStyle name="Normal 61 5 3 3 2 2 2 2" xfId="0"/>
    <cellStyle name="Normal 61 5 3 3 2 2 2 2 2" xfId="0"/>
    <cellStyle name="Normal 61 5 3 3 2 2 2 2 2 2" xfId="0"/>
    <cellStyle name="Normal 61 5 3 3 2 2 2 2 3" xfId="0"/>
    <cellStyle name="Normal 61 5 3 3 2 2 2 3" xfId="0"/>
    <cellStyle name="Normal 61 5 3 3 2 2 2 3 2" xfId="0"/>
    <cellStyle name="Normal 61 5 3 3 2 2 2 3 2 2" xfId="0"/>
    <cellStyle name="Normal 61 5 3 3 2 2 2 3 3" xfId="0"/>
    <cellStyle name="Normal 61 5 3 3 2 2 2 4" xfId="0"/>
    <cellStyle name="Normal 61 5 3 3 2 2 2 4 2" xfId="0"/>
    <cellStyle name="Normal 61 5 3 3 2 2 2 5" xfId="0"/>
    <cellStyle name="Normal 61 5 3 3 2 2 3" xfId="0"/>
    <cellStyle name="Normal 61 5 3 3 2 2 3 2" xfId="0"/>
    <cellStyle name="Normal 61 5 3 3 2 2 3 2 2" xfId="0"/>
    <cellStyle name="Normal 61 5 3 3 2 2 3 3" xfId="0"/>
    <cellStyle name="Normal 61 5 3 3 2 2 4" xfId="0"/>
    <cellStyle name="Normal 61 5 3 3 2 2 4 2" xfId="0"/>
    <cellStyle name="Normal 61 5 3 3 2 2 4 2 2" xfId="0"/>
    <cellStyle name="Normal 61 5 3 3 2 2 4 3" xfId="0"/>
    <cellStyle name="Normal 61 5 3 3 2 2 5" xfId="0"/>
    <cellStyle name="Normal 61 5 3 3 2 2 5 2" xfId="0"/>
    <cellStyle name="Normal 61 5 3 3 2 2 6" xfId="0"/>
    <cellStyle name="Normal 61 5 3 3 2 3" xfId="0"/>
    <cellStyle name="Normal 61 5 3 3 2 3 2" xfId="0"/>
    <cellStyle name="Normal 61 5 3 3 2 3 2 2" xfId="0"/>
    <cellStyle name="Normal 61 5 3 3 2 3 2 2 2" xfId="0"/>
    <cellStyle name="Normal 61 5 3 3 2 3 2 3" xfId="0"/>
    <cellStyle name="Normal 61 5 3 3 2 3 3" xfId="0"/>
    <cellStyle name="Normal 61 5 3 3 2 3 3 2" xfId="0"/>
    <cellStyle name="Normal 61 5 3 3 2 3 3 2 2" xfId="0"/>
    <cellStyle name="Normal 61 5 3 3 2 3 3 3" xfId="0"/>
    <cellStyle name="Normal 61 5 3 3 2 3 4" xfId="0"/>
    <cellStyle name="Normal 61 5 3 3 2 3 4 2" xfId="0"/>
    <cellStyle name="Normal 61 5 3 3 2 3 5" xfId="0"/>
    <cellStyle name="Normal 61 5 3 3 2 4" xfId="0"/>
    <cellStyle name="Normal 61 5 3 3 2 4 2" xfId="0"/>
    <cellStyle name="Normal 61 5 3 3 2 4 2 2" xfId="0"/>
    <cellStyle name="Normal 61 5 3 3 2 4 3" xfId="0"/>
    <cellStyle name="Normal 61 5 3 3 2 5" xfId="0"/>
    <cellStyle name="Normal 61 5 3 3 2 5 2" xfId="0"/>
    <cellStyle name="Normal 61 5 3 3 2 5 2 2" xfId="0"/>
    <cellStyle name="Normal 61 5 3 3 2 5 3" xfId="0"/>
    <cellStyle name="Normal 61 5 3 3 2 6" xfId="0"/>
    <cellStyle name="Normal 61 5 3 3 2 6 2" xfId="0"/>
    <cellStyle name="Normal 61 5 3 3 2 7" xfId="0"/>
    <cellStyle name="Normal 61 5 3 3 3" xfId="0"/>
    <cellStyle name="Normal 61 5 3 3 3 2" xfId="0"/>
    <cellStyle name="Normal 61 5 3 3 3 2 2" xfId="0"/>
    <cellStyle name="Normal 61 5 3 3 3 2 2 2" xfId="0"/>
    <cellStyle name="Normal 61 5 3 3 3 2 2 2 2" xfId="0"/>
    <cellStyle name="Normal 61 5 3 3 3 2 2 3" xfId="0"/>
    <cellStyle name="Normal 61 5 3 3 3 2 3" xfId="0"/>
    <cellStyle name="Normal 61 5 3 3 3 2 3 2" xfId="0"/>
    <cellStyle name="Normal 61 5 3 3 3 2 3 2 2" xfId="0"/>
    <cellStyle name="Normal 61 5 3 3 3 2 3 3" xfId="0"/>
    <cellStyle name="Normal 61 5 3 3 3 2 4" xfId="0"/>
    <cellStyle name="Normal 61 5 3 3 3 2 4 2" xfId="0"/>
    <cellStyle name="Normal 61 5 3 3 3 2 5" xfId="0"/>
    <cellStyle name="Normal 61 5 3 3 3 3" xfId="0"/>
    <cellStyle name="Normal 61 5 3 3 3 3 2" xfId="0"/>
    <cellStyle name="Normal 61 5 3 3 3 3 2 2" xfId="0"/>
    <cellStyle name="Normal 61 5 3 3 3 3 3" xfId="0"/>
    <cellStyle name="Normal 61 5 3 3 3 4" xfId="0"/>
    <cellStyle name="Normal 61 5 3 3 3 4 2" xfId="0"/>
    <cellStyle name="Normal 61 5 3 3 3 4 2 2" xfId="0"/>
    <cellStyle name="Normal 61 5 3 3 3 4 3" xfId="0"/>
    <cellStyle name="Normal 61 5 3 3 3 5" xfId="0"/>
    <cellStyle name="Normal 61 5 3 3 3 5 2" xfId="0"/>
    <cellStyle name="Normal 61 5 3 3 3 6" xfId="0"/>
    <cellStyle name="Normal 61 5 3 3 4" xfId="0"/>
    <cellStyle name="Normal 61 5 3 3 4 2" xfId="0"/>
    <cellStyle name="Normal 61 5 3 3 4 2 2" xfId="0"/>
    <cellStyle name="Normal 61 5 3 3 4 2 2 2" xfId="0"/>
    <cellStyle name="Normal 61 5 3 3 4 2 3" xfId="0"/>
    <cellStyle name="Normal 61 5 3 3 4 3" xfId="0"/>
    <cellStyle name="Normal 61 5 3 3 4 3 2" xfId="0"/>
    <cellStyle name="Normal 61 5 3 3 4 3 2 2" xfId="0"/>
    <cellStyle name="Normal 61 5 3 3 4 3 3" xfId="0"/>
    <cellStyle name="Normal 61 5 3 3 4 4" xfId="0"/>
    <cellStyle name="Normal 61 5 3 3 4 4 2" xfId="0"/>
    <cellStyle name="Normal 61 5 3 3 4 5" xfId="0"/>
    <cellStyle name="Normal 61 5 3 3 5" xfId="0"/>
    <cellStyle name="Normal 61 5 3 3 5 2" xfId="0"/>
    <cellStyle name="Normal 61 5 3 3 5 2 2" xfId="0"/>
    <cellStyle name="Normal 61 5 3 3 5 3" xfId="0"/>
    <cellStyle name="Normal 61 5 3 3 6" xfId="0"/>
    <cellStyle name="Normal 61 5 3 3 6 2" xfId="0"/>
    <cellStyle name="Normal 61 5 3 3 6 2 2" xfId="0"/>
    <cellStyle name="Normal 61 5 3 3 6 3" xfId="0"/>
    <cellStyle name="Normal 61 5 3 3 7" xfId="0"/>
    <cellStyle name="Normal 61 5 3 3 7 2" xfId="0"/>
    <cellStyle name="Normal 61 5 3 3 8" xfId="0"/>
    <cellStyle name="Normal 61 5 3 4" xfId="0"/>
    <cellStyle name="Normal 61 5 3 4 2" xfId="0"/>
    <cellStyle name="Normal 61 5 3 4 2 2" xfId="0"/>
    <cellStyle name="Normal 61 5 3 4 2 2 2" xfId="0"/>
    <cellStyle name="Normal 61 5 3 4 2 2 2 2" xfId="0"/>
    <cellStyle name="Normal 61 5 3 4 2 2 2 2 2" xfId="0"/>
    <cellStyle name="Normal 61 5 3 4 2 2 2 3" xfId="0"/>
    <cellStyle name="Normal 61 5 3 4 2 2 3" xfId="0"/>
    <cellStyle name="Normal 61 5 3 4 2 2 3 2" xfId="0"/>
    <cellStyle name="Normal 61 5 3 4 2 2 3 2 2" xfId="0"/>
    <cellStyle name="Normal 61 5 3 4 2 2 3 3" xfId="0"/>
    <cellStyle name="Normal 61 5 3 4 2 2 4" xfId="0"/>
    <cellStyle name="Normal 61 5 3 4 2 2 4 2" xfId="0"/>
    <cellStyle name="Normal 61 5 3 4 2 2 5" xfId="0"/>
    <cellStyle name="Normal 61 5 3 4 2 3" xfId="0"/>
    <cellStyle name="Normal 61 5 3 4 2 3 2" xfId="0"/>
    <cellStyle name="Normal 61 5 3 4 2 3 2 2" xfId="0"/>
    <cellStyle name="Normal 61 5 3 4 2 3 3" xfId="0"/>
    <cellStyle name="Normal 61 5 3 4 2 4" xfId="0"/>
    <cellStyle name="Normal 61 5 3 4 2 4 2" xfId="0"/>
    <cellStyle name="Normal 61 5 3 4 2 4 2 2" xfId="0"/>
    <cellStyle name="Normal 61 5 3 4 2 4 3" xfId="0"/>
    <cellStyle name="Normal 61 5 3 4 2 5" xfId="0"/>
    <cellStyle name="Normal 61 5 3 4 2 5 2" xfId="0"/>
    <cellStyle name="Normal 61 5 3 4 2 6" xfId="0"/>
    <cellStyle name="Normal 61 5 3 4 3" xfId="0"/>
    <cellStyle name="Normal 61 5 3 4 3 2" xfId="0"/>
    <cellStyle name="Normal 61 5 3 4 3 2 2" xfId="0"/>
    <cellStyle name="Normal 61 5 3 4 3 2 2 2" xfId="0"/>
    <cellStyle name="Normal 61 5 3 4 3 2 3" xfId="0"/>
    <cellStyle name="Normal 61 5 3 4 3 3" xfId="0"/>
    <cellStyle name="Normal 61 5 3 4 3 3 2" xfId="0"/>
    <cellStyle name="Normal 61 5 3 4 3 3 2 2" xfId="0"/>
    <cellStyle name="Normal 61 5 3 4 3 3 3" xfId="0"/>
    <cellStyle name="Normal 61 5 3 4 3 4" xfId="0"/>
    <cellStyle name="Normal 61 5 3 4 3 4 2" xfId="0"/>
    <cellStyle name="Normal 61 5 3 4 3 5" xfId="0"/>
    <cellStyle name="Normal 61 5 3 4 4" xfId="0"/>
    <cellStyle name="Normal 61 5 3 4 4 2" xfId="0"/>
    <cellStyle name="Normal 61 5 3 4 4 2 2" xfId="0"/>
    <cellStyle name="Normal 61 5 3 4 4 3" xfId="0"/>
    <cellStyle name="Normal 61 5 3 4 5" xfId="0"/>
    <cellStyle name="Normal 61 5 3 4 5 2" xfId="0"/>
    <cellStyle name="Normal 61 5 3 4 5 2 2" xfId="0"/>
    <cellStyle name="Normal 61 5 3 4 5 3" xfId="0"/>
    <cellStyle name="Normal 61 5 3 4 6" xfId="0"/>
    <cellStyle name="Normal 61 5 3 4 6 2" xfId="0"/>
    <cellStyle name="Normal 61 5 3 4 7" xfId="0"/>
    <cellStyle name="Normal 61 5 3 5" xfId="0"/>
    <cellStyle name="Normal 61 5 3 5 2" xfId="0"/>
    <cellStyle name="Normal 61 5 3 5 2 2" xfId="0"/>
    <cellStyle name="Normal 61 5 3 5 2 2 2" xfId="0"/>
    <cellStyle name="Normal 61 5 3 5 2 2 2 2" xfId="0"/>
    <cellStyle name="Normal 61 5 3 5 2 2 3" xfId="0"/>
    <cellStyle name="Normal 61 5 3 5 2 3" xfId="0"/>
    <cellStyle name="Normal 61 5 3 5 2 3 2" xfId="0"/>
    <cellStyle name="Normal 61 5 3 5 2 3 2 2" xfId="0"/>
    <cellStyle name="Normal 61 5 3 5 2 3 3" xfId="0"/>
    <cellStyle name="Normal 61 5 3 5 2 4" xfId="0"/>
    <cellStyle name="Normal 61 5 3 5 2 4 2" xfId="0"/>
    <cellStyle name="Normal 61 5 3 5 2 5" xfId="0"/>
    <cellStyle name="Normal 61 5 3 5 3" xfId="0"/>
    <cellStyle name="Normal 61 5 3 5 3 2" xfId="0"/>
    <cellStyle name="Normal 61 5 3 5 3 2 2" xfId="0"/>
    <cellStyle name="Normal 61 5 3 5 3 3" xfId="0"/>
    <cellStyle name="Normal 61 5 3 5 4" xfId="0"/>
    <cellStyle name="Normal 61 5 3 5 4 2" xfId="0"/>
    <cellStyle name="Normal 61 5 3 5 4 2 2" xfId="0"/>
    <cellStyle name="Normal 61 5 3 5 4 3" xfId="0"/>
    <cellStyle name="Normal 61 5 3 5 5" xfId="0"/>
    <cellStyle name="Normal 61 5 3 5 5 2" xfId="0"/>
    <cellStyle name="Normal 61 5 3 5 6" xfId="0"/>
    <cellStyle name="Normal 61 5 3 6" xfId="0"/>
    <cellStyle name="Normal 61 5 3 6 2" xfId="0"/>
    <cellStyle name="Normal 61 5 3 6 2 2" xfId="0"/>
    <cellStyle name="Normal 61 5 3 6 2 2 2" xfId="0"/>
    <cellStyle name="Normal 61 5 3 6 2 3" xfId="0"/>
    <cellStyle name="Normal 61 5 3 6 3" xfId="0"/>
    <cellStyle name="Normal 61 5 3 6 3 2" xfId="0"/>
    <cellStyle name="Normal 61 5 3 6 3 2 2" xfId="0"/>
    <cellStyle name="Normal 61 5 3 6 3 3" xfId="0"/>
    <cellStyle name="Normal 61 5 3 6 4" xfId="0"/>
    <cellStyle name="Normal 61 5 3 6 4 2" xfId="0"/>
    <cellStyle name="Normal 61 5 3 6 5" xfId="0"/>
    <cellStyle name="Normal 61 5 3 7" xfId="0"/>
    <cellStyle name="Normal 61 5 3 7 2" xfId="0"/>
    <cellStyle name="Normal 61 5 3 7 2 2" xfId="0"/>
    <cellStyle name="Normal 61 5 3 7 3" xfId="0"/>
    <cellStyle name="Normal 61 5 3 8" xfId="0"/>
    <cellStyle name="Normal 61 5 3 8 2" xfId="0"/>
    <cellStyle name="Normal 61 5 3 8 2 2" xfId="0"/>
    <cellStyle name="Normal 61 5 3 8 3" xfId="0"/>
    <cellStyle name="Normal 61 5 3 9" xfId="0"/>
    <cellStyle name="Normal 61 5 3 9 2" xfId="0"/>
    <cellStyle name="Normal 61 5 4" xfId="0"/>
    <cellStyle name="Normal 61 5 4 10" xfId="0"/>
    <cellStyle name="Normal 61 5 4 2" xfId="0"/>
    <cellStyle name="Normal 61 5 4 2 2" xfId="0"/>
    <cellStyle name="Normal 61 5 4 2 2 2" xfId="0"/>
    <cellStyle name="Normal 61 5 4 2 2 2 2" xfId="0"/>
    <cellStyle name="Normal 61 5 4 2 2 2 2 2" xfId="0"/>
    <cellStyle name="Normal 61 5 4 2 2 2 2 2 2" xfId="0"/>
    <cellStyle name="Normal 61 5 4 2 2 2 2 2 2 2" xfId="0"/>
    <cellStyle name="Normal 61 5 4 2 2 2 2 2 2 2 2" xfId="0"/>
    <cellStyle name="Normal 61 5 4 2 2 2 2 2 2 3" xfId="0"/>
    <cellStyle name="Normal 61 5 4 2 2 2 2 2 3" xfId="0"/>
    <cellStyle name="Normal 61 5 4 2 2 2 2 2 3 2" xfId="0"/>
    <cellStyle name="Normal 61 5 4 2 2 2 2 2 3 2 2" xfId="0"/>
    <cellStyle name="Normal 61 5 4 2 2 2 2 2 3 3" xfId="0"/>
    <cellStyle name="Normal 61 5 4 2 2 2 2 2 4" xfId="0"/>
    <cellStyle name="Normal 61 5 4 2 2 2 2 2 4 2" xfId="0"/>
    <cellStyle name="Normal 61 5 4 2 2 2 2 2 5" xfId="0"/>
    <cellStyle name="Normal 61 5 4 2 2 2 2 3" xfId="0"/>
    <cellStyle name="Normal 61 5 4 2 2 2 2 3 2" xfId="0"/>
    <cellStyle name="Normal 61 5 4 2 2 2 2 3 2 2" xfId="0"/>
    <cellStyle name="Normal 61 5 4 2 2 2 2 3 3" xfId="0"/>
    <cellStyle name="Normal 61 5 4 2 2 2 2 4" xfId="0"/>
    <cellStyle name="Normal 61 5 4 2 2 2 2 4 2" xfId="0"/>
    <cellStyle name="Normal 61 5 4 2 2 2 2 4 2 2" xfId="0"/>
    <cellStyle name="Normal 61 5 4 2 2 2 2 4 3" xfId="0"/>
    <cellStyle name="Normal 61 5 4 2 2 2 2 5" xfId="0"/>
    <cellStyle name="Normal 61 5 4 2 2 2 2 5 2" xfId="0"/>
    <cellStyle name="Normal 61 5 4 2 2 2 2 6" xfId="0"/>
    <cellStyle name="Normal 61 5 4 2 2 2 3" xfId="0"/>
    <cellStyle name="Normal 61 5 4 2 2 2 3 2" xfId="0"/>
    <cellStyle name="Normal 61 5 4 2 2 2 3 2 2" xfId="0"/>
    <cellStyle name="Normal 61 5 4 2 2 2 3 2 2 2" xfId="0"/>
    <cellStyle name="Normal 61 5 4 2 2 2 3 2 3" xfId="0"/>
    <cellStyle name="Normal 61 5 4 2 2 2 3 3" xfId="0"/>
    <cellStyle name="Normal 61 5 4 2 2 2 3 3 2" xfId="0"/>
    <cellStyle name="Normal 61 5 4 2 2 2 3 3 2 2" xfId="0"/>
    <cellStyle name="Normal 61 5 4 2 2 2 3 3 3" xfId="0"/>
    <cellStyle name="Normal 61 5 4 2 2 2 3 4" xfId="0"/>
    <cellStyle name="Normal 61 5 4 2 2 2 3 4 2" xfId="0"/>
    <cellStyle name="Normal 61 5 4 2 2 2 3 5" xfId="0"/>
    <cellStyle name="Normal 61 5 4 2 2 2 4" xfId="0"/>
    <cellStyle name="Normal 61 5 4 2 2 2 4 2" xfId="0"/>
    <cellStyle name="Normal 61 5 4 2 2 2 4 2 2" xfId="0"/>
    <cellStyle name="Normal 61 5 4 2 2 2 4 3" xfId="0"/>
    <cellStyle name="Normal 61 5 4 2 2 2 5" xfId="0"/>
    <cellStyle name="Normal 61 5 4 2 2 2 5 2" xfId="0"/>
    <cellStyle name="Normal 61 5 4 2 2 2 5 2 2" xfId="0"/>
    <cellStyle name="Normal 61 5 4 2 2 2 5 3" xfId="0"/>
    <cellStyle name="Normal 61 5 4 2 2 2 6" xfId="0"/>
    <cellStyle name="Normal 61 5 4 2 2 2 6 2" xfId="0"/>
    <cellStyle name="Normal 61 5 4 2 2 2 7" xfId="0"/>
    <cellStyle name="Normal 61 5 4 2 2 3" xfId="0"/>
    <cellStyle name="Normal 61 5 4 2 2 3 2" xfId="0"/>
    <cellStyle name="Normal 61 5 4 2 2 3 2 2" xfId="0"/>
    <cellStyle name="Normal 61 5 4 2 2 3 2 2 2" xfId="0"/>
    <cellStyle name="Normal 61 5 4 2 2 3 2 2 2 2" xfId="0"/>
    <cellStyle name="Normal 61 5 4 2 2 3 2 2 3" xfId="0"/>
    <cellStyle name="Normal 61 5 4 2 2 3 2 3" xfId="0"/>
    <cellStyle name="Normal 61 5 4 2 2 3 2 3 2" xfId="0"/>
    <cellStyle name="Normal 61 5 4 2 2 3 2 3 2 2" xfId="0"/>
    <cellStyle name="Normal 61 5 4 2 2 3 2 3 3" xfId="0"/>
    <cellStyle name="Normal 61 5 4 2 2 3 2 4" xfId="0"/>
    <cellStyle name="Normal 61 5 4 2 2 3 2 4 2" xfId="0"/>
    <cellStyle name="Normal 61 5 4 2 2 3 2 5" xfId="0"/>
    <cellStyle name="Normal 61 5 4 2 2 3 3" xfId="0"/>
    <cellStyle name="Normal 61 5 4 2 2 3 3 2" xfId="0"/>
    <cellStyle name="Normal 61 5 4 2 2 3 3 2 2" xfId="0"/>
    <cellStyle name="Normal 61 5 4 2 2 3 3 3" xfId="0"/>
    <cellStyle name="Normal 61 5 4 2 2 3 4" xfId="0"/>
    <cellStyle name="Normal 61 5 4 2 2 3 4 2" xfId="0"/>
    <cellStyle name="Normal 61 5 4 2 2 3 4 2 2" xfId="0"/>
    <cellStyle name="Normal 61 5 4 2 2 3 4 3" xfId="0"/>
    <cellStyle name="Normal 61 5 4 2 2 3 5" xfId="0"/>
    <cellStyle name="Normal 61 5 4 2 2 3 5 2" xfId="0"/>
    <cellStyle name="Normal 61 5 4 2 2 3 6" xfId="0"/>
    <cellStyle name="Normal 61 5 4 2 2 4" xfId="0"/>
    <cellStyle name="Normal 61 5 4 2 2 4 2" xfId="0"/>
    <cellStyle name="Normal 61 5 4 2 2 4 2 2" xfId="0"/>
    <cellStyle name="Normal 61 5 4 2 2 4 2 2 2" xfId="0"/>
    <cellStyle name="Normal 61 5 4 2 2 4 2 3" xfId="0"/>
    <cellStyle name="Normal 61 5 4 2 2 4 3" xfId="0"/>
    <cellStyle name="Normal 61 5 4 2 2 4 3 2" xfId="0"/>
    <cellStyle name="Normal 61 5 4 2 2 4 3 2 2" xfId="0"/>
    <cellStyle name="Normal 61 5 4 2 2 4 3 3" xfId="0"/>
    <cellStyle name="Normal 61 5 4 2 2 4 4" xfId="0"/>
    <cellStyle name="Normal 61 5 4 2 2 4 4 2" xfId="0"/>
    <cellStyle name="Normal 61 5 4 2 2 4 5" xfId="0"/>
    <cellStyle name="Normal 61 5 4 2 2 5" xfId="0"/>
    <cellStyle name="Normal 61 5 4 2 2 5 2" xfId="0"/>
    <cellStyle name="Normal 61 5 4 2 2 5 2 2" xfId="0"/>
    <cellStyle name="Normal 61 5 4 2 2 5 3" xfId="0"/>
    <cellStyle name="Normal 61 5 4 2 2 6" xfId="0"/>
    <cellStyle name="Normal 61 5 4 2 2 6 2" xfId="0"/>
    <cellStyle name="Normal 61 5 4 2 2 6 2 2" xfId="0"/>
    <cellStyle name="Normal 61 5 4 2 2 6 3" xfId="0"/>
    <cellStyle name="Normal 61 5 4 2 2 7" xfId="0"/>
    <cellStyle name="Normal 61 5 4 2 2 7 2" xfId="0"/>
    <cellStyle name="Normal 61 5 4 2 2 8" xfId="0"/>
    <cellStyle name="Normal 61 5 4 2 3" xfId="0"/>
    <cellStyle name="Normal 61 5 4 2 3 2" xfId="0"/>
    <cellStyle name="Normal 61 5 4 2 3 2 2" xfId="0"/>
    <cellStyle name="Normal 61 5 4 2 3 2 2 2" xfId="0"/>
    <cellStyle name="Normal 61 5 4 2 3 2 2 2 2" xfId="0"/>
    <cellStyle name="Normal 61 5 4 2 3 2 2 2 2 2" xfId="0"/>
    <cellStyle name="Normal 61 5 4 2 3 2 2 2 3" xfId="0"/>
    <cellStyle name="Normal 61 5 4 2 3 2 2 3" xfId="0"/>
    <cellStyle name="Normal 61 5 4 2 3 2 2 3 2" xfId="0"/>
    <cellStyle name="Normal 61 5 4 2 3 2 2 3 2 2" xfId="0"/>
    <cellStyle name="Normal 61 5 4 2 3 2 2 3 3" xfId="0"/>
    <cellStyle name="Normal 61 5 4 2 3 2 2 4" xfId="0"/>
    <cellStyle name="Normal 61 5 4 2 3 2 2 4 2" xfId="0"/>
    <cellStyle name="Normal 61 5 4 2 3 2 2 5" xfId="0"/>
    <cellStyle name="Normal 61 5 4 2 3 2 3" xfId="0"/>
    <cellStyle name="Normal 61 5 4 2 3 2 3 2" xfId="0"/>
    <cellStyle name="Normal 61 5 4 2 3 2 3 2 2" xfId="0"/>
    <cellStyle name="Normal 61 5 4 2 3 2 3 3" xfId="0"/>
    <cellStyle name="Normal 61 5 4 2 3 2 4" xfId="0"/>
    <cellStyle name="Normal 61 5 4 2 3 2 4 2" xfId="0"/>
    <cellStyle name="Normal 61 5 4 2 3 2 4 2 2" xfId="0"/>
    <cellStyle name="Normal 61 5 4 2 3 2 4 3" xfId="0"/>
    <cellStyle name="Normal 61 5 4 2 3 2 5" xfId="0"/>
    <cellStyle name="Normal 61 5 4 2 3 2 5 2" xfId="0"/>
    <cellStyle name="Normal 61 5 4 2 3 2 6" xfId="0"/>
    <cellStyle name="Normal 61 5 4 2 3 3" xfId="0"/>
    <cellStyle name="Normal 61 5 4 2 3 3 2" xfId="0"/>
    <cellStyle name="Normal 61 5 4 2 3 3 2 2" xfId="0"/>
    <cellStyle name="Normal 61 5 4 2 3 3 2 2 2" xfId="0"/>
    <cellStyle name="Normal 61 5 4 2 3 3 2 3" xfId="0"/>
    <cellStyle name="Normal 61 5 4 2 3 3 3" xfId="0"/>
    <cellStyle name="Normal 61 5 4 2 3 3 3 2" xfId="0"/>
    <cellStyle name="Normal 61 5 4 2 3 3 3 2 2" xfId="0"/>
    <cellStyle name="Normal 61 5 4 2 3 3 3 3" xfId="0"/>
    <cellStyle name="Normal 61 5 4 2 3 3 4" xfId="0"/>
    <cellStyle name="Normal 61 5 4 2 3 3 4 2" xfId="0"/>
    <cellStyle name="Normal 61 5 4 2 3 3 5" xfId="0"/>
    <cellStyle name="Normal 61 5 4 2 3 4" xfId="0"/>
    <cellStyle name="Normal 61 5 4 2 3 4 2" xfId="0"/>
    <cellStyle name="Normal 61 5 4 2 3 4 2 2" xfId="0"/>
    <cellStyle name="Normal 61 5 4 2 3 4 3" xfId="0"/>
    <cellStyle name="Normal 61 5 4 2 3 5" xfId="0"/>
    <cellStyle name="Normal 61 5 4 2 3 5 2" xfId="0"/>
    <cellStyle name="Normal 61 5 4 2 3 5 2 2" xfId="0"/>
    <cellStyle name="Normal 61 5 4 2 3 5 3" xfId="0"/>
    <cellStyle name="Normal 61 5 4 2 3 6" xfId="0"/>
    <cellStyle name="Normal 61 5 4 2 3 6 2" xfId="0"/>
    <cellStyle name="Normal 61 5 4 2 3 7" xfId="0"/>
    <cellStyle name="Normal 61 5 4 2 4" xfId="0"/>
    <cellStyle name="Normal 61 5 4 2 4 2" xfId="0"/>
    <cellStyle name="Normal 61 5 4 2 4 2 2" xfId="0"/>
    <cellStyle name="Normal 61 5 4 2 4 2 2 2" xfId="0"/>
    <cellStyle name="Normal 61 5 4 2 4 2 2 2 2" xfId="0"/>
    <cellStyle name="Normal 61 5 4 2 4 2 2 3" xfId="0"/>
    <cellStyle name="Normal 61 5 4 2 4 2 3" xfId="0"/>
    <cellStyle name="Normal 61 5 4 2 4 2 3 2" xfId="0"/>
    <cellStyle name="Normal 61 5 4 2 4 2 3 2 2" xfId="0"/>
    <cellStyle name="Normal 61 5 4 2 4 2 3 3" xfId="0"/>
    <cellStyle name="Normal 61 5 4 2 4 2 4" xfId="0"/>
    <cellStyle name="Normal 61 5 4 2 4 2 4 2" xfId="0"/>
    <cellStyle name="Normal 61 5 4 2 4 2 5" xfId="0"/>
    <cellStyle name="Normal 61 5 4 2 4 3" xfId="0"/>
    <cellStyle name="Normal 61 5 4 2 4 3 2" xfId="0"/>
    <cellStyle name="Normal 61 5 4 2 4 3 2 2" xfId="0"/>
    <cellStyle name="Normal 61 5 4 2 4 3 3" xfId="0"/>
    <cellStyle name="Normal 61 5 4 2 4 4" xfId="0"/>
    <cellStyle name="Normal 61 5 4 2 4 4 2" xfId="0"/>
    <cellStyle name="Normal 61 5 4 2 4 4 2 2" xfId="0"/>
    <cellStyle name="Normal 61 5 4 2 4 4 3" xfId="0"/>
    <cellStyle name="Normal 61 5 4 2 4 5" xfId="0"/>
    <cellStyle name="Normal 61 5 4 2 4 5 2" xfId="0"/>
    <cellStyle name="Normal 61 5 4 2 4 6" xfId="0"/>
    <cellStyle name="Normal 61 5 4 2 5" xfId="0"/>
    <cellStyle name="Normal 61 5 4 2 5 2" xfId="0"/>
    <cellStyle name="Normal 61 5 4 2 5 2 2" xfId="0"/>
    <cellStyle name="Normal 61 5 4 2 5 2 2 2" xfId="0"/>
    <cellStyle name="Normal 61 5 4 2 5 2 3" xfId="0"/>
    <cellStyle name="Normal 61 5 4 2 5 3" xfId="0"/>
    <cellStyle name="Normal 61 5 4 2 5 3 2" xfId="0"/>
    <cellStyle name="Normal 61 5 4 2 5 3 2 2" xfId="0"/>
    <cellStyle name="Normal 61 5 4 2 5 3 3" xfId="0"/>
    <cellStyle name="Normal 61 5 4 2 5 4" xfId="0"/>
    <cellStyle name="Normal 61 5 4 2 5 4 2" xfId="0"/>
    <cellStyle name="Normal 61 5 4 2 5 5" xfId="0"/>
    <cellStyle name="Normal 61 5 4 2 6" xfId="0"/>
    <cellStyle name="Normal 61 5 4 2 6 2" xfId="0"/>
    <cellStyle name="Normal 61 5 4 2 6 2 2" xfId="0"/>
    <cellStyle name="Normal 61 5 4 2 6 3" xfId="0"/>
    <cellStyle name="Normal 61 5 4 2 7" xfId="0"/>
    <cellStyle name="Normal 61 5 4 2 7 2" xfId="0"/>
    <cellStyle name="Normal 61 5 4 2 7 2 2" xfId="0"/>
    <cellStyle name="Normal 61 5 4 2 7 3" xfId="0"/>
    <cellStyle name="Normal 61 5 4 2 8" xfId="0"/>
    <cellStyle name="Normal 61 5 4 2 8 2" xfId="0"/>
    <cellStyle name="Normal 61 5 4 2 9" xfId="0"/>
    <cellStyle name="Normal 61 5 4 3" xfId="0"/>
    <cellStyle name="Normal 61 5 4 3 2" xfId="0"/>
    <cellStyle name="Normal 61 5 4 3 2 2" xfId="0"/>
    <cellStyle name="Normal 61 5 4 3 2 2 2" xfId="0"/>
    <cellStyle name="Normal 61 5 4 3 2 2 2 2" xfId="0"/>
    <cellStyle name="Normal 61 5 4 3 2 2 2 2 2" xfId="0"/>
    <cellStyle name="Normal 61 5 4 3 2 2 2 2 2 2" xfId="0"/>
    <cellStyle name="Normal 61 5 4 3 2 2 2 2 3" xfId="0"/>
    <cellStyle name="Normal 61 5 4 3 2 2 2 3" xfId="0"/>
    <cellStyle name="Normal 61 5 4 3 2 2 2 3 2" xfId="0"/>
    <cellStyle name="Normal 61 5 4 3 2 2 2 3 2 2" xfId="0"/>
    <cellStyle name="Normal 61 5 4 3 2 2 2 3 3" xfId="0"/>
    <cellStyle name="Normal 61 5 4 3 2 2 2 4" xfId="0"/>
    <cellStyle name="Normal 61 5 4 3 2 2 2 4 2" xfId="0"/>
    <cellStyle name="Normal 61 5 4 3 2 2 2 5" xfId="0"/>
    <cellStyle name="Normal 61 5 4 3 2 2 3" xfId="0"/>
    <cellStyle name="Normal 61 5 4 3 2 2 3 2" xfId="0"/>
    <cellStyle name="Normal 61 5 4 3 2 2 3 2 2" xfId="0"/>
    <cellStyle name="Normal 61 5 4 3 2 2 3 3" xfId="0"/>
    <cellStyle name="Normal 61 5 4 3 2 2 4" xfId="0"/>
    <cellStyle name="Normal 61 5 4 3 2 2 4 2" xfId="0"/>
    <cellStyle name="Normal 61 5 4 3 2 2 4 2 2" xfId="0"/>
    <cellStyle name="Normal 61 5 4 3 2 2 4 3" xfId="0"/>
    <cellStyle name="Normal 61 5 4 3 2 2 5" xfId="0"/>
    <cellStyle name="Normal 61 5 4 3 2 2 5 2" xfId="0"/>
    <cellStyle name="Normal 61 5 4 3 2 2 6" xfId="0"/>
    <cellStyle name="Normal 61 5 4 3 2 3" xfId="0"/>
    <cellStyle name="Normal 61 5 4 3 2 3 2" xfId="0"/>
    <cellStyle name="Normal 61 5 4 3 2 3 2 2" xfId="0"/>
    <cellStyle name="Normal 61 5 4 3 2 3 2 2 2" xfId="0"/>
    <cellStyle name="Normal 61 5 4 3 2 3 2 3" xfId="0"/>
    <cellStyle name="Normal 61 5 4 3 2 3 3" xfId="0"/>
    <cellStyle name="Normal 61 5 4 3 2 3 3 2" xfId="0"/>
    <cellStyle name="Normal 61 5 4 3 2 3 3 2 2" xfId="0"/>
    <cellStyle name="Normal 61 5 4 3 2 3 3 3" xfId="0"/>
    <cellStyle name="Normal 61 5 4 3 2 3 4" xfId="0"/>
    <cellStyle name="Normal 61 5 4 3 2 3 4 2" xfId="0"/>
    <cellStyle name="Normal 61 5 4 3 2 3 5" xfId="0"/>
    <cellStyle name="Normal 61 5 4 3 2 4" xfId="0"/>
    <cellStyle name="Normal 61 5 4 3 2 4 2" xfId="0"/>
    <cellStyle name="Normal 61 5 4 3 2 4 2 2" xfId="0"/>
    <cellStyle name="Normal 61 5 4 3 2 4 3" xfId="0"/>
    <cellStyle name="Normal 61 5 4 3 2 5" xfId="0"/>
    <cellStyle name="Normal 61 5 4 3 2 5 2" xfId="0"/>
    <cellStyle name="Normal 61 5 4 3 2 5 2 2" xfId="0"/>
    <cellStyle name="Normal 61 5 4 3 2 5 3" xfId="0"/>
    <cellStyle name="Normal 61 5 4 3 2 6" xfId="0"/>
    <cellStyle name="Normal 61 5 4 3 2 6 2" xfId="0"/>
    <cellStyle name="Normal 61 5 4 3 2 7" xfId="0"/>
    <cellStyle name="Normal 61 5 4 3 3" xfId="0"/>
    <cellStyle name="Normal 61 5 4 3 3 2" xfId="0"/>
    <cellStyle name="Normal 61 5 4 3 3 2 2" xfId="0"/>
    <cellStyle name="Normal 61 5 4 3 3 2 2 2" xfId="0"/>
    <cellStyle name="Normal 61 5 4 3 3 2 2 2 2" xfId="0"/>
    <cellStyle name="Normal 61 5 4 3 3 2 2 3" xfId="0"/>
    <cellStyle name="Normal 61 5 4 3 3 2 3" xfId="0"/>
    <cellStyle name="Normal 61 5 4 3 3 2 3 2" xfId="0"/>
    <cellStyle name="Normal 61 5 4 3 3 2 3 2 2" xfId="0"/>
    <cellStyle name="Normal 61 5 4 3 3 2 3 3" xfId="0"/>
    <cellStyle name="Normal 61 5 4 3 3 2 4" xfId="0"/>
    <cellStyle name="Normal 61 5 4 3 3 2 4 2" xfId="0"/>
    <cellStyle name="Normal 61 5 4 3 3 2 5" xfId="0"/>
    <cellStyle name="Normal 61 5 4 3 3 3" xfId="0"/>
    <cellStyle name="Normal 61 5 4 3 3 3 2" xfId="0"/>
    <cellStyle name="Normal 61 5 4 3 3 3 2 2" xfId="0"/>
    <cellStyle name="Normal 61 5 4 3 3 3 3" xfId="0"/>
    <cellStyle name="Normal 61 5 4 3 3 4" xfId="0"/>
    <cellStyle name="Normal 61 5 4 3 3 4 2" xfId="0"/>
    <cellStyle name="Normal 61 5 4 3 3 4 2 2" xfId="0"/>
    <cellStyle name="Normal 61 5 4 3 3 4 3" xfId="0"/>
    <cellStyle name="Normal 61 5 4 3 3 5" xfId="0"/>
    <cellStyle name="Normal 61 5 4 3 3 5 2" xfId="0"/>
    <cellStyle name="Normal 61 5 4 3 3 6" xfId="0"/>
    <cellStyle name="Normal 61 5 4 3 4" xfId="0"/>
    <cellStyle name="Normal 61 5 4 3 4 2" xfId="0"/>
    <cellStyle name="Normal 61 5 4 3 4 2 2" xfId="0"/>
    <cellStyle name="Normal 61 5 4 3 4 2 2 2" xfId="0"/>
    <cellStyle name="Normal 61 5 4 3 4 2 3" xfId="0"/>
    <cellStyle name="Normal 61 5 4 3 4 3" xfId="0"/>
    <cellStyle name="Normal 61 5 4 3 4 3 2" xfId="0"/>
    <cellStyle name="Normal 61 5 4 3 4 3 2 2" xfId="0"/>
    <cellStyle name="Normal 61 5 4 3 4 3 3" xfId="0"/>
    <cellStyle name="Normal 61 5 4 3 4 4" xfId="0"/>
    <cellStyle name="Normal 61 5 4 3 4 4 2" xfId="0"/>
    <cellStyle name="Normal 61 5 4 3 4 5" xfId="0"/>
    <cellStyle name="Normal 61 5 4 3 5" xfId="0"/>
    <cellStyle name="Normal 61 5 4 3 5 2" xfId="0"/>
    <cellStyle name="Normal 61 5 4 3 5 2 2" xfId="0"/>
    <cellStyle name="Normal 61 5 4 3 5 3" xfId="0"/>
    <cellStyle name="Normal 61 5 4 3 6" xfId="0"/>
    <cellStyle name="Normal 61 5 4 3 6 2" xfId="0"/>
    <cellStyle name="Normal 61 5 4 3 6 2 2" xfId="0"/>
    <cellStyle name="Normal 61 5 4 3 6 3" xfId="0"/>
    <cellStyle name="Normal 61 5 4 3 7" xfId="0"/>
    <cellStyle name="Normal 61 5 4 3 7 2" xfId="0"/>
    <cellStyle name="Normal 61 5 4 3 8" xfId="0"/>
    <cellStyle name="Normal 61 5 4 4" xfId="0"/>
    <cellStyle name="Normal 61 5 4 4 2" xfId="0"/>
    <cellStyle name="Normal 61 5 4 4 2 2" xfId="0"/>
    <cellStyle name="Normal 61 5 4 4 2 2 2" xfId="0"/>
    <cellStyle name="Normal 61 5 4 4 2 2 2 2" xfId="0"/>
    <cellStyle name="Normal 61 5 4 4 2 2 2 2 2" xfId="0"/>
    <cellStyle name="Normal 61 5 4 4 2 2 2 3" xfId="0"/>
    <cellStyle name="Normal 61 5 4 4 2 2 3" xfId="0"/>
    <cellStyle name="Normal 61 5 4 4 2 2 3 2" xfId="0"/>
    <cellStyle name="Normal 61 5 4 4 2 2 3 2 2" xfId="0"/>
    <cellStyle name="Normal 61 5 4 4 2 2 3 3" xfId="0"/>
    <cellStyle name="Normal 61 5 4 4 2 2 4" xfId="0"/>
    <cellStyle name="Normal 61 5 4 4 2 2 4 2" xfId="0"/>
    <cellStyle name="Normal 61 5 4 4 2 2 5" xfId="0"/>
    <cellStyle name="Normal 61 5 4 4 2 3" xfId="0"/>
    <cellStyle name="Normal 61 5 4 4 2 3 2" xfId="0"/>
    <cellStyle name="Normal 61 5 4 4 2 3 2 2" xfId="0"/>
    <cellStyle name="Normal 61 5 4 4 2 3 3" xfId="0"/>
    <cellStyle name="Normal 61 5 4 4 2 4" xfId="0"/>
    <cellStyle name="Normal 61 5 4 4 2 4 2" xfId="0"/>
    <cellStyle name="Normal 61 5 4 4 2 4 2 2" xfId="0"/>
    <cellStyle name="Normal 61 5 4 4 2 4 3" xfId="0"/>
    <cellStyle name="Normal 61 5 4 4 2 5" xfId="0"/>
    <cellStyle name="Normal 61 5 4 4 2 5 2" xfId="0"/>
    <cellStyle name="Normal 61 5 4 4 2 6" xfId="0"/>
    <cellStyle name="Normal 61 5 4 4 3" xfId="0"/>
    <cellStyle name="Normal 61 5 4 4 3 2" xfId="0"/>
    <cellStyle name="Normal 61 5 4 4 3 2 2" xfId="0"/>
    <cellStyle name="Normal 61 5 4 4 3 2 2 2" xfId="0"/>
    <cellStyle name="Normal 61 5 4 4 3 2 3" xfId="0"/>
    <cellStyle name="Normal 61 5 4 4 3 3" xfId="0"/>
    <cellStyle name="Normal 61 5 4 4 3 3 2" xfId="0"/>
    <cellStyle name="Normal 61 5 4 4 3 3 2 2" xfId="0"/>
    <cellStyle name="Normal 61 5 4 4 3 3 3" xfId="0"/>
    <cellStyle name="Normal 61 5 4 4 3 4" xfId="0"/>
    <cellStyle name="Normal 61 5 4 4 3 4 2" xfId="0"/>
    <cellStyle name="Normal 61 5 4 4 3 5" xfId="0"/>
    <cellStyle name="Normal 61 5 4 4 4" xfId="0"/>
    <cellStyle name="Normal 61 5 4 4 4 2" xfId="0"/>
    <cellStyle name="Normal 61 5 4 4 4 2 2" xfId="0"/>
    <cellStyle name="Normal 61 5 4 4 4 3" xfId="0"/>
    <cellStyle name="Normal 61 5 4 4 5" xfId="0"/>
    <cellStyle name="Normal 61 5 4 4 5 2" xfId="0"/>
    <cellStyle name="Normal 61 5 4 4 5 2 2" xfId="0"/>
    <cellStyle name="Normal 61 5 4 4 5 3" xfId="0"/>
    <cellStyle name="Normal 61 5 4 4 6" xfId="0"/>
    <cellStyle name="Normal 61 5 4 4 6 2" xfId="0"/>
    <cellStyle name="Normal 61 5 4 4 7" xfId="0"/>
    <cellStyle name="Normal 61 5 4 5" xfId="0"/>
    <cellStyle name="Normal 61 5 4 5 2" xfId="0"/>
    <cellStyle name="Normal 61 5 4 5 2 2" xfId="0"/>
    <cellStyle name="Normal 61 5 4 5 2 2 2" xfId="0"/>
    <cellStyle name="Normal 61 5 4 5 2 2 2 2" xfId="0"/>
    <cellStyle name="Normal 61 5 4 5 2 2 3" xfId="0"/>
    <cellStyle name="Normal 61 5 4 5 2 3" xfId="0"/>
    <cellStyle name="Normal 61 5 4 5 2 3 2" xfId="0"/>
    <cellStyle name="Normal 61 5 4 5 2 3 2 2" xfId="0"/>
    <cellStyle name="Normal 61 5 4 5 2 3 3" xfId="0"/>
    <cellStyle name="Normal 61 5 4 5 2 4" xfId="0"/>
    <cellStyle name="Normal 61 5 4 5 2 4 2" xfId="0"/>
    <cellStyle name="Normal 61 5 4 5 2 5" xfId="0"/>
    <cellStyle name="Normal 61 5 4 5 3" xfId="0"/>
    <cellStyle name="Normal 61 5 4 5 3 2" xfId="0"/>
    <cellStyle name="Normal 61 5 4 5 3 2 2" xfId="0"/>
    <cellStyle name="Normal 61 5 4 5 3 3" xfId="0"/>
    <cellStyle name="Normal 61 5 4 5 4" xfId="0"/>
    <cellStyle name="Normal 61 5 4 5 4 2" xfId="0"/>
    <cellStyle name="Normal 61 5 4 5 4 2 2" xfId="0"/>
    <cellStyle name="Normal 61 5 4 5 4 3" xfId="0"/>
    <cellStyle name="Normal 61 5 4 5 5" xfId="0"/>
    <cellStyle name="Normal 61 5 4 5 5 2" xfId="0"/>
    <cellStyle name="Normal 61 5 4 5 6" xfId="0"/>
    <cellStyle name="Normal 61 5 4 6" xfId="0"/>
    <cellStyle name="Normal 61 5 4 6 2" xfId="0"/>
    <cellStyle name="Normal 61 5 4 6 2 2" xfId="0"/>
    <cellStyle name="Normal 61 5 4 6 2 2 2" xfId="0"/>
    <cellStyle name="Normal 61 5 4 6 2 3" xfId="0"/>
    <cellStyle name="Normal 61 5 4 6 3" xfId="0"/>
    <cellStyle name="Normal 61 5 4 6 3 2" xfId="0"/>
    <cellStyle name="Normal 61 5 4 6 3 2 2" xfId="0"/>
    <cellStyle name="Normal 61 5 4 6 3 3" xfId="0"/>
    <cellStyle name="Normal 61 5 4 6 4" xfId="0"/>
    <cellStyle name="Normal 61 5 4 6 4 2" xfId="0"/>
    <cellStyle name="Normal 61 5 4 6 5" xfId="0"/>
    <cellStyle name="Normal 61 5 4 7" xfId="0"/>
    <cellStyle name="Normal 61 5 4 7 2" xfId="0"/>
    <cellStyle name="Normal 61 5 4 7 2 2" xfId="0"/>
    <cellStyle name="Normal 61 5 4 7 3" xfId="0"/>
    <cellStyle name="Normal 61 5 4 8" xfId="0"/>
    <cellStyle name="Normal 61 5 4 8 2" xfId="0"/>
    <cellStyle name="Normal 61 5 4 8 2 2" xfId="0"/>
    <cellStyle name="Normal 61 5 4 8 3" xfId="0"/>
    <cellStyle name="Normal 61 5 4 9" xfId="0"/>
    <cellStyle name="Normal 61 5 4 9 2" xfId="0"/>
    <cellStyle name="Normal 61 5 5" xfId="0"/>
    <cellStyle name="Normal 61 5 5 2" xfId="0"/>
    <cellStyle name="Normal 61 5 5 2 2" xfId="0"/>
    <cellStyle name="Normal 61 5 5 2 2 2" xfId="0"/>
    <cellStyle name="Normal 61 5 5 2 2 2 2" xfId="0"/>
    <cellStyle name="Normal 61 5 5 2 2 2 2 2" xfId="0"/>
    <cellStyle name="Normal 61 5 5 2 2 2 2 2 2" xfId="0"/>
    <cellStyle name="Normal 61 5 5 2 2 2 2 2 2 2" xfId="0"/>
    <cellStyle name="Normal 61 5 5 2 2 2 2 2 3" xfId="0"/>
    <cellStyle name="Normal 61 5 5 2 2 2 2 3" xfId="0"/>
    <cellStyle name="Normal 61 5 5 2 2 2 2 3 2" xfId="0"/>
    <cellStyle name="Normal 61 5 5 2 2 2 2 3 2 2" xfId="0"/>
    <cellStyle name="Normal 61 5 5 2 2 2 2 3 3" xfId="0"/>
    <cellStyle name="Normal 61 5 5 2 2 2 2 4" xfId="0"/>
    <cellStyle name="Normal 61 5 5 2 2 2 2 4 2" xfId="0"/>
    <cellStyle name="Normal 61 5 5 2 2 2 2 5" xfId="0"/>
    <cellStyle name="Normal 61 5 5 2 2 2 3" xfId="0"/>
    <cellStyle name="Normal 61 5 5 2 2 2 3 2" xfId="0"/>
    <cellStyle name="Normal 61 5 5 2 2 2 3 2 2" xfId="0"/>
    <cellStyle name="Normal 61 5 5 2 2 2 3 3" xfId="0"/>
    <cellStyle name="Normal 61 5 5 2 2 2 4" xfId="0"/>
    <cellStyle name="Normal 61 5 5 2 2 2 4 2" xfId="0"/>
    <cellStyle name="Normal 61 5 5 2 2 2 4 2 2" xfId="0"/>
    <cellStyle name="Normal 61 5 5 2 2 2 4 3" xfId="0"/>
    <cellStyle name="Normal 61 5 5 2 2 2 5" xfId="0"/>
    <cellStyle name="Normal 61 5 5 2 2 2 5 2" xfId="0"/>
    <cellStyle name="Normal 61 5 5 2 2 2 6" xfId="0"/>
    <cellStyle name="Normal 61 5 5 2 2 3" xfId="0"/>
    <cellStyle name="Normal 61 5 5 2 2 3 2" xfId="0"/>
    <cellStyle name="Normal 61 5 5 2 2 3 2 2" xfId="0"/>
    <cellStyle name="Normal 61 5 5 2 2 3 2 2 2" xfId="0"/>
    <cellStyle name="Normal 61 5 5 2 2 3 2 3" xfId="0"/>
    <cellStyle name="Normal 61 5 5 2 2 3 3" xfId="0"/>
    <cellStyle name="Normal 61 5 5 2 2 3 3 2" xfId="0"/>
    <cellStyle name="Normal 61 5 5 2 2 3 3 2 2" xfId="0"/>
    <cellStyle name="Normal 61 5 5 2 2 3 3 3" xfId="0"/>
    <cellStyle name="Normal 61 5 5 2 2 3 4" xfId="0"/>
    <cellStyle name="Normal 61 5 5 2 2 3 4 2" xfId="0"/>
    <cellStyle name="Normal 61 5 5 2 2 3 5" xfId="0"/>
    <cellStyle name="Normal 61 5 5 2 2 4" xfId="0"/>
    <cellStyle name="Normal 61 5 5 2 2 4 2" xfId="0"/>
    <cellStyle name="Normal 61 5 5 2 2 4 2 2" xfId="0"/>
    <cellStyle name="Normal 61 5 5 2 2 4 3" xfId="0"/>
    <cellStyle name="Normal 61 5 5 2 2 5" xfId="0"/>
    <cellStyle name="Normal 61 5 5 2 2 5 2" xfId="0"/>
    <cellStyle name="Normal 61 5 5 2 2 5 2 2" xfId="0"/>
    <cellStyle name="Normal 61 5 5 2 2 5 3" xfId="0"/>
    <cellStyle name="Normal 61 5 5 2 2 6" xfId="0"/>
    <cellStyle name="Normal 61 5 5 2 2 6 2" xfId="0"/>
    <cellStyle name="Normal 61 5 5 2 2 7" xfId="0"/>
    <cellStyle name="Normal 61 5 5 2 3" xfId="0"/>
    <cellStyle name="Normal 61 5 5 2 3 2" xfId="0"/>
    <cellStyle name="Normal 61 5 5 2 3 2 2" xfId="0"/>
    <cellStyle name="Normal 61 5 5 2 3 2 2 2" xfId="0"/>
    <cellStyle name="Normal 61 5 5 2 3 2 2 2 2" xfId="0"/>
    <cellStyle name="Normal 61 5 5 2 3 2 2 3" xfId="0"/>
    <cellStyle name="Normal 61 5 5 2 3 2 3" xfId="0"/>
    <cellStyle name="Normal 61 5 5 2 3 2 3 2" xfId="0"/>
    <cellStyle name="Normal 61 5 5 2 3 2 3 2 2" xfId="0"/>
    <cellStyle name="Normal 61 5 5 2 3 2 3 3" xfId="0"/>
    <cellStyle name="Normal 61 5 5 2 3 2 4" xfId="0"/>
    <cellStyle name="Normal 61 5 5 2 3 2 4 2" xfId="0"/>
    <cellStyle name="Normal 61 5 5 2 3 2 5" xfId="0"/>
    <cellStyle name="Normal 61 5 5 2 3 3" xfId="0"/>
    <cellStyle name="Normal 61 5 5 2 3 3 2" xfId="0"/>
    <cellStyle name="Normal 61 5 5 2 3 3 2 2" xfId="0"/>
    <cellStyle name="Normal 61 5 5 2 3 3 3" xfId="0"/>
    <cellStyle name="Normal 61 5 5 2 3 4" xfId="0"/>
    <cellStyle name="Normal 61 5 5 2 3 4 2" xfId="0"/>
    <cellStyle name="Normal 61 5 5 2 3 4 2 2" xfId="0"/>
    <cellStyle name="Normal 61 5 5 2 3 4 3" xfId="0"/>
    <cellStyle name="Normal 61 5 5 2 3 5" xfId="0"/>
    <cellStyle name="Normal 61 5 5 2 3 5 2" xfId="0"/>
    <cellStyle name="Normal 61 5 5 2 3 6" xfId="0"/>
    <cellStyle name="Normal 61 5 5 2 4" xfId="0"/>
    <cellStyle name="Normal 61 5 5 2 4 2" xfId="0"/>
    <cellStyle name="Normal 61 5 5 2 4 2 2" xfId="0"/>
    <cellStyle name="Normal 61 5 5 2 4 2 2 2" xfId="0"/>
    <cellStyle name="Normal 61 5 5 2 4 2 3" xfId="0"/>
    <cellStyle name="Normal 61 5 5 2 4 3" xfId="0"/>
    <cellStyle name="Normal 61 5 5 2 4 3 2" xfId="0"/>
    <cellStyle name="Normal 61 5 5 2 4 3 2 2" xfId="0"/>
    <cellStyle name="Normal 61 5 5 2 4 3 3" xfId="0"/>
    <cellStyle name="Normal 61 5 5 2 4 4" xfId="0"/>
    <cellStyle name="Normal 61 5 5 2 4 4 2" xfId="0"/>
    <cellStyle name="Normal 61 5 5 2 4 5" xfId="0"/>
    <cellStyle name="Normal 61 5 5 2 5" xfId="0"/>
    <cellStyle name="Normal 61 5 5 2 5 2" xfId="0"/>
    <cellStyle name="Normal 61 5 5 2 5 2 2" xfId="0"/>
    <cellStyle name="Normal 61 5 5 2 5 3" xfId="0"/>
    <cellStyle name="Normal 61 5 5 2 6" xfId="0"/>
    <cellStyle name="Normal 61 5 5 2 6 2" xfId="0"/>
    <cellStyle name="Normal 61 5 5 2 6 2 2" xfId="0"/>
    <cellStyle name="Normal 61 5 5 2 6 3" xfId="0"/>
    <cellStyle name="Normal 61 5 5 2 7" xfId="0"/>
    <cellStyle name="Normal 61 5 5 2 7 2" xfId="0"/>
    <cellStyle name="Normal 61 5 5 2 8" xfId="0"/>
    <cellStyle name="Normal 61 5 5 3" xfId="0"/>
    <cellStyle name="Normal 61 5 5 3 2" xfId="0"/>
    <cellStyle name="Normal 61 5 5 3 2 2" xfId="0"/>
    <cellStyle name="Normal 61 5 5 3 2 2 2" xfId="0"/>
    <cellStyle name="Normal 61 5 5 3 2 2 2 2" xfId="0"/>
    <cellStyle name="Normal 61 5 5 3 2 2 2 2 2" xfId="0"/>
    <cellStyle name="Normal 61 5 5 3 2 2 2 3" xfId="0"/>
    <cellStyle name="Normal 61 5 5 3 2 2 3" xfId="0"/>
    <cellStyle name="Normal 61 5 5 3 2 2 3 2" xfId="0"/>
    <cellStyle name="Normal 61 5 5 3 2 2 3 2 2" xfId="0"/>
    <cellStyle name="Normal 61 5 5 3 2 2 3 3" xfId="0"/>
    <cellStyle name="Normal 61 5 5 3 2 2 4" xfId="0"/>
    <cellStyle name="Normal 61 5 5 3 2 2 4 2" xfId="0"/>
    <cellStyle name="Normal 61 5 5 3 2 2 5" xfId="0"/>
    <cellStyle name="Normal 61 5 5 3 2 3" xfId="0"/>
    <cellStyle name="Normal 61 5 5 3 2 3 2" xfId="0"/>
    <cellStyle name="Normal 61 5 5 3 2 3 2 2" xfId="0"/>
    <cellStyle name="Normal 61 5 5 3 2 3 3" xfId="0"/>
    <cellStyle name="Normal 61 5 5 3 2 4" xfId="0"/>
    <cellStyle name="Normal 61 5 5 3 2 4 2" xfId="0"/>
    <cellStyle name="Normal 61 5 5 3 2 4 2 2" xfId="0"/>
    <cellStyle name="Normal 61 5 5 3 2 4 3" xfId="0"/>
    <cellStyle name="Normal 61 5 5 3 2 5" xfId="0"/>
    <cellStyle name="Normal 61 5 5 3 2 5 2" xfId="0"/>
    <cellStyle name="Normal 61 5 5 3 2 6" xfId="0"/>
    <cellStyle name="Normal 61 5 5 3 3" xfId="0"/>
    <cellStyle name="Normal 61 5 5 3 3 2" xfId="0"/>
    <cellStyle name="Normal 61 5 5 3 3 2 2" xfId="0"/>
    <cellStyle name="Normal 61 5 5 3 3 2 2 2" xfId="0"/>
    <cellStyle name="Normal 61 5 5 3 3 2 3" xfId="0"/>
    <cellStyle name="Normal 61 5 5 3 3 3" xfId="0"/>
    <cellStyle name="Normal 61 5 5 3 3 3 2" xfId="0"/>
    <cellStyle name="Normal 61 5 5 3 3 3 2 2" xfId="0"/>
    <cellStyle name="Normal 61 5 5 3 3 3 3" xfId="0"/>
    <cellStyle name="Normal 61 5 5 3 3 4" xfId="0"/>
    <cellStyle name="Normal 61 5 5 3 3 4 2" xfId="0"/>
    <cellStyle name="Normal 61 5 5 3 3 5" xfId="0"/>
    <cellStyle name="Normal 61 5 5 3 4" xfId="0"/>
    <cellStyle name="Normal 61 5 5 3 4 2" xfId="0"/>
    <cellStyle name="Normal 61 5 5 3 4 2 2" xfId="0"/>
    <cellStyle name="Normal 61 5 5 3 4 3" xfId="0"/>
    <cellStyle name="Normal 61 5 5 3 5" xfId="0"/>
    <cellStyle name="Normal 61 5 5 3 5 2" xfId="0"/>
    <cellStyle name="Normal 61 5 5 3 5 2 2" xfId="0"/>
    <cellStyle name="Normal 61 5 5 3 5 3" xfId="0"/>
    <cellStyle name="Normal 61 5 5 3 6" xfId="0"/>
    <cellStyle name="Normal 61 5 5 3 6 2" xfId="0"/>
    <cellStyle name="Normal 61 5 5 3 7" xfId="0"/>
    <cellStyle name="Normal 61 5 5 4" xfId="0"/>
    <cellStyle name="Normal 61 5 5 4 2" xfId="0"/>
    <cellStyle name="Normal 61 5 5 4 2 2" xfId="0"/>
    <cellStyle name="Normal 61 5 5 4 2 2 2" xfId="0"/>
    <cellStyle name="Normal 61 5 5 4 2 2 2 2" xfId="0"/>
    <cellStyle name="Normal 61 5 5 4 2 2 3" xfId="0"/>
    <cellStyle name="Normal 61 5 5 4 2 3" xfId="0"/>
    <cellStyle name="Normal 61 5 5 4 2 3 2" xfId="0"/>
    <cellStyle name="Normal 61 5 5 4 2 3 2 2" xfId="0"/>
    <cellStyle name="Normal 61 5 5 4 2 3 3" xfId="0"/>
    <cellStyle name="Normal 61 5 5 4 2 4" xfId="0"/>
    <cellStyle name="Normal 61 5 5 4 2 4 2" xfId="0"/>
    <cellStyle name="Normal 61 5 5 4 2 5" xfId="0"/>
    <cellStyle name="Normal 61 5 5 4 3" xfId="0"/>
    <cellStyle name="Normal 61 5 5 4 3 2" xfId="0"/>
    <cellStyle name="Normal 61 5 5 4 3 2 2" xfId="0"/>
    <cellStyle name="Normal 61 5 5 4 3 3" xfId="0"/>
    <cellStyle name="Normal 61 5 5 4 4" xfId="0"/>
    <cellStyle name="Normal 61 5 5 4 4 2" xfId="0"/>
    <cellStyle name="Normal 61 5 5 4 4 2 2" xfId="0"/>
    <cellStyle name="Normal 61 5 5 4 4 3" xfId="0"/>
    <cellStyle name="Normal 61 5 5 4 5" xfId="0"/>
    <cellStyle name="Normal 61 5 5 4 5 2" xfId="0"/>
    <cellStyle name="Normal 61 5 5 4 6" xfId="0"/>
    <cellStyle name="Normal 61 5 5 5" xfId="0"/>
    <cellStyle name="Normal 61 5 5 5 2" xfId="0"/>
    <cellStyle name="Normal 61 5 5 5 2 2" xfId="0"/>
    <cellStyle name="Normal 61 5 5 5 2 2 2" xfId="0"/>
    <cellStyle name="Normal 61 5 5 5 2 3" xfId="0"/>
    <cellStyle name="Normal 61 5 5 5 3" xfId="0"/>
    <cellStyle name="Normal 61 5 5 5 3 2" xfId="0"/>
    <cellStyle name="Normal 61 5 5 5 3 2 2" xfId="0"/>
    <cellStyle name="Normal 61 5 5 5 3 3" xfId="0"/>
    <cellStyle name="Normal 61 5 5 5 4" xfId="0"/>
    <cellStyle name="Normal 61 5 5 5 4 2" xfId="0"/>
    <cellStyle name="Normal 61 5 5 5 5" xfId="0"/>
    <cellStyle name="Normal 61 5 5 6" xfId="0"/>
    <cellStyle name="Normal 61 5 5 6 2" xfId="0"/>
    <cellStyle name="Normal 61 5 5 6 2 2" xfId="0"/>
    <cellStyle name="Normal 61 5 5 6 3" xfId="0"/>
    <cellStyle name="Normal 61 5 5 7" xfId="0"/>
    <cellStyle name="Normal 61 5 5 7 2" xfId="0"/>
    <cellStyle name="Normal 61 5 5 7 2 2" xfId="0"/>
    <cellStyle name="Normal 61 5 5 7 3" xfId="0"/>
    <cellStyle name="Normal 61 5 5 8" xfId="0"/>
    <cellStyle name="Normal 61 5 5 8 2" xfId="0"/>
    <cellStyle name="Normal 61 5 5 9" xfId="0"/>
    <cellStyle name="Normal 61 5 6" xfId="0"/>
    <cellStyle name="Normal 61 5 6 2" xfId="0"/>
    <cellStyle name="Normal 61 5 6 2 2" xfId="0"/>
    <cellStyle name="Normal 61 5 6 2 2 2" xfId="0"/>
    <cellStyle name="Normal 61 5 6 2 2 2 2" xfId="0"/>
    <cellStyle name="Normal 61 5 6 2 2 2 2 2" xfId="0"/>
    <cellStyle name="Normal 61 5 6 2 2 2 2 2 2" xfId="0"/>
    <cellStyle name="Normal 61 5 6 2 2 2 2 3" xfId="0"/>
    <cellStyle name="Normal 61 5 6 2 2 2 3" xfId="0"/>
    <cellStyle name="Normal 61 5 6 2 2 2 3 2" xfId="0"/>
    <cellStyle name="Normal 61 5 6 2 2 2 3 2 2" xfId="0"/>
    <cellStyle name="Normal 61 5 6 2 2 2 3 3" xfId="0"/>
    <cellStyle name="Normal 61 5 6 2 2 2 4" xfId="0"/>
    <cellStyle name="Normal 61 5 6 2 2 2 4 2" xfId="0"/>
    <cellStyle name="Normal 61 5 6 2 2 2 5" xfId="0"/>
    <cellStyle name="Normal 61 5 6 2 2 3" xfId="0"/>
    <cellStyle name="Normal 61 5 6 2 2 3 2" xfId="0"/>
    <cellStyle name="Normal 61 5 6 2 2 3 2 2" xfId="0"/>
    <cellStyle name="Normal 61 5 6 2 2 3 3" xfId="0"/>
    <cellStyle name="Normal 61 5 6 2 2 4" xfId="0"/>
    <cellStyle name="Normal 61 5 6 2 2 4 2" xfId="0"/>
    <cellStyle name="Normal 61 5 6 2 2 4 2 2" xfId="0"/>
    <cellStyle name="Normal 61 5 6 2 2 4 3" xfId="0"/>
    <cellStyle name="Normal 61 5 6 2 2 5" xfId="0"/>
    <cellStyle name="Normal 61 5 6 2 2 5 2" xfId="0"/>
    <cellStyle name="Normal 61 5 6 2 2 6" xfId="0"/>
    <cellStyle name="Normal 61 5 6 2 3" xfId="0"/>
    <cellStyle name="Normal 61 5 6 2 3 2" xfId="0"/>
    <cellStyle name="Normal 61 5 6 2 3 2 2" xfId="0"/>
    <cellStyle name="Normal 61 5 6 2 3 2 2 2" xfId="0"/>
    <cellStyle name="Normal 61 5 6 2 3 2 3" xfId="0"/>
    <cellStyle name="Normal 61 5 6 2 3 3" xfId="0"/>
    <cellStyle name="Normal 61 5 6 2 3 3 2" xfId="0"/>
    <cellStyle name="Normal 61 5 6 2 3 3 2 2" xfId="0"/>
    <cellStyle name="Normal 61 5 6 2 3 3 3" xfId="0"/>
    <cellStyle name="Normal 61 5 6 2 3 4" xfId="0"/>
    <cellStyle name="Normal 61 5 6 2 3 4 2" xfId="0"/>
    <cellStyle name="Normal 61 5 6 2 3 5" xfId="0"/>
    <cellStyle name="Normal 61 5 6 2 4" xfId="0"/>
    <cellStyle name="Normal 61 5 6 2 4 2" xfId="0"/>
    <cellStyle name="Normal 61 5 6 2 4 2 2" xfId="0"/>
    <cellStyle name="Normal 61 5 6 2 4 3" xfId="0"/>
    <cellStyle name="Normal 61 5 6 2 5" xfId="0"/>
    <cellStyle name="Normal 61 5 6 2 5 2" xfId="0"/>
    <cellStyle name="Normal 61 5 6 2 5 2 2" xfId="0"/>
    <cellStyle name="Normal 61 5 6 2 5 3" xfId="0"/>
    <cellStyle name="Normal 61 5 6 2 6" xfId="0"/>
    <cellStyle name="Normal 61 5 6 2 6 2" xfId="0"/>
    <cellStyle name="Normal 61 5 6 2 7" xfId="0"/>
    <cellStyle name="Normal 61 5 6 3" xfId="0"/>
    <cellStyle name="Normal 61 5 6 3 2" xfId="0"/>
    <cellStyle name="Normal 61 5 6 3 2 2" xfId="0"/>
    <cellStyle name="Normal 61 5 6 3 2 2 2" xfId="0"/>
    <cellStyle name="Normal 61 5 6 3 2 2 2 2" xfId="0"/>
    <cellStyle name="Normal 61 5 6 3 2 2 3" xfId="0"/>
    <cellStyle name="Normal 61 5 6 3 2 3" xfId="0"/>
    <cellStyle name="Normal 61 5 6 3 2 3 2" xfId="0"/>
    <cellStyle name="Normal 61 5 6 3 2 3 2 2" xfId="0"/>
    <cellStyle name="Normal 61 5 6 3 2 3 3" xfId="0"/>
    <cellStyle name="Normal 61 5 6 3 2 4" xfId="0"/>
    <cellStyle name="Normal 61 5 6 3 2 4 2" xfId="0"/>
    <cellStyle name="Normal 61 5 6 3 2 5" xfId="0"/>
    <cellStyle name="Normal 61 5 6 3 3" xfId="0"/>
    <cellStyle name="Normal 61 5 6 3 3 2" xfId="0"/>
    <cellStyle name="Normal 61 5 6 3 3 2 2" xfId="0"/>
    <cellStyle name="Normal 61 5 6 3 3 3" xfId="0"/>
    <cellStyle name="Normal 61 5 6 3 4" xfId="0"/>
    <cellStyle name="Normal 61 5 6 3 4 2" xfId="0"/>
    <cellStyle name="Normal 61 5 6 3 4 2 2" xfId="0"/>
    <cellStyle name="Normal 61 5 6 3 4 3" xfId="0"/>
    <cellStyle name="Normal 61 5 6 3 5" xfId="0"/>
    <cellStyle name="Normal 61 5 6 3 5 2" xfId="0"/>
    <cellStyle name="Normal 61 5 6 3 6" xfId="0"/>
    <cellStyle name="Normal 61 5 6 4" xfId="0"/>
    <cellStyle name="Normal 61 5 6 4 2" xfId="0"/>
    <cellStyle name="Normal 61 5 6 4 2 2" xfId="0"/>
    <cellStyle name="Normal 61 5 6 4 2 2 2" xfId="0"/>
    <cellStyle name="Normal 61 5 6 4 2 3" xfId="0"/>
    <cellStyle name="Normal 61 5 6 4 3" xfId="0"/>
    <cellStyle name="Normal 61 5 6 4 3 2" xfId="0"/>
    <cellStyle name="Normal 61 5 6 4 3 2 2" xfId="0"/>
    <cellStyle name="Normal 61 5 6 4 3 3" xfId="0"/>
    <cellStyle name="Normal 61 5 6 4 4" xfId="0"/>
    <cellStyle name="Normal 61 5 6 4 4 2" xfId="0"/>
    <cellStyle name="Normal 61 5 6 4 5" xfId="0"/>
    <cellStyle name="Normal 61 5 6 5" xfId="0"/>
    <cellStyle name="Normal 61 5 6 5 2" xfId="0"/>
    <cellStyle name="Normal 61 5 6 5 2 2" xfId="0"/>
    <cellStyle name="Normal 61 5 6 5 3" xfId="0"/>
    <cellStyle name="Normal 61 5 6 6" xfId="0"/>
    <cellStyle name="Normal 61 5 6 6 2" xfId="0"/>
    <cellStyle name="Normal 61 5 6 6 2 2" xfId="0"/>
    <cellStyle name="Normal 61 5 6 6 3" xfId="0"/>
    <cellStyle name="Normal 61 5 6 7" xfId="0"/>
    <cellStyle name="Normal 61 5 6 7 2" xfId="0"/>
    <cellStyle name="Normal 61 5 6 8" xfId="0"/>
    <cellStyle name="Normal 61 5 7" xfId="0"/>
    <cellStyle name="Normal 61 5 7 2" xfId="0"/>
    <cellStyle name="Normal 61 5 7 2 2" xfId="0"/>
    <cellStyle name="Normal 61 5 7 2 2 2" xfId="0"/>
    <cellStyle name="Normal 61 5 7 2 2 2 2" xfId="0"/>
    <cellStyle name="Normal 61 5 7 2 2 2 2 2" xfId="0"/>
    <cellStyle name="Normal 61 5 7 2 2 2 3" xfId="0"/>
    <cellStyle name="Normal 61 5 7 2 2 3" xfId="0"/>
    <cellStyle name="Normal 61 5 7 2 2 3 2" xfId="0"/>
    <cellStyle name="Normal 61 5 7 2 2 3 2 2" xfId="0"/>
    <cellStyle name="Normal 61 5 7 2 2 3 3" xfId="0"/>
    <cellStyle name="Normal 61 5 7 2 2 4" xfId="0"/>
    <cellStyle name="Normal 61 5 7 2 2 4 2" xfId="0"/>
    <cellStyle name="Normal 61 5 7 2 2 5" xfId="0"/>
    <cellStyle name="Normal 61 5 7 2 3" xfId="0"/>
    <cellStyle name="Normal 61 5 7 2 3 2" xfId="0"/>
    <cellStyle name="Normal 61 5 7 2 3 2 2" xfId="0"/>
    <cellStyle name="Normal 61 5 7 2 3 3" xfId="0"/>
    <cellStyle name="Normal 61 5 7 2 4" xfId="0"/>
    <cellStyle name="Normal 61 5 7 2 4 2" xfId="0"/>
    <cellStyle name="Normal 61 5 7 2 4 2 2" xfId="0"/>
    <cellStyle name="Normal 61 5 7 2 4 3" xfId="0"/>
    <cellStyle name="Normal 61 5 7 2 5" xfId="0"/>
    <cellStyle name="Normal 61 5 7 2 5 2" xfId="0"/>
    <cellStyle name="Normal 61 5 7 2 6" xfId="0"/>
    <cellStyle name="Normal 61 5 7 3" xfId="0"/>
    <cellStyle name="Normal 61 5 7 3 2" xfId="0"/>
    <cellStyle name="Normal 61 5 7 3 2 2" xfId="0"/>
    <cellStyle name="Normal 61 5 7 3 2 2 2" xfId="0"/>
    <cellStyle name="Normal 61 5 7 3 2 3" xfId="0"/>
    <cellStyle name="Normal 61 5 7 3 3" xfId="0"/>
    <cellStyle name="Normal 61 5 7 3 3 2" xfId="0"/>
    <cellStyle name="Normal 61 5 7 3 3 2 2" xfId="0"/>
    <cellStyle name="Normal 61 5 7 3 3 3" xfId="0"/>
    <cellStyle name="Normal 61 5 7 3 4" xfId="0"/>
    <cellStyle name="Normal 61 5 7 3 4 2" xfId="0"/>
    <cellStyle name="Normal 61 5 7 3 5" xfId="0"/>
    <cellStyle name="Normal 61 5 7 4" xfId="0"/>
    <cellStyle name="Normal 61 5 7 4 2" xfId="0"/>
    <cellStyle name="Normal 61 5 7 4 2 2" xfId="0"/>
    <cellStyle name="Normal 61 5 7 4 3" xfId="0"/>
    <cellStyle name="Normal 61 5 7 5" xfId="0"/>
    <cellStyle name="Normal 61 5 7 5 2" xfId="0"/>
    <cellStyle name="Normal 61 5 7 5 2 2" xfId="0"/>
    <cellStyle name="Normal 61 5 7 5 3" xfId="0"/>
    <cellStyle name="Normal 61 5 7 6" xfId="0"/>
    <cellStyle name="Normal 61 5 7 6 2" xfId="0"/>
    <cellStyle name="Normal 61 5 7 7" xfId="0"/>
    <cellStyle name="Normal 61 5 8" xfId="0"/>
    <cellStyle name="Normal 61 5 8 2" xfId="0"/>
    <cellStyle name="Normal 61 5 8 2 2" xfId="0"/>
    <cellStyle name="Normal 61 5 8 2 2 2" xfId="0"/>
    <cellStyle name="Normal 61 5 8 2 2 2 2" xfId="0"/>
    <cellStyle name="Normal 61 5 8 2 2 3" xfId="0"/>
    <cellStyle name="Normal 61 5 8 2 3" xfId="0"/>
    <cellStyle name="Normal 61 5 8 2 3 2" xfId="0"/>
    <cellStyle name="Normal 61 5 8 2 3 2 2" xfId="0"/>
    <cellStyle name="Normal 61 5 8 2 3 3" xfId="0"/>
    <cellStyle name="Normal 61 5 8 2 4" xfId="0"/>
    <cellStyle name="Normal 61 5 8 2 4 2" xfId="0"/>
    <cellStyle name="Normal 61 5 8 2 5" xfId="0"/>
    <cellStyle name="Normal 61 5 8 3" xfId="0"/>
    <cellStyle name="Normal 61 5 8 3 2" xfId="0"/>
    <cellStyle name="Normal 61 5 8 3 2 2" xfId="0"/>
    <cellStyle name="Normal 61 5 8 3 3" xfId="0"/>
    <cellStyle name="Normal 61 5 8 4" xfId="0"/>
    <cellStyle name="Normal 61 5 8 4 2" xfId="0"/>
    <cellStyle name="Normal 61 5 8 4 2 2" xfId="0"/>
    <cellStyle name="Normal 61 5 8 4 3" xfId="0"/>
    <cellStyle name="Normal 61 5 8 5" xfId="0"/>
    <cellStyle name="Normal 61 5 8 5 2" xfId="0"/>
    <cellStyle name="Normal 61 5 8 6" xfId="0"/>
    <cellStyle name="Normal 61 5 9" xfId="0"/>
    <cellStyle name="Normal 61 5 9 2" xfId="0"/>
    <cellStyle name="Normal 61 5 9 2 2" xfId="0"/>
    <cellStyle name="Normal 61 5 9 2 2 2" xfId="0"/>
    <cellStyle name="Normal 61 5 9 2 3" xfId="0"/>
    <cellStyle name="Normal 61 5 9 3" xfId="0"/>
    <cellStyle name="Normal 61 5 9 3 2" xfId="0"/>
    <cellStyle name="Normal 61 5 9 3 2 2" xfId="0"/>
    <cellStyle name="Normal 61 5 9 3 3" xfId="0"/>
    <cellStyle name="Normal 61 5 9 4" xfId="0"/>
    <cellStyle name="Normal 61 5 9 4 2" xfId="0"/>
    <cellStyle name="Normal 61 5 9 5" xfId="0"/>
    <cellStyle name="Normal 61 6" xfId="0"/>
    <cellStyle name="Normal 61 6 10" xfId="0"/>
    <cellStyle name="Normal 61 6 10 2" xfId="0"/>
    <cellStyle name="Normal 61 6 10 2 2" xfId="0"/>
    <cellStyle name="Normal 61 6 10 3" xfId="0"/>
    <cellStyle name="Normal 61 6 11" xfId="0"/>
    <cellStyle name="Normal 61 6 11 2" xfId="0"/>
    <cellStyle name="Normal 61 6 11 2 2" xfId="0"/>
    <cellStyle name="Normal 61 6 11 3" xfId="0"/>
    <cellStyle name="Normal 61 6 12" xfId="0"/>
    <cellStyle name="Normal 61 6 12 2" xfId="0"/>
    <cellStyle name="Normal 61 6 13" xfId="0"/>
    <cellStyle name="Normal 61 6 2" xfId="0"/>
    <cellStyle name="Normal 61 6 2 10" xfId="0"/>
    <cellStyle name="Normal 61 6 2 10 2" xfId="0"/>
    <cellStyle name="Normal 61 6 2 10 2 2" xfId="0"/>
    <cellStyle name="Normal 61 6 2 10 3" xfId="0"/>
    <cellStyle name="Normal 61 6 2 11" xfId="0"/>
    <cellStyle name="Normal 61 6 2 11 2" xfId="0"/>
    <cellStyle name="Normal 61 6 2 12" xfId="0"/>
    <cellStyle name="Normal 61 6 2 2" xfId="0"/>
    <cellStyle name="Normal 61 6 2 2 10" xfId="0"/>
    <cellStyle name="Normal 61 6 2 2 2" xfId="0"/>
    <cellStyle name="Normal 61 6 2 2 2 2" xfId="0"/>
    <cellStyle name="Normal 61 6 2 2 2 2 2" xfId="0"/>
    <cellStyle name="Normal 61 6 2 2 2 2 2 2" xfId="0"/>
    <cellStyle name="Normal 61 6 2 2 2 2 2 2 2" xfId="0"/>
    <cellStyle name="Normal 61 6 2 2 2 2 2 2 2 2" xfId="0"/>
    <cellStyle name="Normal 61 6 2 2 2 2 2 2 2 2 2" xfId="0"/>
    <cellStyle name="Normal 61 6 2 2 2 2 2 2 2 2 2 2" xfId="0"/>
    <cellStyle name="Normal 61 6 2 2 2 2 2 2 2 2 3" xfId="0"/>
    <cellStyle name="Normal 61 6 2 2 2 2 2 2 2 3" xfId="0"/>
    <cellStyle name="Normal 61 6 2 2 2 2 2 2 2 3 2" xfId="0"/>
    <cellStyle name="Normal 61 6 2 2 2 2 2 2 2 3 2 2" xfId="0"/>
    <cellStyle name="Normal 61 6 2 2 2 2 2 2 2 3 3" xfId="0"/>
    <cellStyle name="Normal 61 6 2 2 2 2 2 2 2 4" xfId="0"/>
    <cellStyle name="Normal 61 6 2 2 2 2 2 2 2 4 2" xfId="0"/>
    <cellStyle name="Normal 61 6 2 2 2 2 2 2 2 5" xfId="0"/>
    <cellStyle name="Normal 61 6 2 2 2 2 2 2 3" xfId="0"/>
    <cellStyle name="Normal 61 6 2 2 2 2 2 2 3 2" xfId="0"/>
    <cellStyle name="Normal 61 6 2 2 2 2 2 2 3 2 2" xfId="0"/>
    <cellStyle name="Normal 61 6 2 2 2 2 2 2 3 3" xfId="0"/>
    <cellStyle name="Normal 61 6 2 2 2 2 2 2 4" xfId="0"/>
    <cellStyle name="Normal 61 6 2 2 2 2 2 2 4 2" xfId="0"/>
    <cellStyle name="Normal 61 6 2 2 2 2 2 2 4 2 2" xfId="0"/>
    <cellStyle name="Normal 61 6 2 2 2 2 2 2 4 3" xfId="0"/>
    <cellStyle name="Normal 61 6 2 2 2 2 2 2 5" xfId="0"/>
    <cellStyle name="Normal 61 6 2 2 2 2 2 2 5 2" xfId="0"/>
    <cellStyle name="Normal 61 6 2 2 2 2 2 2 6" xfId="0"/>
    <cellStyle name="Normal 61 6 2 2 2 2 2 3" xfId="0"/>
    <cellStyle name="Normal 61 6 2 2 2 2 2 3 2" xfId="0"/>
    <cellStyle name="Normal 61 6 2 2 2 2 2 3 2 2" xfId="0"/>
    <cellStyle name="Normal 61 6 2 2 2 2 2 3 2 2 2" xfId="0"/>
    <cellStyle name="Normal 61 6 2 2 2 2 2 3 2 3" xfId="0"/>
    <cellStyle name="Normal 61 6 2 2 2 2 2 3 3" xfId="0"/>
    <cellStyle name="Normal 61 6 2 2 2 2 2 3 3 2" xfId="0"/>
    <cellStyle name="Normal 61 6 2 2 2 2 2 3 3 2 2" xfId="0"/>
    <cellStyle name="Normal 61 6 2 2 2 2 2 3 3 3" xfId="0"/>
    <cellStyle name="Normal 61 6 2 2 2 2 2 3 4" xfId="0"/>
    <cellStyle name="Normal 61 6 2 2 2 2 2 3 4 2" xfId="0"/>
    <cellStyle name="Normal 61 6 2 2 2 2 2 3 5" xfId="0"/>
    <cellStyle name="Normal 61 6 2 2 2 2 2 4" xfId="0"/>
    <cellStyle name="Normal 61 6 2 2 2 2 2 4 2" xfId="0"/>
    <cellStyle name="Normal 61 6 2 2 2 2 2 4 2 2" xfId="0"/>
    <cellStyle name="Normal 61 6 2 2 2 2 2 4 3" xfId="0"/>
    <cellStyle name="Normal 61 6 2 2 2 2 2 5" xfId="0"/>
    <cellStyle name="Normal 61 6 2 2 2 2 2 5 2" xfId="0"/>
    <cellStyle name="Normal 61 6 2 2 2 2 2 5 2 2" xfId="0"/>
    <cellStyle name="Normal 61 6 2 2 2 2 2 5 3" xfId="0"/>
    <cellStyle name="Normal 61 6 2 2 2 2 2 6" xfId="0"/>
    <cellStyle name="Normal 61 6 2 2 2 2 2 6 2" xfId="0"/>
    <cellStyle name="Normal 61 6 2 2 2 2 2 7" xfId="0"/>
    <cellStyle name="Normal 61 6 2 2 2 2 3" xfId="0"/>
    <cellStyle name="Normal 61 6 2 2 2 2 3 2" xfId="0"/>
    <cellStyle name="Normal 61 6 2 2 2 2 3 2 2" xfId="0"/>
    <cellStyle name="Normal 61 6 2 2 2 2 3 2 2 2" xfId="0"/>
    <cellStyle name="Normal 61 6 2 2 2 2 3 2 2 2 2" xfId="0"/>
    <cellStyle name="Normal 61 6 2 2 2 2 3 2 2 3" xfId="0"/>
    <cellStyle name="Normal 61 6 2 2 2 2 3 2 3" xfId="0"/>
    <cellStyle name="Normal 61 6 2 2 2 2 3 2 3 2" xfId="0"/>
    <cellStyle name="Normal 61 6 2 2 2 2 3 2 3 2 2" xfId="0"/>
    <cellStyle name="Normal 61 6 2 2 2 2 3 2 3 3" xfId="0"/>
    <cellStyle name="Normal 61 6 2 2 2 2 3 2 4" xfId="0"/>
    <cellStyle name="Normal 61 6 2 2 2 2 3 2 4 2" xfId="0"/>
    <cellStyle name="Normal 61 6 2 2 2 2 3 2 5" xfId="0"/>
    <cellStyle name="Normal 61 6 2 2 2 2 3 3" xfId="0"/>
    <cellStyle name="Normal 61 6 2 2 2 2 3 3 2" xfId="0"/>
    <cellStyle name="Normal 61 6 2 2 2 2 3 3 2 2" xfId="0"/>
    <cellStyle name="Normal 61 6 2 2 2 2 3 3 3" xfId="0"/>
    <cellStyle name="Normal 61 6 2 2 2 2 3 4" xfId="0"/>
    <cellStyle name="Normal 61 6 2 2 2 2 3 4 2" xfId="0"/>
    <cellStyle name="Normal 61 6 2 2 2 2 3 4 2 2" xfId="0"/>
    <cellStyle name="Normal 61 6 2 2 2 2 3 4 3" xfId="0"/>
    <cellStyle name="Normal 61 6 2 2 2 2 3 5" xfId="0"/>
    <cellStyle name="Normal 61 6 2 2 2 2 3 5 2" xfId="0"/>
    <cellStyle name="Normal 61 6 2 2 2 2 3 6" xfId="0"/>
    <cellStyle name="Normal 61 6 2 2 2 2 4" xfId="0"/>
    <cellStyle name="Normal 61 6 2 2 2 2 4 2" xfId="0"/>
    <cellStyle name="Normal 61 6 2 2 2 2 4 2 2" xfId="0"/>
    <cellStyle name="Normal 61 6 2 2 2 2 4 2 2 2" xfId="0"/>
    <cellStyle name="Normal 61 6 2 2 2 2 4 2 3" xfId="0"/>
    <cellStyle name="Normal 61 6 2 2 2 2 4 3" xfId="0"/>
    <cellStyle name="Normal 61 6 2 2 2 2 4 3 2" xfId="0"/>
    <cellStyle name="Normal 61 6 2 2 2 2 4 3 2 2" xfId="0"/>
    <cellStyle name="Normal 61 6 2 2 2 2 4 3 3" xfId="0"/>
    <cellStyle name="Normal 61 6 2 2 2 2 4 4" xfId="0"/>
    <cellStyle name="Normal 61 6 2 2 2 2 4 4 2" xfId="0"/>
    <cellStyle name="Normal 61 6 2 2 2 2 4 5" xfId="0"/>
    <cellStyle name="Normal 61 6 2 2 2 2 5" xfId="0"/>
    <cellStyle name="Normal 61 6 2 2 2 2 5 2" xfId="0"/>
    <cellStyle name="Normal 61 6 2 2 2 2 5 2 2" xfId="0"/>
    <cellStyle name="Normal 61 6 2 2 2 2 5 3" xfId="0"/>
    <cellStyle name="Normal 61 6 2 2 2 2 6" xfId="0"/>
    <cellStyle name="Normal 61 6 2 2 2 2 6 2" xfId="0"/>
    <cellStyle name="Normal 61 6 2 2 2 2 6 2 2" xfId="0"/>
    <cellStyle name="Normal 61 6 2 2 2 2 6 3" xfId="0"/>
    <cellStyle name="Normal 61 6 2 2 2 2 7" xfId="0"/>
    <cellStyle name="Normal 61 6 2 2 2 2 7 2" xfId="0"/>
    <cellStyle name="Normal 61 6 2 2 2 2 8" xfId="0"/>
    <cellStyle name="Normal 61 6 2 2 2 3" xfId="0"/>
    <cellStyle name="Normal 61 6 2 2 2 3 2" xfId="0"/>
    <cellStyle name="Normal 61 6 2 2 2 3 2 2" xfId="0"/>
    <cellStyle name="Normal 61 6 2 2 2 3 2 2 2" xfId="0"/>
    <cellStyle name="Normal 61 6 2 2 2 3 2 2 2 2" xfId="0"/>
    <cellStyle name="Normal 61 6 2 2 2 3 2 2 2 2 2" xfId="0"/>
    <cellStyle name="Normal 61 6 2 2 2 3 2 2 2 3" xfId="0"/>
    <cellStyle name="Normal 61 6 2 2 2 3 2 2 3" xfId="0"/>
    <cellStyle name="Normal 61 6 2 2 2 3 2 2 3 2" xfId="0"/>
    <cellStyle name="Normal 61 6 2 2 2 3 2 2 3 2 2" xfId="0"/>
    <cellStyle name="Normal 61 6 2 2 2 3 2 2 3 3" xfId="0"/>
    <cellStyle name="Normal 61 6 2 2 2 3 2 2 4" xfId="0"/>
    <cellStyle name="Normal 61 6 2 2 2 3 2 2 4 2" xfId="0"/>
    <cellStyle name="Normal 61 6 2 2 2 3 2 2 5" xfId="0"/>
    <cellStyle name="Normal 61 6 2 2 2 3 2 3" xfId="0"/>
    <cellStyle name="Normal 61 6 2 2 2 3 2 3 2" xfId="0"/>
    <cellStyle name="Normal 61 6 2 2 2 3 2 3 2 2" xfId="0"/>
    <cellStyle name="Normal 61 6 2 2 2 3 2 3 3" xfId="0"/>
    <cellStyle name="Normal 61 6 2 2 2 3 2 4" xfId="0"/>
    <cellStyle name="Normal 61 6 2 2 2 3 2 4 2" xfId="0"/>
    <cellStyle name="Normal 61 6 2 2 2 3 2 4 2 2" xfId="0"/>
    <cellStyle name="Normal 61 6 2 2 2 3 2 4 3" xfId="0"/>
    <cellStyle name="Normal 61 6 2 2 2 3 2 5" xfId="0"/>
    <cellStyle name="Normal 61 6 2 2 2 3 2 5 2" xfId="0"/>
    <cellStyle name="Normal 61 6 2 2 2 3 2 6" xfId="0"/>
    <cellStyle name="Normal 61 6 2 2 2 3 3" xfId="0"/>
    <cellStyle name="Normal 61 6 2 2 2 3 3 2" xfId="0"/>
    <cellStyle name="Normal 61 6 2 2 2 3 3 2 2" xfId="0"/>
    <cellStyle name="Normal 61 6 2 2 2 3 3 2 2 2" xfId="0"/>
    <cellStyle name="Normal 61 6 2 2 2 3 3 2 3" xfId="0"/>
    <cellStyle name="Normal 61 6 2 2 2 3 3 3" xfId="0"/>
    <cellStyle name="Normal 61 6 2 2 2 3 3 3 2" xfId="0"/>
    <cellStyle name="Normal 61 6 2 2 2 3 3 3 2 2" xfId="0"/>
    <cellStyle name="Normal 61 6 2 2 2 3 3 3 3" xfId="0"/>
    <cellStyle name="Normal 61 6 2 2 2 3 3 4" xfId="0"/>
    <cellStyle name="Normal 61 6 2 2 2 3 3 4 2" xfId="0"/>
    <cellStyle name="Normal 61 6 2 2 2 3 3 5" xfId="0"/>
    <cellStyle name="Normal 61 6 2 2 2 3 4" xfId="0"/>
    <cellStyle name="Normal 61 6 2 2 2 3 4 2" xfId="0"/>
    <cellStyle name="Normal 61 6 2 2 2 3 4 2 2" xfId="0"/>
    <cellStyle name="Normal 61 6 2 2 2 3 4 3" xfId="0"/>
    <cellStyle name="Normal 61 6 2 2 2 3 5" xfId="0"/>
    <cellStyle name="Normal 61 6 2 2 2 3 5 2" xfId="0"/>
    <cellStyle name="Normal 61 6 2 2 2 3 5 2 2" xfId="0"/>
    <cellStyle name="Normal 61 6 2 2 2 3 5 3" xfId="0"/>
    <cellStyle name="Normal 61 6 2 2 2 3 6" xfId="0"/>
    <cellStyle name="Normal 61 6 2 2 2 3 6 2" xfId="0"/>
    <cellStyle name="Normal 61 6 2 2 2 3 7" xfId="0"/>
    <cellStyle name="Normal 61 6 2 2 2 4" xfId="0"/>
    <cellStyle name="Normal 61 6 2 2 2 4 2" xfId="0"/>
    <cellStyle name="Normal 61 6 2 2 2 4 2 2" xfId="0"/>
    <cellStyle name="Normal 61 6 2 2 2 4 2 2 2" xfId="0"/>
    <cellStyle name="Normal 61 6 2 2 2 4 2 2 2 2" xfId="0"/>
    <cellStyle name="Normal 61 6 2 2 2 4 2 2 3" xfId="0"/>
    <cellStyle name="Normal 61 6 2 2 2 4 2 3" xfId="0"/>
    <cellStyle name="Normal 61 6 2 2 2 4 2 3 2" xfId="0"/>
    <cellStyle name="Normal 61 6 2 2 2 4 2 3 2 2" xfId="0"/>
    <cellStyle name="Normal 61 6 2 2 2 4 2 3 3" xfId="0"/>
    <cellStyle name="Normal 61 6 2 2 2 4 2 4" xfId="0"/>
    <cellStyle name="Normal 61 6 2 2 2 4 2 4 2" xfId="0"/>
    <cellStyle name="Normal 61 6 2 2 2 4 2 5" xfId="0"/>
    <cellStyle name="Normal 61 6 2 2 2 4 3" xfId="0"/>
    <cellStyle name="Normal 61 6 2 2 2 4 3 2" xfId="0"/>
    <cellStyle name="Normal 61 6 2 2 2 4 3 2 2" xfId="0"/>
    <cellStyle name="Normal 61 6 2 2 2 4 3 3" xfId="0"/>
    <cellStyle name="Normal 61 6 2 2 2 4 4" xfId="0"/>
    <cellStyle name="Normal 61 6 2 2 2 4 4 2" xfId="0"/>
    <cellStyle name="Normal 61 6 2 2 2 4 4 2 2" xfId="0"/>
    <cellStyle name="Normal 61 6 2 2 2 4 4 3" xfId="0"/>
    <cellStyle name="Normal 61 6 2 2 2 4 5" xfId="0"/>
    <cellStyle name="Normal 61 6 2 2 2 4 5 2" xfId="0"/>
    <cellStyle name="Normal 61 6 2 2 2 4 6" xfId="0"/>
    <cellStyle name="Normal 61 6 2 2 2 5" xfId="0"/>
    <cellStyle name="Normal 61 6 2 2 2 5 2" xfId="0"/>
    <cellStyle name="Normal 61 6 2 2 2 5 2 2" xfId="0"/>
    <cellStyle name="Normal 61 6 2 2 2 5 2 2 2" xfId="0"/>
    <cellStyle name="Normal 61 6 2 2 2 5 2 3" xfId="0"/>
    <cellStyle name="Normal 61 6 2 2 2 5 3" xfId="0"/>
    <cellStyle name="Normal 61 6 2 2 2 5 3 2" xfId="0"/>
    <cellStyle name="Normal 61 6 2 2 2 5 3 2 2" xfId="0"/>
    <cellStyle name="Normal 61 6 2 2 2 5 3 3" xfId="0"/>
    <cellStyle name="Normal 61 6 2 2 2 5 4" xfId="0"/>
    <cellStyle name="Normal 61 6 2 2 2 5 4 2" xfId="0"/>
    <cellStyle name="Normal 61 6 2 2 2 5 5" xfId="0"/>
    <cellStyle name="Normal 61 6 2 2 2 6" xfId="0"/>
    <cellStyle name="Normal 61 6 2 2 2 6 2" xfId="0"/>
    <cellStyle name="Normal 61 6 2 2 2 6 2 2" xfId="0"/>
    <cellStyle name="Normal 61 6 2 2 2 6 3" xfId="0"/>
    <cellStyle name="Normal 61 6 2 2 2 7" xfId="0"/>
    <cellStyle name="Normal 61 6 2 2 2 7 2" xfId="0"/>
    <cellStyle name="Normal 61 6 2 2 2 7 2 2" xfId="0"/>
    <cellStyle name="Normal 61 6 2 2 2 7 3" xfId="0"/>
    <cellStyle name="Normal 61 6 2 2 2 8" xfId="0"/>
    <cellStyle name="Normal 61 6 2 2 2 8 2" xfId="0"/>
    <cellStyle name="Normal 61 6 2 2 2 9" xfId="0"/>
    <cellStyle name="Normal 61 6 2 2 3" xfId="0"/>
    <cellStyle name="Normal 61 6 2 2 3 2" xfId="0"/>
    <cellStyle name="Normal 61 6 2 2 3 2 2" xfId="0"/>
    <cellStyle name="Normal 61 6 2 2 3 2 2 2" xfId="0"/>
    <cellStyle name="Normal 61 6 2 2 3 2 2 2 2" xfId="0"/>
    <cellStyle name="Normal 61 6 2 2 3 2 2 2 2 2" xfId="0"/>
    <cellStyle name="Normal 61 6 2 2 3 2 2 2 2 2 2" xfId="0"/>
    <cellStyle name="Normal 61 6 2 2 3 2 2 2 2 3" xfId="0"/>
    <cellStyle name="Normal 61 6 2 2 3 2 2 2 3" xfId="0"/>
    <cellStyle name="Normal 61 6 2 2 3 2 2 2 3 2" xfId="0"/>
    <cellStyle name="Normal 61 6 2 2 3 2 2 2 3 2 2" xfId="0"/>
    <cellStyle name="Normal 61 6 2 2 3 2 2 2 3 3" xfId="0"/>
    <cellStyle name="Normal 61 6 2 2 3 2 2 2 4" xfId="0"/>
    <cellStyle name="Normal 61 6 2 2 3 2 2 2 4 2" xfId="0"/>
    <cellStyle name="Normal 61 6 2 2 3 2 2 2 5" xfId="0"/>
    <cellStyle name="Normal 61 6 2 2 3 2 2 3" xfId="0"/>
    <cellStyle name="Normal 61 6 2 2 3 2 2 3 2" xfId="0"/>
    <cellStyle name="Normal 61 6 2 2 3 2 2 3 2 2" xfId="0"/>
    <cellStyle name="Normal 61 6 2 2 3 2 2 3 3" xfId="0"/>
    <cellStyle name="Normal 61 6 2 2 3 2 2 4" xfId="0"/>
    <cellStyle name="Normal 61 6 2 2 3 2 2 4 2" xfId="0"/>
    <cellStyle name="Normal 61 6 2 2 3 2 2 4 2 2" xfId="0"/>
    <cellStyle name="Normal 61 6 2 2 3 2 2 4 3" xfId="0"/>
    <cellStyle name="Normal 61 6 2 2 3 2 2 5" xfId="0"/>
    <cellStyle name="Normal 61 6 2 2 3 2 2 5 2" xfId="0"/>
    <cellStyle name="Normal 61 6 2 2 3 2 2 6" xfId="0"/>
    <cellStyle name="Normal 61 6 2 2 3 2 3" xfId="0"/>
    <cellStyle name="Normal 61 6 2 2 3 2 3 2" xfId="0"/>
    <cellStyle name="Normal 61 6 2 2 3 2 3 2 2" xfId="0"/>
    <cellStyle name="Normal 61 6 2 2 3 2 3 2 2 2" xfId="0"/>
    <cellStyle name="Normal 61 6 2 2 3 2 3 2 3" xfId="0"/>
    <cellStyle name="Normal 61 6 2 2 3 2 3 3" xfId="0"/>
    <cellStyle name="Normal 61 6 2 2 3 2 3 3 2" xfId="0"/>
    <cellStyle name="Normal 61 6 2 2 3 2 3 3 2 2" xfId="0"/>
    <cellStyle name="Normal 61 6 2 2 3 2 3 3 3" xfId="0"/>
    <cellStyle name="Normal 61 6 2 2 3 2 3 4" xfId="0"/>
    <cellStyle name="Normal 61 6 2 2 3 2 3 4 2" xfId="0"/>
    <cellStyle name="Normal 61 6 2 2 3 2 3 5" xfId="0"/>
    <cellStyle name="Normal 61 6 2 2 3 2 4" xfId="0"/>
    <cellStyle name="Normal 61 6 2 2 3 2 4 2" xfId="0"/>
    <cellStyle name="Normal 61 6 2 2 3 2 4 2 2" xfId="0"/>
    <cellStyle name="Normal 61 6 2 2 3 2 4 3" xfId="0"/>
    <cellStyle name="Normal 61 6 2 2 3 2 5" xfId="0"/>
    <cellStyle name="Normal 61 6 2 2 3 2 5 2" xfId="0"/>
    <cellStyle name="Normal 61 6 2 2 3 2 5 2 2" xfId="0"/>
    <cellStyle name="Normal 61 6 2 2 3 2 5 3" xfId="0"/>
    <cellStyle name="Normal 61 6 2 2 3 2 6" xfId="0"/>
    <cellStyle name="Normal 61 6 2 2 3 2 6 2" xfId="0"/>
    <cellStyle name="Normal 61 6 2 2 3 2 7" xfId="0"/>
    <cellStyle name="Normal 61 6 2 2 3 3" xfId="0"/>
    <cellStyle name="Normal 61 6 2 2 3 3 2" xfId="0"/>
    <cellStyle name="Normal 61 6 2 2 3 3 2 2" xfId="0"/>
    <cellStyle name="Normal 61 6 2 2 3 3 2 2 2" xfId="0"/>
    <cellStyle name="Normal 61 6 2 2 3 3 2 2 2 2" xfId="0"/>
    <cellStyle name="Normal 61 6 2 2 3 3 2 2 3" xfId="0"/>
    <cellStyle name="Normal 61 6 2 2 3 3 2 3" xfId="0"/>
    <cellStyle name="Normal 61 6 2 2 3 3 2 3 2" xfId="0"/>
    <cellStyle name="Normal 61 6 2 2 3 3 2 3 2 2" xfId="0"/>
    <cellStyle name="Normal 61 6 2 2 3 3 2 3 3" xfId="0"/>
    <cellStyle name="Normal 61 6 2 2 3 3 2 4" xfId="0"/>
    <cellStyle name="Normal 61 6 2 2 3 3 2 4 2" xfId="0"/>
    <cellStyle name="Normal 61 6 2 2 3 3 2 5" xfId="0"/>
    <cellStyle name="Normal 61 6 2 2 3 3 3" xfId="0"/>
    <cellStyle name="Normal 61 6 2 2 3 3 3 2" xfId="0"/>
    <cellStyle name="Normal 61 6 2 2 3 3 3 2 2" xfId="0"/>
    <cellStyle name="Normal 61 6 2 2 3 3 3 3" xfId="0"/>
    <cellStyle name="Normal 61 6 2 2 3 3 4" xfId="0"/>
    <cellStyle name="Normal 61 6 2 2 3 3 4 2" xfId="0"/>
    <cellStyle name="Normal 61 6 2 2 3 3 4 2 2" xfId="0"/>
    <cellStyle name="Normal 61 6 2 2 3 3 4 3" xfId="0"/>
    <cellStyle name="Normal 61 6 2 2 3 3 5" xfId="0"/>
    <cellStyle name="Normal 61 6 2 2 3 3 5 2" xfId="0"/>
    <cellStyle name="Normal 61 6 2 2 3 3 6" xfId="0"/>
    <cellStyle name="Normal 61 6 2 2 3 4" xfId="0"/>
    <cellStyle name="Normal 61 6 2 2 3 4 2" xfId="0"/>
    <cellStyle name="Normal 61 6 2 2 3 4 2 2" xfId="0"/>
    <cellStyle name="Normal 61 6 2 2 3 4 2 2 2" xfId="0"/>
    <cellStyle name="Normal 61 6 2 2 3 4 2 3" xfId="0"/>
    <cellStyle name="Normal 61 6 2 2 3 4 3" xfId="0"/>
    <cellStyle name="Normal 61 6 2 2 3 4 3 2" xfId="0"/>
    <cellStyle name="Normal 61 6 2 2 3 4 3 2 2" xfId="0"/>
    <cellStyle name="Normal 61 6 2 2 3 4 3 3" xfId="0"/>
    <cellStyle name="Normal 61 6 2 2 3 4 4" xfId="0"/>
    <cellStyle name="Normal 61 6 2 2 3 4 4 2" xfId="0"/>
    <cellStyle name="Normal 61 6 2 2 3 4 5" xfId="0"/>
    <cellStyle name="Normal 61 6 2 2 3 5" xfId="0"/>
    <cellStyle name="Normal 61 6 2 2 3 5 2" xfId="0"/>
    <cellStyle name="Normal 61 6 2 2 3 5 2 2" xfId="0"/>
    <cellStyle name="Normal 61 6 2 2 3 5 3" xfId="0"/>
    <cellStyle name="Normal 61 6 2 2 3 6" xfId="0"/>
    <cellStyle name="Normal 61 6 2 2 3 6 2" xfId="0"/>
    <cellStyle name="Normal 61 6 2 2 3 6 2 2" xfId="0"/>
    <cellStyle name="Normal 61 6 2 2 3 6 3" xfId="0"/>
    <cellStyle name="Normal 61 6 2 2 3 7" xfId="0"/>
    <cellStyle name="Normal 61 6 2 2 3 7 2" xfId="0"/>
    <cellStyle name="Normal 61 6 2 2 3 8" xfId="0"/>
    <cellStyle name="Normal 61 6 2 2 4" xfId="0"/>
    <cellStyle name="Normal 61 6 2 2 4 2" xfId="0"/>
    <cellStyle name="Normal 61 6 2 2 4 2 2" xfId="0"/>
    <cellStyle name="Normal 61 6 2 2 4 2 2 2" xfId="0"/>
    <cellStyle name="Normal 61 6 2 2 4 2 2 2 2" xfId="0"/>
    <cellStyle name="Normal 61 6 2 2 4 2 2 2 2 2" xfId="0"/>
    <cellStyle name="Normal 61 6 2 2 4 2 2 2 3" xfId="0"/>
    <cellStyle name="Normal 61 6 2 2 4 2 2 3" xfId="0"/>
    <cellStyle name="Normal 61 6 2 2 4 2 2 3 2" xfId="0"/>
    <cellStyle name="Normal 61 6 2 2 4 2 2 3 2 2" xfId="0"/>
    <cellStyle name="Normal 61 6 2 2 4 2 2 3 3" xfId="0"/>
    <cellStyle name="Normal 61 6 2 2 4 2 2 4" xfId="0"/>
    <cellStyle name="Normal 61 6 2 2 4 2 2 4 2" xfId="0"/>
    <cellStyle name="Normal 61 6 2 2 4 2 2 5" xfId="0"/>
    <cellStyle name="Normal 61 6 2 2 4 2 3" xfId="0"/>
    <cellStyle name="Normal 61 6 2 2 4 2 3 2" xfId="0"/>
    <cellStyle name="Normal 61 6 2 2 4 2 3 2 2" xfId="0"/>
    <cellStyle name="Normal 61 6 2 2 4 2 3 3" xfId="0"/>
    <cellStyle name="Normal 61 6 2 2 4 2 4" xfId="0"/>
    <cellStyle name="Normal 61 6 2 2 4 2 4 2" xfId="0"/>
    <cellStyle name="Normal 61 6 2 2 4 2 4 2 2" xfId="0"/>
    <cellStyle name="Normal 61 6 2 2 4 2 4 3" xfId="0"/>
    <cellStyle name="Normal 61 6 2 2 4 2 5" xfId="0"/>
    <cellStyle name="Normal 61 6 2 2 4 2 5 2" xfId="0"/>
    <cellStyle name="Normal 61 6 2 2 4 2 6" xfId="0"/>
    <cellStyle name="Normal 61 6 2 2 4 3" xfId="0"/>
    <cellStyle name="Normal 61 6 2 2 4 3 2" xfId="0"/>
    <cellStyle name="Normal 61 6 2 2 4 3 2 2" xfId="0"/>
    <cellStyle name="Normal 61 6 2 2 4 3 2 2 2" xfId="0"/>
    <cellStyle name="Normal 61 6 2 2 4 3 2 3" xfId="0"/>
    <cellStyle name="Normal 61 6 2 2 4 3 3" xfId="0"/>
    <cellStyle name="Normal 61 6 2 2 4 3 3 2" xfId="0"/>
    <cellStyle name="Normal 61 6 2 2 4 3 3 2 2" xfId="0"/>
    <cellStyle name="Normal 61 6 2 2 4 3 3 3" xfId="0"/>
    <cellStyle name="Normal 61 6 2 2 4 3 4" xfId="0"/>
    <cellStyle name="Normal 61 6 2 2 4 3 4 2" xfId="0"/>
    <cellStyle name="Normal 61 6 2 2 4 3 5" xfId="0"/>
    <cellStyle name="Normal 61 6 2 2 4 4" xfId="0"/>
    <cellStyle name="Normal 61 6 2 2 4 4 2" xfId="0"/>
    <cellStyle name="Normal 61 6 2 2 4 4 2 2" xfId="0"/>
    <cellStyle name="Normal 61 6 2 2 4 4 3" xfId="0"/>
    <cellStyle name="Normal 61 6 2 2 4 5" xfId="0"/>
    <cellStyle name="Normal 61 6 2 2 4 5 2" xfId="0"/>
    <cellStyle name="Normal 61 6 2 2 4 5 2 2" xfId="0"/>
    <cellStyle name="Normal 61 6 2 2 4 5 3" xfId="0"/>
    <cellStyle name="Normal 61 6 2 2 4 6" xfId="0"/>
    <cellStyle name="Normal 61 6 2 2 4 6 2" xfId="0"/>
    <cellStyle name="Normal 61 6 2 2 4 7" xfId="0"/>
    <cellStyle name="Normal 61 6 2 2 5" xfId="0"/>
    <cellStyle name="Normal 61 6 2 2 5 2" xfId="0"/>
    <cellStyle name="Normal 61 6 2 2 5 2 2" xfId="0"/>
    <cellStyle name="Normal 61 6 2 2 5 2 2 2" xfId="0"/>
    <cellStyle name="Normal 61 6 2 2 5 2 2 2 2" xfId="0"/>
    <cellStyle name="Normal 61 6 2 2 5 2 2 3" xfId="0"/>
    <cellStyle name="Normal 61 6 2 2 5 2 3" xfId="0"/>
    <cellStyle name="Normal 61 6 2 2 5 2 3 2" xfId="0"/>
    <cellStyle name="Normal 61 6 2 2 5 2 3 2 2" xfId="0"/>
    <cellStyle name="Normal 61 6 2 2 5 2 3 3" xfId="0"/>
    <cellStyle name="Normal 61 6 2 2 5 2 4" xfId="0"/>
    <cellStyle name="Normal 61 6 2 2 5 2 4 2" xfId="0"/>
    <cellStyle name="Normal 61 6 2 2 5 2 5" xfId="0"/>
    <cellStyle name="Normal 61 6 2 2 5 3" xfId="0"/>
    <cellStyle name="Normal 61 6 2 2 5 3 2" xfId="0"/>
    <cellStyle name="Normal 61 6 2 2 5 3 2 2" xfId="0"/>
    <cellStyle name="Normal 61 6 2 2 5 3 3" xfId="0"/>
    <cellStyle name="Normal 61 6 2 2 5 4" xfId="0"/>
    <cellStyle name="Normal 61 6 2 2 5 4 2" xfId="0"/>
    <cellStyle name="Normal 61 6 2 2 5 4 2 2" xfId="0"/>
    <cellStyle name="Normal 61 6 2 2 5 4 3" xfId="0"/>
    <cellStyle name="Normal 61 6 2 2 5 5" xfId="0"/>
    <cellStyle name="Normal 61 6 2 2 5 5 2" xfId="0"/>
    <cellStyle name="Normal 61 6 2 2 5 6" xfId="0"/>
    <cellStyle name="Normal 61 6 2 2 6" xfId="0"/>
    <cellStyle name="Normal 61 6 2 2 6 2" xfId="0"/>
    <cellStyle name="Normal 61 6 2 2 6 2 2" xfId="0"/>
    <cellStyle name="Normal 61 6 2 2 6 2 2 2" xfId="0"/>
    <cellStyle name="Normal 61 6 2 2 6 2 3" xfId="0"/>
    <cellStyle name="Normal 61 6 2 2 6 3" xfId="0"/>
    <cellStyle name="Normal 61 6 2 2 6 3 2" xfId="0"/>
    <cellStyle name="Normal 61 6 2 2 6 3 2 2" xfId="0"/>
    <cellStyle name="Normal 61 6 2 2 6 3 3" xfId="0"/>
    <cellStyle name="Normal 61 6 2 2 6 4" xfId="0"/>
    <cellStyle name="Normal 61 6 2 2 6 4 2" xfId="0"/>
    <cellStyle name="Normal 61 6 2 2 6 5" xfId="0"/>
    <cellStyle name="Normal 61 6 2 2 7" xfId="0"/>
    <cellStyle name="Normal 61 6 2 2 7 2" xfId="0"/>
    <cellStyle name="Normal 61 6 2 2 7 2 2" xfId="0"/>
    <cellStyle name="Normal 61 6 2 2 7 3" xfId="0"/>
    <cellStyle name="Normal 61 6 2 2 8" xfId="0"/>
    <cellStyle name="Normal 61 6 2 2 8 2" xfId="0"/>
    <cellStyle name="Normal 61 6 2 2 8 2 2" xfId="0"/>
    <cellStyle name="Normal 61 6 2 2 8 3" xfId="0"/>
    <cellStyle name="Normal 61 6 2 2 9" xfId="0"/>
    <cellStyle name="Normal 61 6 2 2 9 2" xfId="0"/>
    <cellStyle name="Normal 61 6 2 3" xfId="0"/>
    <cellStyle name="Normal 61 6 2 3 10" xfId="0"/>
    <cellStyle name="Normal 61 6 2 3 2" xfId="0"/>
    <cellStyle name="Normal 61 6 2 3 2 2" xfId="0"/>
    <cellStyle name="Normal 61 6 2 3 2 2 2" xfId="0"/>
    <cellStyle name="Normal 61 6 2 3 2 2 2 2" xfId="0"/>
    <cellStyle name="Normal 61 6 2 3 2 2 2 2 2" xfId="0"/>
    <cellStyle name="Normal 61 6 2 3 2 2 2 2 2 2" xfId="0"/>
    <cellStyle name="Normal 61 6 2 3 2 2 2 2 2 2 2" xfId="0"/>
    <cellStyle name="Normal 61 6 2 3 2 2 2 2 2 2 2 2" xfId="0"/>
    <cellStyle name="Normal 61 6 2 3 2 2 2 2 2 2 3" xfId="0"/>
    <cellStyle name="Normal 61 6 2 3 2 2 2 2 2 3" xfId="0"/>
    <cellStyle name="Normal 61 6 2 3 2 2 2 2 2 3 2" xfId="0"/>
    <cellStyle name="Normal 61 6 2 3 2 2 2 2 2 3 2 2" xfId="0"/>
    <cellStyle name="Normal 61 6 2 3 2 2 2 2 2 3 3" xfId="0"/>
    <cellStyle name="Normal 61 6 2 3 2 2 2 2 2 4" xfId="0"/>
    <cellStyle name="Normal 61 6 2 3 2 2 2 2 2 4 2" xfId="0"/>
    <cellStyle name="Normal 61 6 2 3 2 2 2 2 2 5" xfId="0"/>
    <cellStyle name="Normal 61 6 2 3 2 2 2 2 3" xfId="0"/>
    <cellStyle name="Normal 61 6 2 3 2 2 2 2 3 2" xfId="0"/>
    <cellStyle name="Normal 61 6 2 3 2 2 2 2 3 2 2" xfId="0"/>
    <cellStyle name="Normal 61 6 2 3 2 2 2 2 3 3" xfId="0"/>
    <cellStyle name="Normal 61 6 2 3 2 2 2 2 4" xfId="0"/>
    <cellStyle name="Normal 61 6 2 3 2 2 2 2 4 2" xfId="0"/>
    <cellStyle name="Normal 61 6 2 3 2 2 2 2 4 2 2" xfId="0"/>
    <cellStyle name="Normal 61 6 2 3 2 2 2 2 4 3" xfId="0"/>
    <cellStyle name="Normal 61 6 2 3 2 2 2 2 5" xfId="0"/>
    <cellStyle name="Normal 61 6 2 3 2 2 2 2 5 2" xfId="0"/>
    <cellStyle name="Normal 61 6 2 3 2 2 2 2 6" xfId="0"/>
    <cellStyle name="Normal 61 6 2 3 2 2 2 3" xfId="0"/>
    <cellStyle name="Normal 61 6 2 3 2 2 2 3 2" xfId="0"/>
    <cellStyle name="Normal 61 6 2 3 2 2 2 3 2 2" xfId="0"/>
    <cellStyle name="Normal 61 6 2 3 2 2 2 3 2 2 2" xfId="0"/>
    <cellStyle name="Normal 61 6 2 3 2 2 2 3 2 3" xfId="0"/>
    <cellStyle name="Normal 61 6 2 3 2 2 2 3 3" xfId="0"/>
    <cellStyle name="Normal 61 6 2 3 2 2 2 3 3 2" xfId="0"/>
    <cellStyle name="Normal 61 6 2 3 2 2 2 3 3 2 2" xfId="0"/>
    <cellStyle name="Normal 61 6 2 3 2 2 2 3 3 3" xfId="0"/>
    <cellStyle name="Normal 61 6 2 3 2 2 2 3 4" xfId="0"/>
    <cellStyle name="Normal 61 6 2 3 2 2 2 3 4 2" xfId="0"/>
    <cellStyle name="Normal 61 6 2 3 2 2 2 3 5" xfId="0"/>
    <cellStyle name="Normal 61 6 2 3 2 2 2 4" xfId="0"/>
    <cellStyle name="Normal 61 6 2 3 2 2 2 4 2" xfId="0"/>
    <cellStyle name="Normal 61 6 2 3 2 2 2 4 2 2" xfId="0"/>
    <cellStyle name="Normal 61 6 2 3 2 2 2 4 3" xfId="0"/>
    <cellStyle name="Normal 61 6 2 3 2 2 2 5" xfId="0"/>
    <cellStyle name="Normal 61 6 2 3 2 2 2 5 2" xfId="0"/>
    <cellStyle name="Normal 61 6 2 3 2 2 2 5 2 2" xfId="0"/>
    <cellStyle name="Normal 61 6 2 3 2 2 2 5 3" xfId="0"/>
    <cellStyle name="Normal 61 6 2 3 2 2 2 6" xfId="0"/>
    <cellStyle name="Normal 61 6 2 3 2 2 2 6 2" xfId="0"/>
    <cellStyle name="Normal 61 6 2 3 2 2 2 7" xfId="0"/>
    <cellStyle name="Normal 61 6 2 3 2 2 3" xfId="0"/>
    <cellStyle name="Normal 61 6 2 3 2 2 3 2" xfId="0"/>
    <cellStyle name="Normal 61 6 2 3 2 2 3 2 2" xfId="0"/>
    <cellStyle name="Normal 61 6 2 3 2 2 3 2 2 2" xfId="0"/>
    <cellStyle name="Normal 61 6 2 3 2 2 3 2 2 2 2" xfId="0"/>
    <cellStyle name="Normal 61 6 2 3 2 2 3 2 2 3" xfId="0"/>
    <cellStyle name="Normal 61 6 2 3 2 2 3 2 3" xfId="0"/>
    <cellStyle name="Normal 61 6 2 3 2 2 3 2 3 2" xfId="0"/>
    <cellStyle name="Normal 61 6 2 3 2 2 3 2 3 2 2" xfId="0"/>
    <cellStyle name="Normal 61 6 2 3 2 2 3 2 3 3" xfId="0"/>
    <cellStyle name="Normal 61 6 2 3 2 2 3 2 4" xfId="0"/>
    <cellStyle name="Normal 61 6 2 3 2 2 3 2 4 2" xfId="0"/>
    <cellStyle name="Normal 61 6 2 3 2 2 3 2 5" xfId="0"/>
    <cellStyle name="Normal 61 6 2 3 2 2 3 3" xfId="0"/>
    <cellStyle name="Normal 61 6 2 3 2 2 3 3 2" xfId="0"/>
    <cellStyle name="Normal 61 6 2 3 2 2 3 3 2 2" xfId="0"/>
    <cellStyle name="Normal 61 6 2 3 2 2 3 3 3" xfId="0"/>
    <cellStyle name="Normal 61 6 2 3 2 2 3 4" xfId="0"/>
    <cellStyle name="Normal 61 6 2 3 2 2 3 4 2" xfId="0"/>
    <cellStyle name="Normal 61 6 2 3 2 2 3 4 2 2" xfId="0"/>
    <cellStyle name="Normal 61 6 2 3 2 2 3 4 3" xfId="0"/>
    <cellStyle name="Normal 61 6 2 3 2 2 3 5" xfId="0"/>
    <cellStyle name="Normal 61 6 2 3 2 2 3 5 2" xfId="0"/>
    <cellStyle name="Normal 61 6 2 3 2 2 3 6" xfId="0"/>
    <cellStyle name="Normal 61 6 2 3 2 2 4" xfId="0"/>
    <cellStyle name="Normal 61 6 2 3 2 2 4 2" xfId="0"/>
    <cellStyle name="Normal 61 6 2 3 2 2 4 2 2" xfId="0"/>
    <cellStyle name="Normal 61 6 2 3 2 2 4 2 2 2" xfId="0"/>
    <cellStyle name="Normal 61 6 2 3 2 2 4 2 3" xfId="0"/>
    <cellStyle name="Normal 61 6 2 3 2 2 4 3" xfId="0"/>
    <cellStyle name="Normal 61 6 2 3 2 2 4 3 2" xfId="0"/>
    <cellStyle name="Normal 61 6 2 3 2 2 4 3 2 2" xfId="0"/>
    <cellStyle name="Normal 61 6 2 3 2 2 4 3 3" xfId="0"/>
    <cellStyle name="Normal 61 6 2 3 2 2 4 4" xfId="0"/>
    <cellStyle name="Normal 61 6 2 3 2 2 4 4 2" xfId="0"/>
    <cellStyle name="Normal 61 6 2 3 2 2 4 5" xfId="0"/>
    <cellStyle name="Normal 61 6 2 3 2 2 5" xfId="0"/>
    <cellStyle name="Normal 61 6 2 3 2 2 5 2" xfId="0"/>
    <cellStyle name="Normal 61 6 2 3 2 2 5 2 2" xfId="0"/>
    <cellStyle name="Normal 61 6 2 3 2 2 5 3" xfId="0"/>
    <cellStyle name="Normal 61 6 2 3 2 2 6" xfId="0"/>
    <cellStyle name="Normal 61 6 2 3 2 2 6 2" xfId="0"/>
    <cellStyle name="Normal 61 6 2 3 2 2 6 2 2" xfId="0"/>
    <cellStyle name="Normal 61 6 2 3 2 2 6 3" xfId="0"/>
    <cellStyle name="Normal 61 6 2 3 2 2 7" xfId="0"/>
    <cellStyle name="Normal 61 6 2 3 2 2 7 2" xfId="0"/>
    <cellStyle name="Normal 61 6 2 3 2 2 8" xfId="0"/>
    <cellStyle name="Normal 61 6 2 3 2 3" xfId="0"/>
    <cellStyle name="Normal 61 6 2 3 2 3 2" xfId="0"/>
    <cellStyle name="Normal 61 6 2 3 2 3 2 2" xfId="0"/>
    <cellStyle name="Normal 61 6 2 3 2 3 2 2 2" xfId="0"/>
    <cellStyle name="Normal 61 6 2 3 2 3 2 2 2 2" xfId="0"/>
    <cellStyle name="Normal 61 6 2 3 2 3 2 2 2 2 2" xfId="0"/>
    <cellStyle name="Normal 61 6 2 3 2 3 2 2 2 3" xfId="0"/>
    <cellStyle name="Normal 61 6 2 3 2 3 2 2 3" xfId="0"/>
    <cellStyle name="Normal 61 6 2 3 2 3 2 2 3 2" xfId="0"/>
    <cellStyle name="Normal 61 6 2 3 2 3 2 2 3 2 2" xfId="0"/>
    <cellStyle name="Normal 61 6 2 3 2 3 2 2 3 3" xfId="0"/>
    <cellStyle name="Normal 61 6 2 3 2 3 2 2 4" xfId="0"/>
    <cellStyle name="Normal 61 6 2 3 2 3 2 2 4 2" xfId="0"/>
    <cellStyle name="Normal 61 6 2 3 2 3 2 2 5" xfId="0"/>
    <cellStyle name="Normal 61 6 2 3 2 3 2 3" xfId="0"/>
    <cellStyle name="Normal 61 6 2 3 2 3 2 3 2" xfId="0"/>
    <cellStyle name="Normal 61 6 2 3 2 3 2 3 2 2" xfId="0"/>
    <cellStyle name="Normal 61 6 2 3 2 3 2 3 3" xfId="0"/>
    <cellStyle name="Normal 61 6 2 3 2 3 2 4" xfId="0"/>
    <cellStyle name="Normal 61 6 2 3 2 3 2 4 2" xfId="0"/>
    <cellStyle name="Normal 61 6 2 3 2 3 2 4 2 2" xfId="0"/>
    <cellStyle name="Normal 61 6 2 3 2 3 2 4 3" xfId="0"/>
    <cellStyle name="Normal 61 6 2 3 2 3 2 5" xfId="0"/>
    <cellStyle name="Normal 61 6 2 3 2 3 2 5 2" xfId="0"/>
    <cellStyle name="Normal 61 6 2 3 2 3 2 6" xfId="0"/>
    <cellStyle name="Normal 61 6 2 3 2 3 3" xfId="0"/>
    <cellStyle name="Normal 61 6 2 3 2 3 3 2" xfId="0"/>
    <cellStyle name="Normal 61 6 2 3 2 3 3 2 2" xfId="0"/>
    <cellStyle name="Normal 61 6 2 3 2 3 3 2 2 2" xfId="0"/>
    <cellStyle name="Normal 61 6 2 3 2 3 3 2 3" xfId="0"/>
    <cellStyle name="Normal 61 6 2 3 2 3 3 3" xfId="0"/>
    <cellStyle name="Normal 61 6 2 3 2 3 3 3 2" xfId="0"/>
    <cellStyle name="Normal 61 6 2 3 2 3 3 3 2 2" xfId="0"/>
    <cellStyle name="Normal 61 6 2 3 2 3 3 3 3" xfId="0"/>
    <cellStyle name="Normal 61 6 2 3 2 3 3 4" xfId="0"/>
    <cellStyle name="Normal 61 6 2 3 2 3 3 4 2" xfId="0"/>
    <cellStyle name="Normal 61 6 2 3 2 3 3 5" xfId="0"/>
    <cellStyle name="Normal 61 6 2 3 2 3 4" xfId="0"/>
    <cellStyle name="Normal 61 6 2 3 2 3 4 2" xfId="0"/>
    <cellStyle name="Normal 61 6 2 3 2 3 4 2 2" xfId="0"/>
    <cellStyle name="Normal 61 6 2 3 2 3 4 3" xfId="0"/>
    <cellStyle name="Normal 61 6 2 3 2 3 5" xfId="0"/>
    <cellStyle name="Normal 61 6 2 3 2 3 5 2" xfId="0"/>
    <cellStyle name="Normal 61 6 2 3 2 3 5 2 2" xfId="0"/>
    <cellStyle name="Normal 61 6 2 3 2 3 5 3" xfId="0"/>
    <cellStyle name="Normal 61 6 2 3 2 3 6" xfId="0"/>
    <cellStyle name="Normal 61 6 2 3 2 3 6 2" xfId="0"/>
    <cellStyle name="Normal 61 6 2 3 2 3 7" xfId="0"/>
    <cellStyle name="Normal 61 6 2 3 2 4" xfId="0"/>
    <cellStyle name="Normal 61 6 2 3 2 4 2" xfId="0"/>
    <cellStyle name="Normal 61 6 2 3 2 4 2 2" xfId="0"/>
    <cellStyle name="Normal 61 6 2 3 2 4 2 2 2" xfId="0"/>
    <cellStyle name="Normal 61 6 2 3 2 4 2 2 2 2" xfId="0"/>
    <cellStyle name="Normal 61 6 2 3 2 4 2 2 3" xfId="0"/>
    <cellStyle name="Normal 61 6 2 3 2 4 2 3" xfId="0"/>
    <cellStyle name="Normal 61 6 2 3 2 4 2 3 2" xfId="0"/>
    <cellStyle name="Normal 61 6 2 3 2 4 2 3 2 2" xfId="0"/>
    <cellStyle name="Normal 61 6 2 3 2 4 2 3 3" xfId="0"/>
    <cellStyle name="Normal 61 6 2 3 2 4 2 4" xfId="0"/>
    <cellStyle name="Normal 61 6 2 3 2 4 2 4 2" xfId="0"/>
    <cellStyle name="Normal 61 6 2 3 2 4 2 5" xfId="0"/>
    <cellStyle name="Normal 61 6 2 3 2 4 3" xfId="0"/>
    <cellStyle name="Normal 61 6 2 3 2 4 3 2" xfId="0"/>
    <cellStyle name="Normal 61 6 2 3 2 4 3 2 2" xfId="0"/>
    <cellStyle name="Normal 61 6 2 3 2 4 3 3" xfId="0"/>
    <cellStyle name="Normal 61 6 2 3 2 4 4" xfId="0"/>
    <cellStyle name="Normal 61 6 2 3 2 4 4 2" xfId="0"/>
    <cellStyle name="Normal 61 6 2 3 2 4 4 2 2" xfId="0"/>
    <cellStyle name="Normal 61 6 2 3 2 4 4 3" xfId="0"/>
    <cellStyle name="Normal 61 6 2 3 2 4 5" xfId="0"/>
    <cellStyle name="Normal 61 6 2 3 2 4 5 2" xfId="0"/>
    <cellStyle name="Normal 61 6 2 3 2 4 6" xfId="0"/>
    <cellStyle name="Normal 61 6 2 3 2 5" xfId="0"/>
    <cellStyle name="Normal 61 6 2 3 2 5 2" xfId="0"/>
    <cellStyle name="Normal 61 6 2 3 2 5 2 2" xfId="0"/>
    <cellStyle name="Normal 61 6 2 3 2 5 2 2 2" xfId="0"/>
    <cellStyle name="Normal 61 6 2 3 2 5 2 3" xfId="0"/>
    <cellStyle name="Normal 61 6 2 3 2 5 3" xfId="0"/>
    <cellStyle name="Normal 61 6 2 3 2 5 3 2" xfId="0"/>
    <cellStyle name="Normal 61 6 2 3 2 5 3 2 2" xfId="0"/>
    <cellStyle name="Normal 61 6 2 3 2 5 3 3" xfId="0"/>
    <cellStyle name="Normal 61 6 2 3 2 5 4" xfId="0"/>
    <cellStyle name="Normal 61 6 2 3 2 5 4 2" xfId="0"/>
    <cellStyle name="Normal 61 6 2 3 2 5 5" xfId="0"/>
    <cellStyle name="Normal 61 6 2 3 2 6" xfId="0"/>
    <cellStyle name="Normal 61 6 2 3 2 6 2" xfId="0"/>
    <cellStyle name="Normal 61 6 2 3 2 6 2 2" xfId="0"/>
    <cellStyle name="Normal 61 6 2 3 2 6 3" xfId="0"/>
    <cellStyle name="Normal 61 6 2 3 2 7" xfId="0"/>
    <cellStyle name="Normal 61 6 2 3 2 7 2" xfId="0"/>
    <cellStyle name="Normal 61 6 2 3 2 7 2 2" xfId="0"/>
    <cellStyle name="Normal 61 6 2 3 2 7 3" xfId="0"/>
    <cellStyle name="Normal 61 6 2 3 2 8" xfId="0"/>
    <cellStyle name="Normal 61 6 2 3 2 8 2" xfId="0"/>
    <cellStyle name="Normal 61 6 2 3 2 9" xfId="0"/>
    <cellStyle name="Normal 61 6 2 3 3" xfId="0"/>
    <cellStyle name="Normal 61 6 2 3 3 2" xfId="0"/>
    <cellStyle name="Normal 61 6 2 3 3 2 2" xfId="0"/>
    <cellStyle name="Normal 61 6 2 3 3 2 2 2" xfId="0"/>
    <cellStyle name="Normal 61 6 2 3 3 2 2 2 2" xfId="0"/>
    <cellStyle name="Normal 61 6 2 3 3 2 2 2 2 2" xfId="0"/>
    <cellStyle name="Normal 61 6 2 3 3 2 2 2 2 2 2" xfId="0"/>
    <cellStyle name="Normal 61 6 2 3 3 2 2 2 2 3" xfId="0"/>
    <cellStyle name="Normal 61 6 2 3 3 2 2 2 3" xfId="0"/>
    <cellStyle name="Normal 61 6 2 3 3 2 2 2 3 2" xfId="0"/>
    <cellStyle name="Normal 61 6 2 3 3 2 2 2 3 2 2" xfId="0"/>
    <cellStyle name="Normal 61 6 2 3 3 2 2 2 3 3" xfId="0"/>
    <cellStyle name="Normal 61 6 2 3 3 2 2 2 4" xfId="0"/>
    <cellStyle name="Normal 61 6 2 3 3 2 2 2 4 2" xfId="0"/>
    <cellStyle name="Normal 61 6 2 3 3 2 2 2 5" xfId="0"/>
    <cellStyle name="Normal 61 6 2 3 3 2 2 3" xfId="0"/>
    <cellStyle name="Normal 61 6 2 3 3 2 2 3 2" xfId="0"/>
    <cellStyle name="Normal 61 6 2 3 3 2 2 3 2 2" xfId="0"/>
    <cellStyle name="Normal 61 6 2 3 3 2 2 3 3" xfId="0"/>
    <cellStyle name="Normal 61 6 2 3 3 2 2 4" xfId="0"/>
    <cellStyle name="Normal 61 6 2 3 3 2 2 4 2" xfId="0"/>
    <cellStyle name="Normal 61 6 2 3 3 2 2 4 2 2" xfId="0"/>
    <cellStyle name="Normal 61 6 2 3 3 2 2 4 3" xfId="0"/>
    <cellStyle name="Normal 61 6 2 3 3 2 2 5" xfId="0"/>
    <cellStyle name="Normal 61 6 2 3 3 2 2 5 2" xfId="0"/>
    <cellStyle name="Normal 61 6 2 3 3 2 2 6" xfId="0"/>
    <cellStyle name="Normal 61 6 2 3 3 2 3" xfId="0"/>
    <cellStyle name="Normal 61 6 2 3 3 2 3 2" xfId="0"/>
    <cellStyle name="Normal 61 6 2 3 3 2 3 2 2" xfId="0"/>
    <cellStyle name="Normal 61 6 2 3 3 2 3 2 2 2" xfId="0"/>
    <cellStyle name="Normal 61 6 2 3 3 2 3 2 3" xfId="0"/>
    <cellStyle name="Normal 61 6 2 3 3 2 3 3" xfId="0"/>
    <cellStyle name="Normal 61 6 2 3 3 2 3 3 2" xfId="0"/>
    <cellStyle name="Normal 61 6 2 3 3 2 3 3 2 2" xfId="0"/>
    <cellStyle name="Normal 61 6 2 3 3 2 3 3 3" xfId="0"/>
    <cellStyle name="Normal 61 6 2 3 3 2 3 4" xfId="0"/>
    <cellStyle name="Normal 61 6 2 3 3 2 3 4 2" xfId="0"/>
    <cellStyle name="Normal 61 6 2 3 3 2 3 5" xfId="0"/>
    <cellStyle name="Normal 61 6 2 3 3 2 4" xfId="0"/>
    <cellStyle name="Normal 61 6 2 3 3 2 4 2" xfId="0"/>
    <cellStyle name="Normal 61 6 2 3 3 2 4 2 2" xfId="0"/>
    <cellStyle name="Normal 61 6 2 3 3 2 4 3" xfId="0"/>
    <cellStyle name="Normal 61 6 2 3 3 2 5" xfId="0"/>
    <cellStyle name="Normal 61 6 2 3 3 2 5 2" xfId="0"/>
    <cellStyle name="Normal 61 6 2 3 3 2 5 2 2" xfId="0"/>
    <cellStyle name="Normal 61 6 2 3 3 2 5 3" xfId="0"/>
    <cellStyle name="Normal 61 6 2 3 3 2 6" xfId="0"/>
    <cellStyle name="Normal 61 6 2 3 3 2 6 2" xfId="0"/>
    <cellStyle name="Normal 61 6 2 3 3 2 7" xfId="0"/>
    <cellStyle name="Normal 61 6 2 3 3 3" xfId="0"/>
    <cellStyle name="Normal 61 6 2 3 3 3 2" xfId="0"/>
    <cellStyle name="Normal 61 6 2 3 3 3 2 2" xfId="0"/>
    <cellStyle name="Normal 61 6 2 3 3 3 2 2 2" xfId="0"/>
    <cellStyle name="Normal 61 6 2 3 3 3 2 2 2 2" xfId="0"/>
    <cellStyle name="Normal 61 6 2 3 3 3 2 2 3" xfId="0"/>
    <cellStyle name="Normal 61 6 2 3 3 3 2 3" xfId="0"/>
    <cellStyle name="Normal 61 6 2 3 3 3 2 3 2" xfId="0"/>
    <cellStyle name="Normal 61 6 2 3 3 3 2 3 2 2" xfId="0"/>
    <cellStyle name="Normal 61 6 2 3 3 3 2 3 3" xfId="0"/>
    <cellStyle name="Normal 61 6 2 3 3 3 2 4" xfId="0"/>
    <cellStyle name="Normal 61 6 2 3 3 3 2 4 2" xfId="0"/>
    <cellStyle name="Normal 61 6 2 3 3 3 2 5" xfId="0"/>
    <cellStyle name="Normal 61 6 2 3 3 3 3" xfId="0"/>
    <cellStyle name="Normal 61 6 2 3 3 3 3 2" xfId="0"/>
    <cellStyle name="Normal 61 6 2 3 3 3 3 2 2" xfId="0"/>
    <cellStyle name="Normal 61 6 2 3 3 3 3 3" xfId="0"/>
    <cellStyle name="Normal 61 6 2 3 3 3 4" xfId="0"/>
    <cellStyle name="Normal 61 6 2 3 3 3 4 2" xfId="0"/>
    <cellStyle name="Normal 61 6 2 3 3 3 4 2 2" xfId="0"/>
    <cellStyle name="Normal 61 6 2 3 3 3 4 3" xfId="0"/>
    <cellStyle name="Normal 61 6 2 3 3 3 5" xfId="0"/>
    <cellStyle name="Normal 61 6 2 3 3 3 5 2" xfId="0"/>
    <cellStyle name="Normal 61 6 2 3 3 3 6" xfId="0"/>
    <cellStyle name="Normal 61 6 2 3 3 4" xfId="0"/>
    <cellStyle name="Normal 61 6 2 3 3 4 2" xfId="0"/>
    <cellStyle name="Normal 61 6 2 3 3 4 2 2" xfId="0"/>
    <cellStyle name="Normal 61 6 2 3 3 4 2 2 2" xfId="0"/>
    <cellStyle name="Normal 61 6 2 3 3 4 2 3" xfId="0"/>
    <cellStyle name="Normal 61 6 2 3 3 4 3" xfId="0"/>
    <cellStyle name="Normal 61 6 2 3 3 4 3 2" xfId="0"/>
    <cellStyle name="Normal 61 6 2 3 3 4 3 2 2" xfId="0"/>
    <cellStyle name="Normal 61 6 2 3 3 4 3 3" xfId="0"/>
    <cellStyle name="Normal 61 6 2 3 3 4 4" xfId="0"/>
    <cellStyle name="Normal 61 6 2 3 3 4 4 2" xfId="0"/>
    <cellStyle name="Normal 61 6 2 3 3 4 5" xfId="0"/>
    <cellStyle name="Normal 61 6 2 3 3 5" xfId="0"/>
    <cellStyle name="Normal 61 6 2 3 3 5 2" xfId="0"/>
    <cellStyle name="Normal 61 6 2 3 3 5 2 2" xfId="0"/>
    <cellStyle name="Normal 61 6 2 3 3 5 3" xfId="0"/>
    <cellStyle name="Normal 61 6 2 3 3 6" xfId="0"/>
    <cellStyle name="Normal 61 6 2 3 3 6 2" xfId="0"/>
    <cellStyle name="Normal 61 6 2 3 3 6 2 2" xfId="0"/>
    <cellStyle name="Normal 61 6 2 3 3 6 3" xfId="0"/>
    <cellStyle name="Normal 61 6 2 3 3 7" xfId="0"/>
    <cellStyle name="Normal 61 6 2 3 3 7 2" xfId="0"/>
    <cellStyle name="Normal 61 6 2 3 3 8" xfId="0"/>
    <cellStyle name="Normal 61 6 2 3 4" xfId="0"/>
    <cellStyle name="Normal 61 6 2 3 4 2" xfId="0"/>
    <cellStyle name="Normal 61 6 2 3 4 2 2" xfId="0"/>
    <cellStyle name="Normal 61 6 2 3 4 2 2 2" xfId="0"/>
    <cellStyle name="Normal 61 6 2 3 4 2 2 2 2" xfId="0"/>
    <cellStyle name="Normal 61 6 2 3 4 2 2 2 2 2" xfId="0"/>
    <cellStyle name="Normal 61 6 2 3 4 2 2 2 3" xfId="0"/>
    <cellStyle name="Normal 61 6 2 3 4 2 2 3" xfId="0"/>
    <cellStyle name="Normal 61 6 2 3 4 2 2 3 2" xfId="0"/>
    <cellStyle name="Normal 61 6 2 3 4 2 2 3 2 2" xfId="0"/>
    <cellStyle name="Normal 61 6 2 3 4 2 2 3 3" xfId="0"/>
    <cellStyle name="Normal 61 6 2 3 4 2 2 4" xfId="0"/>
    <cellStyle name="Normal 61 6 2 3 4 2 2 4 2" xfId="0"/>
    <cellStyle name="Normal 61 6 2 3 4 2 2 5" xfId="0"/>
    <cellStyle name="Normal 61 6 2 3 4 2 3" xfId="0"/>
    <cellStyle name="Normal 61 6 2 3 4 2 3 2" xfId="0"/>
    <cellStyle name="Normal 61 6 2 3 4 2 3 2 2" xfId="0"/>
    <cellStyle name="Normal 61 6 2 3 4 2 3 3" xfId="0"/>
    <cellStyle name="Normal 61 6 2 3 4 2 4" xfId="0"/>
    <cellStyle name="Normal 61 6 2 3 4 2 4 2" xfId="0"/>
    <cellStyle name="Normal 61 6 2 3 4 2 4 2 2" xfId="0"/>
    <cellStyle name="Normal 61 6 2 3 4 2 4 3" xfId="0"/>
    <cellStyle name="Normal 61 6 2 3 4 2 5" xfId="0"/>
    <cellStyle name="Normal 61 6 2 3 4 2 5 2" xfId="0"/>
    <cellStyle name="Normal 61 6 2 3 4 2 6" xfId="0"/>
    <cellStyle name="Normal 61 6 2 3 4 3" xfId="0"/>
    <cellStyle name="Normal 61 6 2 3 4 3 2" xfId="0"/>
    <cellStyle name="Normal 61 6 2 3 4 3 2 2" xfId="0"/>
    <cellStyle name="Normal 61 6 2 3 4 3 2 2 2" xfId="0"/>
    <cellStyle name="Normal 61 6 2 3 4 3 2 3" xfId="0"/>
    <cellStyle name="Normal 61 6 2 3 4 3 3" xfId="0"/>
    <cellStyle name="Normal 61 6 2 3 4 3 3 2" xfId="0"/>
    <cellStyle name="Normal 61 6 2 3 4 3 3 2 2" xfId="0"/>
    <cellStyle name="Normal 61 6 2 3 4 3 3 3" xfId="0"/>
    <cellStyle name="Normal 61 6 2 3 4 3 4" xfId="0"/>
    <cellStyle name="Normal 61 6 2 3 4 3 4 2" xfId="0"/>
    <cellStyle name="Normal 61 6 2 3 4 3 5" xfId="0"/>
    <cellStyle name="Normal 61 6 2 3 4 4" xfId="0"/>
    <cellStyle name="Normal 61 6 2 3 4 4 2" xfId="0"/>
    <cellStyle name="Normal 61 6 2 3 4 4 2 2" xfId="0"/>
    <cellStyle name="Normal 61 6 2 3 4 4 3" xfId="0"/>
    <cellStyle name="Normal 61 6 2 3 4 5" xfId="0"/>
    <cellStyle name="Normal 61 6 2 3 4 5 2" xfId="0"/>
    <cellStyle name="Normal 61 6 2 3 4 5 2 2" xfId="0"/>
    <cellStyle name="Normal 61 6 2 3 4 5 3" xfId="0"/>
    <cellStyle name="Normal 61 6 2 3 4 6" xfId="0"/>
    <cellStyle name="Normal 61 6 2 3 4 6 2" xfId="0"/>
    <cellStyle name="Normal 61 6 2 3 4 7" xfId="0"/>
    <cellStyle name="Normal 61 6 2 3 5" xfId="0"/>
    <cellStyle name="Normal 61 6 2 3 5 2" xfId="0"/>
    <cellStyle name="Normal 61 6 2 3 5 2 2" xfId="0"/>
    <cellStyle name="Normal 61 6 2 3 5 2 2 2" xfId="0"/>
    <cellStyle name="Normal 61 6 2 3 5 2 2 2 2" xfId="0"/>
    <cellStyle name="Normal 61 6 2 3 5 2 2 3" xfId="0"/>
    <cellStyle name="Normal 61 6 2 3 5 2 3" xfId="0"/>
    <cellStyle name="Normal 61 6 2 3 5 2 3 2" xfId="0"/>
    <cellStyle name="Normal 61 6 2 3 5 2 3 2 2" xfId="0"/>
    <cellStyle name="Normal 61 6 2 3 5 2 3 3" xfId="0"/>
    <cellStyle name="Normal 61 6 2 3 5 2 4" xfId="0"/>
    <cellStyle name="Normal 61 6 2 3 5 2 4 2" xfId="0"/>
    <cellStyle name="Normal 61 6 2 3 5 2 5" xfId="0"/>
    <cellStyle name="Normal 61 6 2 3 5 3" xfId="0"/>
    <cellStyle name="Normal 61 6 2 3 5 3 2" xfId="0"/>
    <cellStyle name="Normal 61 6 2 3 5 3 2 2" xfId="0"/>
    <cellStyle name="Normal 61 6 2 3 5 3 3" xfId="0"/>
    <cellStyle name="Normal 61 6 2 3 5 4" xfId="0"/>
    <cellStyle name="Normal 61 6 2 3 5 4 2" xfId="0"/>
    <cellStyle name="Normal 61 6 2 3 5 4 2 2" xfId="0"/>
    <cellStyle name="Normal 61 6 2 3 5 4 3" xfId="0"/>
    <cellStyle name="Normal 61 6 2 3 5 5" xfId="0"/>
    <cellStyle name="Normal 61 6 2 3 5 5 2" xfId="0"/>
    <cellStyle name="Normal 61 6 2 3 5 6" xfId="0"/>
    <cellStyle name="Normal 61 6 2 3 6" xfId="0"/>
    <cellStyle name="Normal 61 6 2 3 6 2" xfId="0"/>
    <cellStyle name="Normal 61 6 2 3 6 2 2" xfId="0"/>
    <cellStyle name="Normal 61 6 2 3 6 2 2 2" xfId="0"/>
    <cellStyle name="Normal 61 6 2 3 6 2 3" xfId="0"/>
    <cellStyle name="Normal 61 6 2 3 6 3" xfId="0"/>
    <cellStyle name="Normal 61 6 2 3 6 3 2" xfId="0"/>
    <cellStyle name="Normal 61 6 2 3 6 3 2 2" xfId="0"/>
    <cellStyle name="Normal 61 6 2 3 6 3 3" xfId="0"/>
    <cellStyle name="Normal 61 6 2 3 6 4" xfId="0"/>
    <cellStyle name="Normal 61 6 2 3 6 4 2" xfId="0"/>
    <cellStyle name="Normal 61 6 2 3 6 5" xfId="0"/>
    <cellStyle name="Normal 61 6 2 3 7" xfId="0"/>
    <cellStyle name="Normal 61 6 2 3 7 2" xfId="0"/>
    <cellStyle name="Normal 61 6 2 3 7 2 2" xfId="0"/>
    <cellStyle name="Normal 61 6 2 3 7 3" xfId="0"/>
    <cellStyle name="Normal 61 6 2 3 8" xfId="0"/>
    <cellStyle name="Normal 61 6 2 3 8 2" xfId="0"/>
    <cellStyle name="Normal 61 6 2 3 8 2 2" xfId="0"/>
    <cellStyle name="Normal 61 6 2 3 8 3" xfId="0"/>
    <cellStyle name="Normal 61 6 2 3 9" xfId="0"/>
    <cellStyle name="Normal 61 6 2 3 9 2" xfId="0"/>
    <cellStyle name="Normal 61 6 2 4" xfId="0"/>
    <cellStyle name="Normal 61 6 2 4 2" xfId="0"/>
    <cellStyle name="Normal 61 6 2 4 2 2" xfId="0"/>
    <cellStyle name="Normal 61 6 2 4 2 2 2" xfId="0"/>
    <cellStyle name="Normal 61 6 2 4 2 2 2 2" xfId="0"/>
    <cellStyle name="Normal 61 6 2 4 2 2 2 2 2" xfId="0"/>
    <cellStyle name="Normal 61 6 2 4 2 2 2 2 2 2" xfId="0"/>
    <cellStyle name="Normal 61 6 2 4 2 2 2 2 2 2 2" xfId="0"/>
    <cellStyle name="Normal 61 6 2 4 2 2 2 2 2 3" xfId="0"/>
    <cellStyle name="Normal 61 6 2 4 2 2 2 2 3" xfId="0"/>
    <cellStyle name="Normal 61 6 2 4 2 2 2 2 3 2" xfId="0"/>
    <cellStyle name="Normal 61 6 2 4 2 2 2 2 3 2 2" xfId="0"/>
    <cellStyle name="Normal 61 6 2 4 2 2 2 2 3 3" xfId="0"/>
    <cellStyle name="Normal 61 6 2 4 2 2 2 2 4" xfId="0"/>
    <cellStyle name="Normal 61 6 2 4 2 2 2 2 4 2" xfId="0"/>
    <cellStyle name="Normal 61 6 2 4 2 2 2 2 5" xfId="0"/>
    <cellStyle name="Normal 61 6 2 4 2 2 2 3" xfId="0"/>
    <cellStyle name="Normal 61 6 2 4 2 2 2 3 2" xfId="0"/>
    <cellStyle name="Normal 61 6 2 4 2 2 2 3 2 2" xfId="0"/>
    <cellStyle name="Normal 61 6 2 4 2 2 2 3 3" xfId="0"/>
    <cellStyle name="Normal 61 6 2 4 2 2 2 4" xfId="0"/>
    <cellStyle name="Normal 61 6 2 4 2 2 2 4 2" xfId="0"/>
    <cellStyle name="Normal 61 6 2 4 2 2 2 4 2 2" xfId="0"/>
    <cellStyle name="Normal 61 6 2 4 2 2 2 4 3" xfId="0"/>
    <cellStyle name="Normal 61 6 2 4 2 2 2 5" xfId="0"/>
    <cellStyle name="Normal 61 6 2 4 2 2 2 5 2" xfId="0"/>
    <cellStyle name="Normal 61 6 2 4 2 2 2 6" xfId="0"/>
    <cellStyle name="Normal 61 6 2 4 2 2 3" xfId="0"/>
    <cellStyle name="Normal 61 6 2 4 2 2 3 2" xfId="0"/>
    <cellStyle name="Normal 61 6 2 4 2 2 3 2 2" xfId="0"/>
    <cellStyle name="Normal 61 6 2 4 2 2 3 2 2 2" xfId="0"/>
    <cellStyle name="Normal 61 6 2 4 2 2 3 2 3" xfId="0"/>
    <cellStyle name="Normal 61 6 2 4 2 2 3 3" xfId="0"/>
    <cellStyle name="Normal 61 6 2 4 2 2 3 3 2" xfId="0"/>
    <cellStyle name="Normal 61 6 2 4 2 2 3 3 2 2" xfId="0"/>
    <cellStyle name="Normal 61 6 2 4 2 2 3 3 3" xfId="0"/>
    <cellStyle name="Normal 61 6 2 4 2 2 3 4" xfId="0"/>
    <cellStyle name="Normal 61 6 2 4 2 2 3 4 2" xfId="0"/>
    <cellStyle name="Normal 61 6 2 4 2 2 3 5" xfId="0"/>
    <cellStyle name="Normal 61 6 2 4 2 2 4" xfId="0"/>
    <cellStyle name="Normal 61 6 2 4 2 2 4 2" xfId="0"/>
    <cellStyle name="Normal 61 6 2 4 2 2 4 2 2" xfId="0"/>
    <cellStyle name="Normal 61 6 2 4 2 2 4 3" xfId="0"/>
    <cellStyle name="Normal 61 6 2 4 2 2 5" xfId="0"/>
    <cellStyle name="Normal 61 6 2 4 2 2 5 2" xfId="0"/>
    <cellStyle name="Normal 61 6 2 4 2 2 5 2 2" xfId="0"/>
    <cellStyle name="Normal 61 6 2 4 2 2 5 3" xfId="0"/>
    <cellStyle name="Normal 61 6 2 4 2 2 6" xfId="0"/>
    <cellStyle name="Normal 61 6 2 4 2 2 6 2" xfId="0"/>
    <cellStyle name="Normal 61 6 2 4 2 2 7" xfId="0"/>
    <cellStyle name="Normal 61 6 2 4 2 3" xfId="0"/>
    <cellStyle name="Normal 61 6 2 4 2 3 2" xfId="0"/>
    <cellStyle name="Normal 61 6 2 4 2 3 2 2" xfId="0"/>
    <cellStyle name="Normal 61 6 2 4 2 3 2 2 2" xfId="0"/>
    <cellStyle name="Normal 61 6 2 4 2 3 2 2 2 2" xfId="0"/>
    <cellStyle name="Normal 61 6 2 4 2 3 2 2 3" xfId="0"/>
    <cellStyle name="Normal 61 6 2 4 2 3 2 3" xfId="0"/>
    <cellStyle name="Normal 61 6 2 4 2 3 2 3 2" xfId="0"/>
    <cellStyle name="Normal 61 6 2 4 2 3 2 3 2 2" xfId="0"/>
    <cellStyle name="Normal 61 6 2 4 2 3 2 3 3" xfId="0"/>
    <cellStyle name="Normal 61 6 2 4 2 3 2 4" xfId="0"/>
    <cellStyle name="Normal 61 6 2 4 2 3 2 4 2" xfId="0"/>
    <cellStyle name="Normal 61 6 2 4 2 3 2 5" xfId="0"/>
    <cellStyle name="Normal 61 6 2 4 2 3 3" xfId="0"/>
    <cellStyle name="Normal 61 6 2 4 2 3 3 2" xfId="0"/>
    <cellStyle name="Normal 61 6 2 4 2 3 3 2 2" xfId="0"/>
    <cellStyle name="Normal 61 6 2 4 2 3 3 3" xfId="0"/>
    <cellStyle name="Normal 61 6 2 4 2 3 4" xfId="0"/>
    <cellStyle name="Normal 61 6 2 4 2 3 4 2" xfId="0"/>
    <cellStyle name="Normal 61 6 2 4 2 3 4 2 2" xfId="0"/>
    <cellStyle name="Normal 61 6 2 4 2 3 4 3" xfId="0"/>
    <cellStyle name="Normal 61 6 2 4 2 3 5" xfId="0"/>
    <cellStyle name="Normal 61 6 2 4 2 3 5 2" xfId="0"/>
    <cellStyle name="Normal 61 6 2 4 2 3 6" xfId="0"/>
    <cellStyle name="Normal 61 6 2 4 2 4" xfId="0"/>
    <cellStyle name="Normal 61 6 2 4 2 4 2" xfId="0"/>
    <cellStyle name="Normal 61 6 2 4 2 4 2 2" xfId="0"/>
    <cellStyle name="Normal 61 6 2 4 2 4 2 2 2" xfId="0"/>
    <cellStyle name="Normal 61 6 2 4 2 4 2 3" xfId="0"/>
    <cellStyle name="Normal 61 6 2 4 2 4 3" xfId="0"/>
    <cellStyle name="Normal 61 6 2 4 2 4 3 2" xfId="0"/>
    <cellStyle name="Normal 61 6 2 4 2 4 3 2 2" xfId="0"/>
    <cellStyle name="Normal 61 6 2 4 2 4 3 3" xfId="0"/>
    <cellStyle name="Normal 61 6 2 4 2 4 4" xfId="0"/>
    <cellStyle name="Normal 61 6 2 4 2 4 4 2" xfId="0"/>
    <cellStyle name="Normal 61 6 2 4 2 4 5" xfId="0"/>
    <cellStyle name="Normal 61 6 2 4 2 5" xfId="0"/>
    <cellStyle name="Normal 61 6 2 4 2 5 2" xfId="0"/>
    <cellStyle name="Normal 61 6 2 4 2 5 2 2" xfId="0"/>
    <cellStyle name="Normal 61 6 2 4 2 5 3" xfId="0"/>
    <cellStyle name="Normal 61 6 2 4 2 6" xfId="0"/>
    <cellStyle name="Normal 61 6 2 4 2 6 2" xfId="0"/>
    <cellStyle name="Normal 61 6 2 4 2 6 2 2" xfId="0"/>
    <cellStyle name="Normal 61 6 2 4 2 6 3" xfId="0"/>
    <cellStyle name="Normal 61 6 2 4 2 7" xfId="0"/>
    <cellStyle name="Normal 61 6 2 4 2 7 2" xfId="0"/>
    <cellStyle name="Normal 61 6 2 4 2 8" xfId="0"/>
    <cellStyle name="Normal 61 6 2 4 3" xfId="0"/>
    <cellStyle name="Normal 61 6 2 4 3 2" xfId="0"/>
    <cellStyle name="Normal 61 6 2 4 3 2 2" xfId="0"/>
    <cellStyle name="Normal 61 6 2 4 3 2 2 2" xfId="0"/>
    <cellStyle name="Normal 61 6 2 4 3 2 2 2 2" xfId="0"/>
    <cellStyle name="Normal 61 6 2 4 3 2 2 2 2 2" xfId="0"/>
    <cellStyle name="Normal 61 6 2 4 3 2 2 2 3" xfId="0"/>
    <cellStyle name="Normal 61 6 2 4 3 2 2 3" xfId="0"/>
    <cellStyle name="Normal 61 6 2 4 3 2 2 3 2" xfId="0"/>
    <cellStyle name="Normal 61 6 2 4 3 2 2 3 2 2" xfId="0"/>
    <cellStyle name="Normal 61 6 2 4 3 2 2 3 3" xfId="0"/>
    <cellStyle name="Normal 61 6 2 4 3 2 2 4" xfId="0"/>
    <cellStyle name="Normal 61 6 2 4 3 2 2 4 2" xfId="0"/>
    <cellStyle name="Normal 61 6 2 4 3 2 2 5" xfId="0"/>
    <cellStyle name="Normal 61 6 2 4 3 2 3" xfId="0"/>
    <cellStyle name="Normal 61 6 2 4 3 2 3 2" xfId="0"/>
    <cellStyle name="Normal 61 6 2 4 3 2 3 2 2" xfId="0"/>
    <cellStyle name="Normal 61 6 2 4 3 2 3 3" xfId="0"/>
    <cellStyle name="Normal 61 6 2 4 3 2 4" xfId="0"/>
    <cellStyle name="Normal 61 6 2 4 3 2 4 2" xfId="0"/>
    <cellStyle name="Normal 61 6 2 4 3 2 4 2 2" xfId="0"/>
    <cellStyle name="Normal 61 6 2 4 3 2 4 3" xfId="0"/>
    <cellStyle name="Normal 61 6 2 4 3 2 5" xfId="0"/>
    <cellStyle name="Normal 61 6 2 4 3 2 5 2" xfId="0"/>
    <cellStyle name="Normal 61 6 2 4 3 2 6" xfId="0"/>
    <cellStyle name="Normal 61 6 2 4 3 3" xfId="0"/>
    <cellStyle name="Normal 61 6 2 4 3 3 2" xfId="0"/>
    <cellStyle name="Normal 61 6 2 4 3 3 2 2" xfId="0"/>
    <cellStyle name="Normal 61 6 2 4 3 3 2 2 2" xfId="0"/>
    <cellStyle name="Normal 61 6 2 4 3 3 2 3" xfId="0"/>
    <cellStyle name="Normal 61 6 2 4 3 3 3" xfId="0"/>
    <cellStyle name="Normal 61 6 2 4 3 3 3 2" xfId="0"/>
    <cellStyle name="Normal 61 6 2 4 3 3 3 2 2" xfId="0"/>
    <cellStyle name="Normal 61 6 2 4 3 3 3 3" xfId="0"/>
    <cellStyle name="Normal 61 6 2 4 3 3 4" xfId="0"/>
    <cellStyle name="Normal 61 6 2 4 3 3 4 2" xfId="0"/>
    <cellStyle name="Normal 61 6 2 4 3 3 5" xfId="0"/>
    <cellStyle name="Normal 61 6 2 4 3 4" xfId="0"/>
    <cellStyle name="Normal 61 6 2 4 3 4 2" xfId="0"/>
    <cellStyle name="Normal 61 6 2 4 3 4 2 2" xfId="0"/>
    <cellStyle name="Normal 61 6 2 4 3 4 3" xfId="0"/>
    <cellStyle name="Normal 61 6 2 4 3 5" xfId="0"/>
    <cellStyle name="Normal 61 6 2 4 3 5 2" xfId="0"/>
    <cellStyle name="Normal 61 6 2 4 3 5 2 2" xfId="0"/>
    <cellStyle name="Normal 61 6 2 4 3 5 3" xfId="0"/>
    <cellStyle name="Normal 61 6 2 4 3 6" xfId="0"/>
    <cellStyle name="Normal 61 6 2 4 3 6 2" xfId="0"/>
    <cellStyle name="Normal 61 6 2 4 3 7" xfId="0"/>
    <cellStyle name="Normal 61 6 2 4 4" xfId="0"/>
    <cellStyle name="Normal 61 6 2 4 4 2" xfId="0"/>
    <cellStyle name="Normal 61 6 2 4 4 2 2" xfId="0"/>
    <cellStyle name="Normal 61 6 2 4 4 2 2 2" xfId="0"/>
    <cellStyle name="Normal 61 6 2 4 4 2 2 2 2" xfId="0"/>
    <cellStyle name="Normal 61 6 2 4 4 2 2 3" xfId="0"/>
    <cellStyle name="Normal 61 6 2 4 4 2 3" xfId="0"/>
    <cellStyle name="Normal 61 6 2 4 4 2 3 2" xfId="0"/>
    <cellStyle name="Normal 61 6 2 4 4 2 3 2 2" xfId="0"/>
    <cellStyle name="Normal 61 6 2 4 4 2 3 3" xfId="0"/>
    <cellStyle name="Normal 61 6 2 4 4 2 4" xfId="0"/>
    <cellStyle name="Normal 61 6 2 4 4 2 4 2" xfId="0"/>
    <cellStyle name="Normal 61 6 2 4 4 2 5" xfId="0"/>
    <cellStyle name="Normal 61 6 2 4 4 3" xfId="0"/>
    <cellStyle name="Normal 61 6 2 4 4 3 2" xfId="0"/>
    <cellStyle name="Normal 61 6 2 4 4 3 2 2" xfId="0"/>
    <cellStyle name="Normal 61 6 2 4 4 3 3" xfId="0"/>
    <cellStyle name="Normal 61 6 2 4 4 4" xfId="0"/>
    <cellStyle name="Normal 61 6 2 4 4 4 2" xfId="0"/>
    <cellStyle name="Normal 61 6 2 4 4 4 2 2" xfId="0"/>
    <cellStyle name="Normal 61 6 2 4 4 4 3" xfId="0"/>
    <cellStyle name="Normal 61 6 2 4 4 5" xfId="0"/>
    <cellStyle name="Normal 61 6 2 4 4 5 2" xfId="0"/>
    <cellStyle name="Normal 61 6 2 4 4 6" xfId="0"/>
    <cellStyle name="Normal 61 6 2 4 5" xfId="0"/>
    <cellStyle name="Normal 61 6 2 4 5 2" xfId="0"/>
    <cellStyle name="Normal 61 6 2 4 5 2 2" xfId="0"/>
    <cellStyle name="Normal 61 6 2 4 5 2 2 2" xfId="0"/>
    <cellStyle name="Normal 61 6 2 4 5 2 3" xfId="0"/>
    <cellStyle name="Normal 61 6 2 4 5 3" xfId="0"/>
    <cellStyle name="Normal 61 6 2 4 5 3 2" xfId="0"/>
    <cellStyle name="Normal 61 6 2 4 5 3 2 2" xfId="0"/>
    <cellStyle name="Normal 61 6 2 4 5 3 3" xfId="0"/>
    <cellStyle name="Normal 61 6 2 4 5 4" xfId="0"/>
    <cellStyle name="Normal 61 6 2 4 5 4 2" xfId="0"/>
    <cellStyle name="Normal 61 6 2 4 5 5" xfId="0"/>
    <cellStyle name="Normal 61 6 2 4 6" xfId="0"/>
    <cellStyle name="Normal 61 6 2 4 6 2" xfId="0"/>
    <cellStyle name="Normal 61 6 2 4 6 2 2" xfId="0"/>
    <cellStyle name="Normal 61 6 2 4 6 3" xfId="0"/>
    <cellStyle name="Normal 61 6 2 4 7" xfId="0"/>
    <cellStyle name="Normal 61 6 2 4 7 2" xfId="0"/>
    <cellStyle name="Normal 61 6 2 4 7 2 2" xfId="0"/>
    <cellStyle name="Normal 61 6 2 4 7 3" xfId="0"/>
    <cellStyle name="Normal 61 6 2 4 8" xfId="0"/>
    <cellStyle name="Normal 61 6 2 4 8 2" xfId="0"/>
    <cellStyle name="Normal 61 6 2 4 9" xfId="0"/>
    <cellStyle name="Normal 61 6 2 5" xfId="0"/>
    <cellStyle name="Normal 61 6 2 5 2" xfId="0"/>
    <cellStyle name="Normal 61 6 2 5 2 2" xfId="0"/>
    <cellStyle name="Normal 61 6 2 5 2 2 2" xfId="0"/>
    <cellStyle name="Normal 61 6 2 5 2 2 2 2" xfId="0"/>
    <cellStyle name="Normal 61 6 2 5 2 2 2 2 2" xfId="0"/>
    <cellStyle name="Normal 61 6 2 5 2 2 2 2 2 2" xfId="0"/>
    <cellStyle name="Normal 61 6 2 5 2 2 2 2 3" xfId="0"/>
    <cellStyle name="Normal 61 6 2 5 2 2 2 3" xfId="0"/>
    <cellStyle name="Normal 61 6 2 5 2 2 2 3 2" xfId="0"/>
    <cellStyle name="Normal 61 6 2 5 2 2 2 3 2 2" xfId="0"/>
    <cellStyle name="Normal 61 6 2 5 2 2 2 3 3" xfId="0"/>
    <cellStyle name="Normal 61 6 2 5 2 2 2 4" xfId="0"/>
    <cellStyle name="Normal 61 6 2 5 2 2 2 4 2" xfId="0"/>
    <cellStyle name="Normal 61 6 2 5 2 2 2 5" xfId="0"/>
    <cellStyle name="Normal 61 6 2 5 2 2 3" xfId="0"/>
    <cellStyle name="Normal 61 6 2 5 2 2 3 2" xfId="0"/>
    <cellStyle name="Normal 61 6 2 5 2 2 3 2 2" xfId="0"/>
    <cellStyle name="Normal 61 6 2 5 2 2 3 3" xfId="0"/>
    <cellStyle name="Normal 61 6 2 5 2 2 4" xfId="0"/>
    <cellStyle name="Normal 61 6 2 5 2 2 4 2" xfId="0"/>
    <cellStyle name="Normal 61 6 2 5 2 2 4 2 2" xfId="0"/>
    <cellStyle name="Normal 61 6 2 5 2 2 4 3" xfId="0"/>
    <cellStyle name="Normal 61 6 2 5 2 2 5" xfId="0"/>
    <cellStyle name="Normal 61 6 2 5 2 2 5 2" xfId="0"/>
    <cellStyle name="Normal 61 6 2 5 2 2 6" xfId="0"/>
    <cellStyle name="Normal 61 6 2 5 2 3" xfId="0"/>
    <cellStyle name="Normal 61 6 2 5 2 3 2" xfId="0"/>
    <cellStyle name="Normal 61 6 2 5 2 3 2 2" xfId="0"/>
    <cellStyle name="Normal 61 6 2 5 2 3 2 2 2" xfId="0"/>
    <cellStyle name="Normal 61 6 2 5 2 3 2 3" xfId="0"/>
    <cellStyle name="Normal 61 6 2 5 2 3 3" xfId="0"/>
    <cellStyle name="Normal 61 6 2 5 2 3 3 2" xfId="0"/>
    <cellStyle name="Normal 61 6 2 5 2 3 3 2 2" xfId="0"/>
    <cellStyle name="Normal 61 6 2 5 2 3 3 3" xfId="0"/>
    <cellStyle name="Normal 61 6 2 5 2 3 4" xfId="0"/>
    <cellStyle name="Normal 61 6 2 5 2 3 4 2" xfId="0"/>
    <cellStyle name="Normal 61 6 2 5 2 3 5" xfId="0"/>
    <cellStyle name="Normal 61 6 2 5 2 4" xfId="0"/>
    <cellStyle name="Normal 61 6 2 5 2 4 2" xfId="0"/>
    <cellStyle name="Normal 61 6 2 5 2 4 2 2" xfId="0"/>
    <cellStyle name="Normal 61 6 2 5 2 4 3" xfId="0"/>
    <cellStyle name="Normal 61 6 2 5 2 5" xfId="0"/>
    <cellStyle name="Normal 61 6 2 5 2 5 2" xfId="0"/>
    <cellStyle name="Normal 61 6 2 5 2 5 2 2" xfId="0"/>
    <cellStyle name="Normal 61 6 2 5 2 5 3" xfId="0"/>
    <cellStyle name="Normal 61 6 2 5 2 6" xfId="0"/>
    <cellStyle name="Normal 61 6 2 5 2 6 2" xfId="0"/>
    <cellStyle name="Normal 61 6 2 5 2 7" xfId="0"/>
    <cellStyle name="Normal 61 6 2 5 3" xfId="0"/>
    <cellStyle name="Normal 61 6 2 5 3 2" xfId="0"/>
    <cellStyle name="Normal 61 6 2 5 3 2 2" xfId="0"/>
    <cellStyle name="Normal 61 6 2 5 3 2 2 2" xfId="0"/>
    <cellStyle name="Normal 61 6 2 5 3 2 2 2 2" xfId="0"/>
    <cellStyle name="Normal 61 6 2 5 3 2 2 3" xfId="0"/>
    <cellStyle name="Normal 61 6 2 5 3 2 3" xfId="0"/>
    <cellStyle name="Normal 61 6 2 5 3 2 3 2" xfId="0"/>
    <cellStyle name="Normal 61 6 2 5 3 2 3 2 2" xfId="0"/>
    <cellStyle name="Normal 61 6 2 5 3 2 3 3" xfId="0"/>
    <cellStyle name="Normal 61 6 2 5 3 2 4" xfId="0"/>
    <cellStyle name="Normal 61 6 2 5 3 2 4 2" xfId="0"/>
    <cellStyle name="Normal 61 6 2 5 3 2 5" xfId="0"/>
    <cellStyle name="Normal 61 6 2 5 3 3" xfId="0"/>
    <cellStyle name="Normal 61 6 2 5 3 3 2" xfId="0"/>
    <cellStyle name="Normal 61 6 2 5 3 3 2 2" xfId="0"/>
    <cellStyle name="Normal 61 6 2 5 3 3 3" xfId="0"/>
    <cellStyle name="Normal 61 6 2 5 3 4" xfId="0"/>
    <cellStyle name="Normal 61 6 2 5 3 4 2" xfId="0"/>
    <cellStyle name="Normal 61 6 2 5 3 4 2 2" xfId="0"/>
    <cellStyle name="Normal 61 6 2 5 3 4 3" xfId="0"/>
    <cellStyle name="Normal 61 6 2 5 3 5" xfId="0"/>
    <cellStyle name="Normal 61 6 2 5 3 5 2" xfId="0"/>
    <cellStyle name="Normal 61 6 2 5 3 6" xfId="0"/>
    <cellStyle name="Normal 61 6 2 5 4" xfId="0"/>
    <cellStyle name="Normal 61 6 2 5 4 2" xfId="0"/>
    <cellStyle name="Normal 61 6 2 5 4 2 2" xfId="0"/>
    <cellStyle name="Normal 61 6 2 5 4 2 2 2" xfId="0"/>
    <cellStyle name="Normal 61 6 2 5 4 2 3" xfId="0"/>
    <cellStyle name="Normal 61 6 2 5 4 3" xfId="0"/>
    <cellStyle name="Normal 61 6 2 5 4 3 2" xfId="0"/>
    <cellStyle name="Normal 61 6 2 5 4 3 2 2" xfId="0"/>
    <cellStyle name="Normal 61 6 2 5 4 3 3" xfId="0"/>
    <cellStyle name="Normal 61 6 2 5 4 4" xfId="0"/>
    <cellStyle name="Normal 61 6 2 5 4 4 2" xfId="0"/>
    <cellStyle name="Normal 61 6 2 5 4 5" xfId="0"/>
    <cellStyle name="Normal 61 6 2 5 5" xfId="0"/>
    <cellStyle name="Normal 61 6 2 5 5 2" xfId="0"/>
    <cellStyle name="Normal 61 6 2 5 5 2 2" xfId="0"/>
    <cellStyle name="Normal 61 6 2 5 5 3" xfId="0"/>
    <cellStyle name="Normal 61 6 2 5 6" xfId="0"/>
    <cellStyle name="Normal 61 6 2 5 6 2" xfId="0"/>
    <cellStyle name="Normal 61 6 2 5 6 2 2" xfId="0"/>
    <cellStyle name="Normal 61 6 2 5 6 3" xfId="0"/>
    <cellStyle name="Normal 61 6 2 5 7" xfId="0"/>
    <cellStyle name="Normal 61 6 2 5 7 2" xfId="0"/>
    <cellStyle name="Normal 61 6 2 5 8" xfId="0"/>
    <cellStyle name="Normal 61 6 2 6" xfId="0"/>
    <cellStyle name="Normal 61 6 2 6 2" xfId="0"/>
    <cellStyle name="Normal 61 6 2 6 2 2" xfId="0"/>
    <cellStyle name="Normal 61 6 2 6 2 2 2" xfId="0"/>
    <cellStyle name="Normal 61 6 2 6 2 2 2 2" xfId="0"/>
    <cellStyle name="Normal 61 6 2 6 2 2 2 2 2" xfId="0"/>
    <cellStyle name="Normal 61 6 2 6 2 2 2 3" xfId="0"/>
    <cellStyle name="Normal 61 6 2 6 2 2 3" xfId="0"/>
    <cellStyle name="Normal 61 6 2 6 2 2 3 2" xfId="0"/>
    <cellStyle name="Normal 61 6 2 6 2 2 3 2 2" xfId="0"/>
    <cellStyle name="Normal 61 6 2 6 2 2 3 3" xfId="0"/>
    <cellStyle name="Normal 61 6 2 6 2 2 4" xfId="0"/>
    <cellStyle name="Normal 61 6 2 6 2 2 4 2" xfId="0"/>
    <cellStyle name="Normal 61 6 2 6 2 2 5" xfId="0"/>
    <cellStyle name="Normal 61 6 2 6 2 3" xfId="0"/>
    <cellStyle name="Normal 61 6 2 6 2 3 2" xfId="0"/>
    <cellStyle name="Normal 61 6 2 6 2 3 2 2" xfId="0"/>
    <cellStyle name="Normal 61 6 2 6 2 3 3" xfId="0"/>
    <cellStyle name="Normal 61 6 2 6 2 4" xfId="0"/>
    <cellStyle name="Normal 61 6 2 6 2 4 2" xfId="0"/>
    <cellStyle name="Normal 61 6 2 6 2 4 2 2" xfId="0"/>
    <cellStyle name="Normal 61 6 2 6 2 4 3" xfId="0"/>
    <cellStyle name="Normal 61 6 2 6 2 5" xfId="0"/>
    <cellStyle name="Normal 61 6 2 6 2 5 2" xfId="0"/>
    <cellStyle name="Normal 61 6 2 6 2 6" xfId="0"/>
    <cellStyle name="Normal 61 6 2 6 3" xfId="0"/>
    <cellStyle name="Normal 61 6 2 6 3 2" xfId="0"/>
    <cellStyle name="Normal 61 6 2 6 3 2 2" xfId="0"/>
    <cellStyle name="Normal 61 6 2 6 3 2 2 2" xfId="0"/>
    <cellStyle name="Normal 61 6 2 6 3 2 3" xfId="0"/>
    <cellStyle name="Normal 61 6 2 6 3 3" xfId="0"/>
    <cellStyle name="Normal 61 6 2 6 3 3 2" xfId="0"/>
    <cellStyle name="Normal 61 6 2 6 3 3 2 2" xfId="0"/>
    <cellStyle name="Normal 61 6 2 6 3 3 3" xfId="0"/>
    <cellStyle name="Normal 61 6 2 6 3 4" xfId="0"/>
    <cellStyle name="Normal 61 6 2 6 3 4 2" xfId="0"/>
    <cellStyle name="Normal 61 6 2 6 3 5" xfId="0"/>
    <cellStyle name="Normal 61 6 2 6 4" xfId="0"/>
    <cellStyle name="Normal 61 6 2 6 4 2" xfId="0"/>
    <cellStyle name="Normal 61 6 2 6 4 2 2" xfId="0"/>
    <cellStyle name="Normal 61 6 2 6 4 3" xfId="0"/>
    <cellStyle name="Normal 61 6 2 6 5" xfId="0"/>
    <cellStyle name="Normal 61 6 2 6 5 2" xfId="0"/>
    <cellStyle name="Normal 61 6 2 6 5 2 2" xfId="0"/>
    <cellStyle name="Normal 61 6 2 6 5 3" xfId="0"/>
    <cellStyle name="Normal 61 6 2 6 6" xfId="0"/>
    <cellStyle name="Normal 61 6 2 6 6 2" xfId="0"/>
    <cellStyle name="Normal 61 6 2 6 7" xfId="0"/>
    <cellStyle name="Normal 61 6 2 7" xfId="0"/>
    <cellStyle name="Normal 61 6 2 7 2" xfId="0"/>
    <cellStyle name="Normal 61 6 2 7 2 2" xfId="0"/>
    <cellStyle name="Normal 61 6 2 7 2 2 2" xfId="0"/>
    <cellStyle name="Normal 61 6 2 7 2 2 2 2" xfId="0"/>
    <cellStyle name="Normal 61 6 2 7 2 2 3" xfId="0"/>
    <cellStyle name="Normal 61 6 2 7 2 3" xfId="0"/>
    <cellStyle name="Normal 61 6 2 7 2 3 2" xfId="0"/>
    <cellStyle name="Normal 61 6 2 7 2 3 2 2" xfId="0"/>
    <cellStyle name="Normal 61 6 2 7 2 3 3" xfId="0"/>
    <cellStyle name="Normal 61 6 2 7 2 4" xfId="0"/>
    <cellStyle name="Normal 61 6 2 7 2 4 2" xfId="0"/>
    <cellStyle name="Normal 61 6 2 7 2 5" xfId="0"/>
    <cellStyle name="Normal 61 6 2 7 3" xfId="0"/>
    <cellStyle name="Normal 61 6 2 7 3 2" xfId="0"/>
    <cellStyle name="Normal 61 6 2 7 3 2 2" xfId="0"/>
    <cellStyle name="Normal 61 6 2 7 3 3" xfId="0"/>
    <cellStyle name="Normal 61 6 2 7 4" xfId="0"/>
    <cellStyle name="Normal 61 6 2 7 4 2" xfId="0"/>
    <cellStyle name="Normal 61 6 2 7 4 2 2" xfId="0"/>
    <cellStyle name="Normal 61 6 2 7 4 3" xfId="0"/>
    <cellStyle name="Normal 61 6 2 7 5" xfId="0"/>
    <cellStyle name="Normal 61 6 2 7 5 2" xfId="0"/>
    <cellStyle name="Normal 61 6 2 7 6" xfId="0"/>
    <cellStyle name="Normal 61 6 2 8" xfId="0"/>
    <cellStyle name="Normal 61 6 2 8 2" xfId="0"/>
    <cellStyle name="Normal 61 6 2 8 2 2" xfId="0"/>
    <cellStyle name="Normal 61 6 2 8 2 2 2" xfId="0"/>
    <cellStyle name="Normal 61 6 2 8 2 3" xfId="0"/>
    <cellStyle name="Normal 61 6 2 8 3" xfId="0"/>
    <cellStyle name="Normal 61 6 2 8 3 2" xfId="0"/>
    <cellStyle name="Normal 61 6 2 8 3 2 2" xfId="0"/>
    <cellStyle name="Normal 61 6 2 8 3 3" xfId="0"/>
    <cellStyle name="Normal 61 6 2 8 4" xfId="0"/>
    <cellStyle name="Normal 61 6 2 8 4 2" xfId="0"/>
    <cellStyle name="Normal 61 6 2 8 5" xfId="0"/>
    <cellStyle name="Normal 61 6 2 9" xfId="0"/>
    <cellStyle name="Normal 61 6 2 9 2" xfId="0"/>
    <cellStyle name="Normal 61 6 2 9 2 2" xfId="0"/>
    <cellStyle name="Normal 61 6 2 9 3" xfId="0"/>
    <cellStyle name="Normal 61 6 3" xfId="0"/>
    <cellStyle name="Normal 61 6 3 10" xfId="0"/>
    <cellStyle name="Normal 61 6 3 2" xfId="0"/>
    <cellStyle name="Normal 61 6 3 2 2" xfId="0"/>
    <cellStyle name="Normal 61 6 3 2 2 2" xfId="0"/>
    <cellStyle name="Normal 61 6 3 2 2 2 2" xfId="0"/>
    <cellStyle name="Normal 61 6 3 2 2 2 2 2" xfId="0"/>
    <cellStyle name="Normal 61 6 3 2 2 2 2 2 2" xfId="0"/>
    <cellStyle name="Normal 61 6 3 2 2 2 2 2 2 2" xfId="0"/>
    <cellStyle name="Normal 61 6 3 2 2 2 2 2 2 2 2" xfId="0"/>
    <cellStyle name="Normal 61 6 3 2 2 2 2 2 2 3" xfId="0"/>
    <cellStyle name="Normal 61 6 3 2 2 2 2 2 3" xfId="0"/>
    <cellStyle name="Normal 61 6 3 2 2 2 2 2 3 2" xfId="0"/>
    <cellStyle name="Normal 61 6 3 2 2 2 2 2 3 2 2" xfId="0"/>
    <cellStyle name="Normal 61 6 3 2 2 2 2 2 3 3" xfId="0"/>
    <cellStyle name="Normal 61 6 3 2 2 2 2 2 4" xfId="0"/>
    <cellStyle name="Normal 61 6 3 2 2 2 2 2 4 2" xfId="0"/>
    <cellStyle name="Normal 61 6 3 2 2 2 2 2 5" xfId="0"/>
    <cellStyle name="Normal 61 6 3 2 2 2 2 3" xfId="0"/>
    <cellStyle name="Normal 61 6 3 2 2 2 2 3 2" xfId="0"/>
    <cellStyle name="Normal 61 6 3 2 2 2 2 3 2 2" xfId="0"/>
    <cellStyle name="Normal 61 6 3 2 2 2 2 3 3" xfId="0"/>
    <cellStyle name="Normal 61 6 3 2 2 2 2 4" xfId="0"/>
    <cellStyle name="Normal 61 6 3 2 2 2 2 4 2" xfId="0"/>
    <cellStyle name="Normal 61 6 3 2 2 2 2 4 2 2" xfId="0"/>
    <cellStyle name="Normal 61 6 3 2 2 2 2 4 3" xfId="0"/>
    <cellStyle name="Normal 61 6 3 2 2 2 2 5" xfId="0"/>
    <cellStyle name="Normal 61 6 3 2 2 2 2 5 2" xfId="0"/>
    <cellStyle name="Normal 61 6 3 2 2 2 2 6" xfId="0"/>
    <cellStyle name="Normal 61 6 3 2 2 2 3" xfId="0"/>
    <cellStyle name="Normal 61 6 3 2 2 2 3 2" xfId="0"/>
    <cellStyle name="Normal 61 6 3 2 2 2 3 2 2" xfId="0"/>
    <cellStyle name="Normal 61 6 3 2 2 2 3 2 2 2" xfId="0"/>
    <cellStyle name="Normal 61 6 3 2 2 2 3 2 3" xfId="0"/>
    <cellStyle name="Normal 61 6 3 2 2 2 3 3" xfId="0"/>
    <cellStyle name="Normal 61 6 3 2 2 2 3 3 2" xfId="0"/>
    <cellStyle name="Normal 61 6 3 2 2 2 3 3 2 2" xfId="0"/>
    <cellStyle name="Normal 61 6 3 2 2 2 3 3 3" xfId="0"/>
    <cellStyle name="Normal 61 6 3 2 2 2 3 4" xfId="0"/>
    <cellStyle name="Normal 61 6 3 2 2 2 3 4 2" xfId="0"/>
    <cellStyle name="Normal 61 6 3 2 2 2 3 5" xfId="0"/>
    <cellStyle name="Normal 61 6 3 2 2 2 4" xfId="0"/>
    <cellStyle name="Normal 61 6 3 2 2 2 4 2" xfId="0"/>
    <cellStyle name="Normal 61 6 3 2 2 2 4 2 2" xfId="0"/>
    <cellStyle name="Normal 61 6 3 2 2 2 4 3" xfId="0"/>
    <cellStyle name="Normal 61 6 3 2 2 2 5" xfId="0"/>
    <cellStyle name="Normal 61 6 3 2 2 2 5 2" xfId="0"/>
    <cellStyle name="Normal 61 6 3 2 2 2 5 2 2" xfId="0"/>
    <cellStyle name="Normal 61 6 3 2 2 2 5 3" xfId="0"/>
    <cellStyle name="Normal 61 6 3 2 2 2 6" xfId="0"/>
    <cellStyle name="Normal 61 6 3 2 2 2 6 2" xfId="0"/>
    <cellStyle name="Normal 61 6 3 2 2 2 7" xfId="0"/>
    <cellStyle name="Normal 61 6 3 2 2 3" xfId="0"/>
    <cellStyle name="Normal 61 6 3 2 2 3 2" xfId="0"/>
    <cellStyle name="Normal 61 6 3 2 2 3 2 2" xfId="0"/>
    <cellStyle name="Normal 61 6 3 2 2 3 2 2 2" xfId="0"/>
    <cellStyle name="Normal 61 6 3 2 2 3 2 2 2 2" xfId="0"/>
    <cellStyle name="Normal 61 6 3 2 2 3 2 2 3" xfId="0"/>
    <cellStyle name="Normal 61 6 3 2 2 3 2 3" xfId="0"/>
    <cellStyle name="Normal 61 6 3 2 2 3 2 3 2" xfId="0"/>
    <cellStyle name="Normal 61 6 3 2 2 3 2 3 2 2" xfId="0"/>
    <cellStyle name="Normal 61 6 3 2 2 3 2 3 3" xfId="0"/>
    <cellStyle name="Normal 61 6 3 2 2 3 2 4" xfId="0"/>
    <cellStyle name="Normal 61 6 3 2 2 3 2 4 2" xfId="0"/>
    <cellStyle name="Normal 61 6 3 2 2 3 2 5" xfId="0"/>
    <cellStyle name="Normal 61 6 3 2 2 3 3" xfId="0"/>
    <cellStyle name="Normal 61 6 3 2 2 3 3 2" xfId="0"/>
    <cellStyle name="Normal 61 6 3 2 2 3 3 2 2" xfId="0"/>
    <cellStyle name="Normal 61 6 3 2 2 3 3 3" xfId="0"/>
    <cellStyle name="Normal 61 6 3 2 2 3 4" xfId="0"/>
    <cellStyle name="Normal 61 6 3 2 2 3 4 2" xfId="0"/>
    <cellStyle name="Normal 61 6 3 2 2 3 4 2 2" xfId="0"/>
    <cellStyle name="Normal 61 6 3 2 2 3 4 3" xfId="0"/>
    <cellStyle name="Normal 61 6 3 2 2 3 5" xfId="0"/>
    <cellStyle name="Normal 61 6 3 2 2 3 5 2" xfId="0"/>
    <cellStyle name="Normal 61 6 3 2 2 3 6" xfId="0"/>
    <cellStyle name="Normal 61 6 3 2 2 4" xfId="0"/>
    <cellStyle name="Normal 61 6 3 2 2 4 2" xfId="0"/>
    <cellStyle name="Normal 61 6 3 2 2 4 2 2" xfId="0"/>
    <cellStyle name="Normal 61 6 3 2 2 4 2 2 2" xfId="0"/>
    <cellStyle name="Normal 61 6 3 2 2 4 2 3" xfId="0"/>
    <cellStyle name="Normal 61 6 3 2 2 4 3" xfId="0"/>
    <cellStyle name="Normal 61 6 3 2 2 4 3 2" xfId="0"/>
    <cellStyle name="Normal 61 6 3 2 2 4 3 2 2" xfId="0"/>
    <cellStyle name="Normal 61 6 3 2 2 4 3 3" xfId="0"/>
    <cellStyle name="Normal 61 6 3 2 2 4 4" xfId="0"/>
    <cellStyle name="Normal 61 6 3 2 2 4 4 2" xfId="0"/>
    <cellStyle name="Normal 61 6 3 2 2 4 5" xfId="0"/>
    <cellStyle name="Normal 61 6 3 2 2 5" xfId="0"/>
    <cellStyle name="Normal 61 6 3 2 2 5 2" xfId="0"/>
    <cellStyle name="Normal 61 6 3 2 2 5 2 2" xfId="0"/>
    <cellStyle name="Normal 61 6 3 2 2 5 3" xfId="0"/>
    <cellStyle name="Normal 61 6 3 2 2 6" xfId="0"/>
    <cellStyle name="Normal 61 6 3 2 2 6 2" xfId="0"/>
    <cellStyle name="Normal 61 6 3 2 2 6 2 2" xfId="0"/>
    <cellStyle name="Normal 61 6 3 2 2 6 3" xfId="0"/>
    <cellStyle name="Normal 61 6 3 2 2 7" xfId="0"/>
    <cellStyle name="Normal 61 6 3 2 2 7 2" xfId="0"/>
    <cellStyle name="Normal 61 6 3 2 2 8" xfId="0"/>
    <cellStyle name="Normal 61 6 3 2 3" xfId="0"/>
    <cellStyle name="Normal 61 6 3 2 3 2" xfId="0"/>
    <cellStyle name="Normal 61 6 3 2 3 2 2" xfId="0"/>
    <cellStyle name="Normal 61 6 3 2 3 2 2 2" xfId="0"/>
    <cellStyle name="Normal 61 6 3 2 3 2 2 2 2" xfId="0"/>
    <cellStyle name="Normal 61 6 3 2 3 2 2 2 2 2" xfId="0"/>
    <cellStyle name="Normal 61 6 3 2 3 2 2 2 3" xfId="0"/>
    <cellStyle name="Normal 61 6 3 2 3 2 2 3" xfId="0"/>
    <cellStyle name="Normal 61 6 3 2 3 2 2 3 2" xfId="0"/>
    <cellStyle name="Normal 61 6 3 2 3 2 2 3 2 2" xfId="0"/>
    <cellStyle name="Normal 61 6 3 2 3 2 2 3 3" xfId="0"/>
    <cellStyle name="Normal 61 6 3 2 3 2 2 4" xfId="0"/>
    <cellStyle name="Normal 61 6 3 2 3 2 2 4 2" xfId="0"/>
    <cellStyle name="Normal 61 6 3 2 3 2 2 5" xfId="0"/>
    <cellStyle name="Normal 61 6 3 2 3 2 3" xfId="0"/>
    <cellStyle name="Normal 61 6 3 2 3 2 3 2" xfId="0"/>
    <cellStyle name="Normal 61 6 3 2 3 2 3 2 2" xfId="0"/>
    <cellStyle name="Normal 61 6 3 2 3 2 3 3" xfId="0"/>
    <cellStyle name="Normal 61 6 3 2 3 2 4" xfId="0"/>
    <cellStyle name="Normal 61 6 3 2 3 2 4 2" xfId="0"/>
    <cellStyle name="Normal 61 6 3 2 3 2 4 2 2" xfId="0"/>
    <cellStyle name="Normal 61 6 3 2 3 2 4 3" xfId="0"/>
    <cellStyle name="Normal 61 6 3 2 3 2 5" xfId="0"/>
    <cellStyle name="Normal 61 6 3 2 3 2 5 2" xfId="0"/>
    <cellStyle name="Normal 61 6 3 2 3 2 6" xfId="0"/>
    <cellStyle name="Normal 61 6 3 2 3 3" xfId="0"/>
    <cellStyle name="Normal 61 6 3 2 3 3 2" xfId="0"/>
    <cellStyle name="Normal 61 6 3 2 3 3 2 2" xfId="0"/>
    <cellStyle name="Normal 61 6 3 2 3 3 2 2 2" xfId="0"/>
    <cellStyle name="Normal 61 6 3 2 3 3 2 3" xfId="0"/>
    <cellStyle name="Normal 61 6 3 2 3 3 3" xfId="0"/>
    <cellStyle name="Normal 61 6 3 2 3 3 3 2" xfId="0"/>
    <cellStyle name="Normal 61 6 3 2 3 3 3 2 2" xfId="0"/>
    <cellStyle name="Normal 61 6 3 2 3 3 3 3" xfId="0"/>
    <cellStyle name="Normal 61 6 3 2 3 3 4" xfId="0"/>
    <cellStyle name="Normal 61 6 3 2 3 3 4 2" xfId="0"/>
    <cellStyle name="Normal 61 6 3 2 3 3 5" xfId="0"/>
    <cellStyle name="Normal 61 6 3 2 3 4" xfId="0"/>
    <cellStyle name="Normal 61 6 3 2 3 4 2" xfId="0"/>
    <cellStyle name="Normal 61 6 3 2 3 4 2 2" xfId="0"/>
    <cellStyle name="Normal 61 6 3 2 3 4 3" xfId="0"/>
    <cellStyle name="Normal 61 6 3 2 3 5" xfId="0"/>
    <cellStyle name="Normal 61 6 3 2 3 5 2" xfId="0"/>
    <cellStyle name="Normal 61 6 3 2 3 5 2 2" xfId="0"/>
    <cellStyle name="Normal 61 6 3 2 3 5 3" xfId="0"/>
    <cellStyle name="Normal 61 6 3 2 3 6" xfId="0"/>
    <cellStyle name="Normal 61 6 3 2 3 6 2" xfId="0"/>
    <cellStyle name="Normal 61 6 3 2 3 7" xfId="0"/>
    <cellStyle name="Normal 61 6 3 2 4" xfId="0"/>
    <cellStyle name="Normal 61 6 3 2 4 2" xfId="0"/>
    <cellStyle name="Normal 61 6 3 2 4 2 2" xfId="0"/>
    <cellStyle name="Normal 61 6 3 2 4 2 2 2" xfId="0"/>
    <cellStyle name="Normal 61 6 3 2 4 2 2 2 2" xfId="0"/>
    <cellStyle name="Normal 61 6 3 2 4 2 2 3" xfId="0"/>
    <cellStyle name="Normal 61 6 3 2 4 2 3" xfId="0"/>
    <cellStyle name="Normal 61 6 3 2 4 2 3 2" xfId="0"/>
    <cellStyle name="Normal 61 6 3 2 4 2 3 2 2" xfId="0"/>
    <cellStyle name="Normal 61 6 3 2 4 2 3 3" xfId="0"/>
    <cellStyle name="Normal 61 6 3 2 4 2 4" xfId="0"/>
    <cellStyle name="Normal 61 6 3 2 4 2 4 2" xfId="0"/>
    <cellStyle name="Normal 61 6 3 2 4 2 5" xfId="0"/>
    <cellStyle name="Normal 61 6 3 2 4 3" xfId="0"/>
    <cellStyle name="Normal 61 6 3 2 4 3 2" xfId="0"/>
    <cellStyle name="Normal 61 6 3 2 4 3 2 2" xfId="0"/>
    <cellStyle name="Normal 61 6 3 2 4 3 3" xfId="0"/>
    <cellStyle name="Normal 61 6 3 2 4 4" xfId="0"/>
    <cellStyle name="Normal 61 6 3 2 4 4 2" xfId="0"/>
    <cellStyle name="Normal 61 6 3 2 4 4 2 2" xfId="0"/>
    <cellStyle name="Normal 61 6 3 2 4 4 3" xfId="0"/>
    <cellStyle name="Normal 61 6 3 2 4 5" xfId="0"/>
    <cellStyle name="Normal 61 6 3 2 4 5 2" xfId="0"/>
    <cellStyle name="Normal 61 6 3 2 4 6" xfId="0"/>
    <cellStyle name="Normal 61 6 3 2 5" xfId="0"/>
    <cellStyle name="Normal 61 6 3 2 5 2" xfId="0"/>
    <cellStyle name="Normal 61 6 3 2 5 2 2" xfId="0"/>
    <cellStyle name="Normal 61 6 3 2 5 2 2 2" xfId="0"/>
    <cellStyle name="Normal 61 6 3 2 5 2 3" xfId="0"/>
    <cellStyle name="Normal 61 6 3 2 5 3" xfId="0"/>
    <cellStyle name="Normal 61 6 3 2 5 3 2" xfId="0"/>
    <cellStyle name="Normal 61 6 3 2 5 3 2 2" xfId="0"/>
    <cellStyle name="Normal 61 6 3 2 5 3 3" xfId="0"/>
    <cellStyle name="Normal 61 6 3 2 5 4" xfId="0"/>
    <cellStyle name="Normal 61 6 3 2 5 4 2" xfId="0"/>
    <cellStyle name="Normal 61 6 3 2 5 5" xfId="0"/>
    <cellStyle name="Normal 61 6 3 2 6" xfId="0"/>
    <cellStyle name="Normal 61 6 3 2 6 2" xfId="0"/>
    <cellStyle name="Normal 61 6 3 2 6 2 2" xfId="0"/>
    <cellStyle name="Normal 61 6 3 2 6 3" xfId="0"/>
    <cellStyle name="Normal 61 6 3 2 7" xfId="0"/>
    <cellStyle name="Normal 61 6 3 2 7 2" xfId="0"/>
    <cellStyle name="Normal 61 6 3 2 7 2 2" xfId="0"/>
    <cellStyle name="Normal 61 6 3 2 7 3" xfId="0"/>
    <cellStyle name="Normal 61 6 3 2 8" xfId="0"/>
    <cellStyle name="Normal 61 6 3 2 8 2" xfId="0"/>
    <cellStyle name="Normal 61 6 3 2 9" xfId="0"/>
    <cellStyle name="Normal 61 6 3 3" xfId="0"/>
    <cellStyle name="Normal 61 6 3 3 2" xfId="0"/>
    <cellStyle name="Normal 61 6 3 3 2 2" xfId="0"/>
    <cellStyle name="Normal 61 6 3 3 2 2 2" xfId="0"/>
    <cellStyle name="Normal 61 6 3 3 2 2 2 2" xfId="0"/>
    <cellStyle name="Normal 61 6 3 3 2 2 2 2 2" xfId="0"/>
    <cellStyle name="Normal 61 6 3 3 2 2 2 2 2 2" xfId="0"/>
    <cellStyle name="Normal 61 6 3 3 2 2 2 2 3" xfId="0"/>
    <cellStyle name="Normal 61 6 3 3 2 2 2 3" xfId="0"/>
    <cellStyle name="Normal 61 6 3 3 2 2 2 3 2" xfId="0"/>
    <cellStyle name="Normal 61 6 3 3 2 2 2 3 2 2" xfId="0"/>
    <cellStyle name="Normal 61 6 3 3 2 2 2 3 3" xfId="0"/>
    <cellStyle name="Normal 61 6 3 3 2 2 2 4" xfId="0"/>
    <cellStyle name="Normal 61 6 3 3 2 2 2 4 2" xfId="0"/>
    <cellStyle name="Normal 61 6 3 3 2 2 2 5" xfId="0"/>
    <cellStyle name="Normal 61 6 3 3 2 2 3" xfId="0"/>
    <cellStyle name="Normal 61 6 3 3 2 2 3 2" xfId="0"/>
    <cellStyle name="Normal 61 6 3 3 2 2 3 2 2" xfId="0"/>
    <cellStyle name="Normal 61 6 3 3 2 2 3 3" xfId="0"/>
    <cellStyle name="Normal 61 6 3 3 2 2 4" xfId="0"/>
    <cellStyle name="Normal 61 6 3 3 2 2 4 2" xfId="0"/>
    <cellStyle name="Normal 61 6 3 3 2 2 4 2 2" xfId="0"/>
    <cellStyle name="Normal 61 6 3 3 2 2 4 3" xfId="0"/>
    <cellStyle name="Normal 61 6 3 3 2 2 5" xfId="0"/>
    <cellStyle name="Normal 61 6 3 3 2 2 5 2" xfId="0"/>
    <cellStyle name="Normal 61 6 3 3 2 2 6" xfId="0"/>
    <cellStyle name="Normal 61 6 3 3 2 3" xfId="0"/>
    <cellStyle name="Normal 61 6 3 3 2 3 2" xfId="0"/>
    <cellStyle name="Normal 61 6 3 3 2 3 2 2" xfId="0"/>
    <cellStyle name="Normal 61 6 3 3 2 3 2 2 2" xfId="0"/>
    <cellStyle name="Normal 61 6 3 3 2 3 2 3" xfId="0"/>
    <cellStyle name="Normal 61 6 3 3 2 3 3" xfId="0"/>
    <cellStyle name="Normal 61 6 3 3 2 3 3 2" xfId="0"/>
    <cellStyle name="Normal 61 6 3 3 2 3 3 2 2" xfId="0"/>
    <cellStyle name="Normal 61 6 3 3 2 3 3 3" xfId="0"/>
    <cellStyle name="Normal 61 6 3 3 2 3 4" xfId="0"/>
    <cellStyle name="Normal 61 6 3 3 2 3 4 2" xfId="0"/>
    <cellStyle name="Normal 61 6 3 3 2 3 5" xfId="0"/>
    <cellStyle name="Normal 61 6 3 3 2 4" xfId="0"/>
    <cellStyle name="Normal 61 6 3 3 2 4 2" xfId="0"/>
    <cellStyle name="Normal 61 6 3 3 2 4 2 2" xfId="0"/>
    <cellStyle name="Normal 61 6 3 3 2 4 3" xfId="0"/>
    <cellStyle name="Normal 61 6 3 3 2 5" xfId="0"/>
    <cellStyle name="Normal 61 6 3 3 2 5 2" xfId="0"/>
    <cellStyle name="Normal 61 6 3 3 2 5 2 2" xfId="0"/>
    <cellStyle name="Normal 61 6 3 3 2 5 3" xfId="0"/>
    <cellStyle name="Normal 61 6 3 3 2 6" xfId="0"/>
    <cellStyle name="Normal 61 6 3 3 2 6 2" xfId="0"/>
    <cellStyle name="Normal 61 6 3 3 2 7" xfId="0"/>
    <cellStyle name="Normal 61 6 3 3 3" xfId="0"/>
    <cellStyle name="Normal 61 6 3 3 3 2" xfId="0"/>
    <cellStyle name="Normal 61 6 3 3 3 2 2" xfId="0"/>
    <cellStyle name="Normal 61 6 3 3 3 2 2 2" xfId="0"/>
    <cellStyle name="Normal 61 6 3 3 3 2 2 2 2" xfId="0"/>
    <cellStyle name="Normal 61 6 3 3 3 2 2 3" xfId="0"/>
    <cellStyle name="Normal 61 6 3 3 3 2 3" xfId="0"/>
    <cellStyle name="Normal 61 6 3 3 3 2 3 2" xfId="0"/>
    <cellStyle name="Normal 61 6 3 3 3 2 3 2 2" xfId="0"/>
    <cellStyle name="Normal 61 6 3 3 3 2 3 3" xfId="0"/>
    <cellStyle name="Normal 61 6 3 3 3 2 4" xfId="0"/>
    <cellStyle name="Normal 61 6 3 3 3 2 4 2" xfId="0"/>
    <cellStyle name="Normal 61 6 3 3 3 2 5" xfId="0"/>
    <cellStyle name="Normal 61 6 3 3 3 3" xfId="0"/>
    <cellStyle name="Normal 61 6 3 3 3 3 2" xfId="0"/>
    <cellStyle name="Normal 61 6 3 3 3 3 2 2" xfId="0"/>
    <cellStyle name="Normal 61 6 3 3 3 3 3" xfId="0"/>
    <cellStyle name="Normal 61 6 3 3 3 4" xfId="0"/>
    <cellStyle name="Normal 61 6 3 3 3 4 2" xfId="0"/>
    <cellStyle name="Normal 61 6 3 3 3 4 2 2" xfId="0"/>
    <cellStyle name="Normal 61 6 3 3 3 4 3" xfId="0"/>
    <cellStyle name="Normal 61 6 3 3 3 5" xfId="0"/>
    <cellStyle name="Normal 61 6 3 3 3 5 2" xfId="0"/>
    <cellStyle name="Normal 61 6 3 3 3 6" xfId="0"/>
    <cellStyle name="Normal 61 6 3 3 4" xfId="0"/>
    <cellStyle name="Normal 61 6 3 3 4 2" xfId="0"/>
    <cellStyle name="Normal 61 6 3 3 4 2 2" xfId="0"/>
    <cellStyle name="Normal 61 6 3 3 4 2 2 2" xfId="0"/>
    <cellStyle name="Normal 61 6 3 3 4 2 3" xfId="0"/>
    <cellStyle name="Normal 61 6 3 3 4 3" xfId="0"/>
    <cellStyle name="Normal 61 6 3 3 4 3 2" xfId="0"/>
    <cellStyle name="Normal 61 6 3 3 4 3 2 2" xfId="0"/>
    <cellStyle name="Normal 61 6 3 3 4 3 3" xfId="0"/>
    <cellStyle name="Normal 61 6 3 3 4 4" xfId="0"/>
    <cellStyle name="Normal 61 6 3 3 4 4 2" xfId="0"/>
    <cellStyle name="Normal 61 6 3 3 4 5" xfId="0"/>
    <cellStyle name="Normal 61 6 3 3 5" xfId="0"/>
    <cellStyle name="Normal 61 6 3 3 5 2" xfId="0"/>
    <cellStyle name="Normal 61 6 3 3 5 2 2" xfId="0"/>
    <cellStyle name="Normal 61 6 3 3 5 3" xfId="0"/>
    <cellStyle name="Normal 61 6 3 3 6" xfId="0"/>
    <cellStyle name="Normal 61 6 3 3 6 2" xfId="0"/>
    <cellStyle name="Normal 61 6 3 3 6 2 2" xfId="0"/>
    <cellStyle name="Normal 61 6 3 3 6 3" xfId="0"/>
    <cellStyle name="Normal 61 6 3 3 7" xfId="0"/>
    <cellStyle name="Normal 61 6 3 3 7 2" xfId="0"/>
    <cellStyle name="Normal 61 6 3 3 8" xfId="0"/>
    <cellStyle name="Normal 61 6 3 4" xfId="0"/>
    <cellStyle name="Normal 61 6 3 4 2" xfId="0"/>
    <cellStyle name="Normal 61 6 3 4 2 2" xfId="0"/>
    <cellStyle name="Normal 61 6 3 4 2 2 2" xfId="0"/>
    <cellStyle name="Normal 61 6 3 4 2 2 2 2" xfId="0"/>
    <cellStyle name="Normal 61 6 3 4 2 2 2 2 2" xfId="0"/>
    <cellStyle name="Normal 61 6 3 4 2 2 2 3" xfId="0"/>
    <cellStyle name="Normal 61 6 3 4 2 2 3" xfId="0"/>
    <cellStyle name="Normal 61 6 3 4 2 2 3 2" xfId="0"/>
    <cellStyle name="Normal 61 6 3 4 2 2 3 2 2" xfId="0"/>
    <cellStyle name="Normal 61 6 3 4 2 2 3 3" xfId="0"/>
    <cellStyle name="Normal 61 6 3 4 2 2 4" xfId="0"/>
    <cellStyle name="Normal 61 6 3 4 2 2 4 2" xfId="0"/>
    <cellStyle name="Normal 61 6 3 4 2 2 5" xfId="0"/>
    <cellStyle name="Normal 61 6 3 4 2 3" xfId="0"/>
    <cellStyle name="Normal 61 6 3 4 2 3 2" xfId="0"/>
    <cellStyle name="Normal 61 6 3 4 2 3 2 2" xfId="0"/>
    <cellStyle name="Normal 61 6 3 4 2 3 3" xfId="0"/>
    <cellStyle name="Normal 61 6 3 4 2 4" xfId="0"/>
    <cellStyle name="Normal 61 6 3 4 2 4 2" xfId="0"/>
    <cellStyle name="Normal 61 6 3 4 2 4 2 2" xfId="0"/>
    <cellStyle name="Normal 61 6 3 4 2 4 3" xfId="0"/>
    <cellStyle name="Normal 61 6 3 4 2 5" xfId="0"/>
    <cellStyle name="Normal 61 6 3 4 2 5 2" xfId="0"/>
    <cellStyle name="Normal 61 6 3 4 2 6" xfId="0"/>
    <cellStyle name="Normal 61 6 3 4 3" xfId="0"/>
    <cellStyle name="Normal 61 6 3 4 3 2" xfId="0"/>
    <cellStyle name="Normal 61 6 3 4 3 2 2" xfId="0"/>
    <cellStyle name="Normal 61 6 3 4 3 2 2 2" xfId="0"/>
    <cellStyle name="Normal 61 6 3 4 3 2 3" xfId="0"/>
    <cellStyle name="Normal 61 6 3 4 3 3" xfId="0"/>
    <cellStyle name="Normal 61 6 3 4 3 3 2" xfId="0"/>
    <cellStyle name="Normal 61 6 3 4 3 3 2 2" xfId="0"/>
    <cellStyle name="Normal 61 6 3 4 3 3 3" xfId="0"/>
    <cellStyle name="Normal 61 6 3 4 3 4" xfId="0"/>
    <cellStyle name="Normal 61 6 3 4 3 4 2" xfId="0"/>
    <cellStyle name="Normal 61 6 3 4 3 5" xfId="0"/>
    <cellStyle name="Normal 61 6 3 4 4" xfId="0"/>
    <cellStyle name="Normal 61 6 3 4 4 2" xfId="0"/>
    <cellStyle name="Normal 61 6 3 4 4 2 2" xfId="0"/>
    <cellStyle name="Normal 61 6 3 4 4 3" xfId="0"/>
    <cellStyle name="Normal 61 6 3 4 5" xfId="0"/>
    <cellStyle name="Normal 61 6 3 4 5 2" xfId="0"/>
    <cellStyle name="Normal 61 6 3 4 5 2 2" xfId="0"/>
    <cellStyle name="Normal 61 6 3 4 5 3" xfId="0"/>
    <cellStyle name="Normal 61 6 3 4 6" xfId="0"/>
    <cellStyle name="Normal 61 6 3 4 6 2" xfId="0"/>
    <cellStyle name="Normal 61 6 3 4 7" xfId="0"/>
    <cellStyle name="Normal 61 6 3 5" xfId="0"/>
    <cellStyle name="Normal 61 6 3 5 2" xfId="0"/>
    <cellStyle name="Normal 61 6 3 5 2 2" xfId="0"/>
    <cellStyle name="Normal 61 6 3 5 2 2 2" xfId="0"/>
    <cellStyle name="Normal 61 6 3 5 2 2 2 2" xfId="0"/>
    <cellStyle name="Normal 61 6 3 5 2 2 3" xfId="0"/>
    <cellStyle name="Normal 61 6 3 5 2 3" xfId="0"/>
    <cellStyle name="Normal 61 6 3 5 2 3 2" xfId="0"/>
    <cellStyle name="Normal 61 6 3 5 2 3 2 2" xfId="0"/>
    <cellStyle name="Normal 61 6 3 5 2 3 3" xfId="0"/>
    <cellStyle name="Normal 61 6 3 5 2 4" xfId="0"/>
    <cellStyle name="Normal 61 6 3 5 2 4 2" xfId="0"/>
    <cellStyle name="Normal 61 6 3 5 2 5" xfId="0"/>
    <cellStyle name="Normal 61 6 3 5 3" xfId="0"/>
    <cellStyle name="Normal 61 6 3 5 3 2" xfId="0"/>
    <cellStyle name="Normal 61 6 3 5 3 2 2" xfId="0"/>
    <cellStyle name="Normal 61 6 3 5 3 3" xfId="0"/>
    <cellStyle name="Normal 61 6 3 5 4" xfId="0"/>
    <cellStyle name="Normal 61 6 3 5 4 2" xfId="0"/>
    <cellStyle name="Normal 61 6 3 5 4 2 2" xfId="0"/>
    <cellStyle name="Normal 61 6 3 5 4 3" xfId="0"/>
    <cellStyle name="Normal 61 6 3 5 5" xfId="0"/>
    <cellStyle name="Normal 61 6 3 5 5 2" xfId="0"/>
    <cellStyle name="Normal 61 6 3 5 6" xfId="0"/>
    <cellStyle name="Normal 61 6 3 6" xfId="0"/>
    <cellStyle name="Normal 61 6 3 6 2" xfId="0"/>
    <cellStyle name="Normal 61 6 3 6 2 2" xfId="0"/>
    <cellStyle name="Normal 61 6 3 6 2 2 2" xfId="0"/>
    <cellStyle name="Normal 61 6 3 6 2 3" xfId="0"/>
    <cellStyle name="Normal 61 6 3 6 3" xfId="0"/>
    <cellStyle name="Normal 61 6 3 6 3 2" xfId="0"/>
    <cellStyle name="Normal 61 6 3 6 3 2 2" xfId="0"/>
    <cellStyle name="Normal 61 6 3 6 3 3" xfId="0"/>
    <cellStyle name="Normal 61 6 3 6 4" xfId="0"/>
    <cellStyle name="Normal 61 6 3 6 4 2" xfId="0"/>
    <cellStyle name="Normal 61 6 3 6 5" xfId="0"/>
    <cellStyle name="Normal 61 6 3 7" xfId="0"/>
    <cellStyle name="Normal 61 6 3 7 2" xfId="0"/>
    <cellStyle name="Normal 61 6 3 7 2 2" xfId="0"/>
    <cellStyle name="Normal 61 6 3 7 3" xfId="0"/>
    <cellStyle name="Normal 61 6 3 8" xfId="0"/>
    <cellStyle name="Normal 61 6 3 8 2" xfId="0"/>
    <cellStyle name="Normal 61 6 3 8 2 2" xfId="0"/>
    <cellStyle name="Normal 61 6 3 8 3" xfId="0"/>
    <cellStyle name="Normal 61 6 3 9" xfId="0"/>
    <cellStyle name="Normal 61 6 3 9 2" xfId="0"/>
    <cellStyle name="Normal 61 6 4" xfId="0"/>
    <cellStyle name="Normal 61 6 4 10" xfId="0"/>
    <cellStyle name="Normal 61 6 4 2" xfId="0"/>
    <cellStyle name="Normal 61 6 4 2 2" xfId="0"/>
    <cellStyle name="Normal 61 6 4 2 2 2" xfId="0"/>
    <cellStyle name="Normal 61 6 4 2 2 2 2" xfId="0"/>
    <cellStyle name="Normal 61 6 4 2 2 2 2 2" xfId="0"/>
    <cellStyle name="Normal 61 6 4 2 2 2 2 2 2" xfId="0"/>
    <cellStyle name="Normal 61 6 4 2 2 2 2 2 2 2" xfId="0"/>
    <cellStyle name="Normal 61 6 4 2 2 2 2 2 2 2 2" xfId="0"/>
    <cellStyle name="Normal 61 6 4 2 2 2 2 2 2 3" xfId="0"/>
    <cellStyle name="Normal 61 6 4 2 2 2 2 2 3" xfId="0"/>
    <cellStyle name="Normal 61 6 4 2 2 2 2 2 3 2" xfId="0"/>
    <cellStyle name="Normal 61 6 4 2 2 2 2 2 3 2 2" xfId="0"/>
    <cellStyle name="Normal 61 6 4 2 2 2 2 2 3 3" xfId="0"/>
    <cellStyle name="Normal 61 6 4 2 2 2 2 2 4" xfId="0"/>
    <cellStyle name="Normal 61 6 4 2 2 2 2 2 4 2" xfId="0"/>
    <cellStyle name="Normal 61 6 4 2 2 2 2 2 5" xfId="0"/>
    <cellStyle name="Normal 61 6 4 2 2 2 2 3" xfId="0"/>
    <cellStyle name="Normal 61 6 4 2 2 2 2 3 2" xfId="0"/>
    <cellStyle name="Normal 61 6 4 2 2 2 2 3 2 2" xfId="0"/>
    <cellStyle name="Normal 61 6 4 2 2 2 2 3 3" xfId="0"/>
    <cellStyle name="Normal 61 6 4 2 2 2 2 4" xfId="0"/>
    <cellStyle name="Normal 61 6 4 2 2 2 2 4 2" xfId="0"/>
    <cellStyle name="Normal 61 6 4 2 2 2 2 4 2 2" xfId="0"/>
    <cellStyle name="Normal 61 6 4 2 2 2 2 4 3" xfId="0"/>
    <cellStyle name="Normal 61 6 4 2 2 2 2 5" xfId="0"/>
    <cellStyle name="Normal 61 6 4 2 2 2 2 5 2" xfId="0"/>
    <cellStyle name="Normal 61 6 4 2 2 2 2 6" xfId="0"/>
    <cellStyle name="Normal 61 6 4 2 2 2 3" xfId="0"/>
    <cellStyle name="Normal 61 6 4 2 2 2 3 2" xfId="0"/>
    <cellStyle name="Normal 61 6 4 2 2 2 3 2 2" xfId="0"/>
    <cellStyle name="Normal 61 6 4 2 2 2 3 2 2 2" xfId="0"/>
    <cellStyle name="Normal 61 6 4 2 2 2 3 2 3" xfId="0"/>
    <cellStyle name="Normal 61 6 4 2 2 2 3 3" xfId="0"/>
    <cellStyle name="Normal 61 6 4 2 2 2 3 3 2" xfId="0"/>
    <cellStyle name="Normal 61 6 4 2 2 2 3 3 2 2" xfId="0"/>
    <cellStyle name="Normal 61 6 4 2 2 2 3 3 3" xfId="0"/>
    <cellStyle name="Normal 61 6 4 2 2 2 3 4" xfId="0"/>
    <cellStyle name="Normal 61 6 4 2 2 2 3 4 2" xfId="0"/>
    <cellStyle name="Normal 61 6 4 2 2 2 3 5" xfId="0"/>
    <cellStyle name="Normal 61 6 4 2 2 2 4" xfId="0"/>
    <cellStyle name="Normal 61 6 4 2 2 2 4 2" xfId="0"/>
    <cellStyle name="Normal 61 6 4 2 2 2 4 2 2" xfId="0"/>
    <cellStyle name="Normal 61 6 4 2 2 2 4 3" xfId="0"/>
    <cellStyle name="Normal 61 6 4 2 2 2 5" xfId="0"/>
    <cellStyle name="Normal 61 6 4 2 2 2 5 2" xfId="0"/>
    <cellStyle name="Normal 61 6 4 2 2 2 5 2 2" xfId="0"/>
    <cellStyle name="Normal 61 6 4 2 2 2 5 3" xfId="0"/>
    <cellStyle name="Normal 61 6 4 2 2 2 6" xfId="0"/>
    <cellStyle name="Normal 61 6 4 2 2 2 6 2" xfId="0"/>
    <cellStyle name="Normal 61 6 4 2 2 2 7" xfId="0"/>
    <cellStyle name="Normal 61 6 4 2 2 3" xfId="0"/>
    <cellStyle name="Normal 61 6 4 2 2 3 2" xfId="0"/>
    <cellStyle name="Normal 61 6 4 2 2 3 2 2" xfId="0"/>
    <cellStyle name="Normal 61 6 4 2 2 3 2 2 2" xfId="0"/>
    <cellStyle name="Normal 61 6 4 2 2 3 2 2 2 2" xfId="0"/>
    <cellStyle name="Normal 61 6 4 2 2 3 2 2 3" xfId="0"/>
    <cellStyle name="Normal 61 6 4 2 2 3 2 3" xfId="0"/>
    <cellStyle name="Normal 61 6 4 2 2 3 2 3 2" xfId="0"/>
    <cellStyle name="Normal 61 6 4 2 2 3 2 3 2 2" xfId="0"/>
    <cellStyle name="Normal 61 6 4 2 2 3 2 3 3" xfId="0"/>
    <cellStyle name="Normal 61 6 4 2 2 3 2 4" xfId="0"/>
    <cellStyle name="Normal 61 6 4 2 2 3 2 4 2" xfId="0"/>
    <cellStyle name="Normal 61 6 4 2 2 3 2 5" xfId="0"/>
    <cellStyle name="Normal 61 6 4 2 2 3 3" xfId="0"/>
    <cellStyle name="Normal 61 6 4 2 2 3 3 2" xfId="0"/>
    <cellStyle name="Normal 61 6 4 2 2 3 3 2 2" xfId="0"/>
    <cellStyle name="Normal 61 6 4 2 2 3 3 3" xfId="0"/>
    <cellStyle name="Normal 61 6 4 2 2 3 4" xfId="0"/>
    <cellStyle name="Normal 61 6 4 2 2 3 4 2" xfId="0"/>
    <cellStyle name="Normal 61 6 4 2 2 3 4 2 2" xfId="0"/>
    <cellStyle name="Normal 61 6 4 2 2 3 4 3" xfId="0"/>
    <cellStyle name="Normal 61 6 4 2 2 3 5" xfId="0"/>
    <cellStyle name="Normal 61 6 4 2 2 3 5 2" xfId="0"/>
    <cellStyle name="Normal 61 6 4 2 2 3 6" xfId="0"/>
    <cellStyle name="Normal 61 6 4 2 2 4" xfId="0"/>
    <cellStyle name="Normal 61 6 4 2 2 4 2" xfId="0"/>
    <cellStyle name="Normal 61 6 4 2 2 4 2 2" xfId="0"/>
    <cellStyle name="Normal 61 6 4 2 2 4 2 2 2" xfId="0"/>
    <cellStyle name="Normal 61 6 4 2 2 4 2 3" xfId="0"/>
    <cellStyle name="Normal 61 6 4 2 2 4 3" xfId="0"/>
    <cellStyle name="Normal 61 6 4 2 2 4 3 2" xfId="0"/>
    <cellStyle name="Normal 61 6 4 2 2 4 3 2 2" xfId="0"/>
    <cellStyle name="Normal 61 6 4 2 2 4 3 3" xfId="0"/>
    <cellStyle name="Normal 61 6 4 2 2 4 4" xfId="0"/>
    <cellStyle name="Normal 61 6 4 2 2 4 4 2" xfId="0"/>
    <cellStyle name="Normal 61 6 4 2 2 4 5" xfId="0"/>
    <cellStyle name="Normal 61 6 4 2 2 5" xfId="0"/>
    <cellStyle name="Normal 61 6 4 2 2 5 2" xfId="0"/>
    <cellStyle name="Normal 61 6 4 2 2 5 2 2" xfId="0"/>
    <cellStyle name="Normal 61 6 4 2 2 5 3" xfId="0"/>
    <cellStyle name="Normal 61 6 4 2 2 6" xfId="0"/>
    <cellStyle name="Normal 61 6 4 2 2 6 2" xfId="0"/>
    <cellStyle name="Normal 61 6 4 2 2 6 2 2" xfId="0"/>
    <cellStyle name="Normal 61 6 4 2 2 6 3" xfId="0"/>
    <cellStyle name="Normal 61 6 4 2 2 7" xfId="0"/>
    <cellStyle name="Normal 61 6 4 2 2 7 2" xfId="0"/>
    <cellStyle name="Normal 61 6 4 2 2 8" xfId="0"/>
    <cellStyle name="Normal 61 6 4 2 3" xfId="0"/>
    <cellStyle name="Normal 61 6 4 2 3 2" xfId="0"/>
    <cellStyle name="Normal 61 6 4 2 3 2 2" xfId="0"/>
    <cellStyle name="Normal 61 6 4 2 3 2 2 2" xfId="0"/>
    <cellStyle name="Normal 61 6 4 2 3 2 2 2 2" xfId="0"/>
    <cellStyle name="Normal 61 6 4 2 3 2 2 2 2 2" xfId="0"/>
    <cellStyle name="Normal 61 6 4 2 3 2 2 2 3" xfId="0"/>
    <cellStyle name="Normal 61 6 4 2 3 2 2 3" xfId="0"/>
    <cellStyle name="Normal 61 6 4 2 3 2 2 3 2" xfId="0"/>
    <cellStyle name="Normal 61 6 4 2 3 2 2 3 2 2" xfId="0"/>
    <cellStyle name="Normal 61 6 4 2 3 2 2 3 3" xfId="0"/>
    <cellStyle name="Normal 61 6 4 2 3 2 2 4" xfId="0"/>
    <cellStyle name="Normal 61 6 4 2 3 2 2 4 2" xfId="0"/>
    <cellStyle name="Normal 61 6 4 2 3 2 2 5" xfId="0"/>
    <cellStyle name="Normal 61 6 4 2 3 2 3" xfId="0"/>
    <cellStyle name="Normal 61 6 4 2 3 2 3 2" xfId="0"/>
    <cellStyle name="Normal 61 6 4 2 3 2 3 2 2" xfId="0"/>
    <cellStyle name="Normal 61 6 4 2 3 2 3 3" xfId="0"/>
    <cellStyle name="Normal 61 6 4 2 3 2 4" xfId="0"/>
    <cellStyle name="Normal 61 6 4 2 3 2 4 2" xfId="0"/>
    <cellStyle name="Normal 61 6 4 2 3 2 4 2 2" xfId="0"/>
    <cellStyle name="Normal 61 6 4 2 3 2 4 3" xfId="0"/>
    <cellStyle name="Normal 61 6 4 2 3 2 5" xfId="0"/>
    <cellStyle name="Normal 61 6 4 2 3 2 5 2" xfId="0"/>
    <cellStyle name="Normal 61 6 4 2 3 2 6" xfId="0"/>
    <cellStyle name="Normal 61 6 4 2 3 3" xfId="0"/>
    <cellStyle name="Normal 61 6 4 2 3 3 2" xfId="0"/>
    <cellStyle name="Normal 61 6 4 2 3 3 2 2" xfId="0"/>
    <cellStyle name="Normal 61 6 4 2 3 3 2 2 2" xfId="0"/>
    <cellStyle name="Normal 61 6 4 2 3 3 2 3" xfId="0"/>
    <cellStyle name="Normal 61 6 4 2 3 3 3" xfId="0"/>
    <cellStyle name="Normal 61 6 4 2 3 3 3 2" xfId="0"/>
    <cellStyle name="Normal 61 6 4 2 3 3 3 2 2" xfId="0"/>
    <cellStyle name="Normal 61 6 4 2 3 3 3 3" xfId="0"/>
    <cellStyle name="Normal 61 6 4 2 3 3 4" xfId="0"/>
    <cellStyle name="Normal 61 6 4 2 3 3 4 2" xfId="0"/>
    <cellStyle name="Normal 61 6 4 2 3 3 5" xfId="0"/>
    <cellStyle name="Normal 61 6 4 2 3 4" xfId="0"/>
    <cellStyle name="Normal 61 6 4 2 3 4 2" xfId="0"/>
    <cellStyle name="Normal 61 6 4 2 3 4 2 2" xfId="0"/>
    <cellStyle name="Normal 61 6 4 2 3 4 3" xfId="0"/>
    <cellStyle name="Normal 61 6 4 2 3 5" xfId="0"/>
    <cellStyle name="Normal 61 6 4 2 3 5 2" xfId="0"/>
    <cellStyle name="Normal 61 6 4 2 3 5 2 2" xfId="0"/>
    <cellStyle name="Normal 61 6 4 2 3 5 3" xfId="0"/>
    <cellStyle name="Normal 61 6 4 2 3 6" xfId="0"/>
    <cellStyle name="Normal 61 6 4 2 3 6 2" xfId="0"/>
    <cellStyle name="Normal 61 6 4 2 3 7" xfId="0"/>
    <cellStyle name="Normal 61 6 4 2 4" xfId="0"/>
    <cellStyle name="Normal 61 6 4 2 4 2" xfId="0"/>
    <cellStyle name="Normal 61 6 4 2 4 2 2" xfId="0"/>
    <cellStyle name="Normal 61 6 4 2 4 2 2 2" xfId="0"/>
    <cellStyle name="Normal 61 6 4 2 4 2 2 2 2" xfId="0"/>
    <cellStyle name="Normal 61 6 4 2 4 2 2 3" xfId="0"/>
    <cellStyle name="Normal 61 6 4 2 4 2 3" xfId="0"/>
    <cellStyle name="Normal 61 6 4 2 4 2 3 2" xfId="0"/>
    <cellStyle name="Normal 61 6 4 2 4 2 3 2 2" xfId="0"/>
    <cellStyle name="Normal 61 6 4 2 4 2 3 3" xfId="0"/>
    <cellStyle name="Normal 61 6 4 2 4 2 4" xfId="0"/>
    <cellStyle name="Normal 61 6 4 2 4 2 4 2" xfId="0"/>
    <cellStyle name="Normal 61 6 4 2 4 2 5" xfId="0"/>
    <cellStyle name="Normal 61 6 4 2 4 3" xfId="0"/>
    <cellStyle name="Normal 61 6 4 2 4 3 2" xfId="0"/>
    <cellStyle name="Normal 61 6 4 2 4 3 2 2" xfId="0"/>
    <cellStyle name="Normal 61 6 4 2 4 3 3" xfId="0"/>
    <cellStyle name="Normal 61 6 4 2 4 4" xfId="0"/>
    <cellStyle name="Normal 61 6 4 2 4 4 2" xfId="0"/>
    <cellStyle name="Normal 61 6 4 2 4 4 2 2" xfId="0"/>
    <cellStyle name="Normal 61 6 4 2 4 4 3" xfId="0"/>
    <cellStyle name="Normal 61 6 4 2 4 5" xfId="0"/>
    <cellStyle name="Normal 61 6 4 2 4 5 2" xfId="0"/>
    <cellStyle name="Normal 61 6 4 2 4 6" xfId="0"/>
    <cellStyle name="Normal 61 6 4 2 5" xfId="0"/>
    <cellStyle name="Normal 61 6 4 2 5 2" xfId="0"/>
    <cellStyle name="Normal 61 6 4 2 5 2 2" xfId="0"/>
    <cellStyle name="Normal 61 6 4 2 5 2 2 2" xfId="0"/>
    <cellStyle name="Normal 61 6 4 2 5 2 3" xfId="0"/>
    <cellStyle name="Normal 61 6 4 2 5 3" xfId="0"/>
    <cellStyle name="Normal 61 6 4 2 5 3 2" xfId="0"/>
    <cellStyle name="Normal 61 6 4 2 5 3 2 2" xfId="0"/>
    <cellStyle name="Normal 61 6 4 2 5 3 3" xfId="0"/>
    <cellStyle name="Normal 61 6 4 2 5 4" xfId="0"/>
    <cellStyle name="Normal 61 6 4 2 5 4 2" xfId="0"/>
    <cellStyle name="Normal 61 6 4 2 5 5" xfId="0"/>
    <cellStyle name="Normal 61 6 4 2 6" xfId="0"/>
    <cellStyle name="Normal 61 6 4 2 6 2" xfId="0"/>
    <cellStyle name="Normal 61 6 4 2 6 2 2" xfId="0"/>
    <cellStyle name="Normal 61 6 4 2 6 3" xfId="0"/>
    <cellStyle name="Normal 61 6 4 2 7" xfId="0"/>
    <cellStyle name="Normal 61 6 4 2 7 2" xfId="0"/>
    <cellStyle name="Normal 61 6 4 2 7 2 2" xfId="0"/>
    <cellStyle name="Normal 61 6 4 2 7 3" xfId="0"/>
    <cellStyle name="Normal 61 6 4 2 8" xfId="0"/>
    <cellStyle name="Normal 61 6 4 2 8 2" xfId="0"/>
    <cellStyle name="Normal 61 6 4 2 9" xfId="0"/>
    <cellStyle name="Normal 61 6 4 3" xfId="0"/>
    <cellStyle name="Normal 61 6 4 3 2" xfId="0"/>
    <cellStyle name="Normal 61 6 4 3 2 2" xfId="0"/>
    <cellStyle name="Normal 61 6 4 3 2 2 2" xfId="0"/>
    <cellStyle name="Normal 61 6 4 3 2 2 2 2" xfId="0"/>
    <cellStyle name="Normal 61 6 4 3 2 2 2 2 2" xfId="0"/>
    <cellStyle name="Normal 61 6 4 3 2 2 2 2 2 2" xfId="0"/>
    <cellStyle name="Normal 61 6 4 3 2 2 2 2 3" xfId="0"/>
    <cellStyle name="Normal 61 6 4 3 2 2 2 3" xfId="0"/>
    <cellStyle name="Normal 61 6 4 3 2 2 2 3 2" xfId="0"/>
    <cellStyle name="Normal 61 6 4 3 2 2 2 3 2 2" xfId="0"/>
    <cellStyle name="Normal 61 6 4 3 2 2 2 3 3" xfId="0"/>
    <cellStyle name="Normal 61 6 4 3 2 2 2 4" xfId="0"/>
    <cellStyle name="Normal 61 6 4 3 2 2 2 4 2" xfId="0"/>
    <cellStyle name="Normal 61 6 4 3 2 2 2 5" xfId="0"/>
    <cellStyle name="Normal 61 6 4 3 2 2 3" xfId="0"/>
    <cellStyle name="Normal 61 6 4 3 2 2 3 2" xfId="0"/>
    <cellStyle name="Normal 61 6 4 3 2 2 3 2 2" xfId="0"/>
    <cellStyle name="Normal 61 6 4 3 2 2 3 3" xfId="0"/>
    <cellStyle name="Normal 61 6 4 3 2 2 4" xfId="0"/>
    <cellStyle name="Normal 61 6 4 3 2 2 4 2" xfId="0"/>
    <cellStyle name="Normal 61 6 4 3 2 2 4 2 2" xfId="0"/>
    <cellStyle name="Normal 61 6 4 3 2 2 4 3" xfId="0"/>
    <cellStyle name="Normal 61 6 4 3 2 2 5" xfId="0"/>
    <cellStyle name="Normal 61 6 4 3 2 2 5 2" xfId="0"/>
    <cellStyle name="Normal 61 6 4 3 2 2 6" xfId="0"/>
    <cellStyle name="Normal 61 6 4 3 2 3" xfId="0"/>
    <cellStyle name="Normal 61 6 4 3 2 3 2" xfId="0"/>
    <cellStyle name="Normal 61 6 4 3 2 3 2 2" xfId="0"/>
    <cellStyle name="Normal 61 6 4 3 2 3 2 2 2" xfId="0"/>
    <cellStyle name="Normal 61 6 4 3 2 3 2 3" xfId="0"/>
    <cellStyle name="Normal 61 6 4 3 2 3 3" xfId="0"/>
    <cellStyle name="Normal 61 6 4 3 2 3 3 2" xfId="0"/>
    <cellStyle name="Normal 61 6 4 3 2 3 3 2 2" xfId="0"/>
    <cellStyle name="Normal 61 6 4 3 2 3 3 3" xfId="0"/>
    <cellStyle name="Normal 61 6 4 3 2 3 4" xfId="0"/>
    <cellStyle name="Normal 61 6 4 3 2 3 4 2" xfId="0"/>
    <cellStyle name="Normal 61 6 4 3 2 3 5" xfId="0"/>
    <cellStyle name="Normal 61 6 4 3 2 4" xfId="0"/>
    <cellStyle name="Normal 61 6 4 3 2 4 2" xfId="0"/>
    <cellStyle name="Normal 61 6 4 3 2 4 2 2" xfId="0"/>
    <cellStyle name="Normal 61 6 4 3 2 4 3" xfId="0"/>
    <cellStyle name="Normal 61 6 4 3 2 5" xfId="0"/>
    <cellStyle name="Normal 61 6 4 3 2 5 2" xfId="0"/>
    <cellStyle name="Normal 61 6 4 3 2 5 2 2" xfId="0"/>
    <cellStyle name="Normal 61 6 4 3 2 5 3" xfId="0"/>
    <cellStyle name="Normal 61 6 4 3 2 6" xfId="0"/>
    <cellStyle name="Normal 61 6 4 3 2 6 2" xfId="0"/>
    <cellStyle name="Normal 61 6 4 3 2 7" xfId="0"/>
    <cellStyle name="Normal 61 6 4 3 3" xfId="0"/>
    <cellStyle name="Normal 61 6 4 3 3 2" xfId="0"/>
    <cellStyle name="Normal 61 6 4 3 3 2 2" xfId="0"/>
    <cellStyle name="Normal 61 6 4 3 3 2 2 2" xfId="0"/>
    <cellStyle name="Normal 61 6 4 3 3 2 2 2 2" xfId="0"/>
    <cellStyle name="Normal 61 6 4 3 3 2 2 3" xfId="0"/>
    <cellStyle name="Normal 61 6 4 3 3 2 3" xfId="0"/>
    <cellStyle name="Normal 61 6 4 3 3 2 3 2" xfId="0"/>
    <cellStyle name="Normal 61 6 4 3 3 2 3 2 2" xfId="0"/>
    <cellStyle name="Normal 61 6 4 3 3 2 3 3" xfId="0"/>
    <cellStyle name="Normal 61 6 4 3 3 2 4" xfId="0"/>
    <cellStyle name="Normal 61 6 4 3 3 2 4 2" xfId="0"/>
    <cellStyle name="Normal 61 6 4 3 3 2 5" xfId="0"/>
    <cellStyle name="Normal 61 6 4 3 3 3" xfId="0"/>
    <cellStyle name="Normal 61 6 4 3 3 3 2" xfId="0"/>
    <cellStyle name="Normal 61 6 4 3 3 3 2 2" xfId="0"/>
    <cellStyle name="Normal 61 6 4 3 3 3 3" xfId="0"/>
    <cellStyle name="Normal 61 6 4 3 3 4" xfId="0"/>
    <cellStyle name="Normal 61 6 4 3 3 4 2" xfId="0"/>
    <cellStyle name="Normal 61 6 4 3 3 4 2 2" xfId="0"/>
    <cellStyle name="Normal 61 6 4 3 3 4 3" xfId="0"/>
    <cellStyle name="Normal 61 6 4 3 3 5" xfId="0"/>
    <cellStyle name="Normal 61 6 4 3 3 5 2" xfId="0"/>
    <cellStyle name="Normal 61 6 4 3 3 6" xfId="0"/>
    <cellStyle name="Normal 61 6 4 3 4" xfId="0"/>
    <cellStyle name="Normal 61 6 4 3 4 2" xfId="0"/>
    <cellStyle name="Normal 61 6 4 3 4 2 2" xfId="0"/>
    <cellStyle name="Normal 61 6 4 3 4 2 2 2" xfId="0"/>
    <cellStyle name="Normal 61 6 4 3 4 2 3" xfId="0"/>
    <cellStyle name="Normal 61 6 4 3 4 3" xfId="0"/>
    <cellStyle name="Normal 61 6 4 3 4 3 2" xfId="0"/>
    <cellStyle name="Normal 61 6 4 3 4 3 2 2" xfId="0"/>
    <cellStyle name="Normal 61 6 4 3 4 3 3" xfId="0"/>
    <cellStyle name="Normal 61 6 4 3 4 4" xfId="0"/>
    <cellStyle name="Normal 61 6 4 3 4 4 2" xfId="0"/>
    <cellStyle name="Normal 61 6 4 3 4 5" xfId="0"/>
    <cellStyle name="Normal 61 6 4 3 5" xfId="0"/>
    <cellStyle name="Normal 61 6 4 3 5 2" xfId="0"/>
    <cellStyle name="Normal 61 6 4 3 5 2 2" xfId="0"/>
    <cellStyle name="Normal 61 6 4 3 5 3" xfId="0"/>
    <cellStyle name="Normal 61 6 4 3 6" xfId="0"/>
    <cellStyle name="Normal 61 6 4 3 6 2" xfId="0"/>
    <cellStyle name="Normal 61 6 4 3 6 2 2" xfId="0"/>
    <cellStyle name="Normal 61 6 4 3 6 3" xfId="0"/>
    <cellStyle name="Normal 61 6 4 3 7" xfId="0"/>
    <cellStyle name="Normal 61 6 4 3 7 2" xfId="0"/>
    <cellStyle name="Normal 61 6 4 3 8" xfId="0"/>
    <cellStyle name="Normal 61 6 4 4" xfId="0"/>
    <cellStyle name="Normal 61 6 4 4 2" xfId="0"/>
    <cellStyle name="Normal 61 6 4 4 2 2" xfId="0"/>
    <cellStyle name="Normal 61 6 4 4 2 2 2" xfId="0"/>
    <cellStyle name="Normal 61 6 4 4 2 2 2 2" xfId="0"/>
    <cellStyle name="Normal 61 6 4 4 2 2 2 2 2" xfId="0"/>
    <cellStyle name="Normal 61 6 4 4 2 2 2 3" xfId="0"/>
    <cellStyle name="Normal 61 6 4 4 2 2 3" xfId="0"/>
    <cellStyle name="Normal 61 6 4 4 2 2 3 2" xfId="0"/>
    <cellStyle name="Normal 61 6 4 4 2 2 3 2 2" xfId="0"/>
    <cellStyle name="Normal 61 6 4 4 2 2 3 3" xfId="0"/>
    <cellStyle name="Normal 61 6 4 4 2 2 4" xfId="0"/>
    <cellStyle name="Normal 61 6 4 4 2 2 4 2" xfId="0"/>
    <cellStyle name="Normal 61 6 4 4 2 2 5" xfId="0"/>
    <cellStyle name="Normal 61 6 4 4 2 3" xfId="0"/>
    <cellStyle name="Normal 61 6 4 4 2 3 2" xfId="0"/>
    <cellStyle name="Normal 61 6 4 4 2 3 2 2" xfId="0"/>
    <cellStyle name="Normal 61 6 4 4 2 3 3" xfId="0"/>
    <cellStyle name="Normal 61 6 4 4 2 4" xfId="0"/>
    <cellStyle name="Normal 61 6 4 4 2 4 2" xfId="0"/>
    <cellStyle name="Normal 61 6 4 4 2 4 2 2" xfId="0"/>
    <cellStyle name="Normal 61 6 4 4 2 4 3" xfId="0"/>
    <cellStyle name="Normal 61 6 4 4 2 5" xfId="0"/>
    <cellStyle name="Normal 61 6 4 4 2 5 2" xfId="0"/>
    <cellStyle name="Normal 61 6 4 4 2 6" xfId="0"/>
    <cellStyle name="Normal 61 6 4 4 3" xfId="0"/>
    <cellStyle name="Normal 61 6 4 4 3 2" xfId="0"/>
    <cellStyle name="Normal 61 6 4 4 3 2 2" xfId="0"/>
    <cellStyle name="Normal 61 6 4 4 3 2 2 2" xfId="0"/>
    <cellStyle name="Normal 61 6 4 4 3 2 3" xfId="0"/>
    <cellStyle name="Normal 61 6 4 4 3 3" xfId="0"/>
    <cellStyle name="Normal 61 6 4 4 3 3 2" xfId="0"/>
    <cellStyle name="Normal 61 6 4 4 3 3 2 2" xfId="0"/>
    <cellStyle name="Normal 61 6 4 4 3 3 3" xfId="0"/>
    <cellStyle name="Normal 61 6 4 4 3 4" xfId="0"/>
    <cellStyle name="Normal 61 6 4 4 3 4 2" xfId="0"/>
    <cellStyle name="Normal 61 6 4 4 3 5" xfId="0"/>
    <cellStyle name="Normal 61 6 4 4 4" xfId="0"/>
    <cellStyle name="Normal 61 6 4 4 4 2" xfId="0"/>
    <cellStyle name="Normal 61 6 4 4 4 2 2" xfId="0"/>
    <cellStyle name="Normal 61 6 4 4 4 3" xfId="0"/>
    <cellStyle name="Normal 61 6 4 4 5" xfId="0"/>
    <cellStyle name="Normal 61 6 4 4 5 2" xfId="0"/>
    <cellStyle name="Normal 61 6 4 4 5 2 2" xfId="0"/>
    <cellStyle name="Normal 61 6 4 4 5 3" xfId="0"/>
    <cellStyle name="Normal 61 6 4 4 6" xfId="0"/>
    <cellStyle name="Normal 61 6 4 4 6 2" xfId="0"/>
    <cellStyle name="Normal 61 6 4 4 7" xfId="0"/>
    <cellStyle name="Normal 61 6 4 5" xfId="0"/>
    <cellStyle name="Normal 61 6 4 5 2" xfId="0"/>
    <cellStyle name="Normal 61 6 4 5 2 2" xfId="0"/>
    <cellStyle name="Normal 61 6 4 5 2 2 2" xfId="0"/>
    <cellStyle name="Normal 61 6 4 5 2 2 2 2" xfId="0"/>
    <cellStyle name="Normal 61 6 4 5 2 2 3" xfId="0"/>
    <cellStyle name="Normal 61 6 4 5 2 3" xfId="0"/>
    <cellStyle name="Normal 61 6 4 5 2 3 2" xfId="0"/>
    <cellStyle name="Normal 61 6 4 5 2 3 2 2" xfId="0"/>
    <cellStyle name="Normal 61 6 4 5 2 3 3" xfId="0"/>
    <cellStyle name="Normal 61 6 4 5 2 4" xfId="0"/>
    <cellStyle name="Normal 61 6 4 5 2 4 2" xfId="0"/>
    <cellStyle name="Normal 61 6 4 5 2 5" xfId="0"/>
    <cellStyle name="Normal 61 6 4 5 3" xfId="0"/>
    <cellStyle name="Normal 61 6 4 5 3 2" xfId="0"/>
    <cellStyle name="Normal 61 6 4 5 3 2 2" xfId="0"/>
    <cellStyle name="Normal 61 6 4 5 3 3" xfId="0"/>
    <cellStyle name="Normal 61 6 4 5 4" xfId="0"/>
    <cellStyle name="Normal 61 6 4 5 4 2" xfId="0"/>
    <cellStyle name="Normal 61 6 4 5 4 2 2" xfId="0"/>
    <cellStyle name="Normal 61 6 4 5 4 3" xfId="0"/>
    <cellStyle name="Normal 61 6 4 5 5" xfId="0"/>
    <cellStyle name="Normal 61 6 4 5 5 2" xfId="0"/>
    <cellStyle name="Normal 61 6 4 5 6" xfId="0"/>
    <cellStyle name="Normal 61 6 4 6" xfId="0"/>
    <cellStyle name="Normal 61 6 4 6 2" xfId="0"/>
    <cellStyle name="Normal 61 6 4 6 2 2" xfId="0"/>
    <cellStyle name="Normal 61 6 4 6 2 2 2" xfId="0"/>
    <cellStyle name="Normal 61 6 4 6 2 3" xfId="0"/>
    <cellStyle name="Normal 61 6 4 6 3" xfId="0"/>
    <cellStyle name="Normal 61 6 4 6 3 2" xfId="0"/>
    <cellStyle name="Normal 61 6 4 6 3 2 2" xfId="0"/>
    <cellStyle name="Normal 61 6 4 6 3 3" xfId="0"/>
    <cellStyle name="Normal 61 6 4 6 4" xfId="0"/>
    <cellStyle name="Normal 61 6 4 6 4 2" xfId="0"/>
    <cellStyle name="Normal 61 6 4 6 5" xfId="0"/>
    <cellStyle name="Normal 61 6 4 7" xfId="0"/>
    <cellStyle name="Normal 61 6 4 7 2" xfId="0"/>
    <cellStyle name="Normal 61 6 4 7 2 2" xfId="0"/>
    <cellStyle name="Normal 61 6 4 7 3" xfId="0"/>
    <cellStyle name="Normal 61 6 4 8" xfId="0"/>
    <cellStyle name="Normal 61 6 4 8 2" xfId="0"/>
    <cellStyle name="Normal 61 6 4 8 2 2" xfId="0"/>
    <cellStyle name="Normal 61 6 4 8 3" xfId="0"/>
    <cellStyle name="Normal 61 6 4 9" xfId="0"/>
    <cellStyle name="Normal 61 6 4 9 2" xfId="0"/>
    <cellStyle name="Normal 61 6 5" xfId="0"/>
    <cellStyle name="Normal 61 6 5 2" xfId="0"/>
    <cellStyle name="Normal 61 6 5 2 2" xfId="0"/>
    <cellStyle name="Normal 61 6 5 2 2 2" xfId="0"/>
    <cellStyle name="Normal 61 6 5 2 2 2 2" xfId="0"/>
    <cellStyle name="Normal 61 6 5 2 2 2 2 2" xfId="0"/>
    <cellStyle name="Normal 61 6 5 2 2 2 2 2 2" xfId="0"/>
    <cellStyle name="Normal 61 6 5 2 2 2 2 2 2 2" xfId="0"/>
    <cellStyle name="Normal 61 6 5 2 2 2 2 2 3" xfId="0"/>
    <cellStyle name="Normal 61 6 5 2 2 2 2 3" xfId="0"/>
    <cellStyle name="Normal 61 6 5 2 2 2 2 3 2" xfId="0"/>
    <cellStyle name="Normal 61 6 5 2 2 2 2 3 2 2" xfId="0"/>
    <cellStyle name="Normal 61 6 5 2 2 2 2 3 3" xfId="0"/>
    <cellStyle name="Normal 61 6 5 2 2 2 2 4" xfId="0"/>
    <cellStyle name="Normal 61 6 5 2 2 2 2 4 2" xfId="0"/>
    <cellStyle name="Normal 61 6 5 2 2 2 2 5" xfId="0"/>
    <cellStyle name="Normal 61 6 5 2 2 2 3" xfId="0"/>
    <cellStyle name="Normal 61 6 5 2 2 2 3 2" xfId="0"/>
    <cellStyle name="Normal 61 6 5 2 2 2 3 2 2" xfId="0"/>
    <cellStyle name="Normal 61 6 5 2 2 2 3 3" xfId="0"/>
    <cellStyle name="Normal 61 6 5 2 2 2 4" xfId="0"/>
    <cellStyle name="Normal 61 6 5 2 2 2 4 2" xfId="0"/>
    <cellStyle name="Normal 61 6 5 2 2 2 4 2 2" xfId="0"/>
    <cellStyle name="Normal 61 6 5 2 2 2 4 3" xfId="0"/>
    <cellStyle name="Normal 61 6 5 2 2 2 5" xfId="0"/>
    <cellStyle name="Normal 61 6 5 2 2 2 5 2" xfId="0"/>
    <cellStyle name="Normal 61 6 5 2 2 2 6" xfId="0"/>
    <cellStyle name="Normal 61 6 5 2 2 3" xfId="0"/>
    <cellStyle name="Normal 61 6 5 2 2 3 2" xfId="0"/>
    <cellStyle name="Normal 61 6 5 2 2 3 2 2" xfId="0"/>
    <cellStyle name="Normal 61 6 5 2 2 3 2 2 2" xfId="0"/>
    <cellStyle name="Normal 61 6 5 2 2 3 2 3" xfId="0"/>
    <cellStyle name="Normal 61 6 5 2 2 3 3" xfId="0"/>
    <cellStyle name="Normal 61 6 5 2 2 3 3 2" xfId="0"/>
    <cellStyle name="Normal 61 6 5 2 2 3 3 2 2" xfId="0"/>
    <cellStyle name="Normal 61 6 5 2 2 3 3 3" xfId="0"/>
    <cellStyle name="Normal 61 6 5 2 2 3 4" xfId="0"/>
    <cellStyle name="Normal 61 6 5 2 2 3 4 2" xfId="0"/>
    <cellStyle name="Normal 61 6 5 2 2 3 5" xfId="0"/>
    <cellStyle name="Normal 61 6 5 2 2 4" xfId="0"/>
    <cellStyle name="Normal 61 6 5 2 2 4 2" xfId="0"/>
    <cellStyle name="Normal 61 6 5 2 2 4 2 2" xfId="0"/>
    <cellStyle name="Normal 61 6 5 2 2 4 3" xfId="0"/>
    <cellStyle name="Normal 61 6 5 2 2 5" xfId="0"/>
    <cellStyle name="Normal 61 6 5 2 2 5 2" xfId="0"/>
    <cellStyle name="Normal 61 6 5 2 2 5 2 2" xfId="0"/>
    <cellStyle name="Normal 61 6 5 2 2 5 3" xfId="0"/>
    <cellStyle name="Normal 61 6 5 2 2 6" xfId="0"/>
    <cellStyle name="Normal 61 6 5 2 2 6 2" xfId="0"/>
    <cellStyle name="Normal 61 6 5 2 2 7" xfId="0"/>
    <cellStyle name="Normal 61 6 5 2 3" xfId="0"/>
    <cellStyle name="Normal 61 6 5 2 3 2" xfId="0"/>
    <cellStyle name="Normal 61 6 5 2 3 2 2" xfId="0"/>
    <cellStyle name="Normal 61 6 5 2 3 2 2 2" xfId="0"/>
    <cellStyle name="Normal 61 6 5 2 3 2 2 2 2" xfId="0"/>
    <cellStyle name="Normal 61 6 5 2 3 2 2 3" xfId="0"/>
    <cellStyle name="Normal 61 6 5 2 3 2 3" xfId="0"/>
    <cellStyle name="Normal 61 6 5 2 3 2 3 2" xfId="0"/>
    <cellStyle name="Normal 61 6 5 2 3 2 3 2 2" xfId="0"/>
    <cellStyle name="Normal 61 6 5 2 3 2 3 3" xfId="0"/>
    <cellStyle name="Normal 61 6 5 2 3 2 4" xfId="0"/>
    <cellStyle name="Normal 61 6 5 2 3 2 4 2" xfId="0"/>
    <cellStyle name="Normal 61 6 5 2 3 2 5" xfId="0"/>
    <cellStyle name="Normal 61 6 5 2 3 3" xfId="0"/>
    <cellStyle name="Normal 61 6 5 2 3 3 2" xfId="0"/>
    <cellStyle name="Normal 61 6 5 2 3 3 2 2" xfId="0"/>
    <cellStyle name="Normal 61 6 5 2 3 3 3" xfId="0"/>
    <cellStyle name="Normal 61 6 5 2 3 4" xfId="0"/>
    <cellStyle name="Normal 61 6 5 2 3 4 2" xfId="0"/>
    <cellStyle name="Normal 61 6 5 2 3 4 2 2" xfId="0"/>
    <cellStyle name="Normal 61 6 5 2 3 4 3" xfId="0"/>
    <cellStyle name="Normal 61 6 5 2 3 5" xfId="0"/>
    <cellStyle name="Normal 61 6 5 2 3 5 2" xfId="0"/>
    <cellStyle name="Normal 61 6 5 2 3 6" xfId="0"/>
    <cellStyle name="Normal 61 6 5 2 4" xfId="0"/>
    <cellStyle name="Normal 61 6 5 2 4 2" xfId="0"/>
    <cellStyle name="Normal 61 6 5 2 4 2 2" xfId="0"/>
    <cellStyle name="Normal 61 6 5 2 4 2 2 2" xfId="0"/>
    <cellStyle name="Normal 61 6 5 2 4 2 3" xfId="0"/>
    <cellStyle name="Normal 61 6 5 2 4 3" xfId="0"/>
    <cellStyle name="Normal 61 6 5 2 4 3 2" xfId="0"/>
    <cellStyle name="Normal 61 6 5 2 4 3 2 2" xfId="0"/>
    <cellStyle name="Normal 61 6 5 2 4 3 3" xfId="0"/>
    <cellStyle name="Normal 61 6 5 2 4 4" xfId="0"/>
    <cellStyle name="Normal 61 6 5 2 4 4 2" xfId="0"/>
    <cellStyle name="Normal 61 6 5 2 4 5" xfId="0"/>
    <cellStyle name="Normal 61 6 5 2 5" xfId="0"/>
    <cellStyle name="Normal 61 6 5 2 5 2" xfId="0"/>
    <cellStyle name="Normal 61 6 5 2 5 2 2" xfId="0"/>
    <cellStyle name="Normal 61 6 5 2 5 3" xfId="0"/>
    <cellStyle name="Normal 61 6 5 2 6" xfId="0"/>
    <cellStyle name="Normal 61 6 5 2 6 2" xfId="0"/>
    <cellStyle name="Normal 61 6 5 2 6 2 2" xfId="0"/>
    <cellStyle name="Normal 61 6 5 2 6 3" xfId="0"/>
    <cellStyle name="Normal 61 6 5 2 7" xfId="0"/>
    <cellStyle name="Normal 61 6 5 2 7 2" xfId="0"/>
    <cellStyle name="Normal 61 6 5 2 8" xfId="0"/>
    <cellStyle name="Normal 61 6 5 3" xfId="0"/>
    <cellStyle name="Normal 61 6 5 3 2" xfId="0"/>
    <cellStyle name="Normal 61 6 5 3 2 2" xfId="0"/>
    <cellStyle name="Normal 61 6 5 3 2 2 2" xfId="0"/>
    <cellStyle name="Normal 61 6 5 3 2 2 2 2" xfId="0"/>
    <cellStyle name="Normal 61 6 5 3 2 2 2 2 2" xfId="0"/>
    <cellStyle name="Normal 61 6 5 3 2 2 2 3" xfId="0"/>
    <cellStyle name="Normal 61 6 5 3 2 2 3" xfId="0"/>
    <cellStyle name="Normal 61 6 5 3 2 2 3 2" xfId="0"/>
    <cellStyle name="Normal 61 6 5 3 2 2 3 2 2" xfId="0"/>
    <cellStyle name="Normal 61 6 5 3 2 2 3 3" xfId="0"/>
    <cellStyle name="Normal 61 6 5 3 2 2 4" xfId="0"/>
    <cellStyle name="Normal 61 6 5 3 2 2 4 2" xfId="0"/>
    <cellStyle name="Normal 61 6 5 3 2 2 5" xfId="0"/>
    <cellStyle name="Normal 61 6 5 3 2 3" xfId="0"/>
    <cellStyle name="Normal 61 6 5 3 2 3 2" xfId="0"/>
    <cellStyle name="Normal 61 6 5 3 2 3 2 2" xfId="0"/>
    <cellStyle name="Normal 61 6 5 3 2 3 3" xfId="0"/>
    <cellStyle name="Normal 61 6 5 3 2 4" xfId="0"/>
    <cellStyle name="Normal 61 6 5 3 2 4 2" xfId="0"/>
    <cellStyle name="Normal 61 6 5 3 2 4 2 2" xfId="0"/>
    <cellStyle name="Normal 61 6 5 3 2 4 3" xfId="0"/>
    <cellStyle name="Normal 61 6 5 3 2 5" xfId="0"/>
    <cellStyle name="Normal 61 6 5 3 2 5 2" xfId="0"/>
    <cellStyle name="Normal 61 6 5 3 2 6" xfId="0"/>
    <cellStyle name="Normal 61 6 5 3 3" xfId="0"/>
    <cellStyle name="Normal 61 6 5 3 3 2" xfId="0"/>
    <cellStyle name="Normal 61 6 5 3 3 2 2" xfId="0"/>
    <cellStyle name="Normal 61 6 5 3 3 2 2 2" xfId="0"/>
    <cellStyle name="Normal 61 6 5 3 3 2 3" xfId="0"/>
    <cellStyle name="Normal 61 6 5 3 3 3" xfId="0"/>
    <cellStyle name="Normal 61 6 5 3 3 3 2" xfId="0"/>
    <cellStyle name="Normal 61 6 5 3 3 3 2 2" xfId="0"/>
    <cellStyle name="Normal 61 6 5 3 3 3 3" xfId="0"/>
    <cellStyle name="Normal 61 6 5 3 3 4" xfId="0"/>
    <cellStyle name="Normal 61 6 5 3 3 4 2" xfId="0"/>
    <cellStyle name="Normal 61 6 5 3 3 5" xfId="0"/>
    <cellStyle name="Normal 61 6 5 3 4" xfId="0"/>
    <cellStyle name="Normal 61 6 5 3 4 2" xfId="0"/>
    <cellStyle name="Normal 61 6 5 3 4 2 2" xfId="0"/>
    <cellStyle name="Normal 61 6 5 3 4 3" xfId="0"/>
    <cellStyle name="Normal 61 6 5 3 5" xfId="0"/>
    <cellStyle name="Normal 61 6 5 3 5 2" xfId="0"/>
    <cellStyle name="Normal 61 6 5 3 5 2 2" xfId="0"/>
    <cellStyle name="Normal 61 6 5 3 5 3" xfId="0"/>
    <cellStyle name="Normal 61 6 5 3 6" xfId="0"/>
    <cellStyle name="Normal 61 6 5 3 6 2" xfId="0"/>
    <cellStyle name="Normal 61 6 5 3 7" xfId="0"/>
    <cellStyle name="Normal 61 6 5 4" xfId="0"/>
    <cellStyle name="Normal 61 6 5 4 2" xfId="0"/>
    <cellStyle name="Normal 61 6 5 4 2 2" xfId="0"/>
    <cellStyle name="Normal 61 6 5 4 2 2 2" xfId="0"/>
    <cellStyle name="Normal 61 6 5 4 2 2 2 2" xfId="0"/>
    <cellStyle name="Normal 61 6 5 4 2 2 3" xfId="0"/>
    <cellStyle name="Normal 61 6 5 4 2 3" xfId="0"/>
    <cellStyle name="Normal 61 6 5 4 2 3 2" xfId="0"/>
    <cellStyle name="Normal 61 6 5 4 2 3 2 2" xfId="0"/>
    <cellStyle name="Normal 61 6 5 4 2 3 3" xfId="0"/>
    <cellStyle name="Normal 61 6 5 4 2 4" xfId="0"/>
    <cellStyle name="Normal 61 6 5 4 2 4 2" xfId="0"/>
    <cellStyle name="Normal 61 6 5 4 2 5" xfId="0"/>
    <cellStyle name="Normal 61 6 5 4 3" xfId="0"/>
    <cellStyle name="Normal 61 6 5 4 3 2" xfId="0"/>
    <cellStyle name="Normal 61 6 5 4 3 2 2" xfId="0"/>
    <cellStyle name="Normal 61 6 5 4 3 3" xfId="0"/>
    <cellStyle name="Normal 61 6 5 4 4" xfId="0"/>
    <cellStyle name="Normal 61 6 5 4 4 2" xfId="0"/>
    <cellStyle name="Normal 61 6 5 4 4 2 2" xfId="0"/>
    <cellStyle name="Normal 61 6 5 4 4 3" xfId="0"/>
    <cellStyle name="Normal 61 6 5 4 5" xfId="0"/>
    <cellStyle name="Normal 61 6 5 4 5 2" xfId="0"/>
    <cellStyle name="Normal 61 6 5 4 6" xfId="0"/>
    <cellStyle name="Normal 61 6 5 5" xfId="0"/>
    <cellStyle name="Normal 61 6 5 5 2" xfId="0"/>
    <cellStyle name="Normal 61 6 5 5 2 2" xfId="0"/>
    <cellStyle name="Normal 61 6 5 5 2 2 2" xfId="0"/>
    <cellStyle name="Normal 61 6 5 5 2 3" xfId="0"/>
    <cellStyle name="Normal 61 6 5 5 3" xfId="0"/>
    <cellStyle name="Normal 61 6 5 5 3 2" xfId="0"/>
    <cellStyle name="Normal 61 6 5 5 3 2 2" xfId="0"/>
    <cellStyle name="Normal 61 6 5 5 3 3" xfId="0"/>
    <cellStyle name="Normal 61 6 5 5 4" xfId="0"/>
    <cellStyle name="Normal 61 6 5 5 4 2" xfId="0"/>
    <cellStyle name="Normal 61 6 5 5 5" xfId="0"/>
    <cellStyle name="Normal 61 6 5 6" xfId="0"/>
    <cellStyle name="Normal 61 6 5 6 2" xfId="0"/>
    <cellStyle name="Normal 61 6 5 6 2 2" xfId="0"/>
    <cellStyle name="Normal 61 6 5 6 3" xfId="0"/>
    <cellStyle name="Normal 61 6 5 7" xfId="0"/>
    <cellStyle name="Normal 61 6 5 7 2" xfId="0"/>
    <cellStyle name="Normal 61 6 5 7 2 2" xfId="0"/>
    <cellStyle name="Normal 61 6 5 7 3" xfId="0"/>
    <cellStyle name="Normal 61 6 5 8" xfId="0"/>
    <cellStyle name="Normal 61 6 5 8 2" xfId="0"/>
    <cellStyle name="Normal 61 6 5 9" xfId="0"/>
    <cellStyle name="Normal 61 6 6" xfId="0"/>
    <cellStyle name="Normal 61 6 6 2" xfId="0"/>
    <cellStyle name="Normal 61 6 6 2 2" xfId="0"/>
    <cellStyle name="Normal 61 6 6 2 2 2" xfId="0"/>
    <cellStyle name="Normal 61 6 6 2 2 2 2" xfId="0"/>
    <cellStyle name="Normal 61 6 6 2 2 2 2 2" xfId="0"/>
    <cellStyle name="Normal 61 6 6 2 2 2 2 2 2" xfId="0"/>
    <cellStyle name="Normal 61 6 6 2 2 2 2 3" xfId="0"/>
    <cellStyle name="Normal 61 6 6 2 2 2 3" xfId="0"/>
    <cellStyle name="Normal 61 6 6 2 2 2 3 2" xfId="0"/>
    <cellStyle name="Normal 61 6 6 2 2 2 3 2 2" xfId="0"/>
    <cellStyle name="Normal 61 6 6 2 2 2 3 3" xfId="0"/>
    <cellStyle name="Normal 61 6 6 2 2 2 4" xfId="0"/>
    <cellStyle name="Normal 61 6 6 2 2 2 4 2" xfId="0"/>
    <cellStyle name="Normal 61 6 6 2 2 2 5" xfId="0"/>
    <cellStyle name="Normal 61 6 6 2 2 3" xfId="0"/>
    <cellStyle name="Normal 61 6 6 2 2 3 2" xfId="0"/>
    <cellStyle name="Normal 61 6 6 2 2 3 2 2" xfId="0"/>
    <cellStyle name="Normal 61 6 6 2 2 3 3" xfId="0"/>
    <cellStyle name="Normal 61 6 6 2 2 4" xfId="0"/>
    <cellStyle name="Normal 61 6 6 2 2 4 2" xfId="0"/>
    <cellStyle name="Normal 61 6 6 2 2 4 2 2" xfId="0"/>
    <cellStyle name="Normal 61 6 6 2 2 4 3" xfId="0"/>
    <cellStyle name="Normal 61 6 6 2 2 5" xfId="0"/>
    <cellStyle name="Normal 61 6 6 2 2 5 2" xfId="0"/>
    <cellStyle name="Normal 61 6 6 2 2 6" xfId="0"/>
    <cellStyle name="Normal 61 6 6 2 3" xfId="0"/>
    <cellStyle name="Normal 61 6 6 2 3 2" xfId="0"/>
    <cellStyle name="Normal 61 6 6 2 3 2 2" xfId="0"/>
    <cellStyle name="Normal 61 6 6 2 3 2 2 2" xfId="0"/>
    <cellStyle name="Normal 61 6 6 2 3 2 3" xfId="0"/>
    <cellStyle name="Normal 61 6 6 2 3 3" xfId="0"/>
    <cellStyle name="Normal 61 6 6 2 3 3 2" xfId="0"/>
    <cellStyle name="Normal 61 6 6 2 3 3 2 2" xfId="0"/>
    <cellStyle name="Normal 61 6 6 2 3 3 3" xfId="0"/>
    <cellStyle name="Normal 61 6 6 2 3 4" xfId="0"/>
    <cellStyle name="Normal 61 6 6 2 3 4 2" xfId="0"/>
    <cellStyle name="Normal 61 6 6 2 3 5" xfId="0"/>
    <cellStyle name="Normal 61 6 6 2 4" xfId="0"/>
    <cellStyle name="Normal 61 6 6 2 4 2" xfId="0"/>
    <cellStyle name="Normal 61 6 6 2 4 2 2" xfId="0"/>
    <cellStyle name="Normal 61 6 6 2 4 3" xfId="0"/>
    <cellStyle name="Normal 61 6 6 2 5" xfId="0"/>
    <cellStyle name="Normal 61 6 6 2 5 2" xfId="0"/>
    <cellStyle name="Normal 61 6 6 2 5 2 2" xfId="0"/>
    <cellStyle name="Normal 61 6 6 2 5 3" xfId="0"/>
    <cellStyle name="Normal 61 6 6 2 6" xfId="0"/>
    <cellStyle name="Normal 61 6 6 2 6 2" xfId="0"/>
    <cellStyle name="Normal 61 6 6 2 7" xfId="0"/>
    <cellStyle name="Normal 61 6 6 3" xfId="0"/>
    <cellStyle name="Normal 61 6 6 3 2" xfId="0"/>
    <cellStyle name="Normal 61 6 6 3 2 2" xfId="0"/>
    <cellStyle name="Normal 61 6 6 3 2 2 2" xfId="0"/>
    <cellStyle name="Normal 61 6 6 3 2 2 2 2" xfId="0"/>
    <cellStyle name="Normal 61 6 6 3 2 2 3" xfId="0"/>
    <cellStyle name="Normal 61 6 6 3 2 3" xfId="0"/>
    <cellStyle name="Normal 61 6 6 3 2 3 2" xfId="0"/>
    <cellStyle name="Normal 61 6 6 3 2 3 2 2" xfId="0"/>
    <cellStyle name="Normal 61 6 6 3 2 3 3" xfId="0"/>
    <cellStyle name="Normal 61 6 6 3 2 4" xfId="0"/>
    <cellStyle name="Normal 61 6 6 3 2 4 2" xfId="0"/>
    <cellStyle name="Normal 61 6 6 3 2 5" xfId="0"/>
    <cellStyle name="Normal 61 6 6 3 3" xfId="0"/>
    <cellStyle name="Normal 61 6 6 3 3 2" xfId="0"/>
    <cellStyle name="Normal 61 6 6 3 3 2 2" xfId="0"/>
    <cellStyle name="Normal 61 6 6 3 3 3" xfId="0"/>
    <cellStyle name="Normal 61 6 6 3 4" xfId="0"/>
    <cellStyle name="Normal 61 6 6 3 4 2" xfId="0"/>
    <cellStyle name="Normal 61 6 6 3 4 2 2" xfId="0"/>
    <cellStyle name="Normal 61 6 6 3 4 3" xfId="0"/>
    <cellStyle name="Normal 61 6 6 3 5" xfId="0"/>
    <cellStyle name="Normal 61 6 6 3 5 2" xfId="0"/>
    <cellStyle name="Normal 61 6 6 3 6" xfId="0"/>
    <cellStyle name="Normal 61 6 6 4" xfId="0"/>
    <cellStyle name="Normal 61 6 6 4 2" xfId="0"/>
    <cellStyle name="Normal 61 6 6 4 2 2" xfId="0"/>
    <cellStyle name="Normal 61 6 6 4 2 2 2" xfId="0"/>
    <cellStyle name="Normal 61 6 6 4 2 3" xfId="0"/>
    <cellStyle name="Normal 61 6 6 4 3" xfId="0"/>
    <cellStyle name="Normal 61 6 6 4 3 2" xfId="0"/>
    <cellStyle name="Normal 61 6 6 4 3 2 2" xfId="0"/>
    <cellStyle name="Normal 61 6 6 4 3 3" xfId="0"/>
    <cellStyle name="Normal 61 6 6 4 4" xfId="0"/>
    <cellStyle name="Normal 61 6 6 4 4 2" xfId="0"/>
    <cellStyle name="Normal 61 6 6 4 5" xfId="0"/>
    <cellStyle name="Normal 61 6 6 5" xfId="0"/>
    <cellStyle name="Normal 61 6 6 5 2" xfId="0"/>
    <cellStyle name="Normal 61 6 6 5 2 2" xfId="0"/>
    <cellStyle name="Normal 61 6 6 5 3" xfId="0"/>
    <cellStyle name="Normal 61 6 6 6" xfId="0"/>
    <cellStyle name="Normal 61 6 6 6 2" xfId="0"/>
    <cellStyle name="Normal 61 6 6 6 2 2" xfId="0"/>
    <cellStyle name="Normal 61 6 6 6 3" xfId="0"/>
    <cellStyle name="Normal 61 6 6 7" xfId="0"/>
    <cellStyle name="Normal 61 6 6 7 2" xfId="0"/>
    <cellStyle name="Normal 61 6 6 8" xfId="0"/>
    <cellStyle name="Normal 61 6 7" xfId="0"/>
    <cellStyle name="Normal 61 6 7 2" xfId="0"/>
    <cellStyle name="Normal 61 6 7 2 2" xfId="0"/>
    <cellStyle name="Normal 61 6 7 2 2 2" xfId="0"/>
    <cellStyle name="Normal 61 6 7 2 2 2 2" xfId="0"/>
    <cellStyle name="Normal 61 6 7 2 2 2 2 2" xfId="0"/>
    <cellStyle name="Normal 61 6 7 2 2 2 3" xfId="0"/>
    <cellStyle name="Normal 61 6 7 2 2 3" xfId="0"/>
    <cellStyle name="Normal 61 6 7 2 2 3 2" xfId="0"/>
    <cellStyle name="Normal 61 6 7 2 2 3 2 2" xfId="0"/>
    <cellStyle name="Normal 61 6 7 2 2 3 3" xfId="0"/>
    <cellStyle name="Normal 61 6 7 2 2 4" xfId="0"/>
    <cellStyle name="Normal 61 6 7 2 2 4 2" xfId="0"/>
    <cellStyle name="Normal 61 6 7 2 2 5" xfId="0"/>
    <cellStyle name="Normal 61 6 7 2 3" xfId="0"/>
    <cellStyle name="Normal 61 6 7 2 3 2" xfId="0"/>
    <cellStyle name="Normal 61 6 7 2 3 2 2" xfId="0"/>
    <cellStyle name="Normal 61 6 7 2 3 3" xfId="0"/>
    <cellStyle name="Normal 61 6 7 2 4" xfId="0"/>
    <cellStyle name="Normal 61 6 7 2 4 2" xfId="0"/>
    <cellStyle name="Normal 61 6 7 2 4 2 2" xfId="0"/>
    <cellStyle name="Normal 61 6 7 2 4 3" xfId="0"/>
    <cellStyle name="Normal 61 6 7 2 5" xfId="0"/>
    <cellStyle name="Normal 61 6 7 2 5 2" xfId="0"/>
    <cellStyle name="Normal 61 6 7 2 6" xfId="0"/>
    <cellStyle name="Normal 61 6 7 3" xfId="0"/>
    <cellStyle name="Normal 61 6 7 3 2" xfId="0"/>
    <cellStyle name="Normal 61 6 7 3 2 2" xfId="0"/>
    <cellStyle name="Normal 61 6 7 3 2 2 2" xfId="0"/>
    <cellStyle name="Normal 61 6 7 3 2 3" xfId="0"/>
    <cellStyle name="Normal 61 6 7 3 3" xfId="0"/>
    <cellStyle name="Normal 61 6 7 3 3 2" xfId="0"/>
    <cellStyle name="Normal 61 6 7 3 3 2 2" xfId="0"/>
    <cellStyle name="Normal 61 6 7 3 3 3" xfId="0"/>
    <cellStyle name="Normal 61 6 7 3 4" xfId="0"/>
    <cellStyle name="Normal 61 6 7 3 4 2" xfId="0"/>
    <cellStyle name="Normal 61 6 7 3 5" xfId="0"/>
    <cellStyle name="Normal 61 6 7 4" xfId="0"/>
    <cellStyle name="Normal 61 6 7 4 2" xfId="0"/>
    <cellStyle name="Normal 61 6 7 4 2 2" xfId="0"/>
    <cellStyle name="Normal 61 6 7 4 3" xfId="0"/>
    <cellStyle name="Normal 61 6 7 5" xfId="0"/>
    <cellStyle name="Normal 61 6 7 5 2" xfId="0"/>
    <cellStyle name="Normal 61 6 7 5 2 2" xfId="0"/>
    <cellStyle name="Normal 61 6 7 5 3" xfId="0"/>
    <cellStyle name="Normal 61 6 7 6" xfId="0"/>
    <cellStyle name="Normal 61 6 7 6 2" xfId="0"/>
    <cellStyle name="Normal 61 6 7 7" xfId="0"/>
    <cellStyle name="Normal 61 6 8" xfId="0"/>
    <cellStyle name="Normal 61 6 8 2" xfId="0"/>
    <cellStyle name="Normal 61 6 8 2 2" xfId="0"/>
    <cellStyle name="Normal 61 6 8 2 2 2" xfId="0"/>
    <cellStyle name="Normal 61 6 8 2 2 2 2" xfId="0"/>
    <cellStyle name="Normal 61 6 8 2 2 3" xfId="0"/>
    <cellStyle name="Normal 61 6 8 2 3" xfId="0"/>
    <cellStyle name="Normal 61 6 8 2 3 2" xfId="0"/>
    <cellStyle name="Normal 61 6 8 2 3 2 2" xfId="0"/>
    <cellStyle name="Normal 61 6 8 2 3 3" xfId="0"/>
    <cellStyle name="Normal 61 6 8 2 4" xfId="0"/>
    <cellStyle name="Normal 61 6 8 2 4 2" xfId="0"/>
    <cellStyle name="Normal 61 6 8 2 5" xfId="0"/>
    <cellStyle name="Normal 61 6 8 3" xfId="0"/>
    <cellStyle name="Normal 61 6 8 3 2" xfId="0"/>
    <cellStyle name="Normal 61 6 8 3 2 2" xfId="0"/>
    <cellStyle name="Normal 61 6 8 3 3" xfId="0"/>
    <cellStyle name="Normal 61 6 8 4" xfId="0"/>
    <cellStyle name="Normal 61 6 8 4 2" xfId="0"/>
    <cellStyle name="Normal 61 6 8 4 2 2" xfId="0"/>
    <cellStyle name="Normal 61 6 8 4 3" xfId="0"/>
    <cellStyle name="Normal 61 6 8 5" xfId="0"/>
    <cellStyle name="Normal 61 6 8 5 2" xfId="0"/>
    <cellStyle name="Normal 61 6 8 6" xfId="0"/>
    <cellStyle name="Normal 61 6 9" xfId="0"/>
    <cellStyle name="Normal 61 6 9 2" xfId="0"/>
    <cellStyle name="Normal 61 6 9 2 2" xfId="0"/>
    <cellStyle name="Normal 61 6 9 2 2 2" xfId="0"/>
    <cellStyle name="Normal 61 6 9 2 3" xfId="0"/>
    <cellStyle name="Normal 61 6 9 3" xfId="0"/>
    <cellStyle name="Normal 61 6 9 3 2" xfId="0"/>
    <cellStyle name="Normal 61 6 9 3 2 2" xfId="0"/>
    <cellStyle name="Normal 61 6 9 3 3" xfId="0"/>
    <cellStyle name="Normal 61 6 9 4" xfId="0"/>
    <cellStyle name="Normal 61 6 9 4 2" xfId="0"/>
    <cellStyle name="Normal 61 6 9 5" xfId="0"/>
    <cellStyle name="Normal 61 7" xfId="0"/>
    <cellStyle name="Normal 61 7 10" xfId="0"/>
    <cellStyle name="Normal 61 7 10 2" xfId="0"/>
    <cellStyle name="Normal 61 7 10 2 2" xfId="0"/>
    <cellStyle name="Normal 61 7 10 3" xfId="0"/>
    <cellStyle name="Normal 61 7 11" xfId="0"/>
    <cellStyle name="Normal 61 7 11 2" xfId="0"/>
    <cellStyle name="Normal 61 7 12" xfId="0"/>
    <cellStyle name="Normal 61 7 2" xfId="0"/>
    <cellStyle name="Normal 61 7 2 10" xfId="0"/>
    <cellStyle name="Normal 61 7 2 2" xfId="0"/>
    <cellStyle name="Normal 61 7 2 2 2" xfId="0"/>
    <cellStyle name="Normal 61 7 2 2 2 2" xfId="0"/>
    <cellStyle name="Normal 61 7 2 2 2 2 2" xfId="0"/>
    <cellStyle name="Normal 61 7 2 2 2 2 2 2" xfId="0"/>
    <cellStyle name="Normal 61 7 2 2 2 2 2 2 2" xfId="0"/>
    <cellStyle name="Normal 61 7 2 2 2 2 2 2 2 2" xfId="0"/>
    <cellStyle name="Normal 61 7 2 2 2 2 2 2 2 2 2" xfId="0"/>
    <cellStyle name="Normal 61 7 2 2 2 2 2 2 2 3" xfId="0"/>
    <cellStyle name="Normal 61 7 2 2 2 2 2 2 3" xfId="0"/>
    <cellStyle name="Normal 61 7 2 2 2 2 2 2 3 2" xfId="0"/>
    <cellStyle name="Normal 61 7 2 2 2 2 2 2 3 2 2" xfId="0"/>
    <cellStyle name="Normal 61 7 2 2 2 2 2 2 3 3" xfId="0"/>
    <cellStyle name="Normal 61 7 2 2 2 2 2 2 4" xfId="0"/>
    <cellStyle name="Normal 61 7 2 2 2 2 2 2 4 2" xfId="0"/>
    <cellStyle name="Normal 61 7 2 2 2 2 2 2 5" xfId="0"/>
    <cellStyle name="Normal 61 7 2 2 2 2 2 3" xfId="0"/>
    <cellStyle name="Normal 61 7 2 2 2 2 2 3 2" xfId="0"/>
    <cellStyle name="Normal 61 7 2 2 2 2 2 3 2 2" xfId="0"/>
    <cellStyle name="Normal 61 7 2 2 2 2 2 3 3" xfId="0"/>
    <cellStyle name="Normal 61 7 2 2 2 2 2 4" xfId="0"/>
    <cellStyle name="Normal 61 7 2 2 2 2 2 4 2" xfId="0"/>
    <cellStyle name="Normal 61 7 2 2 2 2 2 4 2 2" xfId="0"/>
    <cellStyle name="Normal 61 7 2 2 2 2 2 4 3" xfId="0"/>
    <cellStyle name="Normal 61 7 2 2 2 2 2 5" xfId="0"/>
    <cellStyle name="Normal 61 7 2 2 2 2 2 5 2" xfId="0"/>
    <cellStyle name="Normal 61 7 2 2 2 2 2 6" xfId="0"/>
    <cellStyle name="Normal 61 7 2 2 2 2 3" xfId="0"/>
    <cellStyle name="Normal 61 7 2 2 2 2 3 2" xfId="0"/>
    <cellStyle name="Normal 61 7 2 2 2 2 3 2 2" xfId="0"/>
    <cellStyle name="Normal 61 7 2 2 2 2 3 2 2 2" xfId="0"/>
    <cellStyle name="Normal 61 7 2 2 2 2 3 2 3" xfId="0"/>
    <cellStyle name="Normal 61 7 2 2 2 2 3 3" xfId="0"/>
    <cellStyle name="Normal 61 7 2 2 2 2 3 3 2" xfId="0"/>
    <cellStyle name="Normal 61 7 2 2 2 2 3 3 2 2" xfId="0"/>
    <cellStyle name="Normal 61 7 2 2 2 2 3 3 3" xfId="0"/>
    <cellStyle name="Normal 61 7 2 2 2 2 3 4" xfId="0"/>
    <cellStyle name="Normal 61 7 2 2 2 2 3 4 2" xfId="0"/>
    <cellStyle name="Normal 61 7 2 2 2 2 3 5" xfId="0"/>
    <cellStyle name="Normal 61 7 2 2 2 2 4" xfId="0"/>
    <cellStyle name="Normal 61 7 2 2 2 2 4 2" xfId="0"/>
    <cellStyle name="Normal 61 7 2 2 2 2 4 2 2" xfId="0"/>
    <cellStyle name="Normal 61 7 2 2 2 2 4 3" xfId="0"/>
    <cellStyle name="Normal 61 7 2 2 2 2 5" xfId="0"/>
    <cellStyle name="Normal 61 7 2 2 2 2 5 2" xfId="0"/>
    <cellStyle name="Normal 61 7 2 2 2 2 5 2 2" xfId="0"/>
    <cellStyle name="Normal 61 7 2 2 2 2 5 3" xfId="0"/>
    <cellStyle name="Normal 61 7 2 2 2 2 6" xfId="0"/>
    <cellStyle name="Normal 61 7 2 2 2 2 6 2" xfId="0"/>
    <cellStyle name="Normal 61 7 2 2 2 2 7" xfId="0"/>
    <cellStyle name="Normal 61 7 2 2 2 3" xfId="0"/>
    <cellStyle name="Normal 61 7 2 2 2 3 2" xfId="0"/>
    <cellStyle name="Normal 61 7 2 2 2 3 2 2" xfId="0"/>
    <cellStyle name="Normal 61 7 2 2 2 3 2 2 2" xfId="0"/>
    <cellStyle name="Normal 61 7 2 2 2 3 2 2 2 2" xfId="0"/>
    <cellStyle name="Normal 61 7 2 2 2 3 2 2 3" xfId="0"/>
    <cellStyle name="Normal 61 7 2 2 2 3 2 3" xfId="0"/>
    <cellStyle name="Normal 61 7 2 2 2 3 2 3 2" xfId="0"/>
    <cellStyle name="Normal 61 7 2 2 2 3 2 3 2 2" xfId="0"/>
    <cellStyle name="Normal 61 7 2 2 2 3 2 3 3" xfId="0"/>
    <cellStyle name="Normal 61 7 2 2 2 3 2 4" xfId="0"/>
    <cellStyle name="Normal 61 7 2 2 2 3 2 4 2" xfId="0"/>
    <cellStyle name="Normal 61 7 2 2 2 3 2 5" xfId="0"/>
    <cellStyle name="Normal 61 7 2 2 2 3 3" xfId="0"/>
    <cellStyle name="Normal 61 7 2 2 2 3 3 2" xfId="0"/>
    <cellStyle name="Normal 61 7 2 2 2 3 3 2 2" xfId="0"/>
    <cellStyle name="Normal 61 7 2 2 2 3 3 3" xfId="0"/>
    <cellStyle name="Normal 61 7 2 2 2 3 4" xfId="0"/>
    <cellStyle name="Normal 61 7 2 2 2 3 4 2" xfId="0"/>
    <cellStyle name="Normal 61 7 2 2 2 3 4 2 2" xfId="0"/>
    <cellStyle name="Normal 61 7 2 2 2 3 4 3" xfId="0"/>
    <cellStyle name="Normal 61 7 2 2 2 3 5" xfId="0"/>
    <cellStyle name="Normal 61 7 2 2 2 3 5 2" xfId="0"/>
    <cellStyle name="Normal 61 7 2 2 2 3 6" xfId="0"/>
    <cellStyle name="Normal 61 7 2 2 2 4" xfId="0"/>
    <cellStyle name="Normal 61 7 2 2 2 4 2" xfId="0"/>
    <cellStyle name="Normal 61 7 2 2 2 4 2 2" xfId="0"/>
    <cellStyle name="Normal 61 7 2 2 2 4 2 2 2" xfId="0"/>
    <cellStyle name="Normal 61 7 2 2 2 4 2 3" xfId="0"/>
    <cellStyle name="Normal 61 7 2 2 2 4 3" xfId="0"/>
    <cellStyle name="Normal 61 7 2 2 2 4 3 2" xfId="0"/>
    <cellStyle name="Normal 61 7 2 2 2 4 3 2 2" xfId="0"/>
    <cellStyle name="Normal 61 7 2 2 2 4 3 3" xfId="0"/>
    <cellStyle name="Normal 61 7 2 2 2 4 4" xfId="0"/>
    <cellStyle name="Normal 61 7 2 2 2 4 4 2" xfId="0"/>
    <cellStyle name="Normal 61 7 2 2 2 4 5" xfId="0"/>
    <cellStyle name="Normal 61 7 2 2 2 5" xfId="0"/>
    <cellStyle name="Normal 61 7 2 2 2 5 2" xfId="0"/>
    <cellStyle name="Normal 61 7 2 2 2 5 2 2" xfId="0"/>
    <cellStyle name="Normal 61 7 2 2 2 5 3" xfId="0"/>
    <cellStyle name="Normal 61 7 2 2 2 6" xfId="0"/>
    <cellStyle name="Normal 61 7 2 2 2 6 2" xfId="0"/>
    <cellStyle name="Normal 61 7 2 2 2 6 2 2" xfId="0"/>
    <cellStyle name="Normal 61 7 2 2 2 6 3" xfId="0"/>
    <cellStyle name="Normal 61 7 2 2 2 7" xfId="0"/>
    <cellStyle name="Normal 61 7 2 2 2 7 2" xfId="0"/>
    <cellStyle name="Normal 61 7 2 2 2 8" xfId="0"/>
    <cellStyle name="Normal 61 7 2 2 3" xfId="0"/>
    <cellStyle name="Normal 61 7 2 2 3 2" xfId="0"/>
    <cellStyle name="Normal 61 7 2 2 3 2 2" xfId="0"/>
    <cellStyle name="Normal 61 7 2 2 3 2 2 2" xfId="0"/>
    <cellStyle name="Normal 61 7 2 2 3 2 2 2 2" xfId="0"/>
    <cellStyle name="Normal 61 7 2 2 3 2 2 2 2 2" xfId="0"/>
    <cellStyle name="Normal 61 7 2 2 3 2 2 2 3" xfId="0"/>
    <cellStyle name="Normal 61 7 2 2 3 2 2 3" xfId="0"/>
    <cellStyle name="Normal 61 7 2 2 3 2 2 3 2" xfId="0"/>
    <cellStyle name="Normal 61 7 2 2 3 2 2 3 2 2" xfId="0"/>
    <cellStyle name="Normal 61 7 2 2 3 2 2 3 3" xfId="0"/>
    <cellStyle name="Normal 61 7 2 2 3 2 2 4" xfId="0"/>
    <cellStyle name="Normal 61 7 2 2 3 2 2 4 2" xfId="0"/>
    <cellStyle name="Normal 61 7 2 2 3 2 2 5" xfId="0"/>
    <cellStyle name="Normal 61 7 2 2 3 2 3" xfId="0"/>
    <cellStyle name="Normal 61 7 2 2 3 2 3 2" xfId="0"/>
    <cellStyle name="Normal 61 7 2 2 3 2 3 2 2" xfId="0"/>
    <cellStyle name="Normal 61 7 2 2 3 2 3 3" xfId="0"/>
    <cellStyle name="Normal 61 7 2 2 3 2 4" xfId="0"/>
    <cellStyle name="Normal 61 7 2 2 3 2 4 2" xfId="0"/>
    <cellStyle name="Normal 61 7 2 2 3 2 4 2 2" xfId="0"/>
    <cellStyle name="Normal 61 7 2 2 3 2 4 3" xfId="0"/>
    <cellStyle name="Normal 61 7 2 2 3 2 5" xfId="0"/>
    <cellStyle name="Normal 61 7 2 2 3 2 5 2" xfId="0"/>
    <cellStyle name="Normal 61 7 2 2 3 2 6" xfId="0"/>
    <cellStyle name="Normal 61 7 2 2 3 3" xfId="0"/>
    <cellStyle name="Normal 61 7 2 2 3 3 2" xfId="0"/>
    <cellStyle name="Normal 61 7 2 2 3 3 2 2" xfId="0"/>
    <cellStyle name="Normal 61 7 2 2 3 3 2 2 2" xfId="0"/>
    <cellStyle name="Normal 61 7 2 2 3 3 2 3" xfId="0"/>
    <cellStyle name="Normal 61 7 2 2 3 3 3" xfId="0"/>
    <cellStyle name="Normal 61 7 2 2 3 3 3 2" xfId="0"/>
    <cellStyle name="Normal 61 7 2 2 3 3 3 2 2" xfId="0"/>
    <cellStyle name="Normal 61 7 2 2 3 3 3 3" xfId="0"/>
    <cellStyle name="Normal 61 7 2 2 3 3 4" xfId="0"/>
    <cellStyle name="Normal 61 7 2 2 3 3 4 2" xfId="0"/>
    <cellStyle name="Normal 61 7 2 2 3 3 5" xfId="0"/>
    <cellStyle name="Normal 61 7 2 2 3 4" xfId="0"/>
    <cellStyle name="Normal 61 7 2 2 3 4 2" xfId="0"/>
    <cellStyle name="Normal 61 7 2 2 3 4 2 2" xfId="0"/>
    <cellStyle name="Normal 61 7 2 2 3 4 3" xfId="0"/>
    <cellStyle name="Normal 61 7 2 2 3 5" xfId="0"/>
    <cellStyle name="Normal 61 7 2 2 3 5 2" xfId="0"/>
    <cellStyle name="Normal 61 7 2 2 3 5 2 2" xfId="0"/>
    <cellStyle name="Normal 61 7 2 2 3 5 3" xfId="0"/>
    <cellStyle name="Normal 61 7 2 2 3 6" xfId="0"/>
    <cellStyle name="Normal 61 7 2 2 3 6 2" xfId="0"/>
    <cellStyle name="Normal 61 7 2 2 3 7" xfId="0"/>
    <cellStyle name="Normal 61 7 2 2 4" xfId="0"/>
    <cellStyle name="Normal 61 7 2 2 4 2" xfId="0"/>
    <cellStyle name="Normal 61 7 2 2 4 2 2" xfId="0"/>
    <cellStyle name="Normal 61 7 2 2 4 2 2 2" xfId="0"/>
    <cellStyle name="Normal 61 7 2 2 4 2 2 2 2" xfId="0"/>
    <cellStyle name="Normal 61 7 2 2 4 2 2 3" xfId="0"/>
    <cellStyle name="Normal 61 7 2 2 4 2 3" xfId="0"/>
    <cellStyle name="Normal 61 7 2 2 4 2 3 2" xfId="0"/>
    <cellStyle name="Normal 61 7 2 2 4 2 3 2 2" xfId="0"/>
    <cellStyle name="Normal 61 7 2 2 4 2 3 3" xfId="0"/>
    <cellStyle name="Normal 61 7 2 2 4 2 4" xfId="0"/>
    <cellStyle name="Normal 61 7 2 2 4 2 4 2" xfId="0"/>
    <cellStyle name="Normal 61 7 2 2 4 2 5" xfId="0"/>
    <cellStyle name="Normal 61 7 2 2 4 3" xfId="0"/>
    <cellStyle name="Normal 61 7 2 2 4 3 2" xfId="0"/>
    <cellStyle name="Normal 61 7 2 2 4 3 2 2" xfId="0"/>
    <cellStyle name="Normal 61 7 2 2 4 3 3" xfId="0"/>
    <cellStyle name="Normal 61 7 2 2 4 4" xfId="0"/>
    <cellStyle name="Normal 61 7 2 2 4 4 2" xfId="0"/>
    <cellStyle name="Normal 61 7 2 2 4 4 2 2" xfId="0"/>
    <cellStyle name="Normal 61 7 2 2 4 4 3" xfId="0"/>
    <cellStyle name="Normal 61 7 2 2 4 5" xfId="0"/>
    <cellStyle name="Normal 61 7 2 2 4 5 2" xfId="0"/>
    <cellStyle name="Normal 61 7 2 2 4 6" xfId="0"/>
    <cellStyle name="Normal 61 7 2 2 5" xfId="0"/>
    <cellStyle name="Normal 61 7 2 2 5 2" xfId="0"/>
    <cellStyle name="Normal 61 7 2 2 5 2 2" xfId="0"/>
    <cellStyle name="Normal 61 7 2 2 5 2 2 2" xfId="0"/>
    <cellStyle name="Normal 61 7 2 2 5 2 3" xfId="0"/>
    <cellStyle name="Normal 61 7 2 2 5 3" xfId="0"/>
    <cellStyle name="Normal 61 7 2 2 5 3 2" xfId="0"/>
    <cellStyle name="Normal 61 7 2 2 5 3 2 2" xfId="0"/>
    <cellStyle name="Normal 61 7 2 2 5 3 3" xfId="0"/>
    <cellStyle name="Normal 61 7 2 2 5 4" xfId="0"/>
    <cellStyle name="Normal 61 7 2 2 5 4 2" xfId="0"/>
    <cellStyle name="Normal 61 7 2 2 5 5" xfId="0"/>
    <cellStyle name="Normal 61 7 2 2 6" xfId="0"/>
    <cellStyle name="Normal 61 7 2 2 6 2" xfId="0"/>
    <cellStyle name="Normal 61 7 2 2 6 2 2" xfId="0"/>
    <cellStyle name="Normal 61 7 2 2 6 3" xfId="0"/>
    <cellStyle name="Normal 61 7 2 2 7" xfId="0"/>
    <cellStyle name="Normal 61 7 2 2 7 2" xfId="0"/>
    <cellStyle name="Normal 61 7 2 2 7 2 2" xfId="0"/>
    <cellStyle name="Normal 61 7 2 2 7 3" xfId="0"/>
    <cellStyle name="Normal 61 7 2 2 8" xfId="0"/>
    <cellStyle name="Normal 61 7 2 2 8 2" xfId="0"/>
    <cellStyle name="Normal 61 7 2 2 9" xfId="0"/>
    <cellStyle name="Normal 61 7 2 3" xfId="0"/>
    <cellStyle name="Normal 61 7 2 3 2" xfId="0"/>
    <cellStyle name="Normal 61 7 2 3 2 2" xfId="0"/>
    <cellStyle name="Normal 61 7 2 3 2 2 2" xfId="0"/>
    <cellStyle name="Normal 61 7 2 3 2 2 2 2" xfId="0"/>
    <cellStyle name="Normal 61 7 2 3 2 2 2 2 2" xfId="0"/>
    <cellStyle name="Normal 61 7 2 3 2 2 2 2 2 2" xfId="0"/>
    <cellStyle name="Normal 61 7 2 3 2 2 2 2 3" xfId="0"/>
    <cellStyle name="Normal 61 7 2 3 2 2 2 3" xfId="0"/>
    <cellStyle name="Normal 61 7 2 3 2 2 2 3 2" xfId="0"/>
    <cellStyle name="Normal 61 7 2 3 2 2 2 3 2 2" xfId="0"/>
    <cellStyle name="Normal 61 7 2 3 2 2 2 3 3" xfId="0"/>
    <cellStyle name="Normal 61 7 2 3 2 2 2 4" xfId="0"/>
    <cellStyle name="Normal 61 7 2 3 2 2 2 4 2" xfId="0"/>
    <cellStyle name="Normal 61 7 2 3 2 2 2 5" xfId="0"/>
    <cellStyle name="Normal 61 7 2 3 2 2 3" xfId="0"/>
    <cellStyle name="Normal 61 7 2 3 2 2 3 2" xfId="0"/>
    <cellStyle name="Normal 61 7 2 3 2 2 3 2 2" xfId="0"/>
    <cellStyle name="Normal 61 7 2 3 2 2 3 3" xfId="0"/>
    <cellStyle name="Normal 61 7 2 3 2 2 4" xfId="0"/>
    <cellStyle name="Normal 61 7 2 3 2 2 4 2" xfId="0"/>
    <cellStyle name="Normal 61 7 2 3 2 2 4 2 2" xfId="0"/>
    <cellStyle name="Normal 61 7 2 3 2 2 4 3" xfId="0"/>
    <cellStyle name="Normal 61 7 2 3 2 2 5" xfId="0"/>
    <cellStyle name="Normal 61 7 2 3 2 2 5 2" xfId="0"/>
    <cellStyle name="Normal 61 7 2 3 2 2 6" xfId="0"/>
    <cellStyle name="Normal 61 7 2 3 2 3" xfId="0"/>
    <cellStyle name="Normal 61 7 2 3 2 3 2" xfId="0"/>
    <cellStyle name="Normal 61 7 2 3 2 3 2 2" xfId="0"/>
    <cellStyle name="Normal 61 7 2 3 2 3 2 2 2" xfId="0"/>
    <cellStyle name="Normal 61 7 2 3 2 3 2 3" xfId="0"/>
    <cellStyle name="Normal 61 7 2 3 2 3 3" xfId="0"/>
    <cellStyle name="Normal 61 7 2 3 2 3 3 2" xfId="0"/>
    <cellStyle name="Normal 61 7 2 3 2 3 3 2 2" xfId="0"/>
    <cellStyle name="Normal 61 7 2 3 2 3 3 3" xfId="0"/>
    <cellStyle name="Normal 61 7 2 3 2 3 4" xfId="0"/>
    <cellStyle name="Normal 61 7 2 3 2 3 4 2" xfId="0"/>
    <cellStyle name="Normal 61 7 2 3 2 3 5" xfId="0"/>
    <cellStyle name="Normal 61 7 2 3 2 4" xfId="0"/>
    <cellStyle name="Normal 61 7 2 3 2 4 2" xfId="0"/>
    <cellStyle name="Normal 61 7 2 3 2 4 2 2" xfId="0"/>
    <cellStyle name="Normal 61 7 2 3 2 4 3" xfId="0"/>
    <cellStyle name="Normal 61 7 2 3 2 5" xfId="0"/>
    <cellStyle name="Normal 61 7 2 3 2 5 2" xfId="0"/>
    <cellStyle name="Normal 61 7 2 3 2 5 2 2" xfId="0"/>
    <cellStyle name="Normal 61 7 2 3 2 5 3" xfId="0"/>
    <cellStyle name="Normal 61 7 2 3 2 6" xfId="0"/>
    <cellStyle name="Normal 61 7 2 3 2 6 2" xfId="0"/>
    <cellStyle name="Normal 61 7 2 3 2 7" xfId="0"/>
    <cellStyle name="Normal 61 7 2 3 3" xfId="0"/>
    <cellStyle name="Normal 61 7 2 3 3 2" xfId="0"/>
    <cellStyle name="Normal 61 7 2 3 3 2 2" xfId="0"/>
    <cellStyle name="Normal 61 7 2 3 3 2 2 2" xfId="0"/>
    <cellStyle name="Normal 61 7 2 3 3 2 2 2 2" xfId="0"/>
    <cellStyle name="Normal 61 7 2 3 3 2 2 3" xfId="0"/>
    <cellStyle name="Normal 61 7 2 3 3 2 3" xfId="0"/>
    <cellStyle name="Normal 61 7 2 3 3 2 3 2" xfId="0"/>
    <cellStyle name="Normal 61 7 2 3 3 2 3 2 2" xfId="0"/>
    <cellStyle name="Normal 61 7 2 3 3 2 3 3" xfId="0"/>
    <cellStyle name="Normal 61 7 2 3 3 2 4" xfId="0"/>
    <cellStyle name="Normal 61 7 2 3 3 2 4 2" xfId="0"/>
    <cellStyle name="Normal 61 7 2 3 3 2 5" xfId="0"/>
    <cellStyle name="Normal 61 7 2 3 3 3" xfId="0"/>
    <cellStyle name="Normal 61 7 2 3 3 3 2" xfId="0"/>
    <cellStyle name="Normal 61 7 2 3 3 3 2 2" xfId="0"/>
    <cellStyle name="Normal 61 7 2 3 3 3 3" xfId="0"/>
    <cellStyle name="Normal 61 7 2 3 3 4" xfId="0"/>
    <cellStyle name="Normal 61 7 2 3 3 4 2" xfId="0"/>
    <cellStyle name="Normal 61 7 2 3 3 4 2 2" xfId="0"/>
    <cellStyle name="Normal 61 7 2 3 3 4 3" xfId="0"/>
    <cellStyle name="Normal 61 7 2 3 3 5" xfId="0"/>
    <cellStyle name="Normal 61 7 2 3 3 5 2" xfId="0"/>
    <cellStyle name="Normal 61 7 2 3 3 6" xfId="0"/>
    <cellStyle name="Normal 61 7 2 3 4" xfId="0"/>
    <cellStyle name="Normal 61 7 2 3 4 2" xfId="0"/>
    <cellStyle name="Normal 61 7 2 3 4 2 2" xfId="0"/>
    <cellStyle name="Normal 61 7 2 3 4 2 2 2" xfId="0"/>
    <cellStyle name="Normal 61 7 2 3 4 2 3" xfId="0"/>
    <cellStyle name="Normal 61 7 2 3 4 3" xfId="0"/>
    <cellStyle name="Normal 61 7 2 3 4 3 2" xfId="0"/>
    <cellStyle name="Normal 61 7 2 3 4 3 2 2" xfId="0"/>
    <cellStyle name="Normal 61 7 2 3 4 3 3" xfId="0"/>
    <cellStyle name="Normal 61 7 2 3 4 4" xfId="0"/>
    <cellStyle name="Normal 61 7 2 3 4 4 2" xfId="0"/>
    <cellStyle name="Normal 61 7 2 3 4 5" xfId="0"/>
    <cellStyle name="Normal 61 7 2 3 5" xfId="0"/>
    <cellStyle name="Normal 61 7 2 3 5 2" xfId="0"/>
    <cellStyle name="Normal 61 7 2 3 5 2 2" xfId="0"/>
    <cellStyle name="Normal 61 7 2 3 5 3" xfId="0"/>
    <cellStyle name="Normal 61 7 2 3 6" xfId="0"/>
    <cellStyle name="Normal 61 7 2 3 6 2" xfId="0"/>
    <cellStyle name="Normal 61 7 2 3 6 2 2" xfId="0"/>
    <cellStyle name="Normal 61 7 2 3 6 3" xfId="0"/>
    <cellStyle name="Normal 61 7 2 3 7" xfId="0"/>
    <cellStyle name="Normal 61 7 2 3 7 2" xfId="0"/>
    <cellStyle name="Normal 61 7 2 3 8" xfId="0"/>
    <cellStyle name="Normal 61 7 2 4" xfId="0"/>
    <cellStyle name="Normal 61 7 2 4 2" xfId="0"/>
    <cellStyle name="Normal 61 7 2 4 2 2" xfId="0"/>
    <cellStyle name="Normal 61 7 2 4 2 2 2" xfId="0"/>
    <cellStyle name="Normal 61 7 2 4 2 2 2 2" xfId="0"/>
    <cellStyle name="Normal 61 7 2 4 2 2 2 2 2" xfId="0"/>
    <cellStyle name="Normal 61 7 2 4 2 2 2 3" xfId="0"/>
    <cellStyle name="Normal 61 7 2 4 2 2 3" xfId="0"/>
    <cellStyle name="Normal 61 7 2 4 2 2 3 2" xfId="0"/>
    <cellStyle name="Normal 61 7 2 4 2 2 3 2 2" xfId="0"/>
    <cellStyle name="Normal 61 7 2 4 2 2 3 3" xfId="0"/>
    <cellStyle name="Normal 61 7 2 4 2 2 4" xfId="0"/>
    <cellStyle name="Normal 61 7 2 4 2 2 4 2" xfId="0"/>
    <cellStyle name="Normal 61 7 2 4 2 2 5" xfId="0"/>
    <cellStyle name="Normal 61 7 2 4 2 3" xfId="0"/>
    <cellStyle name="Normal 61 7 2 4 2 3 2" xfId="0"/>
    <cellStyle name="Normal 61 7 2 4 2 3 2 2" xfId="0"/>
    <cellStyle name="Normal 61 7 2 4 2 3 3" xfId="0"/>
    <cellStyle name="Normal 61 7 2 4 2 4" xfId="0"/>
    <cellStyle name="Normal 61 7 2 4 2 4 2" xfId="0"/>
    <cellStyle name="Normal 61 7 2 4 2 4 2 2" xfId="0"/>
    <cellStyle name="Normal 61 7 2 4 2 4 3" xfId="0"/>
    <cellStyle name="Normal 61 7 2 4 2 5" xfId="0"/>
    <cellStyle name="Normal 61 7 2 4 2 5 2" xfId="0"/>
    <cellStyle name="Normal 61 7 2 4 2 6" xfId="0"/>
    <cellStyle name="Normal 61 7 2 4 3" xfId="0"/>
    <cellStyle name="Normal 61 7 2 4 3 2" xfId="0"/>
    <cellStyle name="Normal 61 7 2 4 3 2 2" xfId="0"/>
    <cellStyle name="Normal 61 7 2 4 3 2 2 2" xfId="0"/>
    <cellStyle name="Normal 61 7 2 4 3 2 3" xfId="0"/>
    <cellStyle name="Normal 61 7 2 4 3 3" xfId="0"/>
    <cellStyle name="Normal 61 7 2 4 3 3 2" xfId="0"/>
    <cellStyle name="Normal 61 7 2 4 3 3 2 2" xfId="0"/>
    <cellStyle name="Normal 61 7 2 4 3 3 3" xfId="0"/>
    <cellStyle name="Normal 61 7 2 4 3 4" xfId="0"/>
    <cellStyle name="Normal 61 7 2 4 3 4 2" xfId="0"/>
    <cellStyle name="Normal 61 7 2 4 3 5" xfId="0"/>
    <cellStyle name="Normal 61 7 2 4 4" xfId="0"/>
    <cellStyle name="Normal 61 7 2 4 4 2" xfId="0"/>
    <cellStyle name="Normal 61 7 2 4 4 2 2" xfId="0"/>
    <cellStyle name="Normal 61 7 2 4 4 3" xfId="0"/>
    <cellStyle name="Normal 61 7 2 4 5" xfId="0"/>
    <cellStyle name="Normal 61 7 2 4 5 2" xfId="0"/>
    <cellStyle name="Normal 61 7 2 4 5 2 2" xfId="0"/>
    <cellStyle name="Normal 61 7 2 4 5 3" xfId="0"/>
    <cellStyle name="Normal 61 7 2 4 6" xfId="0"/>
    <cellStyle name="Normal 61 7 2 4 6 2" xfId="0"/>
    <cellStyle name="Normal 61 7 2 4 7" xfId="0"/>
    <cellStyle name="Normal 61 7 2 5" xfId="0"/>
    <cellStyle name="Normal 61 7 2 5 2" xfId="0"/>
    <cellStyle name="Normal 61 7 2 5 2 2" xfId="0"/>
    <cellStyle name="Normal 61 7 2 5 2 2 2" xfId="0"/>
    <cellStyle name="Normal 61 7 2 5 2 2 2 2" xfId="0"/>
    <cellStyle name="Normal 61 7 2 5 2 2 3" xfId="0"/>
    <cellStyle name="Normal 61 7 2 5 2 3" xfId="0"/>
    <cellStyle name="Normal 61 7 2 5 2 3 2" xfId="0"/>
    <cellStyle name="Normal 61 7 2 5 2 3 2 2" xfId="0"/>
    <cellStyle name="Normal 61 7 2 5 2 3 3" xfId="0"/>
    <cellStyle name="Normal 61 7 2 5 2 4" xfId="0"/>
    <cellStyle name="Normal 61 7 2 5 2 4 2" xfId="0"/>
    <cellStyle name="Normal 61 7 2 5 2 5" xfId="0"/>
    <cellStyle name="Normal 61 7 2 5 3" xfId="0"/>
    <cellStyle name="Normal 61 7 2 5 3 2" xfId="0"/>
    <cellStyle name="Normal 61 7 2 5 3 2 2" xfId="0"/>
    <cellStyle name="Normal 61 7 2 5 3 3" xfId="0"/>
    <cellStyle name="Normal 61 7 2 5 4" xfId="0"/>
    <cellStyle name="Normal 61 7 2 5 4 2" xfId="0"/>
    <cellStyle name="Normal 61 7 2 5 4 2 2" xfId="0"/>
    <cellStyle name="Normal 61 7 2 5 4 3" xfId="0"/>
    <cellStyle name="Normal 61 7 2 5 5" xfId="0"/>
    <cellStyle name="Normal 61 7 2 5 5 2" xfId="0"/>
    <cellStyle name="Normal 61 7 2 5 6" xfId="0"/>
    <cellStyle name="Normal 61 7 2 6" xfId="0"/>
    <cellStyle name="Normal 61 7 2 6 2" xfId="0"/>
    <cellStyle name="Normal 61 7 2 6 2 2" xfId="0"/>
    <cellStyle name="Normal 61 7 2 6 2 2 2" xfId="0"/>
    <cellStyle name="Normal 61 7 2 6 2 3" xfId="0"/>
    <cellStyle name="Normal 61 7 2 6 3" xfId="0"/>
    <cellStyle name="Normal 61 7 2 6 3 2" xfId="0"/>
    <cellStyle name="Normal 61 7 2 6 3 2 2" xfId="0"/>
    <cellStyle name="Normal 61 7 2 6 3 3" xfId="0"/>
    <cellStyle name="Normal 61 7 2 6 4" xfId="0"/>
    <cellStyle name="Normal 61 7 2 6 4 2" xfId="0"/>
    <cellStyle name="Normal 61 7 2 6 5" xfId="0"/>
    <cellStyle name="Normal 61 7 2 7" xfId="0"/>
    <cellStyle name="Normal 61 7 2 7 2" xfId="0"/>
    <cellStyle name="Normal 61 7 2 7 2 2" xfId="0"/>
    <cellStyle name="Normal 61 7 2 7 3" xfId="0"/>
    <cellStyle name="Normal 61 7 2 8" xfId="0"/>
    <cellStyle name="Normal 61 7 2 8 2" xfId="0"/>
    <cellStyle name="Normal 61 7 2 8 2 2" xfId="0"/>
    <cellStyle name="Normal 61 7 2 8 3" xfId="0"/>
    <cellStyle name="Normal 61 7 2 9" xfId="0"/>
    <cellStyle name="Normal 61 7 2 9 2" xfId="0"/>
    <cellStyle name="Normal 61 7 3" xfId="0"/>
    <cellStyle name="Normal 61 7 3 10" xfId="0"/>
    <cellStyle name="Normal 61 7 3 2" xfId="0"/>
    <cellStyle name="Normal 61 7 3 2 2" xfId="0"/>
    <cellStyle name="Normal 61 7 3 2 2 2" xfId="0"/>
    <cellStyle name="Normal 61 7 3 2 2 2 2" xfId="0"/>
    <cellStyle name="Normal 61 7 3 2 2 2 2 2" xfId="0"/>
    <cellStyle name="Normal 61 7 3 2 2 2 2 2 2" xfId="0"/>
    <cellStyle name="Normal 61 7 3 2 2 2 2 2 2 2" xfId="0"/>
    <cellStyle name="Normal 61 7 3 2 2 2 2 2 2 2 2" xfId="0"/>
    <cellStyle name="Normal 61 7 3 2 2 2 2 2 2 3" xfId="0"/>
    <cellStyle name="Normal 61 7 3 2 2 2 2 2 3" xfId="0"/>
    <cellStyle name="Normal 61 7 3 2 2 2 2 2 3 2" xfId="0"/>
    <cellStyle name="Normal 61 7 3 2 2 2 2 2 3 2 2" xfId="0"/>
    <cellStyle name="Normal 61 7 3 2 2 2 2 2 3 3" xfId="0"/>
    <cellStyle name="Normal 61 7 3 2 2 2 2 2 4" xfId="0"/>
    <cellStyle name="Normal 61 7 3 2 2 2 2 2 4 2" xfId="0"/>
    <cellStyle name="Normal 61 7 3 2 2 2 2 2 5" xfId="0"/>
    <cellStyle name="Normal 61 7 3 2 2 2 2 3" xfId="0"/>
    <cellStyle name="Normal 61 7 3 2 2 2 2 3 2" xfId="0"/>
    <cellStyle name="Normal 61 7 3 2 2 2 2 3 2 2" xfId="0"/>
    <cellStyle name="Normal 61 7 3 2 2 2 2 3 3" xfId="0"/>
    <cellStyle name="Normal 61 7 3 2 2 2 2 4" xfId="0"/>
    <cellStyle name="Normal 61 7 3 2 2 2 2 4 2" xfId="0"/>
    <cellStyle name="Normal 61 7 3 2 2 2 2 4 2 2" xfId="0"/>
    <cellStyle name="Normal 61 7 3 2 2 2 2 4 3" xfId="0"/>
    <cellStyle name="Normal 61 7 3 2 2 2 2 5" xfId="0"/>
    <cellStyle name="Normal 61 7 3 2 2 2 2 5 2" xfId="0"/>
    <cellStyle name="Normal 61 7 3 2 2 2 2 6" xfId="0"/>
    <cellStyle name="Normal 61 7 3 2 2 2 3" xfId="0"/>
    <cellStyle name="Normal 61 7 3 2 2 2 3 2" xfId="0"/>
    <cellStyle name="Normal 61 7 3 2 2 2 3 2 2" xfId="0"/>
    <cellStyle name="Normal 61 7 3 2 2 2 3 2 2 2" xfId="0"/>
    <cellStyle name="Normal 61 7 3 2 2 2 3 2 3" xfId="0"/>
    <cellStyle name="Normal 61 7 3 2 2 2 3 3" xfId="0"/>
    <cellStyle name="Normal 61 7 3 2 2 2 3 3 2" xfId="0"/>
    <cellStyle name="Normal 61 7 3 2 2 2 3 3 2 2" xfId="0"/>
    <cellStyle name="Normal 61 7 3 2 2 2 3 3 3" xfId="0"/>
    <cellStyle name="Normal 61 7 3 2 2 2 3 4" xfId="0"/>
    <cellStyle name="Normal 61 7 3 2 2 2 3 4 2" xfId="0"/>
    <cellStyle name="Normal 61 7 3 2 2 2 3 5" xfId="0"/>
    <cellStyle name="Normal 61 7 3 2 2 2 4" xfId="0"/>
    <cellStyle name="Normal 61 7 3 2 2 2 4 2" xfId="0"/>
    <cellStyle name="Normal 61 7 3 2 2 2 4 2 2" xfId="0"/>
    <cellStyle name="Normal 61 7 3 2 2 2 4 3" xfId="0"/>
    <cellStyle name="Normal 61 7 3 2 2 2 5" xfId="0"/>
    <cellStyle name="Normal 61 7 3 2 2 2 5 2" xfId="0"/>
    <cellStyle name="Normal 61 7 3 2 2 2 5 2 2" xfId="0"/>
    <cellStyle name="Normal 61 7 3 2 2 2 5 3" xfId="0"/>
    <cellStyle name="Normal 61 7 3 2 2 2 6" xfId="0"/>
    <cellStyle name="Normal 61 7 3 2 2 2 6 2" xfId="0"/>
    <cellStyle name="Normal 61 7 3 2 2 2 7" xfId="0"/>
    <cellStyle name="Normal 61 7 3 2 2 3" xfId="0"/>
    <cellStyle name="Normal 61 7 3 2 2 3 2" xfId="0"/>
    <cellStyle name="Normal 61 7 3 2 2 3 2 2" xfId="0"/>
    <cellStyle name="Normal 61 7 3 2 2 3 2 2 2" xfId="0"/>
    <cellStyle name="Normal 61 7 3 2 2 3 2 2 2 2" xfId="0"/>
    <cellStyle name="Normal 61 7 3 2 2 3 2 2 3" xfId="0"/>
    <cellStyle name="Normal 61 7 3 2 2 3 2 3" xfId="0"/>
    <cellStyle name="Normal 61 7 3 2 2 3 2 3 2" xfId="0"/>
    <cellStyle name="Normal 61 7 3 2 2 3 2 3 2 2" xfId="0"/>
    <cellStyle name="Normal 61 7 3 2 2 3 2 3 3" xfId="0"/>
    <cellStyle name="Normal 61 7 3 2 2 3 2 4" xfId="0"/>
    <cellStyle name="Normal 61 7 3 2 2 3 2 4 2" xfId="0"/>
    <cellStyle name="Normal 61 7 3 2 2 3 2 5" xfId="0"/>
    <cellStyle name="Normal 61 7 3 2 2 3 3" xfId="0"/>
    <cellStyle name="Normal 61 7 3 2 2 3 3 2" xfId="0"/>
    <cellStyle name="Normal 61 7 3 2 2 3 3 2 2" xfId="0"/>
    <cellStyle name="Normal 61 7 3 2 2 3 3 3" xfId="0"/>
    <cellStyle name="Normal 61 7 3 2 2 3 4" xfId="0"/>
    <cellStyle name="Normal 61 7 3 2 2 3 4 2" xfId="0"/>
    <cellStyle name="Normal 61 7 3 2 2 3 4 2 2" xfId="0"/>
    <cellStyle name="Normal 61 7 3 2 2 3 4 3" xfId="0"/>
    <cellStyle name="Normal 61 7 3 2 2 3 5" xfId="0"/>
    <cellStyle name="Normal 61 7 3 2 2 3 5 2" xfId="0"/>
    <cellStyle name="Normal 61 7 3 2 2 3 6" xfId="0"/>
    <cellStyle name="Normal 61 7 3 2 2 4" xfId="0"/>
    <cellStyle name="Normal 61 7 3 2 2 4 2" xfId="0"/>
    <cellStyle name="Normal 61 7 3 2 2 4 2 2" xfId="0"/>
    <cellStyle name="Normal 61 7 3 2 2 4 2 2 2" xfId="0"/>
    <cellStyle name="Normal 61 7 3 2 2 4 2 3" xfId="0"/>
    <cellStyle name="Normal 61 7 3 2 2 4 3" xfId="0"/>
    <cellStyle name="Normal 61 7 3 2 2 4 3 2" xfId="0"/>
    <cellStyle name="Normal 61 7 3 2 2 4 3 2 2" xfId="0"/>
    <cellStyle name="Normal 61 7 3 2 2 4 3 3" xfId="0"/>
    <cellStyle name="Normal 61 7 3 2 2 4 4" xfId="0"/>
    <cellStyle name="Normal 61 7 3 2 2 4 4 2" xfId="0"/>
    <cellStyle name="Normal 61 7 3 2 2 4 5" xfId="0"/>
    <cellStyle name="Normal 61 7 3 2 2 5" xfId="0"/>
    <cellStyle name="Normal 61 7 3 2 2 5 2" xfId="0"/>
    <cellStyle name="Normal 61 7 3 2 2 5 2 2" xfId="0"/>
    <cellStyle name="Normal 61 7 3 2 2 5 3" xfId="0"/>
    <cellStyle name="Normal 61 7 3 2 2 6" xfId="0"/>
    <cellStyle name="Normal 61 7 3 2 2 6 2" xfId="0"/>
    <cellStyle name="Normal 61 7 3 2 2 6 2 2" xfId="0"/>
    <cellStyle name="Normal 61 7 3 2 2 6 3" xfId="0"/>
    <cellStyle name="Normal 61 7 3 2 2 7" xfId="0"/>
    <cellStyle name="Normal 61 7 3 2 2 7 2" xfId="0"/>
    <cellStyle name="Normal 61 7 3 2 2 8" xfId="0"/>
    <cellStyle name="Normal 61 7 3 2 3" xfId="0"/>
    <cellStyle name="Normal 61 7 3 2 3 2" xfId="0"/>
    <cellStyle name="Normal 61 7 3 2 3 2 2" xfId="0"/>
    <cellStyle name="Normal 61 7 3 2 3 2 2 2" xfId="0"/>
    <cellStyle name="Normal 61 7 3 2 3 2 2 2 2" xfId="0"/>
    <cellStyle name="Normal 61 7 3 2 3 2 2 2 2 2" xfId="0"/>
    <cellStyle name="Normal 61 7 3 2 3 2 2 2 3" xfId="0"/>
    <cellStyle name="Normal 61 7 3 2 3 2 2 3" xfId="0"/>
    <cellStyle name="Normal 61 7 3 2 3 2 2 3 2" xfId="0"/>
    <cellStyle name="Normal 61 7 3 2 3 2 2 3 2 2" xfId="0"/>
    <cellStyle name="Normal 61 7 3 2 3 2 2 3 3" xfId="0"/>
    <cellStyle name="Normal 61 7 3 2 3 2 2 4" xfId="0"/>
    <cellStyle name="Normal 61 7 3 2 3 2 2 4 2" xfId="0"/>
    <cellStyle name="Normal 61 7 3 2 3 2 2 5" xfId="0"/>
    <cellStyle name="Normal 61 7 3 2 3 2 3" xfId="0"/>
    <cellStyle name="Normal 61 7 3 2 3 2 3 2" xfId="0"/>
    <cellStyle name="Normal 61 7 3 2 3 2 3 2 2" xfId="0"/>
    <cellStyle name="Normal 61 7 3 2 3 2 3 3" xfId="0"/>
    <cellStyle name="Normal 61 7 3 2 3 2 4" xfId="0"/>
    <cellStyle name="Normal 61 7 3 2 3 2 4 2" xfId="0"/>
    <cellStyle name="Normal 61 7 3 2 3 2 4 2 2" xfId="0"/>
    <cellStyle name="Normal 61 7 3 2 3 2 4 3" xfId="0"/>
    <cellStyle name="Normal 61 7 3 2 3 2 5" xfId="0"/>
    <cellStyle name="Normal 61 7 3 2 3 2 5 2" xfId="0"/>
    <cellStyle name="Normal 61 7 3 2 3 2 6" xfId="0"/>
    <cellStyle name="Normal 61 7 3 2 3 3" xfId="0"/>
    <cellStyle name="Normal 61 7 3 2 3 3 2" xfId="0"/>
    <cellStyle name="Normal 61 7 3 2 3 3 2 2" xfId="0"/>
    <cellStyle name="Normal 61 7 3 2 3 3 2 2 2" xfId="0"/>
    <cellStyle name="Normal 61 7 3 2 3 3 2 3" xfId="0"/>
    <cellStyle name="Normal 61 7 3 2 3 3 3" xfId="0"/>
    <cellStyle name="Normal 61 7 3 2 3 3 3 2" xfId="0"/>
    <cellStyle name="Normal 61 7 3 2 3 3 3 2 2" xfId="0"/>
    <cellStyle name="Normal 61 7 3 2 3 3 3 3" xfId="0"/>
    <cellStyle name="Normal 61 7 3 2 3 3 4" xfId="0"/>
    <cellStyle name="Normal 61 7 3 2 3 3 4 2" xfId="0"/>
    <cellStyle name="Normal 61 7 3 2 3 3 5" xfId="0"/>
    <cellStyle name="Normal 61 7 3 2 3 4" xfId="0"/>
    <cellStyle name="Normal 61 7 3 2 3 4 2" xfId="0"/>
    <cellStyle name="Normal 61 7 3 2 3 4 2 2" xfId="0"/>
    <cellStyle name="Normal 61 7 3 2 3 4 3" xfId="0"/>
    <cellStyle name="Normal 61 7 3 2 3 5" xfId="0"/>
    <cellStyle name="Normal 61 7 3 2 3 5 2" xfId="0"/>
    <cellStyle name="Normal 61 7 3 2 3 5 2 2" xfId="0"/>
    <cellStyle name="Normal 61 7 3 2 3 5 3" xfId="0"/>
    <cellStyle name="Normal 61 7 3 2 3 6" xfId="0"/>
    <cellStyle name="Normal 61 7 3 2 3 6 2" xfId="0"/>
    <cellStyle name="Normal 61 7 3 2 3 7" xfId="0"/>
    <cellStyle name="Normal 61 7 3 2 4" xfId="0"/>
    <cellStyle name="Normal 61 7 3 2 4 2" xfId="0"/>
    <cellStyle name="Normal 61 7 3 2 4 2 2" xfId="0"/>
    <cellStyle name="Normal 61 7 3 2 4 2 2 2" xfId="0"/>
    <cellStyle name="Normal 61 7 3 2 4 2 2 2 2" xfId="0"/>
    <cellStyle name="Normal 61 7 3 2 4 2 2 3" xfId="0"/>
    <cellStyle name="Normal 61 7 3 2 4 2 3" xfId="0"/>
    <cellStyle name="Normal 61 7 3 2 4 2 3 2" xfId="0"/>
    <cellStyle name="Normal 61 7 3 2 4 2 3 2 2" xfId="0"/>
    <cellStyle name="Normal 61 7 3 2 4 2 3 3" xfId="0"/>
    <cellStyle name="Normal 61 7 3 2 4 2 4" xfId="0"/>
    <cellStyle name="Normal 61 7 3 2 4 2 4 2" xfId="0"/>
    <cellStyle name="Normal 61 7 3 2 4 2 5" xfId="0"/>
    <cellStyle name="Normal 61 7 3 2 4 3" xfId="0"/>
    <cellStyle name="Normal 61 7 3 2 4 3 2" xfId="0"/>
    <cellStyle name="Normal 61 7 3 2 4 3 2 2" xfId="0"/>
    <cellStyle name="Normal 61 7 3 2 4 3 3" xfId="0"/>
    <cellStyle name="Normal 61 7 3 2 4 4" xfId="0"/>
    <cellStyle name="Normal 61 7 3 2 4 4 2" xfId="0"/>
    <cellStyle name="Normal 61 7 3 2 4 4 2 2" xfId="0"/>
    <cellStyle name="Normal 61 7 3 2 4 4 3" xfId="0"/>
    <cellStyle name="Normal 61 7 3 2 4 5" xfId="0"/>
    <cellStyle name="Normal 61 7 3 2 4 5 2" xfId="0"/>
    <cellStyle name="Normal 61 7 3 2 4 6" xfId="0"/>
    <cellStyle name="Normal 61 7 3 2 5" xfId="0"/>
    <cellStyle name="Normal 61 7 3 2 5 2" xfId="0"/>
    <cellStyle name="Normal 61 7 3 2 5 2 2" xfId="0"/>
    <cellStyle name="Normal 61 7 3 2 5 2 2 2" xfId="0"/>
    <cellStyle name="Normal 61 7 3 2 5 2 3" xfId="0"/>
    <cellStyle name="Normal 61 7 3 2 5 3" xfId="0"/>
    <cellStyle name="Normal 61 7 3 2 5 3 2" xfId="0"/>
    <cellStyle name="Normal 61 7 3 2 5 3 2 2" xfId="0"/>
    <cellStyle name="Normal 61 7 3 2 5 3 3" xfId="0"/>
    <cellStyle name="Normal 61 7 3 2 5 4" xfId="0"/>
    <cellStyle name="Normal 61 7 3 2 5 4 2" xfId="0"/>
    <cellStyle name="Normal 61 7 3 2 5 5" xfId="0"/>
    <cellStyle name="Normal 61 7 3 2 6" xfId="0"/>
    <cellStyle name="Normal 61 7 3 2 6 2" xfId="0"/>
    <cellStyle name="Normal 61 7 3 2 6 2 2" xfId="0"/>
    <cellStyle name="Normal 61 7 3 2 6 3" xfId="0"/>
    <cellStyle name="Normal 61 7 3 2 7" xfId="0"/>
    <cellStyle name="Normal 61 7 3 2 7 2" xfId="0"/>
    <cellStyle name="Normal 61 7 3 2 7 2 2" xfId="0"/>
    <cellStyle name="Normal 61 7 3 2 7 3" xfId="0"/>
    <cellStyle name="Normal 61 7 3 2 8" xfId="0"/>
    <cellStyle name="Normal 61 7 3 2 8 2" xfId="0"/>
    <cellStyle name="Normal 61 7 3 2 9" xfId="0"/>
    <cellStyle name="Normal 61 7 3 3" xfId="0"/>
    <cellStyle name="Normal 61 7 3 3 2" xfId="0"/>
    <cellStyle name="Normal 61 7 3 3 2 2" xfId="0"/>
    <cellStyle name="Normal 61 7 3 3 2 2 2" xfId="0"/>
    <cellStyle name="Normal 61 7 3 3 2 2 2 2" xfId="0"/>
    <cellStyle name="Normal 61 7 3 3 2 2 2 2 2" xfId="0"/>
    <cellStyle name="Normal 61 7 3 3 2 2 2 2 2 2" xfId="0"/>
    <cellStyle name="Normal 61 7 3 3 2 2 2 2 3" xfId="0"/>
    <cellStyle name="Normal 61 7 3 3 2 2 2 3" xfId="0"/>
    <cellStyle name="Normal 61 7 3 3 2 2 2 3 2" xfId="0"/>
    <cellStyle name="Normal 61 7 3 3 2 2 2 3 2 2" xfId="0"/>
    <cellStyle name="Normal 61 7 3 3 2 2 2 3 3" xfId="0"/>
    <cellStyle name="Normal 61 7 3 3 2 2 2 4" xfId="0"/>
    <cellStyle name="Normal 61 7 3 3 2 2 2 4 2" xfId="0"/>
    <cellStyle name="Normal 61 7 3 3 2 2 2 5" xfId="0"/>
    <cellStyle name="Normal 61 7 3 3 2 2 3" xfId="0"/>
    <cellStyle name="Normal 61 7 3 3 2 2 3 2" xfId="0"/>
    <cellStyle name="Normal 61 7 3 3 2 2 3 2 2" xfId="0"/>
    <cellStyle name="Normal 61 7 3 3 2 2 3 3" xfId="0"/>
    <cellStyle name="Normal 61 7 3 3 2 2 4" xfId="0"/>
    <cellStyle name="Normal 61 7 3 3 2 2 4 2" xfId="0"/>
    <cellStyle name="Normal 61 7 3 3 2 2 4 2 2" xfId="0"/>
    <cellStyle name="Normal 61 7 3 3 2 2 4 3" xfId="0"/>
    <cellStyle name="Normal 61 7 3 3 2 2 5" xfId="0"/>
    <cellStyle name="Normal 61 7 3 3 2 2 5 2" xfId="0"/>
    <cellStyle name="Normal 61 7 3 3 2 2 6" xfId="0"/>
    <cellStyle name="Normal 61 7 3 3 2 3" xfId="0"/>
    <cellStyle name="Normal 61 7 3 3 2 3 2" xfId="0"/>
    <cellStyle name="Normal 61 7 3 3 2 3 2 2" xfId="0"/>
    <cellStyle name="Normal 61 7 3 3 2 3 2 2 2" xfId="0"/>
    <cellStyle name="Normal 61 7 3 3 2 3 2 3" xfId="0"/>
    <cellStyle name="Normal 61 7 3 3 2 3 3" xfId="0"/>
    <cellStyle name="Normal 61 7 3 3 2 3 3 2" xfId="0"/>
    <cellStyle name="Normal 61 7 3 3 2 3 3 2 2" xfId="0"/>
    <cellStyle name="Normal 61 7 3 3 2 3 3 3" xfId="0"/>
    <cellStyle name="Normal 61 7 3 3 2 3 4" xfId="0"/>
    <cellStyle name="Normal 61 7 3 3 2 3 4 2" xfId="0"/>
    <cellStyle name="Normal 61 7 3 3 2 3 5" xfId="0"/>
    <cellStyle name="Normal 61 7 3 3 2 4" xfId="0"/>
    <cellStyle name="Normal 61 7 3 3 2 4 2" xfId="0"/>
    <cellStyle name="Normal 61 7 3 3 2 4 2 2" xfId="0"/>
    <cellStyle name="Normal 61 7 3 3 2 4 3" xfId="0"/>
    <cellStyle name="Normal 61 7 3 3 2 5" xfId="0"/>
    <cellStyle name="Normal 61 7 3 3 2 5 2" xfId="0"/>
    <cellStyle name="Normal 61 7 3 3 2 5 2 2" xfId="0"/>
    <cellStyle name="Normal 61 7 3 3 2 5 3" xfId="0"/>
    <cellStyle name="Normal 61 7 3 3 2 6" xfId="0"/>
    <cellStyle name="Normal 61 7 3 3 2 6 2" xfId="0"/>
    <cellStyle name="Normal 61 7 3 3 2 7" xfId="0"/>
    <cellStyle name="Normal 61 7 3 3 3" xfId="0"/>
    <cellStyle name="Normal 61 7 3 3 3 2" xfId="0"/>
    <cellStyle name="Normal 61 7 3 3 3 2 2" xfId="0"/>
    <cellStyle name="Normal 61 7 3 3 3 2 2 2" xfId="0"/>
    <cellStyle name="Normal 61 7 3 3 3 2 2 2 2" xfId="0"/>
    <cellStyle name="Normal 61 7 3 3 3 2 2 3" xfId="0"/>
    <cellStyle name="Normal 61 7 3 3 3 2 3" xfId="0"/>
    <cellStyle name="Normal 61 7 3 3 3 2 3 2" xfId="0"/>
    <cellStyle name="Normal 61 7 3 3 3 2 3 2 2" xfId="0"/>
    <cellStyle name="Normal 61 7 3 3 3 2 3 3" xfId="0"/>
    <cellStyle name="Normal 61 7 3 3 3 2 4" xfId="0"/>
    <cellStyle name="Normal 61 7 3 3 3 2 4 2" xfId="0"/>
    <cellStyle name="Normal 61 7 3 3 3 2 5" xfId="0"/>
    <cellStyle name="Normal 61 7 3 3 3 3" xfId="0"/>
    <cellStyle name="Normal 61 7 3 3 3 3 2" xfId="0"/>
    <cellStyle name="Normal 61 7 3 3 3 3 2 2" xfId="0"/>
    <cellStyle name="Normal 61 7 3 3 3 3 3" xfId="0"/>
    <cellStyle name="Normal 61 7 3 3 3 4" xfId="0"/>
    <cellStyle name="Normal 61 7 3 3 3 4 2" xfId="0"/>
    <cellStyle name="Normal 61 7 3 3 3 4 2 2" xfId="0"/>
    <cellStyle name="Normal 61 7 3 3 3 4 3" xfId="0"/>
    <cellStyle name="Normal 61 7 3 3 3 5" xfId="0"/>
    <cellStyle name="Normal 61 7 3 3 3 5 2" xfId="0"/>
    <cellStyle name="Normal 61 7 3 3 3 6" xfId="0"/>
    <cellStyle name="Normal 61 7 3 3 4" xfId="0"/>
    <cellStyle name="Normal 61 7 3 3 4 2" xfId="0"/>
    <cellStyle name="Normal 61 7 3 3 4 2 2" xfId="0"/>
    <cellStyle name="Normal 61 7 3 3 4 2 2 2" xfId="0"/>
    <cellStyle name="Normal 61 7 3 3 4 2 3" xfId="0"/>
    <cellStyle name="Normal 61 7 3 3 4 3" xfId="0"/>
    <cellStyle name="Normal 61 7 3 3 4 3 2" xfId="0"/>
    <cellStyle name="Normal 61 7 3 3 4 3 2 2" xfId="0"/>
    <cellStyle name="Normal 61 7 3 3 4 3 3" xfId="0"/>
    <cellStyle name="Normal 61 7 3 3 4 4" xfId="0"/>
    <cellStyle name="Normal 61 7 3 3 4 4 2" xfId="0"/>
    <cellStyle name="Normal 61 7 3 3 4 5" xfId="0"/>
    <cellStyle name="Normal 61 7 3 3 5" xfId="0"/>
    <cellStyle name="Normal 61 7 3 3 5 2" xfId="0"/>
    <cellStyle name="Normal 61 7 3 3 5 2 2" xfId="0"/>
    <cellStyle name="Normal 61 7 3 3 5 3" xfId="0"/>
    <cellStyle name="Normal 61 7 3 3 6" xfId="0"/>
    <cellStyle name="Normal 61 7 3 3 6 2" xfId="0"/>
    <cellStyle name="Normal 61 7 3 3 6 2 2" xfId="0"/>
    <cellStyle name="Normal 61 7 3 3 6 3" xfId="0"/>
    <cellStyle name="Normal 61 7 3 3 7" xfId="0"/>
    <cellStyle name="Normal 61 7 3 3 7 2" xfId="0"/>
    <cellStyle name="Normal 61 7 3 3 8" xfId="0"/>
    <cellStyle name="Normal 61 7 3 4" xfId="0"/>
    <cellStyle name="Normal 61 7 3 4 2" xfId="0"/>
    <cellStyle name="Normal 61 7 3 4 2 2" xfId="0"/>
    <cellStyle name="Normal 61 7 3 4 2 2 2" xfId="0"/>
    <cellStyle name="Normal 61 7 3 4 2 2 2 2" xfId="0"/>
    <cellStyle name="Normal 61 7 3 4 2 2 2 2 2" xfId="0"/>
    <cellStyle name="Normal 61 7 3 4 2 2 2 3" xfId="0"/>
    <cellStyle name="Normal 61 7 3 4 2 2 3" xfId="0"/>
    <cellStyle name="Normal 61 7 3 4 2 2 3 2" xfId="0"/>
    <cellStyle name="Normal 61 7 3 4 2 2 3 2 2" xfId="0"/>
    <cellStyle name="Normal 61 7 3 4 2 2 3 3" xfId="0"/>
    <cellStyle name="Normal 61 7 3 4 2 2 4" xfId="0"/>
    <cellStyle name="Normal 61 7 3 4 2 2 4 2" xfId="0"/>
    <cellStyle name="Normal 61 7 3 4 2 2 5" xfId="0"/>
    <cellStyle name="Normal 61 7 3 4 2 3" xfId="0"/>
    <cellStyle name="Normal 61 7 3 4 2 3 2" xfId="0"/>
    <cellStyle name="Normal 61 7 3 4 2 3 2 2" xfId="0"/>
    <cellStyle name="Normal 61 7 3 4 2 3 3" xfId="0"/>
    <cellStyle name="Normal 61 7 3 4 2 4" xfId="0"/>
    <cellStyle name="Normal 61 7 3 4 2 4 2" xfId="0"/>
    <cellStyle name="Normal 61 7 3 4 2 4 2 2" xfId="0"/>
    <cellStyle name="Normal 61 7 3 4 2 4 3" xfId="0"/>
    <cellStyle name="Normal 61 7 3 4 2 5" xfId="0"/>
    <cellStyle name="Normal 61 7 3 4 2 5 2" xfId="0"/>
    <cellStyle name="Normal 61 7 3 4 2 6" xfId="0"/>
    <cellStyle name="Normal 61 7 3 4 3" xfId="0"/>
    <cellStyle name="Normal 61 7 3 4 3 2" xfId="0"/>
    <cellStyle name="Normal 61 7 3 4 3 2 2" xfId="0"/>
    <cellStyle name="Normal 61 7 3 4 3 2 2 2" xfId="0"/>
    <cellStyle name="Normal 61 7 3 4 3 2 3" xfId="0"/>
    <cellStyle name="Normal 61 7 3 4 3 3" xfId="0"/>
    <cellStyle name="Normal 61 7 3 4 3 3 2" xfId="0"/>
    <cellStyle name="Normal 61 7 3 4 3 3 2 2" xfId="0"/>
    <cellStyle name="Normal 61 7 3 4 3 3 3" xfId="0"/>
    <cellStyle name="Normal 61 7 3 4 3 4" xfId="0"/>
    <cellStyle name="Normal 61 7 3 4 3 4 2" xfId="0"/>
    <cellStyle name="Normal 61 7 3 4 3 5" xfId="0"/>
    <cellStyle name="Normal 61 7 3 4 4" xfId="0"/>
    <cellStyle name="Normal 61 7 3 4 4 2" xfId="0"/>
    <cellStyle name="Normal 61 7 3 4 4 2 2" xfId="0"/>
    <cellStyle name="Normal 61 7 3 4 4 3" xfId="0"/>
    <cellStyle name="Normal 61 7 3 4 5" xfId="0"/>
    <cellStyle name="Normal 61 7 3 4 5 2" xfId="0"/>
    <cellStyle name="Normal 61 7 3 4 5 2 2" xfId="0"/>
    <cellStyle name="Normal 61 7 3 4 5 3" xfId="0"/>
    <cellStyle name="Normal 61 7 3 4 6" xfId="0"/>
    <cellStyle name="Normal 61 7 3 4 6 2" xfId="0"/>
    <cellStyle name="Normal 61 7 3 4 7" xfId="0"/>
    <cellStyle name="Normal 61 7 3 5" xfId="0"/>
    <cellStyle name="Normal 61 7 3 5 2" xfId="0"/>
    <cellStyle name="Normal 61 7 3 5 2 2" xfId="0"/>
    <cellStyle name="Normal 61 7 3 5 2 2 2" xfId="0"/>
    <cellStyle name="Normal 61 7 3 5 2 2 2 2" xfId="0"/>
    <cellStyle name="Normal 61 7 3 5 2 2 3" xfId="0"/>
    <cellStyle name="Normal 61 7 3 5 2 3" xfId="0"/>
    <cellStyle name="Normal 61 7 3 5 2 3 2" xfId="0"/>
    <cellStyle name="Normal 61 7 3 5 2 3 2 2" xfId="0"/>
    <cellStyle name="Normal 61 7 3 5 2 3 3" xfId="0"/>
    <cellStyle name="Normal 61 7 3 5 2 4" xfId="0"/>
    <cellStyle name="Normal 61 7 3 5 2 4 2" xfId="0"/>
    <cellStyle name="Normal 61 7 3 5 2 5" xfId="0"/>
    <cellStyle name="Normal 61 7 3 5 3" xfId="0"/>
    <cellStyle name="Normal 61 7 3 5 3 2" xfId="0"/>
    <cellStyle name="Normal 61 7 3 5 3 2 2" xfId="0"/>
    <cellStyle name="Normal 61 7 3 5 3 3" xfId="0"/>
    <cellStyle name="Normal 61 7 3 5 4" xfId="0"/>
    <cellStyle name="Normal 61 7 3 5 4 2" xfId="0"/>
    <cellStyle name="Normal 61 7 3 5 4 2 2" xfId="0"/>
    <cellStyle name="Normal 61 7 3 5 4 3" xfId="0"/>
    <cellStyle name="Normal 61 7 3 5 5" xfId="0"/>
    <cellStyle name="Normal 61 7 3 5 5 2" xfId="0"/>
    <cellStyle name="Normal 61 7 3 5 6" xfId="0"/>
    <cellStyle name="Normal 61 7 3 6" xfId="0"/>
    <cellStyle name="Normal 61 7 3 6 2" xfId="0"/>
    <cellStyle name="Normal 61 7 3 6 2 2" xfId="0"/>
    <cellStyle name="Normal 61 7 3 6 2 2 2" xfId="0"/>
    <cellStyle name="Normal 61 7 3 6 2 3" xfId="0"/>
    <cellStyle name="Normal 61 7 3 6 3" xfId="0"/>
    <cellStyle name="Normal 61 7 3 6 3 2" xfId="0"/>
    <cellStyle name="Normal 61 7 3 6 3 2 2" xfId="0"/>
    <cellStyle name="Normal 61 7 3 6 3 3" xfId="0"/>
    <cellStyle name="Normal 61 7 3 6 4" xfId="0"/>
    <cellStyle name="Normal 61 7 3 6 4 2" xfId="0"/>
    <cellStyle name="Normal 61 7 3 6 5" xfId="0"/>
    <cellStyle name="Normal 61 7 3 7" xfId="0"/>
    <cellStyle name="Normal 61 7 3 7 2" xfId="0"/>
    <cellStyle name="Normal 61 7 3 7 2 2" xfId="0"/>
    <cellStyle name="Normal 61 7 3 7 3" xfId="0"/>
    <cellStyle name="Normal 61 7 3 8" xfId="0"/>
    <cellStyle name="Normal 61 7 3 8 2" xfId="0"/>
    <cellStyle name="Normal 61 7 3 8 2 2" xfId="0"/>
    <cellStyle name="Normal 61 7 3 8 3" xfId="0"/>
    <cellStyle name="Normal 61 7 3 9" xfId="0"/>
    <cellStyle name="Normal 61 7 3 9 2" xfId="0"/>
    <cellStyle name="Normal 61 7 4" xfId="0"/>
    <cellStyle name="Normal 61 7 4 2" xfId="0"/>
    <cellStyle name="Normal 61 7 4 2 2" xfId="0"/>
    <cellStyle name="Normal 61 7 4 2 2 2" xfId="0"/>
    <cellStyle name="Normal 61 7 4 2 2 2 2" xfId="0"/>
    <cellStyle name="Normal 61 7 4 2 2 2 2 2" xfId="0"/>
    <cellStyle name="Normal 61 7 4 2 2 2 2 2 2" xfId="0"/>
    <cellStyle name="Normal 61 7 4 2 2 2 2 2 2 2" xfId="0"/>
    <cellStyle name="Normal 61 7 4 2 2 2 2 2 3" xfId="0"/>
    <cellStyle name="Normal 61 7 4 2 2 2 2 3" xfId="0"/>
    <cellStyle name="Normal 61 7 4 2 2 2 2 3 2" xfId="0"/>
    <cellStyle name="Normal 61 7 4 2 2 2 2 3 2 2" xfId="0"/>
    <cellStyle name="Normal 61 7 4 2 2 2 2 3 3" xfId="0"/>
    <cellStyle name="Normal 61 7 4 2 2 2 2 4" xfId="0"/>
    <cellStyle name="Normal 61 7 4 2 2 2 2 4 2" xfId="0"/>
    <cellStyle name="Normal 61 7 4 2 2 2 2 5" xfId="0"/>
    <cellStyle name="Normal 61 7 4 2 2 2 3" xfId="0"/>
    <cellStyle name="Normal 61 7 4 2 2 2 3 2" xfId="0"/>
    <cellStyle name="Normal 61 7 4 2 2 2 3 2 2" xfId="0"/>
    <cellStyle name="Normal 61 7 4 2 2 2 3 3" xfId="0"/>
    <cellStyle name="Normal 61 7 4 2 2 2 4" xfId="0"/>
    <cellStyle name="Normal 61 7 4 2 2 2 4 2" xfId="0"/>
    <cellStyle name="Normal 61 7 4 2 2 2 4 2 2" xfId="0"/>
    <cellStyle name="Normal 61 7 4 2 2 2 4 3" xfId="0"/>
    <cellStyle name="Normal 61 7 4 2 2 2 5" xfId="0"/>
    <cellStyle name="Normal 61 7 4 2 2 2 5 2" xfId="0"/>
    <cellStyle name="Normal 61 7 4 2 2 2 6" xfId="0"/>
    <cellStyle name="Normal 61 7 4 2 2 3" xfId="0"/>
    <cellStyle name="Normal 61 7 4 2 2 3 2" xfId="0"/>
    <cellStyle name="Normal 61 7 4 2 2 3 2 2" xfId="0"/>
    <cellStyle name="Normal 61 7 4 2 2 3 2 2 2" xfId="0"/>
    <cellStyle name="Normal 61 7 4 2 2 3 2 3" xfId="0"/>
    <cellStyle name="Normal 61 7 4 2 2 3 3" xfId="0"/>
    <cellStyle name="Normal 61 7 4 2 2 3 3 2" xfId="0"/>
    <cellStyle name="Normal 61 7 4 2 2 3 3 2 2" xfId="0"/>
    <cellStyle name="Normal 61 7 4 2 2 3 3 3" xfId="0"/>
    <cellStyle name="Normal 61 7 4 2 2 3 4" xfId="0"/>
    <cellStyle name="Normal 61 7 4 2 2 3 4 2" xfId="0"/>
    <cellStyle name="Normal 61 7 4 2 2 3 5" xfId="0"/>
    <cellStyle name="Normal 61 7 4 2 2 4" xfId="0"/>
    <cellStyle name="Normal 61 7 4 2 2 4 2" xfId="0"/>
    <cellStyle name="Normal 61 7 4 2 2 4 2 2" xfId="0"/>
    <cellStyle name="Normal 61 7 4 2 2 4 3" xfId="0"/>
    <cellStyle name="Normal 61 7 4 2 2 5" xfId="0"/>
    <cellStyle name="Normal 61 7 4 2 2 5 2" xfId="0"/>
    <cellStyle name="Normal 61 7 4 2 2 5 2 2" xfId="0"/>
    <cellStyle name="Normal 61 7 4 2 2 5 3" xfId="0"/>
    <cellStyle name="Normal 61 7 4 2 2 6" xfId="0"/>
    <cellStyle name="Normal 61 7 4 2 2 6 2" xfId="0"/>
    <cellStyle name="Normal 61 7 4 2 2 7" xfId="0"/>
    <cellStyle name="Normal 61 7 4 2 3" xfId="0"/>
    <cellStyle name="Normal 61 7 4 2 3 2" xfId="0"/>
    <cellStyle name="Normal 61 7 4 2 3 2 2" xfId="0"/>
    <cellStyle name="Normal 61 7 4 2 3 2 2 2" xfId="0"/>
    <cellStyle name="Normal 61 7 4 2 3 2 2 2 2" xfId="0"/>
    <cellStyle name="Normal 61 7 4 2 3 2 2 3" xfId="0"/>
    <cellStyle name="Normal 61 7 4 2 3 2 3" xfId="0"/>
    <cellStyle name="Normal 61 7 4 2 3 2 3 2" xfId="0"/>
    <cellStyle name="Normal 61 7 4 2 3 2 3 2 2" xfId="0"/>
    <cellStyle name="Normal 61 7 4 2 3 2 3 3" xfId="0"/>
    <cellStyle name="Normal 61 7 4 2 3 2 4" xfId="0"/>
    <cellStyle name="Normal 61 7 4 2 3 2 4 2" xfId="0"/>
    <cellStyle name="Normal 61 7 4 2 3 2 5" xfId="0"/>
    <cellStyle name="Normal 61 7 4 2 3 3" xfId="0"/>
    <cellStyle name="Normal 61 7 4 2 3 3 2" xfId="0"/>
    <cellStyle name="Normal 61 7 4 2 3 3 2 2" xfId="0"/>
    <cellStyle name="Normal 61 7 4 2 3 3 3" xfId="0"/>
    <cellStyle name="Normal 61 7 4 2 3 4" xfId="0"/>
    <cellStyle name="Normal 61 7 4 2 3 4 2" xfId="0"/>
    <cellStyle name="Normal 61 7 4 2 3 4 2 2" xfId="0"/>
    <cellStyle name="Normal 61 7 4 2 3 4 3" xfId="0"/>
    <cellStyle name="Normal 61 7 4 2 3 5" xfId="0"/>
    <cellStyle name="Normal 61 7 4 2 3 5 2" xfId="0"/>
    <cellStyle name="Normal 61 7 4 2 3 6" xfId="0"/>
    <cellStyle name="Normal 61 7 4 2 4" xfId="0"/>
    <cellStyle name="Normal 61 7 4 2 4 2" xfId="0"/>
    <cellStyle name="Normal 61 7 4 2 4 2 2" xfId="0"/>
    <cellStyle name="Normal 61 7 4 2 4 2 2 2" xfId="0"/>
    <cellStyle name="Normal 61 7 4 2 4 2 3" xfId="0"/>
    <cellStyle name="Normal 61 7 4 2 4 3" xfId="0"/>
    <cellStyle name="Normal 61 7 4 2 4 3 2" xfId="0"/>
    <cellStyle name="Normal 61 7 4 2 4 3 2 2" xfId="0"/>
    <cellStyle name="Normal 61 7 4 2 4 3 3" xfId="0"/>
    <cellStyle name="Normal 61 7 4 2 4 4" xfId="0"/>
    <cellStyle name="Normal 61 7 4 2 4 4 2" xfId="0"/>
    <cellStyle name="Normal 61 7 4 2 4 5" xfId="0"/>
    <cellStyle name="Normal 61 7 4 2 5" xfId="0"/>
    <cellStyle name="Normal 61 7 4 2 5 2" xfId="0"/>
    <cellStyle name="Normal 61 7 4 2 5 2 2" xfId="0"/>
    <cellStyle name="Normal 61 7 4 2 5 3" xfId="0"/>
    <cellStyle name="Normal 61 7 4 2 6" xfId="0"/>
    <cellStyle name="Normal 61 7 4 2 6 2" xfId="0"/>
    <cellStyle name="Normal 61 7 4 2 6 2 2" xfId="0"/>
    <cellStyle name="Normal 61 7 4 2 6 3" xfId="0"/>
    <cellStyle name="Normal 61 7 4 2 7" xfId="0"/>
    <cellStyle name="Normal 61 7 4 2 7 2" xfId="0"/>
    <cellStyle name="Normal 61 7 4 2 8" xfId="0"/>
    <cellStyle name="Normal 61 7 4 3" xfId="0"/>
    <cellStyle name="Normal 61 7 4 3 2" xfId="0"/>
    <cellStyle name="Normal 61 7 4 3 2 2" xfId="0"/>
    <cellStyle name="Normal 61 7 4 3 2 2 2" xfId="0"/>
    <cellStyle name="Normal 61 7 4 3 2 2 2 2" xfId="0"/>
    <cellStyle name="Normal 61 7 4 3 2 2 2 2 2" xfId="0"/>
    <cellStyle name="Normal 61 7 4 3 2 2 2 3" xfId="0"/>
    <cellStyle name="Normal 61 7 4 3 2 2 3" xfId="0"/>
    <cellStyle name="Normal 61 7 4 3 2 2 3 2" xfId="0"/>
    <cellStyle name="Normal 61 7 4 3 2 2 3 2 2" xfId="0"/>
    <cellStyle name="Normal 61 7 4 3 2 2 3 3" xfId="0"/>
    <cellStyle name="Normal 61 7 4 3 2 2 4" xfId="0"/>
    <cellStyle name="Normal 61 7 4 3 2 2 4 2" xfId="0"/>
    <cellStyle name="Normal 61 7 4 3 2 2 5" xfId="0"/>
    <cellStyle name="Normal 61 7 4 3 2 3" xfId="0"/>
    <cellStyle name="Normal 61 7 4 3 2 3 2" xfId="0"/>
    <cellStyle name="Normal 61 7 4 3 2 3 2 2" xfId="0"/>
    <cellStyle name="Normal 61 7 4 3 2 3 3" xfId="0"/>
    <cellStyle name="Normal 61 7 4 3 2 4" xfId="0"/>
    <cellStyle name="Normal 61 7 4 3 2 4 2" xfId="0"/>
    <cellStyle name="Normal 61 7 4 3 2 4 2 2" xfId="0"/>
    <cellStyle name="Normal 61 7 4 3 2 4 3" xfId="0"/>
    <cellStyle name="Normal 61 7 4 3 2 5" xfId="0"/>
    <cellStyle name="Normal 61 7 4 3 2 5 2" xfId="0"/>
    <cellStyle name="Normal 61 7 4 3 2 6" xfId="0"/>
    <cellStyle name="Normal 61 7 4 3 3" xfId="0"/>
    <cellStyle name="Normal 61 7 4 3 3 2" xfId="0"/>
    <cellStyle name="Normal 61 7 4 3 3 2 2" xfId="0"/>
    <cellStyle name="Normal 61 7 4 3 3 2 2 2" xfId="0"/>
    <cellStyle name="Normal 61 7 4 3 3 2 3" xfId="0"/>
    <cellStyle name="Normal 61 7 4 3 3 3" xfId="0"/>
    <cellStyle name="Normal 61 7 4 3 3 3 2" xfId="0"/>
    <cellStyle name="Normal 61 7 4 3 3 3 2 2" xfId="0"/>
    <cellStyle name="Normal 61 7 4 3 3 3 3" xfId="0"/>
    <cellStyle name="Normal 61 7 4 3 3 4" xfId="0"/>
    <cellStyle name="Normal 61 7 4 3 3 4 2" xfId="0"/>
    <cellStyle name="Normal 61 7 4 3 3 5" xfId="0"/>
    <cellStyle name="Normal 61 7 4 3 4" xfId="0"/>
    <cellStyle name="Normal 61 7 4 3 4 2" xfId="0"/>
    <cellStyle name="Normal 61 7 4 3 4 2 2" xfId="0"/>
    <cellStyle name="Normal 61 7 4 3 4 3" xfId="0"/>
    <cellStyle name="Normal 61 7 4 3 5" xfId="0"/>
    <cellStyle name="Normal 61 7 4 3 5 2" xfId="0"/>
    <cellStyle name="Normal 61 7 4 3 5 2 2" xfId="0"/>
    <cellStyle name="Normal 61 7 4 3 5 3" xfId="0"/>
    <cellStyle name="Normal 61 7 4 3 6" xfId="0"/>
    <cellStyle name="Normal 61 7 4 3 6 2" xfId="0"/>
    <cellStyle name="Normal 61 7 4 3 7" xfId="0"/>
    <cellStyle name="Normal 61 7 4 4" xfId="0"/>
    <cellStyle name="Normal 61 7 4 4 2" xfId="0"/>
    <cellStyle name="Normal 61 7 4 4 2 2" xfId="0"/>
    <cellStyle name="Normal 61 7 4 4 2 2 2" xfId="0"/>
    <cellStyle name="Normal 61 7 4 4 2 2 2 2" xfId="0"/>
    <cellStyle name="Normal 61 7 4 4 2 2 3" xfId="0"/>
    <cellStyle name="Normal 61 7 4 4 2 3" xfId="0"/>
    <cellStyle name="Normal 61 7 4 4 2 3 2" xfId="0"/>
    <cellStyle name="Normal 61 7 4 4 2 3 2 2" xfId="0"/>
    <cellStyle name="Normal 61 7 4 4 2 3 3" xfId="0"/>
    <cellStyle name="Normal 61 7 4 4 2 4" xfId="0"/>
    <cellStyle name="Normal 61 7 4 4 2 4 2" xfId="0"/>
    <cellStyle name="Normal 61 7 4 4 2 5" xfId="0"/>
    <cellStyle name="Normal 61 7 4 4 3" xfId="0"/>
    <cellStyle name="Normal 61 7 4 4 3 2" xfId="0"/>
    <cellStyle name="Normal 61 7 4 4 3 2 2" xfId="0"/>
    <cellStyle name="Normal 61 7 4 4 3 3" xfId="0"/>
    <cellStyle name="Normal 61 7 4 4 4" xfId="0"/>
    <cellStyle name="Normal 61 7 4 4 4 2" xfId="0"/>
    <cellStyle name="Normal 61 7 4 4 4 2 2" xfId="0"/>
    <cellStyle name="Normal 61 7 4 4 4 3" xfId="0"/>
    <cellStyle name="Normal 61 7 4 4 5" xfId="0"/>
    <cellStyle name="Normal 61 7 4 4 5 2" xfId="0"/>
    <cellStyle name="Normal 61 7 4 4 6" xfId="0"/>
    <cellStyle name="Normal 61 7 4 5" xfId="0"/>
    <cellStyle name="Normal 61 7 4 5 2" xfId="0"/>
    <cellStyle name="Normal 61 7 4 5 2 2" xfId="0"/>
    <cellStyle name="Normal 61 7 4 5 2 2 2" xfId="0"/>
    <cellStyle name="Normal 61 7 4 5 2 3" xfId="0"/>
    <cellStyle name="Normal 61 7 4 5 3" xfId="0"/>
    <cellStyle name="Normal 61 7 4 5 3 2" xfId="0"/>
    <cellStyle name="Normal 61 7 4 5 3 2 2" xfId="0"/>
    <cellStyle name="Normal 61 7 4 5 3 3" xfId="0"/>
    <cellStyle name="Normal 61 7 4 5 4" xfId="0"/>
    <cellStyle name="Normal 61 7 4 5 4 2" xfId="0"/>
    <cellStyle name="Normal 61 7 4 5 5" xfId="0"/>
    <cellStyle name="Normal 61 7 4 6" xfId="0"/>
    <cellStyle name="Normal 61 7 4 6 2" xfId="0"/>
    <cellStyle name="Normal 61 7 4 6 2 2" xfId="0"/>
    <cellStyle name="Normal 61 7 4 6 3" xfId="0"/>
    <cellStyle name="Normal 61 7 4 7" xfId="0"/>
    <cellStyle name="Normal 61 7 4 7 2" xfId="0"/>
    <cellStyle name="Normal 61 7 4 7 2 2" xfId="0"/>
    <cellStyle name="Normal 61 7 4 7 3" xfId="0"/>
    <cellStyle name="Normal 61 7 4 8" xfId="0"/>
    <cellStyle name="Normal 61 7 4 8 2" xfId="0"/>
    <cellStyle name="Normal 61 7 4 9" xfId="0"/>
    <cellStyle name="Normal 61 7 5" xfId="0"/>
    <cellStyle name="Normal 61 7 5 2" xfId="0"/>
    <cellStyle name="Normal 61 7 5 2 2" xfId="0"/>
    <cellStyle name="Normal 61 7 5 2 2 2" xfId="0"/>
    <cellStyle name="Normal 61 7 5 2 2 2 2" xfId="0"/>
    <cellStyle name="Normal 61 7 5 2 2 2 2 2" xfId="0"/>
    <cellStyle name="Normal 61 7 5 2 2 2 2 2 2" xfId="0"/>
    <cellStyle name="Normal 61 7 5 2 2 2 2 3" xfId="0"/>
    <cellStyle name="Normal 61 7 5 2 2 2 3" xfId="0"/>
    <cellStyle name="Normal 61 7 5 2 2 2 3 2" xfId="0"/>
    <cellStyle name="Normal 61 7 5 2 2 2 3 2 2" xfId="0"/>
    <cellStyle name="Normal 61 7 5 2 2 2 3 3" xfId="0"/>
    <cellStyle name="Normal 61 7 5 2 2 2 4" xfId="0"/>
    <cellStyle name="Normal 61 7 5 2 2 2 4 2" xfId="0"/>
    <cellStyle name="Normal 61 7 5 2 2 2 5" xfId="0"/>
    <cellStyle name="Normal 61 7 5 2 2 3" xfId="0"/>
    <cellStyle name="Normal 61 7 5 2 2 3 2" xfId="0"/>
    <cellStyle name="Normal 61 7 5 2 2 3 2 2" xfId="0"/>
    <cellStyle name="Normal 61 7 5 2 2 3 3" xfId="0"/>
    <cellStyle name="Normal 61 7 5 2 2 4" xfId="0"/>
    <cellStyle name="Normal 61 7 5 2 2 4 2" xfId="0"/>
    <cellStyle name="Normal 61 7 5 2 2 4 2 2" xfId="0"/>
    <cellStyle name="Normal 61 7 5 2 2 4 3" xfId="0"/>
    <cellStyle name="Normal 61 7 5 2 2 5" xfId="0"/>
    <cellStyle name="Normal 61 7 5 2 2 5 2" xfId="0"/>
    <cellStyle name="Normal 61 7 5 2 2 6" xfId="0"/>
    <cellStyle name="Normal 61 7 5 2 3" xfId="0"/>
    <cellStyle name="Normal 61 7 5 2 3 2" xfId="0"/>
    <cellStyle name="Normal 61 7 5 2 3 2 2" xfId="0"/>
    <cellStyle name="Normal 61 7 5 2 3 2 2 2" xfId="0"/>
    <cellStyle name="Normal 61 7 5 2 3 2 3" xfId="0"/>
    <cellStyle name="Normal 61 7 5 2 3 3" xfId="0"/>
    <cellStyle name="Normal 61 7 5 2 3 3 2" xfId="0"/>
    <cellStyle name="Normal 61 7 5 2 3 3 2 2" xfId="0"/>
    <cellStyle name="Normal 61 7 5 2 3 3 3" xfId="0"/>
    <cellStyle name="Normal 61 7 5 2 3 4" xfId="0"/>
    <cellStyle name="Normal 61 7 5 2 3 4 2" xfId="0"/>
    <cellStyle name="Normal 61 7 5 2 3 5" xfId="0"/>
    <cellStyle name="Normal 61 7 5 2 4" xfId="0"/>
    <cellStyle name="Normal 61 7 5 2 4 2" xfId="0"/>
    <cellStyle name="Normal 61 7 5 2 4 2 2" xfId="0"/>
    <cellStyle name="Normal 61 7 5 2 4 3" xfId="0"/>
    <cellStyle name="Normal 61 7 5 2 5" xfId="0"/>
    <cellStyle name="Normal 61 7 5 2 5 2" xfId="0"/>
    <cellStyle name="Normal 61 7 5 2 5 2 2" xfId="0"/>
    <cellStyle name="Normal 61 7 5 2 5 3" xfId="0"/>
    <cellStyle name="Normal 61 7 5 2 6" xfId="0"/>
    <cellStyle name="Normal 61 7 5 2 6 2" xfId="0"/>
    <cellStyle name="Normal 61 7 5 2 7" xfId="0"/>
    <cellStyle name="Normal 61 7 5 3" xfId="0"/>
    <cellStyle name="Normal 61 7 5 3 2" xfId="0"/>
    <cellStyle name="Normal 61 7 5 3 2 2" xfId="0"/>
    <cellStyle name="Normal 61 7 5 3 2 2 2" xfId="0"/>
    <cellStyle name="Normal 61 7 5 3 2 2 2 2" xfId="0"/>
    <cellStyle name="Normal 61 7 5 3 2 2 3" xfId="0"/>
    <cellStyle name="Normal 61 7 5 3 2 3" xfId="0"/>
    <cellStyle name="Normal 61 7 5 3 2 3 2" xfId="0"/>
    <cellStyle name="Normal 61 7 5 3 2 3 2 2" xfId="0"/>
    <cellStyle name="Normal 61 7 5 3 2 3 3" xfId="0"/>
    <cellStyle name="Normal 61 7 5 3 2 4" xfId="0"/>
    <cellStyle name="Normal 61 7 5 3 2 4 2" xfId="0"/>
    <cellStyle name="Normal 61 7 5 3 2 5" xfId="0"/>
    <cellStyle name="Normal 61 7 5 3 3" xfId="0"/>
    <cellStyle name="Normal 61 7 5 3 3 2" xfId="0"/>
    <cellStyle name="Normal 61 7 5 3 3 2 2" xfId="0"/>
    <cellStyle name="Normal 61 7 5 3 3 3" xfId="0"/>
    <cellStyle name="Normal 61 7 5 3 4" xfId="0"/>
    <cellStyle name="Normal 61 7 5 3 4 2" xfId="0"/>
    <cellStyle name="Normal 61 7 5 3 4 2 2" xfId="0"/>
    <cellStyle name="Normal 61 7 5 3 4 3" xfId="0"/>
    <cellStyle name="Normal 61 7 5 3 5" xfId="0"/>
    <cellStyle name="Normal 61 7 5 3 5 2" xfId="0"/>
    <cellStyle name="Normal 61 7 5 3 6" xfId="0"/>
    <cellStyle name="Normal 61 7 5 4" xfId="0"/>
    <cellStyle name="Normal 61 7 5 4 2" xfId="0"/>
    <cellStyle name="Normal 61 7 5 4 2 2" xfId="0"/>
    <cellStyle name="Normal 61 7 5 4 2 2 2" xfId="0"/>
    <cellStyle name="Normal 61 7 5 4 2 3" xfId="0"/>
    <cellStyle name="Normal 61 7 5 4 3" xfId="0"/>
    <cellStyle name="Normal 61 7 5 4 3 2" xfId="0"/>
    <cellStyle name="Normal 61 7 5 4 3 2 2" xfId="0"/>
    <cellStyle name="Normal 61 7 5 4 3 3" xfId="0"/>
    <cellStyle name="Normal 61 7 5 4 4" xfId="0"/>
    <cellStyle name="Normal 61 7 5 4 4 2" xfId="0"/>
    <cellStyle name="Normal 61 7 5 4 5" xfId="0"/>
    <cellStyle name="Normal 61 7 5 5" xfId="0"/>
    <cellStyle name="Normal 61 7 5 5 2" xfId="0"/>
    <cellStyle name="Normal 61 7 5 5 2 2" xfId="0"/>
    <cellStyle name="Normal 61 7 5 5 3" xfId="0"/>
    <cellStyle name="Normal 61 7 5 6" xfId="0"/>
    <cellStyle name="Normal 61 7 5 6 2" xfId="0"/>
    <cellStyle name="Normal 61 7 5 6 2 2" xfId="0"/>
    <cellStyle name="Normal 61 7 5 6 3" xfId="0"/>
    <cellStyle name="Normal 61 7 5 7" xfId="0"/>
    <cellStyle name="Normal 61 7 5 7 2" xfId="0"/>
    <cellStyle name="Normal 61 7 5 8" xfId="0"/>
    <cellStyle name="Normal 61 7 6" xfId="0"/>
    <cellStyle name="Normal 61 7 6 2" xfId="0"/>
    <cellStyle name="Normal 61 7 6 2 2" xfId="0"/>
    <cellStyle name="Normal 61 7 6 2 2 2" xfId="0"/>
    <cellStyle name="Normal 61 7 6 2 2 2 2" xfId="0"/>
    <cellStyle name="Normal 61 7 6 2 2 2 2 2" xfId="0"/>
    <cellStyle name="Normal 61 7 6 2 2 2 3" xfId="0"/>
    <cellStyle name="Normal 61 7 6 2 2 3" xfId="0"/>
    <cellStyle name="Normal 61 7 6 2 2 3 2" xfId="0"/>
    <cellStyle name="Normal 61 7 6 2 2 3 2 2" xfId="0"/>
    <cellStyle name="Normal 61 7 6 2 2 3 3" xfId="0"/>
    <cellStyle name="Normal 61 7 6 2 2 4" xfId="0"/>
    <cellStyle name="Normal 61 7 6 2 2 4 2" xfId="0"/>
    <cellStyle name="Normal 61 7 6 2 2 5" xfId="0"/>
    <cellStyle name="Normal 61 7 6 2 3" xfId="0"/>
    <cellStyle name="Normal 61 7 6 2 3 2" xfId="0"/>
    <cellStyle name="Normal 61 7 6 2 3 2 2" xfId="0"/>
    <cellStyle name="Normal 61 7 6 2 3 3" xfId="0"/>
    <cellStyle name="Normal 61 7 6 2 4" xfId="0"/>
    <cellStyle name="Normal 61 7 6 2 4 2" xfId="0"/>
    <cellStyle name="Normal 61 7 6 2 4 2 2" xfId="0"/>
    <cellStyle name="Normal 61 7 6 2 4 3" xfId="0"/>
    <cellStyle name="Normal 61 7 6 2 5" xfId="0"/>
    <cellStyle name="Normal 61 7 6 2 5 2" xfId="0"/>
    <cellStyle name="Normal 61 7 6 2 6" xfId="0"/>
    <cellStyle name="Normal 61 7 6 3" xfId="0"/>
    <cellStyle name="Normal 61 7 6 3 2" xfId="0"/>
    <cellStyle name="Normal 61 7 6 3 2 2" xfId="0"/>
    <cellStyle name="Normal 61 7 6 3 2 2 2" xfId="0"/>
    <cellStyle name="Normal 61 7 6 3 2 3" xfId="0"/>
    <cellStyle name="Normal 61 7 6 3 3" xfId="0"/>
    <cellStyle name="Normal 61 7 6 3 3 2" xfId="0"/>
    <cellStyle name="Normal 61 7 6 3 3 2 2" xfId="0"/>
    <cellStyle name="Normal 61 7 6 3 3 3" xfId="0"/>
    <cellStyle name="Normal 61 7 6 3 4" xfId="0"/>
    <cellStyle name="Normal 61 7 6 3 4 2" xfId="0"/>
    <cellStyle name="Normal 61 7 6 3 5" xfId="0"/>
    <cellStyle name="Normal 61 7 6 4" xfId="0"/>
    <cellStyle name="Normal 61 7 6 4 2" xfId="0"/>
    <cellStyle name="Normal 61 7 6 4 2 2" xfId="0"/>
    <cellStyle name="Normal 61 7 6 4 3" xfId="0"/>
    <cellStyle name="Normal 61 7 6 5" xfId="0"/>
    <cellStyle name="Normal 61 7 6 5 2" xfId="0"/>
    <cellStyle name="Normal 61 7 6 5 2 2" xfId="0"/>
    <cellStyle name="Normal 61 7 6 5 3" xfId="0"/>
    <cellStyle name="Normal 61 7 6 6" xfId="0"/>
    <cellStyle name="Normal 61 7 6 6 2" xfId="0"/>
    <cellStyle name="Normal 61 7 6 7" xfId="0"/>
    <cellStyle name="Normal 61 7 7" xfId="0"/>
    <cellStyle name="Normal 61 7 7 2" xfId="0"/>
    <cellStyle name="Normal 61 7 7 2 2" xfId="0"/>
    <cellStyle name="Normal 61 7 7 2 2 2" xfId="0"/>
    <cellStyle name="Normal 61 7 7 2 2 2 2" xfId="0"/>
    <cellStyle name="Normal 61 7 7 2 2 3" xfId="0"/>
    <cellStyle name="Normal 61 7 7 2 3" xfId="0"/>
    <cellStyle name="Normal 61 7 7 2 3 2" xfId="0"/>
    <cellStyle name="Normal 61 7 7 2 3 2 2" xfId="0"/>
    <cellStyle name="Normal 61 7 7 2 3 3" xfId="0"/>
    <cellStyle name="Normal 61 7 7 2 4" xfId="0"/>
    <cellStyle name="Normal 61 7 7 2 4 2" xfId="0"/>
    <cellStyle name="Normal 61 7 7 2 5" xfId="0"/>
    <cellStyle name="Normal 61 7 7 3" xfId="0"/>
    <cellStyle name="Normal 61 7 7 3 2" xfId="0"/>
    <cellStyle name="Normal 61 7 7 3 2 2" xfId="0"/>
    <cellStyle name="Normal 61 7 7 3 3" xfId="0"/>
    <cellStyle name="Normal 61 7 7 4" xfId="0"/>
    <cellStyle name="Normal 61 7 7 4 2" xfId="0"/>
    <cellStyle name="Normal 61 7 7 4 2 2" xfId="0"/>
    <cellStyle name="Normal 61 7 7 4 3" xfId="0"/>
    <cellStyle name="Normal 61 7 7 5" xfId="0"/>
    <cellStyle name="Normal 61 7 7 5 2" xfId="0"/>
    <cellStyle name="Normal 61 7 7 6" xfId="0"/>
    <cellStyle name="Normal 61 7 8" xfId="0"/>
    <cellStyle name="Normal 61 7 8 2" xfId="0"/>
    <cellStyle name="Normal 61 7 8 2 2" xfId="0"/>
    <cellStyle name="Normal 61 7 8 2 2 2" xfId="0"/>
    <cellStyle name="Normal 61 7 8 2 3" xfId="0"/>
    <cellStyle name="Normal 61 7 8 3" xfId="0"/>
    <cellStyle name="Normal 61 7 8 3 2" xfId="0"/>
    <cellStyle name="Normal 61 7 8 3 2 2" xfId="0"/>
    <cellStyle name="Normal 61 7 8 3 3" xfId="0"/>
    <cellStyle name="Normal 61 7 8 4" xfId="0"/>
    <cellStyle name="Normal 61 7 8 4 2" xfId="0"/>
    <cellStyle name="Normal 61 7 8 5" xfId="0"/>
    <cellStyle name="Normal 61 7 9" xfId="0"/>
    <cellStyle name="Normal 61 7 9 2" xfId="0"/>
    <cellStyle name="Normal 61 7 9 2 2" xfId="0"/>
    <cellStyle name="Normal 61 7 9 3" xfId="0"/>
    <cellStyle name="Normal 61 8" xfId="0"/>
    <cellStyle name="Normal 61 8 10" xfId="0"/>
    <cellStyle name="Normal 61 8 2" xfId="0"/>
    <cellStyle name="Normal 61 8 2 2" xfId="0"/>
    <cellStyle name="Normal 61 8 2 2 2" xfId="0"/>
    <cellStyle name="Normal 61 8 2 2 2 2" xfId="0"/>
    <cellStyle name="Normal 61 8 2 2 2 2 2" xfId="0"/>
    <cellStyle name="Normal 61 8 2 2 2 2 2 2" xfId="0"/>
    <cellStyle name="Normal 61 8 2 2 2 2 2 2 2" xfId="0"/>
    <cellStyle name="Normal 61 8 2 2 2 2 2 2 2 2" xfId="0"/>
    <cellStyle name="Normal 61 8 2 2 2 2 2 2 3" xfId="0"/>
    <cellStyle name="Normal 61 8 2 2 2 2 2 3" xfId="0"/>
    <cellStyle name="Normal 61 8 2 2 2 2 2 3 2" xfId="0"/>
    <cellStyle name="Normal 61 8 2 2 2 2 2 3 2 2" xfId="0"/>
    <cellStyle name="Normal 61 8 2 2 2 2 2 3 3" xfId="0"/>
    <cellStyle name="Normal 61 8 2 2 2 2 2 4" xfId="0"/>
    <cellStyle name="Normal 61 8 2 2 2 2 2 4 2" xfId="0"/>
    <cellStyle name="Normal 61 8 2 2 2 2 2 5" xfId="0"/>
    <cellStyle name="Normal 61 8 2 2 2 2 3" xfId="0"/>
    <cellStyle name="Normal 61 8 2 2 2 2 3 2" xfId="0"/>
    <cellStyle name="Normal 61 8 2 2 2 2 3 2 2" xfId="0"/>
    <cellStyle name="Normal 61 8 2 2 2 2 3 3" xfId="0"/>
    <cellStyle name="Normal 61 8 2 2 2 2 4" xfId="0"/>
    <cellStyle name="Normal 61 8 2 2 2 2 4 2" xfId="0"/>
    <cellStyle name="Normal 61 8 2 2 2 2 4 2 2" xfId="0"/>
    <cellStyle name="Normal 61 8 2 2 2 2 4 3" xfId="0"/>
    <cellStyle name="Normal 61 8 2 2 2 2 5" xfId="0"/>
    <cellStyle name="Normal 61 8 2 2 2 2 5 2" xfId="0"/>
    <cellStyle name="Normal 61 8 2 2 2 2 6" xfId="0"/>
    <cellStyle name="Normal 61 8 2 2 2 3" xfId="0"/>
    <cellStyle name="Normal 61 8 2 2 2 3 2" xfId="0"/>
    <cellStyle name="Normal 61 8 2 2 2 3 2 2" xfId="0"/>
    <cellStyle name="Normal 61 8 2 2 2 3 2 2 2" xfId="0"/>
    <cellStyle name="Normal 61 8 2 2 2 3 2 3" xfId="0"/>
    <cellStyle name="Normal 61 8 2 2 2 3 3" xfId="0"/>
    <cellStyle name="Normal 61 8 2 2 2 3 3 2" xfId="0"/>
    <cellStyle name="Normal 61 8 2 2 2 3 3 2 2" xfId="0"/>
    <cellStyle name="Normal 61 8 2 2 2 3 3 3" xfId="0"/>
    <cellStyle name="Normal 61 8 2 2 2 3 4" xfId="0"/>
    <cellStyle name="Normal 61 8 2 2 2 3 4 2" xfId="0"/>
    <cellStyle name="Normal 61 8 2 2 2 3 5" xfId="0"/>
    <cellStyle name="Normal 61 8 2 2 2 4" xfId="0"/>
    <cellStyle name="Normal 61 8 2 2 2 4 2" xfId="0"/>
    <cellStyle name="Normal 61 8 2 2 2 4 2 2" xfId="0"/>
    <cellStyle name="Normal 61 8 2 2 2 4 3" xfId="0"/>
    <cellStyle name="Normal 61 8 2 2 2 5" xfId="0"/>
    <cellStyle name="Normal 61 8 2 2 2 5 2" xfId="0"/>
    <cellStyle name="Normal 61 8 2 2 2 5 2 2" xfId="0"/>
    <cellStyle name="Normal 61 8 2 2 2 5 3" xfId="0"/>
    <cellStyle name="Normal 61 8 2 2 2 6" xfId="0"/>
    <cellStyle name="Normal 61 8 2 2 2 6 2" xfId="0"/>
    <cellStyle name="Normal 61 8 2 2 2 7" xfId="0"/>
    <cellStyle name="Normal 61 8 2 2 3" xfId="0"/>
    <cellStyle name="Normal 61 8 2 2 3 2" xfId="0"/>
    <cellStyle name="Normal 61 8 2 2 3 2 2" xfId="0"/>
    <cellStyle name="Normal 61 8 2 2 3 2 2 2" xfId="0"/>
    <cellStyle name="Normal 61 8 2 2 3 2 2 2 2" xfId="0"/>
    <cellStyle name="Normal 61 8 2 2 3 2 2 3" xfId="0"/>
    <cellStyle name="Normal 61 8 2 2 3 2 3" xfId="0"/>
    <cellStyle name="Normal 61 8 2 2 3 2 3 2" xfId="0"/>
    <cellStyle name="Normal 61 8 2 2 3 2 3 2 2" xfId="0"/>
    <cellStyle name="Normal 61 8 2 2 3 2 3 3" xfId="0"/>
    <cellStyle name="Normal 61 8 2 2 3 2 4" xfId="0"/>
    <cellStyle name="Normal 61 8 2 2 3 2 4 2" xfId="0"/>
    <cellStyle name="Normal 61 8 2 2 3 2 5" xfId="0"/>
    <cellStyle name="Normal 61 8 2 2 3 3" xfId="0"/>
    <cellStyle name="Normal 61 8 2 2 3 3 2" xfId="0"/>
    <cellStyle name="Normal 61 8 2 2 3 3 2 2" xfId="0"/>
    <cellStyle name="Normal 61 8 2 2 3 3 3" xfId="0"/>
    <cellStyle name="Normal 61 8 2 2 3 4" xfId="0"/>
    <cellStyle name="Normal 61 8 2 2 3 4 2" xfId="0"/>
    <cellStyle name="Normal 61 8 2 2 3 4 2 2" xfId="0"/>
    <cellStyle name="Normal 61 8 2 2 3 4 3" xfId="0"/>
    <cellStyle name="Normal 61 8 2 2 3 5" xfId="0"/>
    <cellStyle name="Normal 61 8 2 2 3 5 2" xfId="0"/>
    <cellStyle name="Normal 61 8 2 2 3 6" xfId="0"/>
    <cellStyle name="Normal 61 8 2 2 4" xfId="0"/>
    <cellStyle name="Normal 61 8 2 2 4 2" xfId="0"/>
    <cellStyle name="Normal 61 8 2 2 4 2 2" xfId="0"/>
    <cellStyle name="Normal 61 8 2 2 4 2 2 2" xfId="0"/>
    <cellStyle name="Normal 61 8 2 2 4 2 3" xfId="0"/>
    <cellStyle name="Normal 61 8 2 2 4 3" xfId="0"/>
    <cellStyle name="Normal 61 8 2 2 4 3 2" xfId="0"/>
    <cellStyle name="Normal 61 8 2 2 4 3 2 2" xfId="0"/>
    <cellStyle name="Normal 61 8 2 2 4 3 3" xfId="0"/>
    <cellStyle name="Normal 61 8 2 2 4 4" xfId="0"/>
    <cellStyle name="Normal 61 8 2 2 4 4 2" xfId="0"/>
    <cellStyle name="Normal 61 8 2 2 4 5" xfId="0"/>
    <cellStyle name="Normal 61 8 2 2 5" xfId="0"/>
    <cellStyle name="Normal 61 8 2 2 5 2" xfId="0"/>
    <cellStyle name="Normal 61 8 2 2 5 2 2" xfId="0"/>
    <cellStyle name="Normal 61 8 2 2 5 3" xfId="0"/>
    <cellStyle name="Normal 61 8 2 2 6" xfId="0"/>
    <cellStyle name="Normal 61 8 2 2 6 2" xfId="0"/>
    <cellStyle name="Normal 61 8 2 2 6 2 2" xfId="0"/>
    <cellStyle name="Normal 61 8 2 2 6 3" xfId="0"/>
    <cellStyle name="Normal 61 8 2 2 7" xfId="0"/>
    <cellStyle name="Normal 61 8 2 2 7 2" xfId="0"/>
    <cellStyle name="Normal 61 8 2 2 8" xfId="0"/>
    <cellStyle name="Normal 61 8 2 3" xfId="0"/>
    <cellStyle name="Normal 61 8 2 3 2" xfId="0"/>
    <cellStyle name="Normal 61 8 2 3 2 2" xfId="0"/>
    <cellStyle name="Normal 61 8 2 3 2 2 2" xfId="0"/>
    <cellStyle name="Normal 61 8 2 3 2 2 2 2" xfId="0"/>
    <cellStyle name="Normal 61 8 2 3 2 2 2 2 2" xfId="0"/>
    <cellStyle name="Normal 61 8 2 3 2 2 2 3" xfId="0"/>
    <cellStyle name="Normal 61 8 2 3 2 2 3" xfId="0"/>
    <cellStyle name="Normal 61 8 2 3 2 2 3 2" xfId="0"/>
    <cellStyle name="Normal 61 8 2 3 2 2 3 2 2" xfId="0"/>
    <cellStyle name="Normal 61 8 2 3 2 2 3 3" xfId="0"/>
    <cellStyle name="Normal 61 8 2 3 2 2 4" xfId="0"/>
    <cellStyle name="Normal 61 8 2 3 2 2 4 2" xfId="0"/>
    <cellStyle name="Normal 61 8 2 3 2 2 5" xfId="0"/>
    <cellStyle name="Normal 61 8 2 3 2 3" xfId="0"/>
    <cellStyle name="Normal 61 8 2 3 2 3 2" xfId="0"/>
    <cellStyle name="Normal 61 8 2 3 2 3 2 2" xfId="0"/>
    <cellStyle name="Normal 61 8 2 3 2 3 3" xfId="0"/>
    <cellStyle name="Normal 61 8 2 3 2 4" xfId="0"/>
    <cellStyle name="Normal 61 8 2 3 2 4 2" xfId="0"/>
    <cellStyle name="Normal 61 8 2 3 2 4 2 2" xfId="0"/>
    <cellStyle name="Normal 61 8 2 3 2 4 3" xfId="0"/>
    <cellStyle name="Normal 61 8 2 3 2 5" xfId="0"/>
    <cellStyle name="Normal 61 8 2 3 2 5 2" xfId="0"/>
    <cellStyle name="Normal 61 8 2 3 2 6" xfId="0"/>
    <cellStyle name="Normal 61 8 2 3 3" xfId="0"/>
    <cellStyle name="Normal 61 8 2 3 3 2" xfId="0"/>
    <cellStyle name="Normal 61 8 2 3 3 2 2" xfId="0"/>
    <cellStyle name="Normal 61 8 2 3 3 2 2 2" xfId="0"/>
    <cellStyle name="Normal 61 8 2 3 3 2 3" xfId="0"/>
    <cellStyle name="Normal 61 8 2 3 3 3" xfId="0"/>
    <cellStyle name="Normal 61 8 2 3 3 3 2" xfId="0"/>
    <cellStyle name="Normal 61 8 2 3 3 3 2 2" xfId="0"/>
    <cellStyle name="Normal 61 8 2 3 3 3 3" xfId="0"/>
    <cellStyle name="Normal 61 8 2 3 3 4" xfId="0"/>
    <cellStyle name="Normal 61 8 2 3 3 4 2" xfId="0"/>
    <cellStyle name="Normal 61 8 2 3 3 5" xfId="0"/>
    <cellStyle name="Normal 61 8 2 3 4" xfId="0"/>
    <cellStyle name="Normal 61 8 2 3 4 2" xfId="0"/>
    <cellStyle name="Normal 61 8 2 3 4 2 2" xfId="0"/>
    <cellStyle name="Normal 61 8 2 3 4 3" xfId="0"/>
    <cellStyle name="Normal 61 8 2 3 5" xfId="0"/>
    <cellStyle name="Normal 61 8 2 3 5 2" xfId="0"/>
    <cellStyle name="Normal 61 8 2 3 5 2 2" xfId="0"/>
    <cellStyle name="Normal 61 8 2 3 5 3" xfId="0"/>
    <cellStyle name="Normal 61 8 2 3 6" xfId="0"/>
    <cellStyle name="Normal 61 8 2 3 6 2" xfId="0"/>
    <cellStyle name="Normal 61 8 2 3 7" xfId="0"/>
    <cellStyle name="Normal 61 8 2 4" xfId="0"/>
    <cellStyle name="Normal 61 8 2 4 2" xfId="0"/>
    <cellStyle name="Normal 61 8 2 4 2 2" xfId="0"/>
    <cellStyle name="Normal 61 8 2 4 2 2 2" xfId="0"/>
    <cellStyle name="Normal 61 8 2 4 2 2 2 2" xfId="0"/>
    <cellStyle name="Normal 61 8 2 4 2 2 3" xfId="0"/>
    <cellStyle name="Normal 61 8 2 4 2 3" xfId="0"/>
    <cellStyle name="Normal 61 8 2 4 2 3 2" xfId="0"/>
    <cellStyle name="Normal 61 8 2 4 2 3 2 2" xfId="0"/>
    <cellStyle name="Normal 61 8 2 4 2 3 3" xfId="0"/>
    <cellStyle name="Normal 61 8 2 4 2 4" xfId="0"/>
    <cellStyle name="Normal 61 8 2 4 2 4 2" xfId="0"/>
    <cellStyle name="Normal 61 8 2 4 2 5" xfId="0"/>
    <cellStyle name="Normal 61 8 2 4 3" xfId="0"/>
    <cellStyle name="Normal 61 8 2 4 3 2" xfId="0"/>
    <cellStyle name="Normal 61 8 2 4 3 2 2" xfId="0"/>
    <cellStyle name="Normal 61 8 2 4 3 3" xfId="0"/>
    <cellStyle name="Normal 61 8 2 4 4" xfId="0"/>
    <cellStyle name="Normal 61 8 2 4 4 2" xfId="0"/>
    <cellStyle name="Normal 61 8 2 4 4 2 2" xfId="0"/>
    <cellStyle name="Normal 61 8 2 4 4 3" xfId="0"/>
    <cellStyle name="Normal 61 8 2 4 5" xfId="0"/>
    <cellStyle name="Normal 61 8 2 4 5 2" xfId="0"/>
    <cellStyle name="Normal 61 8 2 4 6" xfId="0"/>
    <cellStyle name="Normal 61 8 2 5" xfId="0"/>
    <cellStyle name="Normal 61 8 2 5 2" xfId="0"/>
    <cellStyle name="Normal 61 8 2 5 2 2" xfId="0"/>
    <cellStyle name="Normal 61 8 2 5 2 2 2" xfId="0"/>
    <cellStyle name="Normal 61 8 2 5 2 3" xfId="0"/>
    <cellStyle name="Normal 61 8 2 5 3" xfId="0"/>
    <cellStyle name="Normal 61 8 2 5 3 2" xfId="0"/>
    <cellStyle name="Normal 61 8 2 5 3 2 2" xfId="0"/>
    <cellStyle name="Normal 61 8 2 5 3 3" xfId="0"/>
    <cellStyle name="Normal 61 8 2 5 4" xfId="0"/>
    <cellStyle name="Normal 61 8 2 5 4 2" xfId="0"/>
    <cellStyle name="Normal 61 8 2 5 5" xfId="0"/>
    <cellStyle name="Normal 61 8 2 6" xfId="0"/>
    <cellStyle name="Normal 61 8 2 6 2" xfId="0"/>
    <cellStyle name="Normal 61 8 2 6 2 2" xfId="0"/>
    <cellStyle name="Normal 61 8 2 6 3" xfId="0"/>
    <cellStyle name="Normal 61 8 2 7" xfId="0"/>
    <cellStyle name="Normal 61 8 2 7 2" xfId="0"/>
    <cellStyle name="Normal 61 8 2 7 2 2" xfId="0"/>
    <cellStyle name="Normal 61 8 2 7 3" xfId="0"/>
    <cellStyle name="Normal 61 8 2 8" xfId="0"/>
    <cellStyle name="Normal 61 8 2 8 2" xfId="0"/>
    <cellStyle name="Normal 61 8 2 9" xfId="0"/>
    <cellStyle name="Normal 61 8 3" xfId="0"/>
    <cellStyle name="Normal 61 8 3 2" xfId="0"/>
    <cellStyle name="Normal 61 8 3 2 2" xfId="0"/>
    <cellStyle name="Normal 61 8 3 2 2 2" xfId="0"/>
    <cellStyle name="Normal 61 8 3 2 2 2 2" xfId="0"/>
    <cellStyle name="Normal 61 8 3 2 2 2 2 2" xfId="0"/>
    <cellStyle name="Normal 61 8 3 2 2 2 2 2 2" xfId="0"/>
    <cellStyle name="Normal 61 8 3 2 2 2 2 3" xfId="0"/>
    <cellStyle name="Normal 61 8 3 2 2 2 3" xfId="0"/>
    <cellStyle name="Normal 61 8 3 2 2 2 3 2" xfId="0"/>
    <cellStyle name="Normal 61 8 3 2 2 2 3 2 2" xfId="0"/>
    <cellStyle name="Normal 61 8 3 2 2 2 3 3" xfId="0"/>
    <cellStyle name="Normal 61 8 3 2 2 2 4" xfId="0"/>
    <cellStyle name="Normal 61 8 3 2 2 2 4 2" xfId="0"/>
    <cellStyle name="Normal 61 8 3 2 2 2 5" xfId="0"/>
    <cellStyle name="Normal 61 8 3 2 2 3" xfId="0"/>
    <cellStyle name="Normal 61 8 3 2 2 3 2" xfId="0"/>
    <cellStyle name="Normal 61 8 3 2 2 3 2 2" xfId="0"/>
    <cellStyle name="Normal 61 8 3 2 2 3 3" xfId="0"/>
    <cellStyle name="Normal 61 8 3 2 2 4" xfId="0"/>
    <cellStyle name="Normal 61 8 3 2 2 4 2" xfId="0"/>
    <cellStyle name="Normal 61 8 3 2 2 4 2 2" xfId="0"/>
    <cellStyle name="Normal 61 8 3 2 2 4 3" xfId="0"/>
    <cellStyle name="Normal 61 8 3 2 2 5" xfId="0"/>
    <cellStyle name="Normal 61 8 3 2 2 5 2" xfId="0"/>
    <cellStyle name="Normal 61 8 3 2 2 6" xfId="0"/>
    <cellStyle name="Normal 61 8 3 2 3" xfId="0"/>
    <cellStyle name="Normal 61 8 3 2 3 2" xfId="0"/>
    <cellStyle name="Normal 61 8 3 2 3 2 2" xfId="0"/>
    <cellStyle name="Normal 61 8 3 2 3 2 2 2" xfId="0"/>
    <cellStyle name="Normal 61 8 3 2 3 2 3" xfId="0"/>
    <cellStyle name="Normal 61 8 3 2 3 3" xfId="0"/>
    <cellStyle name="Normal 61 8 3 2 3 3 2" xfId="0"/>
    <cellStyle name="Normal 61 8 3 2 3 3 2 2" xfId="0"/>
    <cellStyle name="Normal 61 8 3 2 3 3 3" xfId="0"/>
    <cellStyle name="Normal 61 8 3 2 3 4" xfId="0"/>
    <cellStyle name="Normal 61 8 3 2 3 4 2" xfId="0"/>
    <cellStyle name="Normal 61 8 3 2 3 5" xfId="0"/>
    <cellStyle name="Normal 61 8 3 2 4" xfId="0"/>
    <cellStyle name="Normal 61 8 3 2 4 2" xfId="0"/>
    <cellStyle name="Normal 61 8 3 2 4 2 2" xfId="0"/>
    <cellStyle name="Normal 61 8 3 2 4 3" xfId="0"/>
    <cellStyle name="Normal 61 8 3 2 5" xfId="0"/>
    <cellStyle name="Normal 61 8 3 2 5 2" xfId="0"/>
    <cellStyle name="Normal 61 8 3 2 5 2 2" xfId="0"/>
    <cellStyle name="Normal 61 8 3 2 5 3" xfId="0"/>
    <cellStyle name="Normal 61 8 3 2 6" xfId="0"/>
    <cellStyle name="Normal 61 8 3 2 6 2" xfId="0"/>
    <cellStyle name="Normal 61 8 3 2 7" xfId="0"/>
    <cellStyle name="Normal 61 8 3 3" xfId="0"/>
    <cellStyle name="Normal 61 8 3 3 2" xfId="0"/>
    <cellStyle name="Normal 61 8 3 3 2 2" xfId="0"/>
    <cellStyle name="Normal 61 8 3 3 2 2 2" xfId="0"/>
    <cellStyle name="Normal 61 8 3 3 2 2 2 2" xfId="0"/>
    <cellStyle name="Normal 61 8 3 3 2 2 3" xfId="0"/>
    <cellStyle name="Normal 61 8 3 3 2 3" xfId="0"/>
    <cellStyle name="Normal 61 8 3 3 2 3 2" xfId="0"/>
    <cellStyle name="Normal 61 8 3 3 2 3 2 2" xfId="0"/>
    <cellStyle name="Normal 61 8 3 3 2 3 3" xfId="0"/>
    <cellStyle name="Normal 61 8 3 3 2 4" xfId="0"/>
    <cellStyle name="Normal 61 8 3 3 2 4 2" xfId="0"/>
    <cellStyle name="Normal 61 8 3 3 2 5" xfId="0"/>
    <cellStyle name="Normal 61 8 3 3 3" xfId="0"/>
    <cellStyle name="Normal 61 8 3 3 3 2" xfId="0"/>
    <cellStyle name="Normal 61 8 3 3 3 2 2" xfId="0"/>
    <cellStyle name="Normal 61 8 3 3 3 3" xfId="0"/>
    <cellStyle name="Normal 61 8 3 3 4" xfId="0"/>
    <cellStyle name="Normal 61 8 3 3 4 2" xfId="0"/>
    <cellStyle name="Normal 61 8 3 3 4 2 2" xfId="0"/>
    <cellStyle name="Normal 61 8 3 3 4 3" xfId="0"/>
    <cellStyle name="Normal 61 8 3 3 5" xfId="0"/>
    <cellStyle name="Normal 61 8 3 3 5 2" xfId="0"/>
    <cellStyle name="Normal 61 8 3 3 6" xfId="0"/>
    <cellStyle name="Normal 61 8 3 4" xfId="0"/>
    <cellStyle name="Normal 61 8 3 4 2" xfId="0"/>
    <cellStyle name="Normal 61 8 3 4 2 2" xfId="0"/>
    <cellStyle name="Normal 61 8 3 4 2 2 2" xfId="0"/>
    <cellStyle name="Normal 61 8 3 4 2 3" xfId="0"/>
    <cellStyle name="Normal 61 8 3 4 3" xfId="0"/>
    <cellStyle name="Normal 61 8 3 4 3 2" xfId="0"/>
    <cellStyle name="Normal 61 8 3 4 3 2 2" xfId="0"/>
    <cellStyle name="Normal 61 8 3 4 3 3" xfId="0"/>
    <cellStyle name="Normal 61 8 3 4 4" xfId="0"/>
    <cellStyle name="Normal 61 8 3 4 4 2" xfId="0"/>
    <cellStyle name="Normal 61 8 3 4 5" xfId="0"/>
    <cellStyle name="Normal 61 8 3 5" xfId="0"/>
    <cellStyle name="Normal 61 8 3 5 2" xfId="0"/>
    <cellStyle name="Normal 61 8 3 5 2 2" xfId="0"/>
    <cellStyle name="Normal 61 8 3 5 3" xfId="0"/>
    <cellStyle name="Normal 61 8 3 6" xfId="0"/>
    <cellStyle name="Normal 61 8 3 6 2" xfId="0"/>
    <cellStyle name="Normal 61 8 3 6 2 2" xfId="0"/>
    <cellStyle name="Normal 61 8 3 6 3" xfId="0"/>
    <cellStyle name="Normal 61 8 3 7" xfId="0"/>
    <cellStyle name="Normal 61 8 3 7 2" xfId="0"/>
    <cellStyle name="Normal 61 8 3 8" xfId="0"/>
    <cellStyle name="Normal 61 8 4" xfId="0"/>
    <cellStyle name="Normal 61 8 4 2" xfId="0"/>
    <cellStyle name="Normal 61 8 4 2 2" xfId="0"/>
    <cellStyle name="Normal 61 8 4 2 2 2" xfId="0"/>
    <cellStyle name="Normal 61 8 4 2 2 2 2" xfId="0"/>
    <cellStyle name="Normal 61 8 4 2 2 2 2 2" xfId="0"/>
    <cellStyle name="Normal 61 8 4 2 2 2 3" xfId="0"/>
    <cellStyle name="Normal 61 8 4 2 2 3" xfId="0"/>
    <cellStyle name="Normal 61 8 4 2 2 3 2" xfId="0"/>
    <cellStyle name="Normal 61 8 4 2 2 3 2 2" xfId="0"/>
    <cellStyle name="Normal 61 8 4 2 2 3 3" xfId="0"/>
    <cellStyle name="Normal 61 8 4 2 2 4" xfId="0"/>
    <cellStyle name="Normal 61 8 4 2 2 4 2" xfId="0"/>
    <cellStyle name="Normal 61 8 4 2 2 5" xfId="0"/>
    <cellStyle name="Normal 61 8 4 2 3" xfId="0"/>
    <cellStyle name="Normal 61 8 4 2 3 2" xfId="0"/>
    <cellStyle name="Normal 61 8 4 2 3 2 2" xfId="0"/>
    <cellStyle name="Normal 61 8 4 2 3 3" xfId="0"/>
    <cellStyle name="Normal 61 8 4 2 4" xfId="0"/>
    <cellStyle name="Normal 61 8 4 2 4 2" xfId="0"/>
    <cellStyle name="Normal 61 8 4 2 4 2 2" xfId="0"/>
    <cellStyle name="Normal 61 8 4 2 4 3" xfId="0"/>
    <cellStyle name="Normal 61 8 4 2 5" xfId="0"/>
    <cellStyle name="Normal 61 8 4 2 5 2" xfId="0"/>
    <cellStyle name="Normal 61 8 4 2 6" xfId="0"/>
    <cellStyle name="Normal 61 8 4 3" xfId="0"/>
    <cellStyle name="Normal 61 8 4 3 2" xfId="0"/>
    <cellStyle name="Normal 61 8 4 3 2 2" xfId="0"/>
    <cellStyle name="Normal 61 8 4 3 2 2 2" xfId="0"/>
    <cellStyle name="Normal 61 8 4 3 2 3" xfId="0"/>
    <cellStyle name="Normal 61 8 4 3 3" xfId="0"/>
    <cellStyle name="Normal 61 8 4 3 3 2" xfId="0"/>
    <cellStyle name="Normal 61 8 4 3 3 2 2" xfId="0"/>
    <cellStyle name="Normal 61 8 4 3 3 3" xfId="0"/>
    <cellStyle name="Normal 61 8 4 3 4" xfId="0"/>
    <cellStyle name="Normal 61 8 4 3 4 2" xfId="0"/>
    <cellStyle name="Normal 61 8 4 3 5" xfId="0"/>
    <cellStyle name="Normal 61 8 4 4" xfId="0"/>
    <cellStyle name="Normal 61 8 4 4 2" xfId="0"/>
    <cellStyle name="Normal 61 8 4 4 2 2" xfId="0"/>
    <cellStyle name="Normal 61 8 4 4 3" xfId="0"/>
    <cellStyle name="Normal 61 8 4 5" xfId="0"/>
    <cellStyle name="Normal 61 8 4 5 2" xfId="0"/>
    <cellStyle name="Normal 61 8 4 5 2 2" xfId="0"/>
    <cellStyle name="Normal 61 8 4 5 3" xfId="0"/>
    <cellStyle name="Normal 61 8 4 6" xfId="0"/>
    <cellStyle name="Normal 61 8 4 6 2" xfId="0"/>
    <cellStyle name="Normal 61 8 4 7" xfId="0"/>
    <cellStyle name="Normal 61 8 5" xfId="0"/>
    <cellStyle name="Normal 61 8 5 2" xfId="0"/>
    <cellStyle name="Normal 61 8 5 2 2" xfId="0"/>
    <cellStyle name="Normal 61 8 5 2 2 2" xfId="0"/>
    <cellStyle name="Normal 61 8 5 2 2 2 2" xfId="0"/>
    <cellStyle name="Normal 61 8 5 2 2 3" xfId="0"/>
    <cellStyle name="Normal 61 8 5 2 3" xfId="0"/>
    <cellStyle name="Normal 61 8 5 2 3 2" xfId="0"/>
    <cellStyle name="Normal 61 8 5 2 3 2 2" xfId="0"/>
    <cellStyle name="Normal 61 8 5 2 3 3" xfId="0"/>
    <cellStyle name="Normal 61 8 5 2 4" xfId="0"/>
    <cellStyle name="Normal 61 8 5 2 4 2" xfId="0"/>
    <cellStyle name="Normal 61 8 5 2 5" xfId="0"/>
    <cellStyle name="Normal 61 8 5 3" xfId="0"/>
    <cellStyle name="Normal 61 8 5 3 2" xfId="0"/>
    <cellStyle name="Normal 61 8 5 3 2 2" xfId="0"/>
    <cellStyle name="Normal 61 8 5 3 3" xfId="0"/>
    <cellStyle name="Normal 61 8 5 4" xfId="0"/>
    <cellStyle name="Normal 61 8 5 4 2" xfId="0"/>
    <cellStyle name="Normal 61 8 5 4 2 2" xfId="0"/>
    <cellStyle name="Normal 61 8 5 4 3" xfId="0"/>
    <cellStyle name="Normal 61 8 5 5" xfId="0"/>
    <cellStyle name="Normal 61 8 5 5 2" xfId="0"/>
    <cellStyle name="Normal 61 8 5 6" xfId="0"/>
    <cellStyle name="Normal 61 8 6" xfId="0"/>
    <cellStyle name="Normal 61 8 6 2" xfId="0"/>
    <cellStyle name="Normal 61 8 6 2 2" xfId="0"/>
    <cellStyle name="Normal 61 8 6 2 2 2" xfId="0"/>
    <cellStyle name="Normal 61 8 6 2 3" xfId="0"/>
    <cellStyle name="Normal 61 8 6 3" xfId="0"/>
    <cellStyle name="Normal 61 8 6 3 2" xfId="0"/>
    <cellStyle name="Normal 61 8 6 3 2 2" xfId="0"/>
    <cellStyle name="Normal 61 8 6 3 3" xfId="0"/>
    <cellStyle name="Normal 61 8 6 4" xfId="0"/>
    <cellStyle name="Normal 61 8 6 4 2" xfId="0"/>
    <cellStyle name="Normal 61 8 6 5" xfId="0"/>
    <cellStyle name="Normal 61 8 7" xfId="0"/>
    <cellStyle name="Normal 61 8 7 2" xfId="0"/>
    <cellStyle name="Normal 61 8 7 2 2" xfId="0"/>
    <cellStyle name="Normal 61 8 7 3" xfId="0"/>
    <cellStyle name="Normal 61 8 8" xfId="0"/>
    <cellStyle name="Normal 61 8 8 2" xfId="0"/>
    <cellStyle name="Normal 61 8 8 2 2" xfId="0"/>
    <cellStyle name="Normal 61 8 8 3" xfId="0"/>
    <cellStyle name="Normal 61 8 9" xfId="0"/>
    <cellStyle name="Normal 61 8 9 2" xfId="0"/>
    <cellStyle name="Normal 61 9" xfId="0"/>
    <cellStyle name="Normal 61 9 10" xfId="0"/>
    <cellStyle name="Normal 61 9 2" xfId="0"/>
    <cellStyle name="Normal 61 9 2 2" xfId="0"/>
    <cellStyle name="Normal 61 9 2 2 2" xfId="0"/>
    <cellStyle name="Normal 61 9 2 2 2 2" xfId="0"/>
    <cellStyle name="Normal 61 9 2 2 2 2 2" xfId="0"/>
    <cellStyle name="Normal 61 9 2 2 2 2 2 2" xfId="0"/>
    <cellStyle name="Normal 61 9 2 2 2 2 2 2 2" xfId="0"/>
    <cellStyle name="Normal 61 9 2 2 2 2 2 2 2 2" xfId="0"/>
    <cellStyle name="Normal 61 9 2 2 2 2 2 2 3" xfId="0"/>
    <cellStyle name="Normal 61 9 2 2 2 2 2 3" xfId="0"/>
    <cellStyle name="Normal 61 9 2 2 2 2 2 3 2" xfId="0"/>
    <cellStyle name="Normal 61 9 2 2 2 2 2 3 2 2" xfId="0"/>
    <cellStyle name="Normal 61 9 2 2 2 2 2 3 3" xfId="0"/>
    <cellStyle name="Normal 61 9 2 2 2 2 2 4" xfId="0"/>
    <cellStyle name="Normal 61 9 2 2 2 2 2 4 2" xfId="0"/>
    <cellStyle name="Normal 61 9 2 2 2 2 2 5" xfId="0"/>
    <cellStyle name="Normal 61 9 2 2 2 2 3" xfId="0"/>
    <cellStyle name="Normal 61 9 2 2 2 2 3 2" xfId="0"/>
    <cellStyle name="Normal 61 9 2 2 2 2 3 2 2" xfId="0"/>
    <cellStyle name="Normal 61 9 2 2 2 2 3 3" xfId="0"/>
    <cellStyle name="Normal 61 9 2 2 2 2 4" xfId="0"/>
    <cellStyle name="Normal 61 9 2 2 2 2 4 2" xfId="0"/>
    <cellStyle name="Normal 61 9 2 2 2 2 4 2 2" xfId="0"/>
    <cellStyle name="Normal 61 9 2 2 2 2 4 3" xfId="0"/>
    <cellStyle name="Normal 61 9 2 2 2 2 5" xfId="0"/>
    <cellStyle name="Normal 61 9 2 2 2 2 5 2" xfId="0"/>
    <cellStyle name="Normal 61 9 2 2 2 2 6" xfId="0"/>
    <cellStyle name="Normal 61 9 2 2 2 3" xfId="0"/>
    <cellStyle name="Normal 61 9 2 2 2 3 2" xfId="0"/>
    <cellStyle name="Normal 61 9 2 2 2 3 2 2" xfId="0"/>
    <cellStyle name="Normal 61 9 2 2 2 3 2 2 2" xfId="0"/>
    <cellStyle name="Normal 61 9 2 2 2 3 2 3" xfId="0"/>
    <cellStyle name="Normal 61 9 2 2 2 3 3" xfId="0"/>
    <cellStyle name="Normal 61 9 2 2 2 3 3 2" xfId="0"/>
    <cellStyle name="Normal 61 9 2 2 2 3 3 2 2" xfId="0"/>
    <cellStyle name="Normal 61 9 2 2 2 3 3 3" xfId="0"/>
    <cellStyle name="Normal 61 9 2 2 2 3 4" xfId="0"/>
    <cellStyle name="Normal 61 9 2 2 2 3 4 2" xfId="0"/>
    <cellStyle name="Normal 61 9 2 2 2 3 5" xfId="0"/>
    <cellStyle name="Normal 61 9 2 2 2 4" xfId="0"/>
    <cellStyle name="Normal 61 9 2 2 2 4 2" xfId="0"/>
    <cellStyle name="Normal 61 9 2 2 2 4 2 2" xfId="0"/>
    <cellStyle name="Normal 61 9 2 2 2 4 3" xfId="0"/>
    <cellStyle name="Normal 61 9 2 2 2 5" xfId="0"/>
    <cellStyle name="Normal 61 9 2 2 2 5 2" xfId="0"/>
    <cellStyle name="Normal 61 9 2 2 2 5 2 2" xfId="0"/>
    <cellStyle name="Normal 61 9 2 2 2 5 3" xfId="0"/>
    <cellStyle name="Normal 61 9 2 2 2 6" xfId="0"/>
    <cellStyle name="Normal 61 9 2 2 2 6 2" xfId="0"/>
    <cellStyle name="Normal 61 9 2 2 2 7" xfId="0"/>
    <cellStyle name="Normal 61 9 2 2 3" xfId="0"/>
    <cellStyle name="Normal 61 9 2 2 3 2" xfId="0"/>
    <cellStyle name="Normal 61 9 2 2 3 2 2" xfId="0"/>
    <cellStyle name="Normal 61 9 2 2 3 2 2 2" xfId="0"/>
    <cellStyle name="Normal 61 9 2 2 3 2 2 2 2" xfId="0"/>
    <cellStyle name="Normal 61 9 2 2 3 2 2 3" xfId="0"/>
    <cellStyle name="Normal 61 9 2 2 3 2 3" xfId="0"/>
    <cellStyle name="Normal 61 9 2 2 3 2 3 2" xfId="0"/>
    <cellStyle name="Normal 61 9 2 2 3 2 3 2 2" xfId="0"/>
    <cellStyle name="Normal 61 9 2 2 3 2 3 3" xfId="0"/>
    <cellStyle name="Normal 61 9 2 2 3 2 4" xfId="0"/>
    <cellStyle name="Normal 61 9 2 2 3 2 4 2" xfId="0"/>
    <cellStyle name="Normal 61 9 2 2 3 2 5" xfId="0"/>
    <cellStyle name="Normal 61 9 2 2 3 3" xfId="0"/>
    <cellStyle name="Normal 61 9 2 2 3 3 2" xfId="0"/>
    <cellStyle name="Normal 61 9 2 2 3 3 2 2" xfId="0"/>
    <cellStyle name="Normal 61 9 2 2 3 3 3" xfId="0"/>
    <cellStyle name="Normal 61 9 2 2 3 4" xfId="0"/>
    <cellStyle name="Normal 61 9 2 2 3 4 2" xfId="0"/>
    <cellStyle name="Normal 61 9 2 2 3 4 2 2" xfId="0"/>
    <cellStyle name="Normal 61 9 2 2 3 4 3" xfId="0"/>
    <cellStyle name="Normal 61 9 2 2 3 5" xfId="0"/>
    <cellStyle name="Normal 61 9 2 2 3 5 2" xfId="0"/>
    <cellStyle name="Normal 61 9 2 2 3 6" xfId="0"/>
    <cellStyle name="Normal 61 9 2 2 4" xfId="0"/>
    <cellStyle name="Normal 61 9 2 2 4 2" xfId="0"/>
    <cellStyle name="Normal 61 9 2 2 4 2 2" xfId="0"/>
    <cellStyle name="Normal 61 9 2 2 4 2 2 2" xfId="0"/>
    <cellStyle name="Normal 61 9 2 2 4 2 3" xfId="0"/>
    <cellStyle name="Normal 61 9 2 2 4 3" xfId="0"/>
    <cellStyle name="Normal 61 9 2 2 4 3 2" xfId="0"/>
    <cellStyle name="Normal 61 9 2 2 4 3 2 2" xfId="0"/>
    <cellStyle name="Normal 61 9 2 2 4 3 3" xfId="0"/>
    <cellStyle name="Normal 61 9 2 2 4 4" xfId="0"/>
    <cellStyle name="Normal 61 9 2 2 4 4 2" xfId="0"/>
    <cellStyle name="Normal 61 9 2 2 4 5" xfId="0"/>
    <cellStyle name="Normal 61 9 2 2 5" xfId="0"/>
    <cellStyle name="Normal 61 9 2 2 5 2" xfId="0"/>
    <cellStyle name="Normal 61 9 2 2 5 2 2" xfId="0"/>
    <cellStyle name="Normal 61 9 2 2 5 3" xfId="0"/>
    <cellStyle name="Normal 61 9 2 2 6" xfId="0"/>
    <cellStyle name="Normal 61 9 2 2 6 2" xfId="0"/>
    <cellStyle name="Normal 61 9 2 2 6 2 2" xfId="0"/>
    <cellStyle name="Normal 61 9 2 2 6 3" xfId="0"/>
    <cellStyle name="Normal 61 9 2 2 7" xfId="0"/>
    <cellStyle name="Normal 61 9 2 2 7 2" xfId="0"/>
    <cellStyle name="Normal 61 9 2 2 8" xfId="0"/>
    <cellStyle name="Normal 61 9 2 3" xfId="0"/>
    <cellStyle name="Normal 61 9 2 3 2" xfId="0"/>
    <cellStyle name="Normal 61 9 2 3 2 2" xfId="0"/>
    <cellStyle name="Normal 61 9 2 3 2 2 2" xfId="0"/>
    <cellStyle name="Normal 61 9 2 3 2 2 2 2" xfId="0"/>
    <cellStyle name="Normal 61 9 2 3 2 2 2 2 2" xfId="0"/>
    <cellStyle name="Normal 61 9 2 3 2 2 2 3" xfId="0"/>
    <cellStyle name="Normal 61 9 2 3 2 2 3" xfId="0"/>
    <cellStyle name="Normal 61 9 2 3 2 2 3 2" xfId="0"/>
    <cellStyle name="Normal 61 9 2 3 2 2 3 2 2" xfId="0"/>
    <cellStyle name="Normal 61 9 2 3 2 2 3 3" xfId="0"/>
    <cellStyle name="Normal 61 9 2 3 2 2 4" xfId="0"/>
    <cellStyle name="Normal 61 9 2 3 2 2 4 2" xfId="0"/>
    <cellStyle name="Normal 61 9 2 3 2 2 5" xfId="0"/>
    <cellStyle name="Normal 61 9 2 3 2 3" xfId="0"/>
    <cellStyle name="Normal 61 9 2 3 2 3 2" xfId="0"/>
    <cellStyle name="Normal 61 9 2 3 2 3 2 2" xfId="0"/>
    <cellStyle name="Normal 61 9 2 3 2 3 3" xfId="0"/>
    <cellStyle name="Normal 61 9 2 3 2 4" xfId="0"/>
    <cellStyle name="Normal 61 9 2 3 2 4 2" xfId="0"/>
    <cellStyle name="Normal 61 9 2 3 2 4 2 2" xfId="0"/>
    <cellStyle name="Normal 61 9 2 3 2 4 3" xfId="0"/>
    <cellStyle name="Normal 61 9 2 3 2 5" xfId="0"/>
    <cellStyle name="Normal 61 9 2 3 2 5 2" xfId="0"/>
    <cellStyle name="Normal 61 9 2 3 2 6" xfId="0"/>
    <cellStyle name="Normal 61 9 2 3 3" xfId="0"/>
    <cellStyle name="Normal 61 9 2 3 3 2" xfId="0"/>
    <cellStyle name="Normal 61 9 2 3 3 2 2" xfId="0"/>
    <cellStyle name="Normal 61 9 2 3 3 2 2 2" xfId="0"/>
    <cellStyle name="Normal 61 9 2 3 3 2 3" xfId="0"/>
    <cellStyle name="Normal 61 9 2 3 3 3" xfId="0"/>
    <cellStyle name="Normal 61 9 2 3 3 3 2" xfId="0"/>
    <cellStyle name="Normal 61 9 2 3 3 3 2 2" xfId="0"/>
    <cellStyle name="Normal 61 9 2 3 3 3 3" xfId="0"/>
    <cellStyle name="Normal 61 9 2 3 3 4" xfId="0"/>
    <cellStyle name="Normal 61 9 2 3 3 4 2" xfId="0"/>
    <cellStyle name="Normal 61 9 2 3 3 5" xfId="0"/>
    <cellStyle name="Normal 61 9 2 3 4" xfId="0"/>
    <cellStyle name="Normal 61 9 2 3 4 2" xfId="0"/>
    <cellStyle name="Normal 61 9 2 3 4 2 2" xfId="0"/>
    <cellStyle name="Normal 61 9 2 3 4 3" xfId="0"/>
    <cellStyle name="Normal 61 9 2 3 5" xfId="0"/>
    <cellStyle name="Normal 61 9 2 3 5 2" xfId="0"/>
    <cellStyle name="Normal 61 9 2 3 5 2 2" xfId="0"/>
    <cellStyle name="Normal 61 9 2 3 5 3" xfId="0"/>
    <cellStyle name="Normal 61 9 2 3 6" xfId="0"/>
    <cellStyle name="Normal 61 9 2 3 6 2" xfId="0"/>
    <cellStyle name="Normal 61 9 2 3 7" xfId="0"/>
    <cellStyle name="Normal 61 9 2 4" xfId="0"/>
    <cellStyle name="Normal 61 9 2 4 2" xfId="0"/>
    <cellStyle name="Normal 61 9 2 4 2 2" xfId="0"/>
    <cellStyle name="Normal 61 9 2 4 2 2 2" xfId="0"/>
    <cellStyle name="Normal 61 9 2 4 2 2 2 2" xfId="0"/>
    <cellStyle name="Normal 61 9 2 4 2 2 3" xfId="0"/>
    <cellStyle name="Normal 61 9 2 4 2 3" xfId="0"/>
    <cellStyle name="Normal 61 9 2 4 2 3 2" xfId="0"/>
    <cellStyle name="Normal 61 9 2 4 2 3 2 2" xfId="0"/>
    <cellStyle name="Normal 61 9 2 4 2 3 3" xfId="0"/>
    <cellStyle name="Normal 61 9 2 4 2 4" xfId="0"/>
    <cellStyle name="Normal 61 9 2 4 2 4 2" xfId="0"/>
    <cellStyle name="Normal 61 9 2 4 2 5" xfId="0"/>
    <cellStyle name="Normal 61 9 2 4 3" xfId="0"/>
    <cellStyle name="Normal 61 9 2 4 3 2" xfId="0"/>
    <cellStyle name="Normal 61 9 2 4 3 2 2" xfId="0"/>
    <cellStyle name="Normal 61 9 2 4 3 3" xfId="0"/>
    <cellStyle name="Normal 61 9 2 4 4" xfId="0"/>
    <cellStyle name="Normal 61 9 2 4 4 2" xfId="0"/>
    <cellStyle name="Normal 61 9 2 4 4 2 2" xfId="0"/>
    <cellStyle name="Normal 61 9 2 4 4 3" xfId="0"/>
    <cellStyle name="Normal 61 9 2 4 5" xfId="0"/>
    <cellStyle name="Normal 61 9 2 4 5 2" xfId="0"/>
    <cellStyle name="Normal 61 9 2 4 6" xfId="0"/>
    <cellStyle name="Normal 61 9 2 5" xfId="0"/>
    <cellStyle name="Normal 61 9 2 5 2" xfId="0"/>
    <cellStyle name="Normal 61 9 2 5 2 2" xfId="0"/>
    <cellStyle name="Normal 61 9 2 5 2 2 2" xfId="0"/>
    <cellStyle name="Normal 61 9 2 5 2 3" xfId="0"/>
    <cellStyle name="Normal 61 9 2 5 3" xfId="0"/>
    <cellStyle name="Normal 61 9 2 5 3 2" xfId="0"/>
    <cellStyle name="Normal 61 9 2 5 3 2 2" xfId="0"/>
    <cellStyle name="Normal 61 9 2 5 3 3" xfId="0"/>
    <cellStyle name="Normal 61 9 2 5 4" xfId="0"/>
    <cellStyle name="Normal 61 9 2 5 4 2" xfId="0"/>
    <cellStyle name="Normal 61 9 2 5 5" xfId="0"/>
    <cellStyle name="Normal 61 9 2 6" xfId="0"/>
    <cellStyle name="Normal 61 9 2 6 2" xfId="0"/>
    <cellStyle name="Normal 61 9 2 6 2 2" xfId="0"/>
    <cellStyle name="Normal 61 9 2 6 3" xfId="0"/>
    <cellStyle name="Normal 61 9 2 7" xfId="0"/>
    <cellStyle name="Normal 61 9 2 7 2" xfId="0"/>
    <cellStyle name="Normal 61 9 2 7 2 2" xfId="0"/>
    <cellStyle name="Normal 61 9 2 7 3" xfId="0"/>
    <cellStyle name="Normal 61 9 2 8" xfId="0"/>
    <cellStyle name="Normal 61 9 2 8 2" xfId="0"/>
    <cellStyle name="Normal 61 9 2 9" xfId="0"/>
    <cellStyle name="Normal 61 9 3" xfId="0"/>
    <cellStyle name="Normal 61 9 3 2" xfId="0"/>
    <cellStyle name="Normal 61 9 3 2 2" xfId="0"/>
    <cellStyle name="Normal 61 9 3 2 2 2" xfId="0"/>
    <cellStyle name="Normal 61 9 3 2 2 2 2" xfId="0"/>
    <cellStyle name="Normal 61 9 3 2 2 2 2 2" xfId="0"/>
    <cellStyle name="Normal 61 9 3 2 2 2 2 2 2" xfId="0"/>
    <cellStyle name="Normal 61 9 3 2 2 2 2 3" xfId="0"/>
    <cellStyle name="Normal 61 9 3 2 2 2 3" xfId="0"/>
    <cellStyle name="Normal 61 9 3 2 2 2 3 2" xfId="0"/>
    <cellStyle name="Normal 61 9 3 2 2 2 3 2 2" xfId="0"/>
    <cellStyle name="Normal 61 9 3 2 2 2 3 3" xfId="0"/>
    <cellStyle name="Normal 61 9 3 2 2 2 4" xfId="0"/>
    <cellStyle name="Normal 61 9 3 2 2 2 4 2" xfId="0"/>
    <cellStyle name="Normal 61 9 3 2 2 2 5" xfId="0"/>
    <cellStyle name="Normal 61 9 3 2 2 3" xfId="0"/>
    <cellStyle name="Normal 61 9 3 2 2 3 2" xfId="0"/>
    <cellStyle name="Normal 61 9 3 2 2 3 2 2" xfId="0"/>
    <cellStyle name="Normal 61 9 3 2 2 3 3" xfId="0"/>
    <cellStyle name="Normal 61 9 3 2 2 4" xfId="0"/>
    <cellStyle name="Normal 61 9 3 2 2 4 2" xfId="0"/>
    <cellStyle name="Normal 61 9 3 2 2 4 2 2" xfId="0"/>
    <cellStyle name="Normal 61 9 3 2 2 4 3" xfId="0"/>
    <cellStyle name="Normal 61 9 3 2 2 5" xfId="0"/>
    <cellStyle name="Normal 61 9 3 2 2 5 2" xfId="0"/>
    <cellStyle name="Normal 61 9 3 2 2 6" xfId="0"/>
    <cellStyle name="Normal 61 9 3 2 3" xfId="0"/>
    <cellStyle name="Normal 61 9 3 2 3 2" xfId="0"/>
    <cellStyle name="Normal 61 9 3 2 3 2 2" xfId="0"/>
    <cellStyle name="Normal 61 9 3 2 3 2 2 2" xfId="0"/>
    <cellStyle name="Normal 61 9 3 2 3 2 3" xfId="0"/>
    <cellStyle name="Normal 61 9 3 2 3 3" xfId="0"/>
    <cellStyle name="Normal 61 9 3 2 3 3 2" xfId="0"/>
    <cellStyle name="Normal 61 9 3 2 3 3 2 2" xfId="0"/>
    <cellStyle name="Normal 61 9 3 2 3 3 3" xfId="0"/>
    <cellStyle name="Normal 61 9 3 2 3 4" xfId="0"/>
    <cellStyle name="Normal 61 9 3 2 3 4 2" xfId="0"/>
    <cellStyle name="Normal 61 9 3 2 3 5" xfId="0"/>
    <cellStyle name="Normal 61 9 3 2 4" xfId="0"/>
    <cellStyle name="Normal 61 9 3 2 4 2" xfId="0"/>
    <cellStyle name="Normal 61 9 3 2 4 2 2" xfId="0"/>
    <cellStyle name="Normal 61 9 3 2 4 3" xfId="0"/>
    <cellStyle name="Normal 61 9 3 2 5" xfId="0"/>
    <cellStyle name="Normal 61 9 3 2 5 2" xfId="0"/>
    <cellStyle name="Normal 61 9 3 2 5 2 2" xfId="0"/>
    <cellStyle name="Normal 61 9 3 2 5 3" xfId="0"/>
    <cellStyle name="Normal 61 9 3 2 6" xfId="0"/>
    <cellStyle name="Normal 61 9 3 2 6 2" xfId="0"/>
    <cellStyle name="Normal 61 9 3 2 7" xfId="0"/>
    <cellStyle name="Normal 61 9 3 3" xfId="0"/>
    <cellStyle name="Normal 61 9 3 3 2" xfId="0"/>
    <cellStyle name="Normal 61 9 3 3 2 2" xfId="0"/>
    <cellStyle name="Normal 61 9 3 3 2 2 2" xfId="0"/>
    <cellStyle name="Normal 61 9 3 3 2 2 2 2" xfId="0"/>
    <cellStyle name="Normal 61 9 3 3 2 2 3" xfId="0"/>
    <cellStyle name="Normal 61 9 3 3 2 3" xfId="0"/>
    <cellStyle name="Normal 61 9 3 3 2 3 2" xfId="0"/>
    <cellStyle name="Normal 61 9 3 3 2 3 2 2" xfId="0"/>
    <cellStyle name="Normal 61 9 3 3 2 3 3" xfId="0"/>
    <cellStyle name="Normal 61 9 3 3 2 4" xfId="0"/>
    <cellStyle name="Normal 61 9 3 3 2 4 2" xfId="0"/>
    <cellStyle name="Normal 61 9 3 3 2 5" xfId="0"/>
    <cellStyle name="Normal 61 9 3 3 3" xfId="0"/>
    <cellStyle name="Normal 61 9 3 3 3 2" xfId="0"/>
    <cellStyle name="Normal 61 9 3 3 3 2 2" xfId="0"/>
    <cellStyle name="Normal 61 9 3 3 3 3" xfId="0"/>
    <cellStyle name="Normal 61 9 3 3 4" xfId="0"/>
    <cellStyle name="Normal 61 9 3 3 4 2" xfId="0"/>
    <cellStyle name="Normal 61 9 3 3 4 2 2" xfId="0"/>
    <cellStyle name="Normal 61 9 3 3 4 3" xfId="0"/>
    <cellStyle name="Normal 61 9 3 3 5" xfId="0"/>
    <cellStyle name="Normal 61 9 3 3 5 2" xfId="0"/>
    <cellStyle name="Normal 61 9 3 3 6" xfId="0"/>
    <cellStyle name="Normal 61 9 3 4" xfId="0"/>
    <cellStyle name="Normal 61 9 3 4 2" xfId="0"/>
    <cellStyle name="Normal 61 9 3 4 2 2" xfId="0"/>
    <cellStyle name="Normal 61 9 3 4 2 2 2" xfId="0"/>
    <cellStyle name="Normal 61 9 3 4 2 3" xfId="0"/>
    <cellStyle name="Normal 61 9 3 4 3" xfId="0"/>
    <cellStyle name="Normal 61 9 3 4 3 2" xfId="0"/>
    <cellStyle name="Normal 61 9 3 4 3 2 2" xfId="0"/>
    <cellStyle name="Normal 61 9 3 4 3 3" xfId="0"/>
    <cellStyle name="Normal 61 9 3 4 4" xfId="0"/>
    <cellStyle name="Normal 61 9 3 4 4 2" xfId="0"/>
    <cellStyle name="Normal 61 9 3 4 5" xfId="0"/>
    <cellStyle name="Normal 61 9 3 5" xfId="0"/>
    <cellStyle name="Normal 61 9 3 5 2" xfId="0"/>
    <cellStyle name="Normal 61 9 3 5 2 2" xfId="0"/>
    <cellStyle name="Normal 61 9 3 5 3" xfId="0"/>
    <cellStyle name="Normal 61 9 3 6" xfId="0"/>
    <cellStyle name="Normal 61 9 3 6 2" xfId="0"/>
    <cellStyle name="Normal 61 9 3 6 2 2" xfId="0"/>
    <cellStyle name="Normal 61 9 3 6 3" xfId="0"/>
    <cellStyle name="Normal 61 9 3 7" xfId="0"/>
    <cellStyle name="Normal 61 9 3 7 2" xfId="0"/>
    <cellStyle name="Normal 61 9 3 8" xfId="0"/>
    <cellStyle name="Normal 61 9 4" xfId="0"/>
    <cellStyle name="Normal 61 9 4 2" xfId="0"/>
    <cellStyle name="Normal 61 9 4 2 2" xfId="0"/>
    <cellStyle name="Normal 61 9 4 2 2 2" xfId="0"/>
    <cellStyle name="Normal 61 9 4 2 2 2 2" xfId="0"/>
    <cellStyle name="Normal 61 9 4 2 2 2 2 2" xfId="0"/>
    <cellStyle name="Normal 61 9 4 2 2 2 3" xfId="0"/>
    <cellStyle name="Normal 61 9 4 2 2 3" xfId="0"/>
    <cellStyle name="Normal 61 9 4 2 2 3 2" xfId="0"/>
    <cellStyle name="Normal 61 9 4 2 2 3 2 2" xfId="0"/>
    <cellStyle name="Normal 61 9 4 2 2 3 3" xfId="0"/>
    <cellStyle name="Normal 61 9 4 2 2 4" xfId="0"/>
    <cellStyle name="Normal 61 9 4 2 2 4 2" xfId="0"/>
    <cellStyle name="Normal 61 9 4 2 2 5" xfId="0"/>
    <cellStyle name="Normal 61 9 4 2 3" xfId="0"/>
    <cellStyle name="Normal 61 9 4 2 3 2" xfId="0"/>
    <cellStyle name="Normal 61 9 4 2 3 2 2" xfId="0"/>
    <cellStyle name="Normal 61 9 4 2 3 3" xfId="0"/>
    <cellStyle name="Normal 61 9 4 2 4" xfId="0"/>
    <cellStyle name="Normal 61 9 4 2 4 2" xfId="0"/>
    <cellStyle name="Normal 61 9 4 2 4 2 2" xfId="0"/>
    <cellStyle name="Normal 61 9 4 2 4 3" xfId="0"/>
    <cellStyle name="Normal 61 9 4 2 5" xfId="0"/>
    <cellStyle name="Normal 61 9 4 2 5 2" xfId="0"/>
    <cellStyle name="Normal 61 9 4 2 6" xfId="0"/>
    <cellStyle name="Normal 61 9 4 3" xfId="0"/>
    <cellStyle name="Normal 61 9 4 3 2" xfId="0"/>
    <cellStyle name="Normal 61 9 4 3 2 2" xfId="0"/>
    <cellStyle name="Normal 61 9 4 3 2 2 2" xfId="0"/>
    <cellStyle name="Normal 61 9 4 3 2 3" xfId="0"/>
    <cellStyle name="Normal 61 9 4 3 3" xfId="0"/>
    <cellStyle name="Normal 61 9 4 3 3 2" xfId="0"/>
    <cellStyle name="Normal 61 9 4 3 3 2 2" xfId="0"/>
    <cellStyle name="Normal 61 9 4 3 3 3" xfId="0"/>
    <cellStyle name="Normal 61 9 4 3 4" xfId="0"/>
    <cellStyle name="Normal 61 9 4 3 4 2" xfId="0"/>
    <cellStyle name="Normal 61 9 4 3 5" xfId="0"/>
    <cellStyle name="Normal 61 9 4 4" xfId="0"/>
    <cellStyle name="Normal 61 9 4 4 2" xfId="0"/>
    <cellStyle name="Normal 61 9 4 4 2 2" xfId="0"/>
    <cellStyle name="Normal 61 9 4 4 3" xfId="0"/>
    <cellStyle name="Normal 61 9 4 5" xfId="0"/>
    <cellStyle name="Normal 61 9 4 5 2" xfId="0"/>
    <cellStyle name="Normal 61 9 4 5 2 2" xfId="0"/>
    <cellStyle name="Normal 61 9 4 5 3" xfId="0"/>
    <cellStyle name="Normal 61 9 4 6" xfId="0"/>
    <cellStyle name="Normal 61 9 4 6 2" xfId="0"/>
    <cellStyle name="Normal 61 9 4 7" xfId="0"/>
    <cellStyle name="Normal 61 9 5" xfId="0"/>
    <cellStyle name="Normal 61 9 5 2" xfId="0"/>
    <cellStyle name="Normal 61 9 5 2 2" xfId="0"/>
    <cellStyle name="Normal 61 9 5 2 2 2" xfId="0"/>
    <cellStyle name="Normal 61 9 5 2 2 2 2" xfId="0"/>
    <cellStyle name="Normal 61 9 5 2 2 3" xfId="0"/>
    <cellStyle name="Normal 61 9 5 2 3" xfId="0"/>
    <cellStyle name="Normal 61 9 5 2 3 2" xfId="0"/>
    <cellStyle name="Normal 61 9 5 2 3 2 2" xfId="0"/>
    <cellStyle name="Normal 61 9 5 2 3 3" xfId="0"/>
    <cellStyle name="Normal 61 9 5 2 4" xfId="0"/>
    <cellStyle name="Normal 61 9 5 2 4 2" xfId="0"/>
    <cellStyle name="Normal 61 9 5 2 5" xfId="0"/>
    <cellStyle name="Normal 61 9 5 3" xfId="0"/>
    <cellStyle name="Normal 61 9 5 3 2" xfId="0"/>
    <cellStyle name="Normal 61 9 5 3 2 2" xfId="0"/>
    <cellStyle name="Normal 61 9 5 3 3" xfId="0"/>
    <cellStyle name="Normal 61 9 5 4" xfId="0"/>
    <cellStyle name="Normal 61 9 5 4 2" xfId="0"/>
    <cellStyle name="Normal 61 9 5 4 2 2" xfId="0"/>
    <cellStyle name="Normal 61 9 5 4 3" xfId="0"/>
    <cellStyle name="Normal 61 9 5 5" xfId="0"/>
    <cellStyle name="Normal 61 9 5 5 2" xfId="0"/>
    <cellStyle name="Normal 61 9 5 6" xfId="0"/>
    <cellStyle name="Normal 61 9 6" xfId="0"/>
    <cellStyle name="Normal 61 9 6 2" xfId="0"/>
    <cellStyle name="Normal 61 9 6 2 2" xfId="0"/>
    <cellStyle name="Normal 61 9 6 2 2 2" xfId="0"/>
    <cellStyle name="Normal 61 9 6 2 3" xfId="0"/>
    <cellStyle name="Normal 61 9 6 3" xfId="0"/>
    <cellStyle name="Normal 61 9 6 3 2" xfId="0"/>
    <cellStyle name="Normal 61 9 6 3 2 2" xfId="0"/>
    <cellStyle name="Normal 61 9 6 3 3" xfId="0"/>
    <cellStyle name="Normal 61 9 6 4" xfId="0"/>
    <cellStyle name="Normal 61 9 6 4 2" xfId="0"/>
    <cellStyle name="Normal 61 9 6 5" xfId="0"/>
    <cellStyle name="Normal 61 9 7" xfId="0"/>
    <cellStyle name="Normal 61 9 7 2" xfId="0"/>
    <cellStyle name="Normal 61 9 7 2 2" xfId="0"/>
    <cellStyle name="Normal 61 9 7 3" xfId="0"/>
    <cellStyle name="Normal 61 9 8" xfId="0"/>
    <cellStyle name="Normal 61 9 8 2" xfId="0"/>
    <cellStyle name="Normal 61 9 8 2 2" xfId="0"/>
    <cellStyle name="Normal 61 9 8 3" xfId="0"/>
    <cellStyle name="Normal 61 9 9" xfId="0"/>
    <cellStyle name="Normal 61 9 9 2" xfId="0"/>
    <cellStyle name="Normal 62" xfId="206"/>
    <cellStyle name="Normal 63" xfId="206"/>
    <cellStyle name="Normal 64" xfId="206"/>
    <cellStyle name="Normal 65" xfId="206"/>
    <cellStyle name="Normal 66" xfId="206"/>
    <cellStyle name="Normal 67" xfId="206"/>
    <cellStyle name="Normal 68" xfId="206"/>
    <cellStyle name="Normal 69" xfId="206"/>
    <cellStyle name="Normal 7" xfId="0"/>
    <cellStyle name="Normal 7 2" xfId="0"/>
    <cellStyle name="Normal 7 2 2" xfId="206"/>
    <cellStyle name="Normal 7 3" xfId="0"/>
    <cellStyle name="Normal 7 4" xfId="205"/>
    <cellStyle name="Normal 7_Sheet3" xfId="206"/>
    <cellStyle name="Normal 70" xfId="206"/>
    <cellStyle name="Normal 71" xfId="206"/>
    <cellStyle name="Normal 72" xfId="206"/>
    <cellStyle name="Normal 73" xfId="206"/>
    <cellStyle name="Normal 74" xfId="206"/>
    <cellStyle name="Normal 75" xfId="206"/>
    <cellStyle name="Normal 75 2" xfId="216"/>
    <cellStyle name="Normal 76" xfId="206"/>
    <cellStyle name="Normal 77" xfId="206"/>
    <cellStyle name="Normal 78" xfId="206"/>
    <cellStyle name="Normal 79" xfId="206"/>
    <cellStyle name="Normal 8" xfId="210"/>
    <cellStyle name="Normal 8 2" xfId="206"/>
    <cellStyle name="Normal 8 3" xfId="0"/>
    <cellStyle name="Normal 8 4" xfId="205"/>
    <cellStyle name="Normal 8_Sheet3" xfId="206"/>
    <cellStyle name="Normal 80" xfId="206"/>
    <cellStyle name="Normal 81" xfId="206"/>
    <cellStyle name="Normal 82" xfId="206"/>
    <cellStyle name="Normal 83" xfId="206"/>
    <cellStyle name="Normal 84" xfId="206"/>
    <cellStyle name="Normal 85" xfId="206"/>
    <cellStyle name="Normal 86" xfId="206"/>
    <cellStyle name="Normal 87" xfId="206"/>
    <cellStyle name="Normal 88" xfId="206"/>
    <cellStyle name="Normal 89" xfId="206"/>
    <cellStyle name="Normal 9" xfId="205"/>
    <cellStyle name="Normal 9 2" xfId="206"/>
    <cellStyle name="Normal 9 3" xfId="0"/>
    <cellStyle name="Normal 9_Sheet3" xfId="206"/>
    <cellStyle name="Normal 90" xfId="206"/>
    <cellStyle name="Normal 91" xfId="206"/>
    <cellStyle name="Normal 92" xfId="206"/>
    <cellStyle name="Normal 93" xfId="206"/>
    <cellStyle name="Normal 94" xfId="206"/>
    <cellStyle name="Normal 95" xfId="206"/>
    <cellStyle name="Normal 96" xfId="206"/>
    <cellStyle name="Normal 97" xfId="206"/>
    <cellStyle name="Normal 98" xfId="206"/>
    <cellStyle name="Normal 99" xfId="206"/>
    <cellStyle name="Normal_Borrower Credit" xfId="206"/>
    <cellStyle name="Normal_Collection Chart" xfId="206"/>
    <cellStyle name="Normal_Data1" xfId="217"/>
    <cellStyle name="Normal_Prescreen Larkspur Woods 10.7.08 Post LSC" xfId="206"/>
    <cellStyle name="Normal_Sheet1" xfId="212"/>
    <cellStyle name="Normal_spread" xfId="206"/>
    <cellStyle name="Normal_Topeka Loan CalcTF" xfId="218"/>
    <cellStyle name="Normal-NP" xfId="219"/>
    <cellStyle name="Note" xfId="220" builtinId="10"/>
    <cellStyle name="Note 2" xfId="221"/>
    <cellStyle name="Note 2 2" xfId="221"/>
    <cellStyle name="Note 2 2 2" xfId="221"/>
    <cellStyle name="Note 2 3" xfId="221"/>
    <cellStyle name="Note 2 3 2" xfId="221"/>
    <cellStyle name="Note 2 4" xfId="221"/>
    <cellStyle name="Note 2 4 2" xfId="221"/>
    <cellStyle name="Note 2 5" xfId="221"/>
    <cellStyle name="Note 2 6" xfId="220"/>
    <cellStyle name="Note 3" xfId="221"/>
    <cellStyle name="Note 4" xfId="221"/>
    <cellStyle name="NumberTB" xfId="222"/>
    <cellStyle name="NumberTB-C,WB" xfId="223"/>
    <cellStyle name="NumberTB-C,WB-1" xfId="224"/>
    <cellStyle name="NumberTB-DuelMode" xfId="222"/>
    <cellStyle name="NumberTB-H" xfId="225"/>
    <cellStyle name="NumberTB-HVerdana9" xfId="226"/>
    <cellStyle name="NumberTB-R" xfId="227"/>
    <cellStyle name="NumberTB-R,B" xfId="228"/>
    <cellStyle name="NumberTB-R,C" xfId="229"/>
    <cellStyle name="NumberTB-R,C-NoBorder" xfId="230"/>
    <cellStyle name="NumberTB-R,C-NoComma" xfId="231"/>
    <cellStyle name="NumberTB-R,C,B" xfId="232"/>
    <cellStyle name="NumberTB-R,CYears" xfId="233"/>
    <cellStyle name="NumberTB-R,NoComma" xfId="234"/>
    <cellStyle name="NumberTB-R,NoCommaCAlign" xfId="235"/>
    <cellStyle name="NumberTB-R,R-NoBorder" xfId="236"/>
    <cellStyle name="NumberTB-R,S" xfId="237"/>
    <cellStyle name="NumberTB-RBoldRed" xfId="238"/>
    <cellStyle name="NumberTB-Rleft" xfId="239"/>
    <cellStyle name="NumberTB-RRedBoldCenterAlign" xfId="240"/>
    <cellStyle name="NumberTB-S" xfId="241"/>
    <cellStyle name="NumberTB,C" xfId="223"/>
    <cellStyle name="NumberTB,CBB" xfId="242"/>
    <cellStyle name="NumberTB10" xfId="243"/>
    <cellStyle name="NumberTB1d-R" xfId="244"/>
    <cellStyle name="NumberTB1d-RRebBold" xfId="245"/>
    <cellStyle name="NumberTB1d-RYears" xfId="246"/>
    <cellStyle name="NumberTB1dCenter" xfId="247"/>
    <cellStyle name="NumberTB1dCenterYears" xfId="248"/>
    <cellStyle name="NumberTB1dCenterYearsBB" xfId="249"/>
    <cellStyle name="NumberTB1dLeftAlign" xfId="250"/>
    <cellStyle name="NumberTB1dRight" xfId="251"/>
    <cellStyle name="NumberTB2d" xfId="252"/>
    <cellStyle name="NumberTB2d-C,R" xfId="253"/>
    <cellStyle name="NumberTB2d-DuelMode" xfId="252"/>
    <cellStyle name="NumberTB2d-R" xfId="254"/>
    <cellStyle name="NumberTB2d-RRightAlign" xfId="255"/>
    <cellStyle name="NumberTB2d,C" xfId="256"/>
    <cellStyle name="NumberTB2dLeftAlign" xfId="257"/>
    <cellStyle name="NumberTB3d" xfId="258"/>
    <cellStyle name="NumberTB3d-DuelMode" xfId="259"/>
    <cellStyle name="NumberTB3d-H" xfId="260"/>
    <cellStyle name="NumberTB3d-R" xfId="261"/>
    <cellStyle name="NumberTB3d-R,B" xfId="262"/>
    <cellStyle name="NumberTB3d-R,C" xfId="263"/>
    <cellStyle name="NumberTB3d-R,H" xfId="264"/>
    <cellStyle name="NumberTB3d,C" xfId="265"/>
    <cellStyle name="NumberTB3dRightAlign" xfId="266"/>
    <cellStyle name="NumberTB5d-R" xfId="267"/>
    <cellStyle name="NumberTBCenter" xfId="268"/>
    <cellStyle name="NumberTBCenterAlignNoComma" xfId="269"/>
    <cellStyle name="NumberTBLeftAlignNoComma" xfId="243"/>
    <cellStyle name="NumberTBRightAlign" xfId="270"/>
    <cellStyle name="NumberTBZipCode" xfId="271"/>
    <cellStyle name="OddBodyShade" xfId="145"/>
    <cellStyle name="Output" xfId="272" builtinId="21"/>
    <cellStyle name="Output 2" xfId="273"/>
    <cellStyle name="Output 2 2" xfId="273"/>
    <cellStyle name="Output 2 2 2" xfId="273"/>
    <cellStyle name="Output 2 3" xfId="273"/>
    <cellStyle name="Output 2 3 2" xfId="273"/>
    <cellStyle name="Output 2 4" xfId="273"/>
    <cellStyle name="Output 2 4 2" xfId="273"/>
    <cellStyle name="Output 2 5" xfId="273"/>
    <cellStyle name="Output 3" xfId="273"/>
    <cellStyle name="Output 4" xfId="273"/>
    <cellStyle name="Overscore" xfId="274"/>
    <cellStyle name="Page Heading" xfId="275"/>
    <cellStyle name="Percent" xfId="276" builtinId="5"/>
    <cellStyle name="Percent [2]" xfId="277"/>
    <cellStyle name="Percent [2] 10" xfId="277"/>
    <cellStyle name="Percent [2] 11" xfId="277"/>
    <cellStyle name="Percent [2] 12" xfId="277"/>
    <cellStyle name="Percent [2] 13" xfId="277"/>
    <cellStyle name="Percent [2] 14" xfId="277"/>
    <cellStyle name="Percent [2] 15" xfId="277"/>
    <cellStyle name="Percent [2] 16" xfId="277"/>
    <cellStyle name="Percent [2] 17" xfId="277"/>
    <cellStyle name="Percent [2] 18" xfId="277"/>
    <cellStyle name="Percent [2] 19" xfId="277"/>
    <cellStyle name="Percent [2] 2" xfId="277"/>
    <cellStyle name="Percent [2] 20" xfId="277"/>
    <cellStyle name="Percent [2] 21" xfId="277"/>
    <cellStyle name="Percent [2] 3" xfId="277"/>
    <cellStyle name="Percent [2] 4" xfId="277"/>
    <cellStyle name="Percent [2] 5" xfId="277"/>
    <cellStyle name="Percent [2] 6" xfId="277"/>
    <cellStyle name="Percent [2] 7" xfId="277"/>
    <cellStyle name="Percent [2] 8" xfId="277"/>
    <cellStyle name="Percent [2] 9" xfId="277"/>
    <cellStyle name="Percent 10" xfId="278"/>
    <cellStyle name="Percent 11" xfId="278"/>
    <cellStyle name="Percent 12" xfId="278"/>
    <cellStyle name="Percent 13" xfId="278"/>
    <cellStyle name="Percent 14" xfId="278"/>
    <cellStyle name="Percent 15" xfId="278"/>
    <cellStyle name="Percent 16" xfId="278"/>
    <cellStyle name="Percent 17" xfId="278"/>
    <cellStyle name="Percent 18" xfId="278"/>
    <cellStyle name="Percent 19" xfId="278"/>
    <cellStyle name="Percent 2" xfId="278"/>
    <cellStyle name="Percent 2 10" xfId="276"/>
    <cellStyle name="Percent 2 17 3" xfId="278"/>
    <cellStyle name="Percent 2 2" xfId="278"/>
    <cellStyle name="Percent 2 3" xfId="278"/>
    <cellStyle name="Percent 2 4" xfId="278"/>
    <cellStyle name="Percent 2 4 2" xfId="276"/>
    <cellStyle name="Percent 2 4 3" xfId="276"/>
    <cellStyle name="Percent 2 4 4" xfId="276"/>
    <cellStyle name="Percent 2 4 5" xfId="276"/>
    <cellStyle name="Percent 2 5" xfId="278"/>
    <cellStyle name="Percent 2 6" xfId="278"/>
    <cellStyle name="Percent 2 7" xfId="276"/>
    <cellStyle name="Percent 2 7 2" xfId="278"/>
    <cellStyle name="Percent 20" xfId="278"/>
    <cellStyle name="Percent 21" xfId="278"/>
    <cellStyle name="Percent 22" xfId="279"/>
    <cellStyle name="Percent 23" xfId="279"/>
    <cellStyle name="Percent 24" xfId="279"/>
    <cellStyle name="Percent 25" xfId="279"/>
    <cellStyle name="Percent 26" xfId="279"/>
    <cellStyle name="Percent 27" xfId="279"/>
    <cellStyle name="Percent 28" xfId="279"/>
    <cellStyle name="Percent 29" xfId="279"/>
    <cellStyle name="Percent 3" xfId="278"/>
    <cellStyle name="Percent 3 2" xfId="278"/>
    <cellStyle name="Percent 3 2 2" xfId="276"/>
    <cellStyle name="Percent 3 3" xfId="276"/>
    <cellStyle name="Percent 3 4" xfId="276"/>
    <cellStyle name="Percent 3 5" xfId="276"/>
    <cellStyle name="Percent 3 6" xfId="276"/>
    <cellStyle name="Percent 3 7" xfId="276"/>
    <cellStyle name="Percent 3 8" xfId="276"/>
    <cellStyle name="Percent 3 9" xfId="279"/>
    <cellStyle name="Percent 30" xfId="279"/>
    <cellStyle name="Percent 31" xfId="279"/>
    <cellStyle name="Percent 32" xfId="279"/>
    <cellStyle name="Percent 33" xfId="279"/>
    <cellStyle name="Percent 34" xfId="278"/>
    <cellStyle name="Percent 35" xfId="279"/>
    <cellStyle name="Percent 36" xfId="279"/>
    <cellStyle name="Percent 37" xfId="279"/>
    <cellStyle name="Percent 38" xfId="278"/>
    <cellStyle name="Percent 39" xfId="278"/>
    <cellStyle name="Percent 4" xfId="278"/>
    <cellStyle name="Percent 4 2" xfId="278"/>
    <cellStyle name="Percent 4 3" xfId="276"/>
    <cellStyle name="Percent 4 4" xfId="279"/>
    <cellStyle name="Percent 40" xfId="278"/>
    <cellStyle name="Percent 41" xfId="278"/>
    <cellStyle name="Percent 42" xfId="278"/>
    <cellStyle name="Percent 43" xfId="278"/>
    <cellStyle name="Percent 44" xfId="278"/>
    <cellStyle name="Percent 45" xfId="278"/>
    <cellStyle name="Percent 46" xfId="278"/>
    <cellStyle name="Percent 47" xfId="278"/>
    <cellStyle name="Percent 48" xfId="278"/>
    <cellStyle name="Percent 49" xfId="278"/>
    <cellStyle name="Percent 5" xfId="278"/>
    <cellStyle name="Percent 5 2" xfId="276"/>
    <cellStyle name="Percent 50" xfId="280"/>
    <cellStyle name="Percent 6" xfId="278"/>
    <cellStyle name="Percent 6 2" xfId="276"/>
    <cellStyle name="Percent 7" xfId="278"/>
    <cellStyle name="Percent 8" xfId="278"/>
    <cellStyle name="Percent 9" xfId="278"/>
    <cellStyle name="Percent 9 2" xfId="281"/>
    <cellStyle name="Percent 9 2 2" xfId="281"/>
    <cellStyle name="Percent 9 2 3" xfId="281"/>
    <cellStyle name="Percent 9 2 4" xfId="281"/>
    <cellStyle name="Percent 9 2 5" xfId="281"/>
    <cellStyle name="Percent 9 3" xfId="281"/>
    <cellStyle name="Percent 9 3 2" xfId="281"/>
    <cellStyle name="Percent 9 4" xfId="281"/>
    <cellStyle name="Percent 9 5" xfId="281"/>
    <cellStyle name="Percent 9 6" xfId="281"/>
    <cellStyle name="Percent 9 7" xfId="281"/>
    <cellStyle name="Percent 9 8" xfId="281"/>
    <cellStyle name="Percent 9 9" xfId="281"/>
    <cellStyle name="Percent1d" xfId="282"/>
    <cellStyle name="Percent1d,C" xfId="283"/>
    <cellStyle name="Percent1dRightAlign" xfId="284"/>
    <cellStyle name="PercentageTB-R" xfId="285"/>
    <cellStyle name="PercentageTB-R,C" xfId="286"/>
    <cellStyle name="PercentageTB-R,CB" xfId="287"/>
    <cellStyle name="PercentageTB-R,H" xfId="288"/>
    <cellStyle name="PercentageTB-R,S" xfId="289"/>
    <cellStyle name="PercentageTB-R,S DuelMode" xfId="290"/>
    <cellStyle name="PercentageTB-S" xfId="290"/>
    <cellStyle name="PercentageTB0-R,S" xfId="291"/>
    <cellStyle name="PercentageTB0,S" xfId="292"/>
    <cellStyle name="PercentageTB2d" xfId="293"/>
    <cellStyle name="PercentageTB2d-DuelMode" xfId="294"/>
    <cellStyle name="PercentageTB2d-R" xfId="295"/>
    <cellStyle name="PercentageTB2d-R,C" xfId="296"/>
    <cellStyle name="PercentageTB2d-R,S" xfId="297"/>
    <cellStyle name="PercentageTB2d,C" xfId="298"/>
    <cellStyle name="PercentageTB2d,HCAlignVCAlign" xfId="299"/>
    <cellStyle name="PercentageTB2d,S" xfId="300"/>
    <cellStyle name="PercentageTB2dLeftAlign" xfId="301"/>
    <cellStyle name="PercentageTB2dR,HCAlignVCAlign" xfId="302"/>
    <cellStyle name="PercentageTB2dRightAlign" xfId="303"/>
    <cellStyle name="PercentageTB3d" xfId="304"/>
    <cellStyle name="PercentageTB3d-DuelMode" xfId="305"/>
    <cellStyle name="PercentageTB3d-R" xfId="306"/>
    <cellStyle name="PercentageTB3d-R,B" xfId="307"/>
    <cellStyle name="PercentageTB3d-R,B,9" xfId="308"/>
    <cellStyle name="PercentageTB3d-R,B,H" xfId="309"/>
    <cellStyle name="PercentageTB3d-RC" xfId="310"/>
    <cellStyle name="PercentageTB3d,C" xfId="311"/>
    <cellStyle name="PercentageTB3d,L" xfId="312"/>
    <cellStyle name="PercentageTB3dRightAlign" xfId="313"/>
    <cellStyle name="PercentageTB4d,C" xfId="314"/>
    <cellStyle name="PercentageTB4dR,HCAlignVCAlign" xfId="315"/>
    <cellStyle name="PercentageTB5d" xfId="316"/>
    <cellStyle name="PercentageTB5d-DuelMode" xfId="317"/>
    <cellStyle name="PercentageTB5d-R" xfId="318"/>
    <cellStyle name="PercentageTB5d-RC" xfId="319"/>
    <cellStyle name="PercentCenter" xfId="320"/>
    <cellStyle name="ProgramCell" xfId="321"/>
    <cellStyle name="PSChar" xfId="322"/>
    <cellStyle name="PSDate" xfId="323"/>
    <cellStyle name="PSDec" xfId="324"/>
    <cellStyle name="PSHeading" xfId="325"/>
    <cellStyle name="PSHeading 2" xfId="325"/>
    <cellStyle name="PSInt" xfId="326"/>
    <cellStyle name="PSSpacer" xfId="327"/>
    <cellStyle name="question" xfId="328"/>
    <cellStyle name="question 2" xfId="328"/>
    <cellStyle name="question 2 2" xfId="328"/>
    <cellStyle name="question 3" xfId="329"/>
    <cellStyle name="question_Sheet3" xfId="328"/>
    <cellStyle name="Reg2" xfId="330"/>
    <cellStyle name="Row Header" xfId="162"/>
    <cellStyle name="Row Header-B" xfId="163"/>
    <cellStyle name="Row Header-Red" xfId="331"/>
    <cellStyle name="Row Header-RedB" xfId="332"/>
    <cellStyle name="Row Header-Vertical" xfId="333"/>
    <cellStyle name="Row Header-Vertoca;" xfId="334"/>
    <cellStyle name="Row Header-Vertocal" xfId="335"/>
    <cellStyle name="Row HeaderCB" xfId="336"/>
    <cellStyle name="Row HeaderRight" xfId="159"/>
    <cellStyle name="Row HeaderWB,B" xfId="337"/>
    <cellStyle name="Row HeaderWB,BRightAlign" xfId="338"/>
    <cellStyle name="Row HeaderWBorder" xfId="164"/>
    <cellStyle name="Row-GroupHeader" xfId="339"/>
    <cellStyle name="Row-GroupHeader12" xfId="340"/>
    <cellStyle name="RowHeader" xfId="341"/>
    <cellStyle name="SectionHeader" xfId="342"/>
    <cellStyle name="SectionHeader 2" xfId="342"/>
    <cellStyle name="SectionHeader 2 2" xfId="342"/>
    <cellStyle name="SectionHeader 2 2 2" xfId="342"/>
    <cellStyle name="SectionHeader 2 2 2 2" xfId="342"/>
    <cellStyle name="SectionHeader 2 2 3" xfId="342"/>
    <cellStyle name="SectionHeader 2 2 3 2" xfId="342"/>
    <cellStyle name="SectionHeader 2 2 4" xfId="342"/>
    <cellStyle name="SectionHeader 2 2 4 2" xfId="342"/>
    <cellStyle name="SectionHeader 2 2 5" xfId="342"/>
    <cellStyle name="SectionHeader 2 2 5 2" xfId="342"/>
    <cellStyle name="SectionHeader 2 2 6" xfId="342"/>
    <cellStyle name="SectionHeader 2 3" xfId="342"/>
    <cellStyle name="SectionHeader 2 3 2" xfId="342"/>
    <cellStyle name="SectionHeader 2 4" xfId="342"/>
    <cellStyle name="SectionHeader 2 4 2" xfId="342"/>
    <cellStyle name="SectionHeader 2 5" xfId="342"/>
    <cellStyle name="SectionHeader 2 5 2" xfId="342"/>
    <cellStyle name="SectionHeader 2 6" xfId="342"/>
    <cellStyle name="SectionHeader 2 6 2" xfId="342"/>
    <cellStyle name="SectionHeader 3" xfId="342"/>
    <cellStyle name="SectionHeader 3 2" xfId="342"/>
    <cellStyle name="SectionHeader 3 2 2" xfId="342"/>
    <cellStyle name="SectionHeader 3 3" xfId="342"/>
    <cellStyle name="SectionHeader 3 3 2" xfId="342"/>
    <cellStyle name="SectionHeader 3 4" xfId="342"/>
    <cellStyle name="SectionHeader 3 4 2" xfId="342"/>
    <cellStyle name="SectionHeader 3 5" xfId="342"/>
    <cellStyle name="SectionHeader 3 5 2" xfId="342"/>
    <cellStyle name="SectionHeader 3 6" xfId="342"/>
    <cellStyle name="SectionHeader 4" xfId="342"/>
    <cellStyle name="SectionHeader 4 2" xfId="342"/>
    <cellStyle name="SectionHeader 5" xfId="342"/>
    <cellStyle name="SectionHeader 5 2" xfId="342"/>
    <cellStyle name="SectionHeader 6" xfId="342"/>
    <cellStyle name="Standard_JT 19 ergänzt" xfId="343"/>
    <cellStyle name="STYLE1 - Style1" xfId="344"/>
    <cellStyle name="STYLE1 - Style1 10" xfId="344"/>
    <cellStyle name="STYLE1 - Style1 11" xfId="344"/>
    <cellStyle name="STYLE1 - Style1 12" xfId="344"/>
    <cellStyle name="STYLE1 - Style1 13" xfId="344"/>
    <cellStyle name="STYLE1 - Style1 14" xfId="344"/>
    <cellStyle name="STYLE1 - Style1 15" xfId="344"/>
    <cellStyle name="STYLE1 - Style1 16" xfId="344"/>
    <cellStyle name="STYLE1 - Style1 17" xfId="344"/>
    <cellStyle name="STYLE1 - Style1 18" xfId="344"/>
    <cellStyle name="STYLE1 - Style1 19" xfId="344"/>
    <cellStyle name="STYLE1 - Style1 2" xfId="344"/>
    <cellStyle name="STYLE1 - Style1 20" xfId="344"/>
    <cellStyle name="STYLE1 - Style1 21" xfId="344"/>
    <cellStyle name="STYLE1 - Style1 22" xfId="344"/>
    <cellStyle name="STYLE1 - Style1 3" xfId="344"/>
    <cellStyle name="STYLE1 - Style1 4" xfId="344"/>
    <cellStyle name="STYLE1 - Style1 5" xfId="344"/>
    <cellStyle name="STYLE1 - Style1 6" xfId="344"/>
    <cellStyle name="STYLE1 - Style1 7" xfId="344"/>
    <cellStyle name="STYLE1 - Style1 8" xfId="344"/>
    <cellStyle name="STYLE1 - Style1 9" xfId="344"/>
    <cellStyle name="STYLE1 - Style1_Input Sheet" xfId="344"/>
    <cellStyle name="STYLE2 - Style2" xfId="344"/>
    <cellStyle name="STYLE2 - Style2 10" xfId="344"/>
    <cellStyle name="STYLE2 - Style2 11" xfId="344"/>
    <cellStyle name="STYLE2 - Style2 12" xfId="344"/>
    <cellStyle name="STYLE2 - Style2 13" xfId="344"/>
    <cellStyle name="STYLE2 - Style2 14" xfId="344"/>
    <cellStyle name="STYLE2 - Style2 15" xfId="344"/>
    <cellStyle name="STYLE2 - Style2 16" xfId="344"/>
    <cellStyle name="STYLE2 - Style2 17" xfId="344"/>
    <cellStyle name="STYLE2 - Style2 18" xfId="344"/>
    <cellStyle name="STYLE2 - Style2 19" xfId="344"/>
    <cellStyle name="STYLE2 - Style2 2" xfId="344"/>
    <cellStyle name="STYLE2 - Style2 20" xfId="344"/>
    <cellStyle name="STYLE2 - Style2 21" xfId="344"/>
    <cellStyle name="STYLE2 - Style2 22" xfId="344"/>
    <cellStyle name="STYLE2 - Style2 3" xfId="344"/>
    <cellStyle name="STYLE2 - Style2 4" xfId="344"/>
    <cellStyle name="STYLE2 - Style2 5" xfId="344"/>
    <cellStyle name="STYLE2 - Style2 6" xfId="344"/>
    <cellStyle name="STYLE2 - Style2 7" xfId="344"/>
    <cellStyle name="STYLE2 - Style2 8" xfId="344"/>
    <cellStyle name="STYLE2 - Style2 9" xfId="344"/>
    <cellStyle name="STYLE2 - Style2_Input Sheet" xfId="344"/>
    <cellStyle name="STYLE3 - Style3" xfId="344"/>
    <cellStyle name="STYLE3 - Style3 10" xfId="344"/>
    <cellStyle name="STYLE3 - Style3 11" xfId="344"/>
    <cellStyle name="STYLE3 - Style3 12" xfId="344"/>
    <cellStyle name="STYLE3 - Style3 13" xfId="344"/>
    <cellStyle name="STYLE3 - Style3 14" xfId="344"/>
    <cellStyle name="STYLE3 - Style3 15" xfId="344"/>
    <cellStyle name="STYLE3 - Style3 16" xfId="344"/>
    <cellStyle name="STYLE3 - Style3 17" xfId="344"/>
    <cellStyle name="STYLE3 - Style3 18" xfId="344"/>
    <cellStyle name="STYLE3 - Style3 19" xfId="344"/>
    <cellStyle name="STYLE3 - Style3 2" xfId="344"/>
    <cellStyle name="STYLE3 - Style3 20" xfId="344"/>
    <cellStyle name="STYLE3 - Style3 21" xfId="344"/>
    <cellStyle name="STYLE3 - Style3 22" xfId="344"/>
    <cellStyle name="STYLE3 - Style3 3" xfId="344"/>
    <cellStyle name="STYLE3 - Style3 4" xfId="344"/>
    <cellStyle name="STYLE3 - Style3 5" xfId="344"/>
    <cellStyle name="STYLE3 - Style3 6" xfId="344"/>
    <cellStyle name="STYLE3 - Style3 7" xfId="344"/>
    <cellStyle name="STYLE3 - Style3 8" xfId="344"/>
    <cellStyle name="STYLE3 - Style3 9" xfId="344"/>
    <cellStyle name="STYLE3 - Style3_Input Sheet" xfId="344"/>
    <cellStyle name="STYLE4 - Style4" xfId="344"/>
    <cellStyle name="STYLE4 - Style4 10" xfId="344"/>
    <cellStyle name="STYLE4 - Style4 11" xfId="344"/>
    <cellStyle name="STYLE4 - Style4 12" xfId="344"/>
    <cellStyle name="STYLE4 - Style4 13" xfId="344"/>
    <cellStyle name="STYLE4 - Style4 14" xfId="344"/>
    <cellStyle name="STYLE4 - Style4 15" xfId="344"/>
    <cellStyle name="STYLE4 - Style4 16" xfId="344"/>
    <cellStyle name="STYLE4 - Style4 17" xfId="344"/>
    <cellStyle name="STYLE4 - Style4 18" xfId="344"/>
    <cellStyle name="STYLE4 - Style4 19" xfId="344"/>
    <cellStyle name="STYLE4 - Style4 2" xfId="344"/>
    <cellStyle name="STYLE4 - Style4 20" xfId="344"/>
    <cellStyle name="STYLE4 - Style4 21" xfId="344"/>
    <cellStyle name="STYLE4 - Style4 22" xfId="344"/>
    <cellStyle name="STYLE4 - Style4 3" xfId="344"/>
    <cellStyle name="STYLE4 - Style4 4" xfId="344"/>
    <cellStyle name="STYLE4 - Style4 5" xfId="344"/>
    <cellStyle name="STYLE4 - Style4 6" xfId="344"/>
    <cellStyle name="STYLE4 - Style4 7" xfId="344"/>
    <cellStyle name="STYLE4 - Style4 8" xfId="344"/>
    <cellStyle name="STYLE4 - Style4 9" xfId="344"/>
    <cellStyle name="STYLE4 - Style4_Input Sheet" xfId="344"/>
    <cellStyle name="TableCenter" xfId="345"/>
    <cellStyle name="TableCenter 2" xfId="345"/>
    <cellStyle name="TableCenter_Sheet3" xfId="345"/>
    <cellStyle name="TableFooter" xfId="346"/>
    <cellStyle name="TableFooter 2" xfId="346"/>
    <cellStyle name="TableFooter 2 2" xfId="346"/>
    <cellStyle name="TableFooter 2 2 2" xfId="346"/>
    <cellStyle name="TableFooter 2 3" xfId="346"/>
    <cellStyle name="TableFooter 3" xfId="346"/>
    <cellStyle name="TableFooter 3 2" xfId="346"/>
    <cellStyle name="TableFooter 4" xfId="346"/>
    <cellStyle name="TableFooter_Sheet3" xfId="346"/>
    <cellStyle name="TableIndent" xfId="347"/>
    <cellStyle name="TableIndent 2" xfId="347"/>
    <cellStyle name="TableIndent_Sheet3" xfId="347"/>
    <cellStyle name="TableText" xfId="348"/>
    <cellStyle name="TableText 2" xfId="348"/>
    <cellStyle name="TableText_Sheet3" xfId="348"/>
    <cellStyle name="TableTitle" xfId="349"/>
    <cellStyle name="TableTitle 2" xfId="349"/>
    <cellStyle name="TelephoneTB10" xfId="350"/>
    <cellStyle name="TelephoneTB10-R" xfId="351"/>
    <cellStyle name="TelephoneTB11" xfId="350"/>
    <cellStyle name="Text-Comments" xfId="352"/>
    <cellStyle name="Text-Comments,NoBorder" xfId="353"/>
    <cellStyle name="Text-DuelMode" xfId="354"/>
    <cellStyle name="Text-G" xfId="355"/>
    <cellStyle name="Text-G R" xfId="356"/>
    <cellStyle name="Text-G R RightAllign" xfId="357"/>
    <cellStyle name="Text-G RGeorgiaC" xfId="358"/>
    <cellStyle name="Text-G,NoBorder" xfId="359"/>
    <cellStyle name="Text-G10LeftAlign" xfId="360"/>
    <cellStyle name="Text-G10LeftAlignWrap" xfId="361"/>
    <cellStyle name="Text-GBB" xfId="362"/>
    <cellStyle name="Text-GC,B" xfId="363"/>
    <cellStyle name="Text-GCenterAlign" xfId="364"/>
    <cellStyle name="Text-GCustomCenterAlign" xfId="365"/>
    <cellStyle name="Text-Georgia10LeftAlign" xfId="366"/>
    <cellStyle name="Text-Georgia10LeftAlignNoBorder" xfId="367"/>
    <cellStyle name="Text-GHCenterAlignVCenterAlign" xfId="368"/>
    <cellStyle name="Text-GHCenterVCenter" xfId="368"/>
    <cellStyle name="Text-GHLeftAlignVCenterAlign" xfId="369"/>
    <cellStyle name="Text-GHLeftAlignVCenterAlignBB" xfId="370"/>
    <cellStyle name="Text-GLeftAlign" xfId="360"/>
    <cellStyle name="Text-GRHCenterAlignVCenterAlign" xfId="371"/>
    <cellStyle name="Text-GRHLeftAlignVCenterAlign" xfId="372"/>
    <cellStyle name="Text-GRightAlign" xfId="135"/>
    <cellStyle name="Text-GTopAlign" xfId="373"/>
    <cellStyle name="Text-WFormula R" xfId="356"/>
    <cellStyle name="Text-WFormula RC" xfId="374"/>
    <cellStyle name="Text-WFormula RNoBorder" xfId="375"/>
    <cellStyle name="Times New Roman" xfId="376"/>
    <cellStyle name="Title" xfId="377" builtinId="15"/>
    <cellStyle name="Title 2" xfId="378"/>
    <cellStyle name="Total" xfId="379" builtinId="25"/>
    <cellStyle name="Total 10" xfId="380"/>
    <cellStyle name="Total 2" xfId="380"/>
    <cellStyle name="Total 2 2" xfId="380"/>
    <cellStyle name="Total 2 3" xfId="380"/>
    <cellStyle name="Total 2 4" xfId="380"/>
    <cellStyle name="Total 3" xfId="380"/>
    <cellStyle name="Total 3 2" xfId="380"/>
    <cellStyle name="Total 4" xfId="380"/>
    <cellStyle name="Total 4 2" xfId="380"/>
    <cellStyle name="Total 5" xfId="379"/>
    <cellStyle name="Total 6" xfId="380"/>
    <cellStyle name="Total 7" xfId="380"/>
    <cellStyle name="Total 8" xfId="380"/>
    <cellStyle name="Total 9" xfId="380"/>
    <cellStyle name="Warning Text" xfId="381" builtinId="11"/>
    <cellStyle name="Warning Text 2" xfId="382"/>
    <cellStyle name="wrap" xfId="38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sharedStrings" Target="sharedStrings.xml"/><Relationship Id="rId54" Type="http://schemas.openxmlformats.org/officeDocument/2006/relationships/styles" Target="styles.xml"/><Relationship Id="rId55" Type="http://schemas.openxmlformats.org/officeDocument/2006/relationships/theme" Target="theme/theme1.xml"/><Relationship Id="rId56" Type="http://schemas.openxmlformats.org/officeDocument/2006/relationships/sheetMetadata" Target="metadata.xml"/></Relationships>
</file>

<file path=xl/charts/chart1.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autoTitleDeleted val="1"/>
    <c:plotArea>
      <c:barChart chartType="6">
        <c:ser seriesType="0">
          <c:idx val="0"/>
          <c:order val="0"/>
          <c:tx>
            <c:v>T12 NRI</c:v>
          </c:tx>
          <c:spPr/>
          <c:cat>
            <c:strRef>
              <c:f>'NRI Analysis'!$N$158:$N$169,'NRI Analysis'!$E$80</c:f>
            </c:strRef>
          </c:cat>
          <c:val>
            <c:numRef>
              <c:f>'NRI Analysis'!$J$171:$J$182,'NRI Analysis'!$E$81</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59914441"/>
        <c:axId val="70778617"/>
        <c:barDir val="col"/>
        <c:grouping val="clustered"/>
        <c:gapWidth val="150"/>
        <c:varyColors val="0"/>
        <c:overlap val="0"/>
      </c:barChart>
      <c:catAx axisType="0">
        <c:axId val="59914441"/>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vert="horz"/>
          <a:p>
            <a:pPr>
              <a:defRPr sz="1000" b="0" i="0" strike="noStrike" u="none">
                <a:solidFill>
                  <a:srgbClr val="000000"/>
                </a:solidFill>
                <a:latin typeface="Calibri"/>
              </a:defRPr>
            </a:pPr>
            <a:endParaRPr/>
          </a:p>
        </c:txPr>
        <c:auto val="1"/>
        <c:tickMarkSkip val="1"/>
        <c:noMultiLvlLbl val="1"/>
        <c:crosses val="autoZero"/>
        <c:crossAx val="70778617"/>
        <c:lblOffset val="0"/>
      </c:catAx>
      <c:valAx axisType="3">
        <c:axId val="70778617"/>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59914441"/>
      </c:valAx>
      <c:lineChart chartType="8">
        <c:ser seriesType="2">
          <c:idx val="1"/>
          <c:order val="1"/>
          <c:tx>
            <c:v>Avg T12 NRI</c:v>
          </c:tx>
          <c:val>
            <c:numRef>
              <c:f>'NRI Analysis'!$K$171:$K$182</c:f>
              <c:numCache>
                <c:formatCode>General</c:formatCode>
              </c:numCache>
            </c:numRef>
          </c:val>
          <c:extLst/>
          <c:smooth val="0"/>
          <c:marker>
            <c:symbol val="none"/>
          </c:marker>
        </c:ser>
        <c:axId val="59914441"/>
        <c:axId val="70778617"/>
        <c:grouping val="standard"/>
        <c:varyColors val="0"/>
        <c:smooth val="0"/>
        <c:marker val="1"/>
      </c:lineChart>
      <c:spPr>
        <a:noFill/>
        <a:ln>
          <a:noFill/>
        </a:ln>
      </c:spPr>
    </c:plotArea>
    <c:legend>
      <c:legendPos val="r"/>
      <c:overlay val="0"/>
      <c:txPr>
        <a:bodyPr/>
        <a:p>
          <a:pPr>
            <a:defRPr sz="650" b="0" i="0" strike="noStrike" u="none">
              <a:solidFill>
                <a:srgbClr val="000000"/>
              </a:solidFill>
              <a:latin typeface="Calibri"/>
            </a:defRPr>
          </a:pPr>
          <a:endParaRPr/>
        </a:p>
      </c:txPr>
    </c:legend>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2.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Analysis'!$A$6:$A$17</c:f>
            </c:strRef>
          </c:cat>
          <c:val>
            <c:numRef>
              <c:f>'NRI Analysis'!$M$6:$M$17</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31586076"/>
        <c:axId val="28634729"/>
        <c:barDir val="col"/>
        <c:grouping val="clustered"/>
        <c:gapWidth val="150"/>
        <c:varyColors val="0"/>
        <c:overlap val="0"/>
      </c:barChart>
      <c:catAx axisType="0">
        <c:axId val="31586076"/>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28634729"/>
        <c:lblOffset val="0"/>
      </c:catAx>
      <c:valAx axisType="3">
        <c:axId val="28634729"/>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31586076"/>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3.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Analysis'!$A$22:$A$33</c:f>
            </c:strRef>
          </c:cat>
          <c:val>
            <c:numRef>
              <c:f>'NRI Analysis'!$M$22:$M$33</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66208056"/>
        <c:axId val="13430466"/>
        <c:barDir val="col"/>
        <c:grouping val="clustered"/>
        <c:gapWidth val="150"/>
        <c:varyColors val="0"/>
        <c:overlap val="0"/>
      </c:barChart>
      <c:catAx axisType="0">
        <c:axId val="66208056"/>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13430466"/>
        <c:lblOffset val="0"/>
      </c:catAx>
      <c:valAx axisType="3">
        <c:axId val="13430466"/>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66208056"/>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4.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Analysis'!$A$42:$A$53</c:f>
            </c:strRef>
          </c:cat>
          <c:val>
            <c:numRef>
              <c:f>'NRI Analysis'!$M$42:$M$53</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66229819"/>
        <c:axId val="55540380"/>
        <c:barDir val="col"/>
        <c:grouping val="clustered"/>
        <c:gapWidth val="150"/>
        <c:varyColors val="0"/>
        <c:overlap val="0"/>
      </c:barChart>
      <c:catAx axisType="0">
        <c:axId val="66229819"/>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55540380"/>
        <c:lblOffset val="0"/>
      </c:catAx>
      <c:valAx axisType="3">
        <c:axId val="55540380"/>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66229819"/>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5.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Analysis'!$A$58:$A$69</c:f>
            </c:strRef>
          </c:cat>
          <c:val>
            <c:numRef>
              <c:f>'NRI Analysis'!$M$58:$M$69</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94228164"/>
        <c:axId val="33750619"/>
        <c:barDir val="col"/>
        <c:grouping val="clustered"/>
        <c:gapWidth val="150"/>
        <c:varyColors val="0"/>
        <c:overlap val="0"/>
      </c:barChart>
      <c:catAx axisType="0">
        <c:axId val="94228164"/>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33750619"/>
        <c:lblOffset val="0"/>
      </c:catAx>
      <c:valAx axisType="3">
        <c:axId val="33750619"/>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94228164"/>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6.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autoTitleDeleted val="1"/>
    <c:plotArea>
      <c:barChart chartType="6">
        <c:ser seriesType="0">
          <c:idx val="0"/>
          <c:order val="0"/>
          <c:tx>
            <c:v>T12 NRI</c:v>
          </c:tx>
          <c:spPr/>
          <c:cat>
            <c:strRef>
              <c:f>'NRI Analysis'!$N$158:$N$169,'NRI Analysis'!$E$80</c:f>
            </c:strRef>
          </c:cat>
          <c:val>
            <c:numRef>
              <c:f>'NRI Analysis'!$J$171:$J$182,'NRI Analysis'!$E$81</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29288983"/>
        <c:axId val="25474600"/>
        <c:barDir val="col"/>
        <c:grouping val="clustered"/>
        <c:gapWidth val="150"/>
        <c:varyColors val="0"/>
        <c:overlap val="0"/>
      </c:barChart>
      <c:catAx axisType="0">
        <c:axId val="29288983"/>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vert="horz"/>
          <a:p>
            <a:pPr>
              <a:defRPr sz="1000" b="0" i="0" strike="noStrike" u="none">
                <a:solidFill>
                  <a:srgbClr val="000000"/>
                </a:solidFill>
                <a:latin typeface="Calibri"/>
              </a:defRPr>
            </a:pPr>
            <a:endParaRPr/>
          </a:p>
        </c:txPr>
        <c:auto val="1"/>
        <c:tickMarkSkip val="1"/>
        <c:noMultiLvlLbl val="1"/>
        <c:crosses val="autoZero"/>
        <c:crossAx val="25474600"/>
        <c:lblOffset val="0"/>
      </c:catAx>
      <c:valAx axisType="3">
        <c:axId val="25474600"/>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29288983"/>
      </c:valAx>
      <c:lineChart chartType="8">
        <c:ser seriesType="2">
          <c:idx val="1"/>
          <c:order val="1"/>
          <c:tx>
            <c:v>Avg T12 NRI</c:v>
          </c:tx>
          <c:val>
            <c:numRef>
              <c:f>'NRI Analysis'!$K$171:$K$182</c:f>
              <c:numCache>
                <c:formatCode>General</c:formatCode>
              </c:numCache>
            </c:numRef>
          </c:val>
          <c:extLst/>
          <c:smooth val="0"/>
          <c:marker>
            <c:symbol val="none"/>
          </c:marker>
        </c:ser>
        <c:axId val="29288983"/>
        <c:axId val="25474600"/>
        <c:grouping val="standard"/>
        <c:varyColors val="0"/>
        <c:smooth val="0"/>
        <c:marker val="1"/>
      </c:lineChart>
      <c:spPr>
        <a:noFill/>
        <a:ln>
          <a:noFill/>
        </a:ln>
      </c:spPr>
    </c:plotArea>
    <c:legend>
      <c:legendPos val="r"/>
      <c:overlay val="0"/>
      <c:txPr>
        <a:bodyPr/>
        <a:p>
          <a:pPr>
            <a:defRPr sz="650" b="0" i="0" strike="noStrike" u="none">
              <a:solidFill>
                <a:srgbClr val="000000"/>
              </a:solidFill>
              <a:latin typeface="Calibri"/>
            </a:defRPr>
          </a:pPr>
          <a:endParaRPr/>
        </a:p>
      </c:txPr>
    </c:legend>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7.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Analysis'!$A$6:$A$17</c:f>
            </c:strRef>
          </c:cat>
          <c:val>
            <c:numRef>
              <c:f>'NRI Analysis'!$M$6:$M$17</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69718661"/>
        <c:axId val="89875963"/>
        <c:barDir val="col"/>
        <c:grouping val="clustered"/>
        <c:gapWidth val="150"/>
        <c:varyColors val="0"/>
        <c:overlap val="0"/>
      </c:barChart>
      <c:catAx axisType="0">
        <c:axId val="69718661"/>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89875963"/>
        <c:lblOffset val="0"/>
      </c:catAx>
      <c:valAx axisType="3">
        <c:axId val="89875963"/>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69718661"/>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8.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Analysis'!$A$22:$A$33</c:f>
            </c:strRef>
          </c:cat>
          <c:val>
            <c:numRef>
              <c:f>'NRI Analysis'!$M$22:$M$33</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98006568"/>
        <c:axId val="36730823"/>
        <c:barDir val="col"/>
        <c:grouping val="clustered"/>
        <c:gapWidth val="150"/>
        <c:varyColors val="0"/>
        <c:overlap val="0"/>
      </c:barChart>
      <c:catAx axisType="0">
        <c:axId val="98006568"/>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36730823"/>
        <c:lblOffset val="0"/>
      </c:catAx>
      <c:valAx axisType="3">
        <c:axId val="36730823"/>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98006568"/>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9.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Analysis'!$A$42:$A$53</c:f>
            </c:strRef>
          </c:cat>
          <c:val>
            <c:numRef>
              <c:f>'NRI Analysis'!$M$42:$M$53</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75562576"/>
        <c:axId val="26344650"/>
        <c:barDir val="col"/>
        <c:grouping val="clustered"/>
        <c:gapWidth val="150"/>
        <c:varyColors val="0"/>
        <c:overlap val="0"/>
      </c:barChart>
      <c:catAx axisType="0">
        <c:axId val="75562576"/>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26344650"/>
        <c:lblOffset val="0"/>
      </c:catAx>
      <c:valAx axisType="3">
        <c:axId val="26344650"/>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75562576"/>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charts/chart10.xml><?xml version="1.0" encoding="utf-8"?>
<c:chartSpace xmlns:a="http://schemas.openxmlformats.org/drawingml/2006/main" xmlns:r="http://schemas.openxmlformats.org/officeDocument/2006/relationships" xmlns:c="http://schemas.openxmlformats.org/drawingml/2006/chart" xmlns:c16r2="http://schemas.microsoft.com/office/drawing/2015/06/chart">
  <c:roundedCorners val="0"/>
  <c:chart>
    <c:title>
      <c:txPr>
        <a:bodyPr/>
        <a:p>
          <a:pPr>
            <a:defRPr sz="1400" b="0" i="0" strike="noStrike" u="none">
              <a:solidFill>
                <a:srgbClr val="000000"/>
              </a:solidFill>
              <a:latin typeface="Calibri"/>
            </a:defRPr>
          </a:pPr>
          <a:r>
            <a:rPr sz="1400" b="0" i="0" strike="noStrike" u="none">
              <a:solidFill>
                <a:srgbClr val="000000"/>
              </a:solidFill>
              <a:latin typeface="Calibri"/>
            </a:rPr>
            <a:t/>
          </a:r>
          <a:endParaRPr/>
        </a:p>
      </c:txPr>
      <c:overlay val="0"/>
    </c:title>
    <c:autoTitleDeleted val="0"/>
    <c:plotArea>
      <c:barChart chartType="6">
        <c:ser seriesType="0">
          <c:idx val="0"/>
          <c:order val="0"/>
          <c:tx>
            <c:v>Monthly NRI</c:v>
          </c:tx>
          <c:spPr/>
          <c:cat>
            <c:strRef>
              <c:f>'NRI Analysis'!$A$58:$A$69</c:f>
            </c:strRef>
          </c:cat>
          <c:val>
            <c:numRef>
              <c:f>'NRI Analysis'!$M$58:$M$69</c:f>
              <c:numCache>
                <c:formatCode>General</c:formatCode>
              </c:numCache>
            </c:numRef>
          </c:val>
          <c:dLbls>
            <c:spPr>
              <a:noFill/>
              <a:ln>
                <a:noFill/>
              </a:ln>
            </c:spPr>
            <c:dLblPos val="outEnd"/>
            <c:showLeaderLines val="0"/>
            <c:showBubbleSize val="0"/>
            <c:showLegendKey val="0"/>
            <c:showPercent val="0"/>
            <c:showCatName val="0"/>
            <c:showSerName val="0"/>
            <c:showVal val="0"/>
          </c:dLbls>
          <c:extLst/>
          <c:invertIfNegative val="0"/>
          <c:dPt>
            <c:idx val="12"/>
            <c:bubble3D val="0"/>
            <c:invertIfNegative val="0"/>
            <c:spPr>
              <a:solidFill>
                <a:schemeClr val="accent2"/>
              </a:solidFill>
            </c:spPr>
          </c:dPt>
          <c:dPt>
            <c:idx val="13"/>
            <c:bubble3D val="0"/>
            <c:invertIfNegative val="0"/>
            <c:spPr>
              <a:solidFill>
                <a:srgbClr val="00b050"/>
              </a:solidFill>
            </c:spPr>
          </c:dPt>
        </c:ser>
        <c:axId val="72003919"/>
        <c:axId val="63338569"/>
        <c:barDir val="col"/>
        <c:grouping val="clustered"/>
        <c:gapWidth val="150"/>
        <c:varyColors val="0"/>
        <c:overlap val="0"/>
      </c:barChart>
      <c:catAx axisType="0">
        <c:axId val="72003919"/>
        <c:delete val="0"/>
        <c:majorTickMark val="out"/>
        <c:minorTickMark val="none"/>
        <c:tickLblPos val="nextTo"/>
        <c:axPos val="b"/>
        <c:scaling>
          <c:orientation val="minMax"/>
        </c:scaling>
        <c:spPr>
          <a:noFill/>
          <a:ln w="9525" cmpd="sng" cap="flat">
            <a:solidFill>
              <a:schemeClr val="tx1">
                <a:lumMod val="15000"/>
                <a:lumOff val="85000"/>
              </a:schemeClr>
            </a:solidFill>
            <a:round/>
          </a:ln>
        </c:spPr>
        <c:numFmt formatCode="[$-409]mmm\-yy;@" sourceLinked="0"/>
        <c:txPr>
          <a:bodyPr rot="-2700000" vert="horz"/>
          <a:p>
            <a:pPr>
              <a:defRPr sz="1000" b="0" i="0" strike="noStrike" u="none">
                <a:solidFill>
                  <a:srgbClr val="000000"/>
                </a:solidFill>
                <a:latin typeface="Calibri"/>
              </a:defRPr>
            </a:pPr>
            <a:endParaRPr/>
          </a:p>
        </c:txPr>
        <c:auto val="1"/>
        <c:tickMarkSkip val="1"/>
        <c:noMultiLvlLbl val="1"/>
        <c:crosses val="autoZero"/>
        <c:crossAx val="63338569"/>
        <c:lblOffset val="0"/>
      </c:catAx>
      <c:valAx axisType="3">
        <c:axId val="63338569"/>
        <c:delete val="0"/>
        <c:majorTickMark val="out"/>
        <c:minorTickMark val="none"/>
        <c:tickLblPos val="nextTo"/>
        <c:axPos val="l"/>
        <c:scaling>
          <c:orientation val="minMax"/>
        </c:scaling>
        <c:spPr>
          <a:noFill/>
          <a:ln w="9525" cmpd="sng" cap="flat">
            <a:solidFill>
              <a:schemeClr val="tx1">
                <a:lumMod val="15000"/>
                <a:lumOff val="85000"/>
              </a:schemeClr>
            </a:solidFill>
            <a:round/>
          </a:ln>
        </c:spPr>
        <c:numFmt formatCode="General"/>
        <c:txPr>
          <a:bodyPr vert="horz"/>
          <a:p>
            <a:pPr>
              <a:defRPr sz="1000" b="0" i="0" strike="noStrike" u="none">
                <a:solidFill>
                  <a:srgbClr val="000000"/>
                </a:solidFill>
                <a:latin typeface="Calibri"/>
              </a:defRPr>
            </a:pPr>
            <a:endParaRPr/>
          </a:p>
        </c:txPr>
        <c:majorGridlines>
          <c:spPr>
            <a:ln w="9525" cmpd="sng" cap="flat">
              <a:solidFill>
                <a:srgbClr val="868686"/>
              </a:solidFill>
              <a:round/>
            </a:ln>
          </c:spPr>
        </c:majorGridlines>
        <c:crosses val="autoZero"/>
        <c:crossBetween val="between"/>
        <c:crossAx val="72003919"/>
      </c:valAx>
      <c:spPr>
        <a:noFill/>
        <a:ln>
          <a:noFill/>
        </a:ln>
      </c:spPr>
    </c:plotArea>
    <c:plotVisOnly val="1"/>
    <c:dispBlanksAs val="gap"/>
    <c:showDLblsOverMax val="0"/>
    <c:extLst>
      <c:ext xmlns:c16r3="http://schemas.microsoft.com/office/drawing/2017/03/chart" uri="{56B9EC1D-385E-4148-901F-78D8002777C0}">
        <c16r3:dataDisplayOptions16>
          <c16r3:dispNaAsBlank val="0"/>
        </c16r3:dataDisplayOptions16>
      </c:ext>
    </c:extLst>
  </c:chart>
  <c:txPr>
    <a:bodyPr/>
    <a:p>
      <a:pPr>
        <a:defRPr sz="1000" b="0" i="0" strike="noStrike" u="none">
          <a:solidFill>
            <a:srgbClr val="000000"/>
          </a:solidFill>
          <a:latin typeface="Calibri"/>
        </a:defRPr>
      </a:pPr>
      <a:endParaRPr/>
    </a:p>
  </c:tx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 Id="rId10" Type="http://schemas.openxmlformats.org/officeDocument/2006/relationships/chart" Target="../charts/char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0.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0</xdr:col>
      <xdr:colOff>1232630</xdr:colOff>
      <xdr:row>95</xdr:row>
      <xdr:rowOff>56007</xdr:rowOff>
    </xdr:from>
    <xdr:to>
      <xdr:col>17</xdr:col>
      <xdr:colOff>1030986</xdr:colOff>
      <xdr:row>113</xdr:row>
      <xdr:rowOff>112014</xdr:rowOff>
    </xdr:to>
    <xdr:graphicFrame macro="">
      <xdr:nvGraphicFramePr>
        <xdr:cNvPr id="1"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44863</xdr:colOff>
      <xdr:row>3</xdr:row>
      <xdr:rowOff>0</xdr:rowOff>
    </xdr:from>
    <xdr:to>
      <xdr:col>25</xdr:col>
      <xdr:colOff>571500</xdr:colOff>
      <xdr:row>18</xdr:row>
      <xdr:rowOff>0</xdr:rowOff>
    </xdr:to>
    <xdr:graphicFrame macro="">
      <xdr:nvGraphicFramePr>
        <xdr:cNvPr id="2" name="Chart 2_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44863</xdr:colOff>
      <xdr:row>19</xdr:row>
      <xdr:rowOff>0</xdr:rowOff>
    </xdr:from>
    <xdr:to>
      <xdr:col>25</xdr:col>
      <xdr:colOff>571500</xdr:colOff>
      <xdr:row>34</xdr:row>
      <xdr:rowOff>0</xdr:rowOff>
    </xdr:to>
    <xdr:graphicFrame macro="">
      <xdr:nvGraphicFramePr>
        <xdr:cNvPr id="3" name="Chart 2_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33623</xdr:colOff>
      <xdr:row>39</xdr:row>
      <xdr:rowOff>0</xdr:rowOff>
    </xdr:from>
    <xdr:to>
      <xdr:col>25</xdr:col>
      <xdr:colOff>560261</xdr:colOff>
      <xdr:row>54</xdr:row>
      <xdr:rowOff>0</xdr:rowOff>
    </xdr:to>
    <xdr:graphicFrame macro="">
      <xdr:nvGraphicFramePr>
        <xdr:cNvPr id="4" name="Chart 2_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33623</xdr:colOff>
      <xdr:row>55</xdr:row>
      <xdr:rowOff>0</xdr:rowOff>
    </xdr:from>
    <xdr:to>
      <xdr:col>25</xdr:col>
      <xdr:colOff>560261</xdr:colOff>
      <xdr:row>70</xdr:row>
      <xdr:rowOff>0</xdr:rowOff>
    </xdr:to>
    <xdr:graphicFrame macro="">
      <xdr:nvGraphicFramePr>
        <xdr:cNvPr id="5" name="Chart 2_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1232630</xdr:colOff>
      <xdr:row>95</xdr:row>
      <xdr:rowOff>56007</xdr:rowOff>
    </xdr:from>
    <xdr:to>
      <xdr:col>17</xdr:col>
      <xdr:colOff>1030986</xdr:colOff>
      <xdr:row>113</xdr:row>
      <xdr:rowOff>112014</xdr:rowOff>
    </xdr:to>
    <xdr:graphicFrame macro="">
      <xdr:nvGraphicFramePr>
        <xdr:cNvPr id="6" name="Chart 2__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44863</xdr:colOff>
      <xdr:row>3</xdr:row>
      <xdr:rowOff>0</xdr:rowOff>
    </xdr:from>
    <xdr:to>
      <xdr:col>25</xdr:col>
      <xdr:colOff>571500</xdr:colOff>
      <xdr:row>18</xdr:row>
      <xdr:rowOff>0</xdr:rowOff>
    </xdr:to>
    <xdr:graphicFrame macro="">
      <xdr:nvGraphicFramePr>
        <xdr:cNvPr id="7" name="Chart 2_1__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44863</xdr:colOff>
      <xdr:row>19</xdr:row>
      <xdr:rowOff>0</xdr:rowOff>
    </xdr:from>
    <xdr:to>
      <xdr:col>25</xdr:col>
      <xdr:colOff>571500</xdr:colOff>
      <xdr:row>34</xdr:row>
      <xdr:rowOff>0</xdr:rowOff>
    </xdr:to>
    <xdr:graphicFrame macro="">
      <xdr:nvGraphicFramePr>
        <xdr:cNvPr id="8" name="Chart 2_2__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33623</xdr:colOff>
      <xdr:row>39</xdr:row>
      <xdr:rowOff>0</xdr:rowOff>
    </xdr:from>
    <xdr:to>
      <xdr:col>25</xdr:col>
      <xdr:colOff>560261</xdr:colOff>
      <xdr:row>54</xdr:row>
      <xdr:rowOff>0</xdr:rowOff>
    </xdr:to>
    <xdr:graphicFrame macro="">
      <xdr:nvGraphicFramePr>
        <xdr:cNvPr id="9" name="Chart 2_3__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33623</xdr:colOff>
      <xdr:row>55</xdr:row>
      <xdr:rowOff>0</xdr:rowOff>
    </xdr:from>
    <xdr:to>
      <xdr:col>25</xdr:col>
      <xdr:colOff>560261</xdr:colOff>
      <xdr:row>70</xdr:row>
      <xdr:rowOff>0</xdr:rowOff>
    </xdr:to>
    <xdr:graphicFrame macro="">
      <xdr:nvGraphicFramePr>
        <xdr:cNvPr id="10" name="Chart 2_4__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arget="https://walkerdunlop.box.com/s/73g6zzr46d966auknh7gytl11cxm0q2t" Type="http://schemas.openxmlformats.org/officeDocument/2006/relationships/hyperlink" TargetMode="External"/></Relationships>
</file>

<file path=xl/worksheets/_rels/sheet4.xml.rels><?xml version="1.0" encoding="UTF-8" standalone="yes"?>
<Relationships xmlns="http://schemas.openxmlformats.org/package/2006/relationships"><Relationship Id="rId1" Target="https://www.treasury.gov/resource-center/data-chart-center/interest-rates/pages/textview.aspx?data=yield" Type="http://schemas.openxmlformats.org/officeDocument/2006/relationships/hyperlink" TargetMode="External"/></Relationships>
</file>

<file path=xl/worksheets/_rels/sheet7.xml.rels><?xml version="1.0" encoding="UTF-8" standalone="yes"?>
<Relationships xmlns="http://schemas.openxmlformats.org/package/2006/relationships"><Relationship Id="rId1" Target="https://secure.costargroup.com/login?signin=0998280e304719a00fe28972e170d784" Type="http://schemas.openxmlformats.org/officeDocument/2006/relationships/hyperlink" TargetMode="External"/><Relationship Id="rId2" Target="https://www.securitygauge.com/" Type="http://schemas.openxmlformats.org/officeDocument/2006/relationships/hyperlink" TargetMode="External"/><Relationship Id="rId3" Target="https://axio.realpage.com/Home/Index/" Type="http://schemas.openxmlformats.org/officeDocument/2006/relationships/hyperlink" TargetMode="Externa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arget="https://enodo.walkerdunlop.com/comparables/expense_comps" Type="http://schemas.openxmlformats.org/officeDocument/2006/relationships/hyperlink" TargetMode="External"/></Relationships>
</file>

<file path=xl/worksheets/_rels/sheet26.xml.rels><?xml version="1.0" encoding="UTF-8" standalone="yes"?>
<Relationships xmlns="http://schemas.openxmlformats.org/package/2006/relationships"><Relationship Id="rId1" Target="http://www2.creditplus.com/" Type="http://schemas.openxmlformats.org/officeDocument/2006/relationships/hyperlink" TargetMode="External"/><Relationship Id="rId2" Target="https://home.fanniemae.com/applicantExperience/" Type="http://schemas.openxmlformats.org/officeDocument/2006/relationships/hyperlink" TargetMode="External"/><Relationship Id="rId3" Target="http://www.google.com/" Type="http://schemas.openxmlformats.org/officeDocument/2006/relationships/hyperlink" TargetMode="External"/><Relationship Id="rId4" Target="https://ofac.finra.org/" Type="http://schemas.openxmlformats.org/officeDocument/2006/relationships/hyperlink" TargetMode="External"/><Relationship Id="rId5" Target="http://www.lexisadvance.com/" Type="http://schemas.openxmlformats.org/officeDocument/2006/relationships/hyperlink" TargetMode="External"/><Relationship Id="rId6" Target="http://portal.hud.gov/hudportal/HUD?src=/topics/limited_denials_of_participation" Type="http://schemas.openxmlformats.org/officeDocument/2006/relationships/hyperlink" TargetMode="External"/><Relationship Id="rId7" Target="https://sam.gov/SAM/pages/public/searchRecords/search.jsf" Type="http://schemas.openxmlformats.org/officeDocument/2006/relationships/hyperlink" TargetMode="External"/><Relationship Id="rId8" Target="http://www.fhfa.gov/SupervisionRegulation/LegalDocuments/Pages/SuspendedCounterpartyProgram.aspx" Type="http://schemas.openxmlformats.org/officeDocument/2006/relationships/hyperlink" TargetMode="External"/><Relationship Id="rId9" Target="https://courtlink.lexisnexis.com/login.aspx?ReturnUrl=%2f" Type="http://schemas.openxmlformats.org/officeDocument/2006/relationships/hyperlink" TargetMode="External"/></Relationships>
</file>

<file path=xl/worksheets/_rels/sheet39.xml.rels><?xml version="1.0" encoding="UTF-8" standalone="yes"?>
<Relationships xmlns="http://schemas.openxmlformats.org/package/2006/relationships"><Relationship Id="rId1" Target="https://walkerdunlop.app.box.com/file/1179328992264" Type="http://schemas.openxmlformats.org/officeDocument/2006/relationships/hyperlink" TargetMode="External"/></Relationships>
</file>

<file path=xl/worksheets/_rels/sheet49.xml.rels><?xml version="1.0" encoding="UTF-8" standalone="yes"?>
<Relationships xmlns="http://schemas.openxmlformats.org/package/2006/relationships"><Relationship Id="rId1" Target="mailto:tedwards@walkerdunlop.com" Type="http://schemas.openxmlformats.org/officeDocument/2006/relationships/hyper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CAB3EB24-BEA3-5E6C-8CAF-E725656D29FA}" mc:Ignorable="x14ac xr xr2 xr3">
  <dimension ref="A1:T20"/>
  <sheetViews>
    <sheetView topLeftCell="A1" workbookViewId="0">
      <selection activeCell="A1" sqref="A1"/>
    </sheetView>
  </sheetViews>
  <sheetFormatPr defaultRowHeight="22.5" defaultColWidth="7.50390625" customHeight="1"/>
  <sheetData>
    <row r="2" ht="22.5" customHeight="1">
      <c r="B2" t="str">
        <v>Powered by GrapeCity SpreadJS.</v>
      </c>
    </row>
    <row r="3" ht="22.5" customHeight="1">
      <c r="B3" t="str">
        <v>Your temporary deployment key expires in 30 day(s).</v>
      </c>
    </row>
  </sheetData>
  <printOptions/>
  <pageMargins left="0.7" right="0.7" top="0.75" bottom="0.75" header="0.3" footer="0.3"/>
  <pageSetup paperSize="1" useFirstPageNumber="1" firstPageNumber="1" orientation="portrait"/>
  <headerFooter>
    <oddHeader>&amp;L&amp;C&amp;R</oddHeader>
    <oddFooter>&amp;L&amp;C&amp;R</oddFooter>
  </headerFooter>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3F08A677-8D75-3AB7-AA55-D67CF86700FA}" mc:Ignorable="x14ac xr xr2 xr3">
  <dimension ref="A1:N105"/>
  <sheetViews>
    <sheetView topLeftCell="D1" workbookViewId="0">
      <selection activeCell="D5" sqref="D5:N5"/>
    </sheetView>
  </sheetViews>
  <sheetFormatPr defaultRowHeight="15" defaultColWidth="9.140625" customHeight="1"/>
  <cols>
    <col min="1" max="1" width="13.00390625" hidden="1" customWidth="1"/>
    <col min="2" max="2" width="21.57421875" hidden="1" customWidth="1"/>
    <col min="3" max="3" width="5.140625" hidden="1" customWidth="1"/>
    <col min="4" max="4" width="15.7109375" customWidth="1"/>
    <col min="6" max="6" width="3.57421875" customWidth="1"/>
    <col min="7" max="7" width="14.8515625" customWidth="1"/>
    <col min="8" max="8" width="12.00390625" customWidth="1"/>
    <col min="9" max="9" width="12.140625" customWidth="1"/>
  </cols>
  <sheetData>
    <row r="1" ht="9" customHeight="1"/>
    <row r="5" ht="23.25" customHeight="1">
      <c r="D5" t="s">
        <v>4</v>
      </c>
    </row>
    <row r="7" ht="15" customHeight="1">
      <c r="A7" t="s">
        <v>5</v>
      </c>
      <c r="B7" t="s">
        <v>6</v>
      </c>
    </row>
    <row r="14" ht="15" customHeight="1">
      <c r="H14" t="s">
        <v>7</v>
      </c>
      <c r="I14" t="str">
        <f>EnodoConfig_Version</f>
        <v>5.35.2</v>
      </c>
      <c r="J14">
        <f>IF(RIGHT(I14,2)="RC"," (Release Candidate: not for general use.)","")</f>
      </c>
    </row>
    <row r="15" ht="15" customHeight="1">
      <c r="H15" t="s">
        <v>9</v>
      </c>
      <c r="I15" s="1">
        <f>EnodoConfig_ReleaseDate</f>
        <v>45183</v>
      </c>
    </row>
    <row r="18" ht="15" customHeight="1">
      <c r="D18" t="s">
        <v>10</v>
      </c>
    </row>
    <row r="19" ht="15" customHeight="1">
      <c r="D19" t="s">
        <v>8</v>
      </c>
      <c r="E19" s="1">
        <v>45183</v>
      </c>
      <c r="G19" t="s">
        <v>11</v>
      </c>
    </row>
    <row r="20" ht="26.25" customHeight="1">
      <c r="D20" t="s">
        <v>12</v>
      </c>
      <c r="E20" s="1">
        <v>45181</v>
      </c>
      <c r="G20" t="s">
        <v>13</v>
      </c>
    </row>
    <row r="21" ht="26.25" customHeight="1">
      <c r="D21" t="s">
        <v>14</v>
      </c>
      <c r="E21" s="1">
        <v>45176</v>
      </c>
      <c r="G21" t="s">
        <v>15</v>
      </c>
    </row>
    <row r="22" ht="26.25" customHeight="1">
      <c r="D22" t="s">
        <v>16</v>
      </c>
      <c r="E22" s="1">
        <v>45159</v>
      </c>
      <c r="G22" t="s">
        <v>17</v>
      </c>
    </row>
    <row r="23" ht="26.25" customHeight="1">
      <c r="D23" t="s">
        <v>18</v>
      </c>
      <c r="E23" s="1">
        <v>45145</v>
      </c>
      <c r="G23" t="s">
        <v>19</v>
      </c>
    </row>
    <row r="24" ht="37.5" customHeight="1">
      <c r="D24" t="s">
        <v>20</v>
      </c>
      <c r="E24" s="1">
        <v>45131</v>
      </c>
      <c r="G24" t="s">
        <v>21</v>
      </c>
    </row>
    <row r="25" ht="51.75" customHeight="1">
      <c r="D25" t="s">
        <v>22</v>
      </c>
      <c r="E25" s="1">
        <v>45124</v>
      </c>
      <c r="G25" t="s">
        <v>23</v>
      </c>
    </row>
    <row r="26" ht="15" customHeight="1">
      <c r="D26" t="s">
        <v>24</v>
      </c>
      <c r="E26" s="1">
        <v>45084</v>
      </c>
      <c r="G26" t="s">
        <v>25</v>
      </c>
    </row>
    <row r="27" ht="26.25" customHeight="1">
      <c r="D27" t="s">
        <v>26</v>
      </c>
      <c r="E27" s="1">
        <v>45084</v>
      </c>
      <c r="G27" t="s">
        <v>27</v>
      </c>
    </row>
    <row r="28" ht="26.25" customHeight="1">
      <c r="D28" t="s">
        <v>28</v>
      </c>
      <c r="E28" s="1">
        <v>45061</v>
      </c>
      <c r="G28" t="s">
        <v>29</v>
      </c>
    </row>
    <row r="29" ht="15" customHeight="1">
      <c r="D29" t="s">
        <v>30</v>
      </c>
      <c r="E29" s="1">
        <v>45055</v>
      </c>
      <c r="G29" t="s">
        <v>31</v>
      </c>
    </row>
    <row r="30" ht="15" customHeight="1">
      <c r="D30" t="s">
        <v>32</v>
      </c>
      <c r="E30" s="1">
        <v>45036</v>
      </c>
      <c r="G30" t="s">
        <v>33</v>
      </c>
    </row>
    <row r="31" ht="26.25" customHeight="1">
      <c r="D31" t="s">
        <v>34</v>
      </c>
      <c r="E31" s="1">
        <v>45020</v>
      </c>
      <c r="G31" t="s">
        <v>35</v>
      </c>
    </row>
    <row r="32" ht="41.25" customHeight="1" hidden="1">
      <c r="D32" t="s">
        <v>36</v>
      </c>
      <c r="E32" s="1">
        <v>45000</v>
      </c>
      <c r="G32" t="s">
        <v>37</v>
      </c>
    </row>
    <row r="33" ht="41.25" customHeight="1" hidden="1">
      <c r="D33" t="s">
        <v>38</v>
      </c>
      <c r="E33" s="1">
        <v>44991</v>
      </c>
      <c r="G33" t="s">
        <v>39</v>
      </c>
    </row>
    <row r="34" ht="15" customHeight="1" hidden="1">
      <c r="D34" t="s">
        <v>40</v>
      </c>
      <c r="E34" s="1">
        <v>44987</v>
      </c>
      <c r="G34" t="s">
        <v>41</v>
      </c>
    </row>
    <row r="35" ht="15" customHeight="1" hidden="1">
      <c r="D35" t="s">
        <v>42</v>
      </c>
      <c r="E35" s="1">
        <v>44984</v>
      </c>
      <c r="G35" t="s">
        <v>43</v>
      </c>
    </row>
    <row r="36" ht="15" customHeight="1" hidden="1">
      <c r="D36" t="s">
        <v>44</v>
      </c>
      <c r="E36" s="1">
        <v>44972</v>
      </c>
      <c r="G36" t="s">
        <v>45</v>
      </c>
    </row>
    <row r="37" ht="41.25" customHeight="1" hidden="1">
      <c r="D37" t="s">
        <v>46</v>
      </c>
      <c r="E37" s="1">
        <v>44971</v>
      </c>
      <c r="G37" t="s">
        <v>47</v>
      </c>
    </row>
    <row r="38" ht="26.25" customHeight="1" hidden="1">
      <c r="D38" t="s">
        <v>48</v>
      </c>
      <c r="E38" s="1">
        <v>44853</v>
      </c>
      <c r="G38" t="s">
        <v>49</v>
      </c>
    </row>
    <row r="39" ht="15" customHeight="1" hidden="1">
      <c r="D39" t="s">
        <v>50</v>
      </c>
      <c r="E39" s="1">
        <v>44839</v>
      </c>
      <c r="G39" t="s">
        <v>51</v>
      </c>
    </row>
    <row r="40" ht="15" customHeight="1" hidden="1">
      <c r="D40" t="s">
        <v>52</v>
      </c>
      <c r="E40" s="1">
        <v>44839</v>
      </c>
      <c r="G40" t="s">
        <v>53</v>
      </c>
    </row>
    <row r="41" ht="15" customHeight="1" hidden="1">
      <c r="D41" t="s">
        <v>54</v>
      </c>
      <c r="E41" s="1">
        <v>44833</v>
      </c>
      <c r="G41" t="s">
        <v>55</v>
      </c>
    </row>
    <row r="42" ht="37.5" customHeight="1" hidden="1">
      <c r="D42" t="s">
        <v>56</v>
      </c>
      <c r="E42" s="1">
        <v>44832</v>
      </c>
      <c r="G42" t="s">
        <v>57</v>
      </c>
    </row>
    <row r="43" ht="26.25" customHeight="1" hidden="1">
      <c r="D43" t="s">
        <v>58</v>
      </c>
      <c r="E43" s="1">
        <v>44823</v>
      </c>
      <c r="G43" t="s">
        <v>59</v>
      </c>
    </row>
    <row r="44" ht="15" customHeight="1" hidden="1">
      <c r="D44" t="s">
        <v>60</v>
      </c>
      <c r="E44" s="1">
        <v>44819</v>
      </c>
      <c r="G44" t="s">
        <v>61</v>
      </c>
    </row>
    <row r="45" ht="15" customHeight="1" hidden="1">
      <c r="D45" t="s">
        <v>62</v>
      </c>
      <c r="E45" s="1">
        <v>44819</v>
      </c>
      <c r="G45" t="s">
        <v>63</v>
      </c>
    </row>
    <row r="46" ht="37.5" customHeight="1" hidden="1">
      <c r="D46" t="s">
        <v>64</v>
      </c>
      <c r="E46" s="1">
        <v>44817</v>
      </c>
      <c r="G46" t="s">
        <v>65</v>
      </c>
    </row>
    <row r="47" ht="26.25" customHeight="1" hidden="1">
      <c r="D47" t="s">
        <v>66</v>
      </c>
      <c r="E47" s="1">
        <v>44813</v>
      </c>
      <c r="G47" t="s">
        <v>67</v>
      </c>
    </row>
    <row r="48" ht="37.5" customHeight="1" hidden="1">
      <c r="D48" t="s">
        <v>68</v>
      </c>
      <c r="E48" s="1">
        <v>44804</v>
      </c>
      <c r="G48" t="s">
        <v>69</v>
      </c>
    </row>
    <row r="49" ht="52.5" customHeight="1" hidden="1">
      <c r="D49" t="s">
        <v>70</v>
      </c>
      <c r="E49" s="1">
        <v>44802</v>
      </c>
      <c r="G49" t="s">
        <v>71</v>
      </c>
    </row>
    <row r="50" ht="26.25" customHeight="1" hidden="1">
      <c r="D50" t="s">
        <v>72</v>
      </c>
      <c r="E50" s="1">
        <v>44796</v>
      </c>
      <c r="G50" t="s">
        <v>73</v>
      </c>
    </row>
    <row r="51" ht="26.25" customHeight="1" hidden="1">
      <c r="D51" t="s">
        <v>74</v>
      </c>
      <c r="E51" s="1">
        <v>44784</v>
      </c>
      <c r="G51" t="s">
        <v>75</v>
      </c>
    </row>
    <row r="52" ht="26.25" customHeight="1" hidden="1">
      <c r="D52" t="s">
        <v>76</v>
      </c>
      <c r="E52" s="1">
        <v>44782</v>
      </c>
      <c r="G52" t="s">
        <v>77</v>
      </c>
    </row>
    <row r="53" ht="26.25" customHeight="1" hidden="1">
      <c r="D53" t="s">
        <v>78</v>
      </c>
      <c r="E53" s="1">
        <v>44776</v>
      </c>
      <c r="G53" t="s">
        <v>79</v>
      </c>
    </row>
    <row r="54" ht="26.25" customHeight="1" hidden="1">
      <c r="D54" t="s">
        <v>80</v>
      </c>
      <c r="E54" s="1">
        <v>44774</v>
      </c>
      <c r="G54" t="s">
        <v>81</v>
      </c>
    </row>
    <row r="55" ht="15" customHeight="1" hidden="1">
      <c r="D55" t="s">
        <v>82</v>
      </c>
      <c r="E55" s="1">
        <v>44768</v>
      </c>
      <c r="G55" t="s">
        <v>83</v>
      </c>
    </row>
    <row r="56" ht="15" customHeight="1" hidden="1">
      <c r="D56" t="s">
        <v>84</v>
      </c>
      <c r="E56" s="1">
        <v>44767</v>
      </c>
      <c r="G56" t="s">
        <v>85</v>
      </c>
    </row>
    <row r="57" ht="26.25" customHeight="1" hidden="1">
      <c r="D57" t="s">
        <v>86</v>
      </c>
      <c r="E57" s="1">
        <v>44760</v>
      </c>
      <c r="G57" t="s">
        <v>87</v>
      </c>
    </row>
    <row r="58" ht="15" customHeight="1" hidden="1">
      <c r="D58" t="s">
        <v>88</v>
      </c>
      <c r="E58" s="1">
        <v>44757</v>
      </c>
      <c r="G58" t="s">
        <v>89</v>
      </c>
    </row>
    <row r="59" ht="37.5" customHeight="1" hidden="1">
      <c r="D59" t="s">
        <v>90</v>
      </c>
      <c r="E59" s="1">
        <v>44757</v>
      </c>
      <c r="G59" t="s">
        <v>91</v>
      </c>
    </row>
    <row r="60" ht="15" customHeight="1" hidden="1">
      <c r="D60" t="s">
        <v>92</v>
      </c>
      <c r="E60" s="1">
        <v>44757</v>
      </c>
      <c r="G60" t="s">
        <v>93</v>
      </c>
    </row>
    <row r="61" ht="26.25" customHeight="1" hidden="1">
      <c r="D61" t="s">
        <v>94</v>
      </c>
      <c r="E61" s="1">
        <v>44753</v>
      </c>
      <c r="G61" t="s">
        <v>95</v>
      </c>
    </row>
    <row r="62" ht="15" customHeight="1" hidden="1">
      <c r="D62" t="s">
        <v>96</v>
      </c>
      <c r="E62" s="1">
        <v>44753</v>
      </c>
      <c r="G62" t="s">
        <v>97</v>
      </c>
    </row>
    <row r="63" ht="26.25" customHeight="1" hidden="1">
      <c r="D63" t="s">
        <v>98</v>
      </c>
      <c r="E63" s="1">
        <v>44750</v>
      </c>
      <c r="G63" t="s">
        <v>99</v>
      </c>
    </row>
    <row r="64" ht="15" customHeight="1" hidden="1">
      <c r="D64" t="s">
        <v>100</v>
      </c>
      <c r="E64" s="1">
        <v>44749</v>
      </c>
      <c r="G64" t="s">
        <v>101</v>
      </c>
    </row>
    <row r="65" ht="26.25" customHeight="1" hidden="1">
      <c r="D65" t="s">
        <v>102</v>
      </c>
      <c r="E65" s="1">
        <v>44748</v>
      </c>
      <c r="G65" t="s">
        <v>103</v>
      </c>
    </row>
    <row r="66" ht="15" customHeight="1" hidden="1">
      <c r="D66" t="s">
        <v>104</v>
      </c>
      <c r="E66" s="1">
        <v>44748</v>
      </c>
      <c r="G66" t="s">
        <v>105</v>
      </c>
    </row>
    <row r="67" ht="40.5" customHeight="1" hidden="1">
      <c r="D67" t="s">
        <v>106</v>
      </c>
      <c r="E67" s="1">
        <v>44747</v>
      </c>
      <c r="G67" t="s">
        <v>107</v>
      </c>
    </row>
    <row r="68" ht="52.5" customHeight="1" hidden="1">
      <c r="D68" t="s">
        <v>108</v>
      </c>
      <c r="E68" s="1">
        <v>44742</v>
      </c>
      <c r="G68" t="s">
        <v>109</v>
      </c>
    </row>
    <row r="69" ht="26.25" customHeight="1" hidden="1">
      <c r="D69" t="s">
        <v>110</v>
      </c>
      <c r="E69" s="1">
        <v>44740</v>
      </c>
      <c r="G69" t="s">
        <v>111</v>
      </c>
    </row>
    <row r="70" ht="26.25" customHeight="1" hidden="1">
      <c r="D70" t="s">
        <v>112</v>
      </c>
      <c r="E70" s="1">
        <v>44736</v>
      </c>
      <c r="G70" t="s">
        <v>113</v>
      </c>
    </row>
    <row r="71" ht="26.25" customHeight="1" hidden="1">
      <c r="D71" t="s">
        <v>114</v>
      </c>
      <c r="E71" s="1">
        <v>44733</v>
      </c>
      <c r="G71" t="s">
        <v>115</v>
      </c>
    </row>
    <row r="72" ht="26.25" customHeight="1" hidden="1">
      <c r="D72" t="s">
        <v>116</v>
      </c>
      <c r="E72" s="1">
        <v>44721</v>
      </c>
      <c r="G72" t="s">
        <v>117</v>
      </c>
    </row>
    <row r="73" ht="26.25" customHeight="1" hidden="1">
      <c r="D73" t="s">
        <v>118</v>
      </c>
      <c r="E73" s="1">
        <v>44718</v>
      </c>
      <c r="G73" t="s">
        <v>119</v>
      </c>
    </row>
    <row r="74" ht="15" customHeight="1" hidden="1">
      <c r="D74" t="s">
        <v>120</v>
      </c>
      <c r="E74" s="1">
        <v>44718</v>
      </c>
      <c r="G74" t="s">
        <v>121</v>
      </c>
    </row>
    <row r="75" ht="26.25" customHeight="1" hidden="1">
      <c r="D75" t="s">
        <v>122</v>
      </c>
      <c r="E75" s="1">
        <v>44698</v>
      </c>
      <c r="G75" t="s">
        <v>123</v>
      </c>
    </row>
    <row r="76" ht="15" customHeight="1" hidden="1">
      <c r="D76" t="s">
        <v>124</v>
      </c>
      <c r="E76" s="1">
        <v>44692</v>
      </c>
      <c r="G76" t="s">
        <v>125</v>
      </c>
    </row>
    <row r="77" ht="15" customHeight="1" hidden="1">
      <c r="D77" t="s">
        <v>126</v>
      </c>
      <c r="E77" s="1">
        <v>44678</v>
      </c>
      <c r="G77" t="s">
        <v>127</v>
      </c>
    </row>
    <row r="78" ht="15" customHeight="1" hidden="1">
      <c r="D78" t="s">
        <v>128</v>
      </c>
      <c r="E78" s="1">
        <v>44671</v>
      </c>
      <c r="G78" t="s">
        <v>129</v>
      </c>
    </row>
    <row r="79" ht="15" customHeight="1" hidden="1">
      <c r="D79" t="s">
        <v>130</v>
      </c>
      <c r="E79" s="1">
        <v>44671</v>
      </c>
      <c r="G79" t="s">
        <v>131</v>
      </c>
    </row>
    <row r="80" ht="15" customHeight="1" hidden="1">
      <c r="D80" t="s">
        <v>132</v>
      </c>
      <c r="E80" s="1">
        <v>44666</v>
      </c>
      <c r="G80" t="s">
        <v>133</v>
      </c>
    </row>
    <row r="81" ht="15" customHeight="1" hidden="1">
      <c r="D81" t="s">
        <v>134</v>
      </c>
      <c r="E81" s="1">
        <v>44666</v>
      </c>
      <c r="G81" t="s">
        <v>135</v>
      </c>
    </row>
    <row r="82" ht="15" customHeight="1" hidden="1">
      <c r="D82" t="s">
        <v>136</v>
      </c>
      <c r="E82" s="1">
        <v>44664</v>
      </c>
      <c r="G82" t="s">
        <v>137</v>
      </c>
    </row>
    <row r="83" ht="26.25" customHeight="1" hidden="1">
      <c r="D83" t="s">
        <v>138</v>
      </c>
      <c r="E83" s="1">
        <v>44664</v>
      </c>
      <c r="G83" t="s">
        <v>139</v>
      </c>
    </row>
    <row r="84" ht="26.25" customHeight="1" hidden="1">
      <c r="D84" t="s">
        <v>140</v>
      </c>
      <c r="E84" s="1">
        <v>44663</v>
      </c>
      <c r="G84" t="s">
        <v>141</v>
      </c>
    </row>
    <row r="85" ht="26.25" customHeight="1" hidden="1">
      <c r="D85" t="s">
        <v>142</v>
      </c>
      <c r="E85" s="1">
        <v>44644</v>
      </c>
      <c r="G85" t="s">
        <v>143</v>
      </c>
    </row>
    <row r="86" ht="26.25" customHeight="1" hidden="1">
      <c r="D86" t="s">
        <v>144</v>
      </c>
      <c r="E86" s="1">
        <v>44644</v>
      </c>
      <c r="G86" t="s">
        <v>145</v>
      </c>
    </row>
    <row r="87" ht="15" customHeight="1" hidden="1">
      <c r="D87" t="s">
        <v>146</v>
      </c>
      <c r="E87" s="1">
        <v>44643</v>
      </c>
      <c r="G87" t="s">
        <v>147</v>
      </c>
    </row>
    <row r="88" ht="15" customHeight="1" hidden="1">
      <c r="D88" t="s">
        <v>148</v>
      </c>
      <c r="E88" s="1">
        <v>44635</v>
      </c>
      <c r="G88" t="s">
        <v>149</v>
      </c>
    </row>
    <row r="89" ht="15" customHeight="1" hidden="1">
      <c r="D89" t="s">
        <v>150</v>
      </c>
      <c r="E89" s="1">
        <v>44635</v>
      </c>
      <c r="G89" t="s">
        <v>151</v>
      </c>
    </row>
    <row r="90" ht="26.25" customHeight="1" hidden="1">
      <c r="D90" t="s">
        <v>152</v>
      </c>
      <c r="E90" s="1">
        <v>44628</v>
      </c>
      <c r="G90" t="s">
        <v>153</v>
      </c>
    </row>
    <row r="91" ht="15" customHeight="1" hidden="1">
      <c r="D91" t="s">
        <v>154</v>
      </c>
      <c r="E91" s="1">
        <v>44621</v>
      </c>
      <c r="G91" t="s">
        <v>155</v>
      </c>
    </row>
    <row r="92" ht="26.25" customHeight="1" hidden="1">
      <c r="D92" t="s">
        <v>156</v>
      </c>
      <c r="E92" s="1">
        <v>44620</v>
      </c>
      <c r="G92" t="s">
        <v>157</v>
      </c>
    </row>
    <row r="93" ht="15" customHeight="1" hidden="1">
      <c r="D93" t="s">
        <v>158</v>
      </c>
      <c r="E93" s="1">
        <v>44607</v>
      </c>
      <c r="G93" t="s">
        <v>159</v>
      </c>
    </row>
    <row r="94" ht="15" customHeight="1" hidden="1">
      <c r="D94" t="s">
        <v>160</v>
      </c>
      <c r="E94" s="1">
        <v>44595</v>
      </c>
      <c r="G94" t="s">
        <v>161</v>
      </c>
    </row>
    <row r="95" ht="15" customHeight="1" hidden="1">
      <c r="D95" t="s">
        <v>162</v>
      </c>
      <c r="E95" s="1">
        <v>44592</v>
      </c>
      <c r="G95" t="s">
        <v>163</v>
      </c>
    </row>
    <row r="96" ht="15" customHeight="1" hidden="1">
      <c r="D96" t="s">
        <v>164</v>
      </c>
      <c r="E96" s="1">
        <v>44589</v>
      </c>
      <c r="G96" t="s">
        <v>165</v>
      </c>
    </row>
    <row r="97" ht="15" customHeight="1" hidden="1">
      <c r="D97" t="s">
        <v>166</v>
      </c>
      <c r="E97" s="1">
        <v>44587</v>
      </c>
      <c r="G97" t="s">
        <v>167</v>
      </c>
    </row>
    <row r="98" ht="15" customHeight="1" hidden="1"/>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66D4FC5-766A-F3ED-ACB2-DBCE804E9006}" mc:Ignorable="x14ac xr xr2 xr3">
  <sheetPr>
    <tabColor theme="8" tint="-0.5"/>
    <pageSetUpPr fitToPage="1"/>
  </sheetPr>
  <dimension ref="A1:BA92"/>
  <sheetViews>
    <sheetView showGridLines="0" topLeftCell="A35" workbookViewId="0">
      <selection activeCell="B64" sqref="B64"/>
    </sheetView>
  </sheetViews>
  <sheetFormatPr defaultRowHeight="15" defaultColWidth="8.8515625" customHeight="1"/>
  <cols>
    <col min="1" max="1" width="2.57421875" customWidth="1"/>
    <col min="2" max="2" width="23.57421875" customWidth="1"/>
    <col min="3" max="3" width="7.57421875" customWidth="1"/>
    <col min="4" max="5" width="13.57421875" customWidth="1"/>
    <col min="6" max="6" width="4.00390625" customWidth="1"/>
    <col min="7" max="7" width="2.57421875" customWidth="1"/>
    <col min="8" max="8" width="20.140625" customWidth="1"/>
    <col min="9" max="9" width="12.00390625" customWidth="1"/>
    <col min="10" max="10" width="18.57421875" customWidth="1"/>
    <col min="11" max="11" width="16.57421875" customWidth="1"/>
    <col min="12" max="12" width="11.57421875" customWidth="1"/>
    <col min="13" max="13" width="9.57421875" customWidth="1"/>
    <col min="14" max="14" width="13.7109375" customWidth="1"/>
    <col min="15" max="15" width="15.57421875" hidden="1" customWidth="1"/>
    <col min="16" max="16" width="10.00390625" hidden="1" customWidth="1"/>
    <col min="17" max="17" width="4.00390625" customWidth="1"/>
    <col min="18" max="18" width="7.7109375" customWidth="1"/>
    <col min="19" max="19" width="16.57421875" customWidth="1"/>
    <col min="20" max="20" width="4.140625" customWidth="1"/>
    <col min="21" max="21" width="9.57421875" customWidth="1"/>
    <col min="22" max="22" width="7.140625" customWidth="1"/>
    <col min="23" max="24" width="13.57421875" customWidth="1"/>
    <col min="25" max="25" width="13.7109375" customWidth="1"/>
    <col min="26" max="26" width="4.00390625" customWidth="1"/>
    <col min="27" max="27" width="34.28125" customWidth="1"/>
    <col min="28" max="28" width="10.57421875" customWidth="1"/>
    <col min="29" max="35" width="6.140625" customWidth="1"/>
    <col min="36" max="36" width="2.57421875" customWidth="1"/>
    <col min="37" max="37" width="42.140625" customWidth="1"/>
    <col min="38" max="38" width="9.28125" customWidth="1"/>
    <col min="39" max="39" width="9.8515625" customWidth="1"/>
    <col min="40" max="40" width="9.140625" customWidth="1"/>
    <col min="41" max="41" width="9.8515625" customWidth="1"/>
    <col min="42" max="42" width="9.140625" customWidth="1"/>
    <col min="43" max="43" width="9.8515625" customWidth="1"/>
    <col min="44" max="45" width="9.140625" customWidth="1"/>
    <col min="46" max="46" width="12.00390625" customWidth="1"/>
    <col min="47" max="47" width="4.00390625" customWidth="1"/>
    <col min="48" max="48" width="20.140625" customWidth="1"/>
    <col min="53" max="53" width="11.7109375" customWidth="1"/>
  </cols>
  <sheetData>
    <row r="1" ht="18" customHeight="1">
      <c r="B1" t="str">
        <f>"Version:  "&amp;EnodoConfig_Version&amp;"  ("&amp;_xlfn.IFERROR(TEXT(EnodoConfig_ReleaseDate,"m/d/yyyy"),EnodoConfig_ReleaseDate)&amp;")"&amp;IF(LEN(EnodoConfig_Token)&gt;2,"   (created with Enodo)","")</f>
        <v>Version:  5.35.2  (9/14/2023)   (created with Enodo)</v>
      </c>
    </row>
    <row r="2" ht="15" customHeight="1">
      <c r="B2" t="str">
        <f>IF(Setup_ViewType="Underwriter","Underwriter View","Producer View")</f>
        <v>Producer View</v>
      </c>
      <c r="N2" s="1">
        <f t="shared" si="0" ref="N2:N3">NOW()</f>
        <v>45189.64865564815</v>
      </c>
    </row>
    <row r="3" ht="14.25" customHeight="1">
      <c r="B3" t="s">
        <v>170</v>
      </c>
      <c r="N3" s="1">
        <f t="shared" si="0"/>
        <v>45189.64865565972</v>
      </c>
    </row>
    <row r="4" ht="12" customHeight="1">
      <c r="B4" t="str">
        <f>IF('SBL Quotes'!B53="Proprietary Capital","Proprietary Capital","Fannie Mae")&amp;" Option# "</f>
        <v>Fannie Mae Option# </v>
      </c>
      <c r="C4" t="str">
        <f>_xlfn.IFERROR(MATCH("Selected",IF(Loan_Program_Accepted="Proprietary Capital",'SBL Quotes'!$AA$23:$AH23,'SBL Quotes'!$R$23:$Y23),0),"Not selected")</f>
        <v>Not selected</v>
      </c>
      <c r="AX4" t="s">
        <v>173</v>
      </c>
      <c r="AY4" t="s">
        <v>174</v>
      </c>
    </row>
    <row r="5" ht="12" customHeight="1">
      <c r="B5" t="s">
        <v>175</v>
      </c>
      <c r="H5" t="s">
        <v>176</v>
      </c>
      <c r="K5" t="s">
        <v>177</v>
      </c>
      <c r="O5" t="s">
        <v>178</v>
      </c>
      <c r="R5" t="s">
        <v>179</v>
      </c>
      <c r="Z5" t="s">
        <v>180</v>
      </c>
      <c r="AA5" t="s">
        <v>181</v>
      </c>
      <c r="AX5" t="s">
        <v>182</v>
      </c>
      <c r="AY5" t="s">
        <v>174</v>
      </c>
      <c r="BA5" t="s">
        <v>183</v>
      </c>
    </row>
    <row r="6" ht="12" customHeight="1">
      <c r="A6" t="s">
        <v>184</v>
      </c>
      <c r="B6" t="s">
        <v>185</v>
      </c>
      <c r="D6" t="s">
        <v>186</v>
      </c>
      <c r="F6" t="s">
        <v>184</v>
      </c>
      <c r="H6" t="s">
        <v>187</v>
      </c>
      <c r="J6" t="str">
        <f>SBL_YearBuilt</f>
        <v>XXXX</v>
      </c>
      <c r="L6" t="s">
        <v>189</v>
      </c>
      <c r="M6" t="s">
        <v>190</v>
      </c>
      <c r="N6" t="s">
        <v>191</v>
      </c>
      <c r="O6" t="s">
        <v>192</v>
      </c>
      <c r="P6" t="s">
        <v>191</v>
      </c>
      <c r="Q6" t="s">
        <v>184</v>
      </c>
      <c r="W6" t="s">
        <v>193</v>
      </c>
      <c r="X6" t="s">
        <v>194</v>
      </c>
      <c r="Y6" t="s">
        <v>195</v>
      </c>
      <c r="Z6" t="s">
        <v>184</v>
      </c>
      <c r="AA6" t="s">
        <v>196</v>
      </c>
      <c r="AK6" t="s">
        <v>197</v>
      </c>
      <c r="AZ6" t="s">
        <v>198</v>
      </c>
      <c r="BA6" t="s">
        <v>199</v>
      </c>
    </row>
    <row r="7" ht="11.25" customHeight="1">
      <c r="B7" t="s">
        <v>200</v>
      </c>
      <c r="D7" t="s">
        <v>188</v>
      </c>
      <c r="H7" t="s">
        <v>201</v>
      </c>
      <c r="I7">
        <f>IF('SBL Quotes'!B33="MAH","MAH","")</f>
      </c>
      <c r="J7" t="str">
        <f>SBL_PropertyType</f>
        <v>Multifamily</v>
      </c>
      <c r="K7" t="s">
        <v>203</v>
      </c>
      <c r="L7">
        <f>'Unit Mix'!E165</f>
        <v>53</v>
      </c>
      <c r="M7">
        <f>'Unit Mix'!I165</f>
        <v>921.6415094339623</v>
      </c>
      <c r="N7">
        <f t="shared" si="1" ref="N7:N13">_xlfn.IFERROR(L7/TotalUnits,0)</f>
        <v>0.6235294117647059</v>
      </c>
      <c r="O7">
        <v>0</v>
      </c>
      <c r="P7">
        <f t="shared" si="2" ref="P7:P12">_xlfn.IFERROR(O7/TotalBeds,0)</f>
        <v>0</v>
      </c>
      <c r="R7" t="s">
        <v>204</v>
      </c>
      <c r="W7">
        <v>2</v>
      </c>
      <c r="X7">
        <v>2</v>
      </c>
      <c r="Y7">
        <v>2</v>
      </c>
      <c r="AA7" t="s">
        <v>205</v>
      </c>
      <c r="AB7">
        <f t="shared" si="3" ref="AB7:AB12">SOps_UnderwrittenNCF</f>
        <v>-1720952.21</v>
      </c>
      <c r="AZ7" t="s">
        <v>206</v>
      </c>
      <c r="BA7" t="s">
        <v>206</v>
      </c>
    </row>
    <row r="8" ht="11.25" customHeight="1">
      <c r="B8" t="s">
        <v>207</v>
      </c>
      <c r="D8" t="s">
        <v>188</v>
      </c>
      <c r="H8" t="s">
        <v>208</v>
      </c>
      <c r="J8" t="str">
        <f>SBL_BuildingType</f>
        <v>Select</v>
      </c>
      <c r="K8" t="s">
        <v>210</v>
      </c>
      <c r="L8">
        <f>'Unit Mix'!E166</f>
        <v>32</v>
      </c>
      <c r="M8">
        <f>'Unit Mix'!I166</f>
        <v>704</v>
      </c>
      <c r="N8">
        <f t="shared" si="1"/>
        <v>0.3764705882352941</v>
      </c>
      <c r="O8">
        <v>0</v>
      </c>
      <c r="P8">
        <f t="shared" si="2"/>
        <v>0</v>
      </c>
      <c r="R8" t="s">
        <v>211</v>
      </c>
      <c r="W8">
        <v>10</v>
      </c>
      <c r="X8">
        <v>10</v>
      </c>
      <c r="Y8">
        <v>10</v>
      </c>
      <c r="AA8" t="s">
        <v>212</v>
      </c>
      <c r="AB8" t="e">
        <f>AB7/Requested_Floor_UW_DSCR</f>
        <v>#NAME?</v>
      </c>
      <c r="AK8" t="s">
        <v>213</v>
      </c>
      <c r="AP8" t="s">
        <v>214</v>
      </c>
      <c r="AV8" t="s">
        <v>215</v>
      </c>
      <c r="AZ8" t="s">
        <v>216</v>
      </c>
      <c r="BA8" t="s">
        <v>216</v>
      </c>
    </row>
    <row r="9" ht="11.25" customHeight="1">
      <c r="B9" t="s">
        <v>217</v>
      </c>
      <c r="D9" t="s">
        <v>188</v>
      </c>
      <c r="H9" t="s">
        <v>218</v>
      </c>
      <c r="J9">
        <v>24</v>
      </c>
      <c r="K9" t="s">
        <v>219</v>
      </c>
      <c r="L9">
        <f>SUM('Unit Mix'!E167:E168)</f>
        <v>0</v>
      </c>
      <c r="M9">
        <f>_xlfn.IFERROR(SUM('Unit Mix'!H167:H168)/L9,0)</f>
        <v>0</v>
      </c>
      <c r="N9">
        <f t="shared" si="1"/>
        <v>0</v>
      </c>
      <c r="O9">
        <v>0</v>
      </c>
      <c r="P9">
        <f t="shared" si="2"/>
        <v>0</v>
      </c>
      <c r="R9" t="s">
        <v>220</v>
      </c>
      <c r="W9">
        <v>30</v>
      </c>
      <c r="X9">
        <v>30</v>
      </c>
      <c r="Y9">
        <v>30</v>
      </c>
      <c r="AA9" t="s">
        <v>221</v>
      </c>
      <c r="AB9" t="e">
        <f t="shared" si="6" ref="AB9:AB14">AB8-FirstDebtService_IfSupp-SecondDebtService_IfSupp-ThirdDebtService_IfSupp</f>
        <v>#NAME?</v>
      </c>
      <c r="AK9" t="s">
        <v>222</v>
      </c>
      <c r="AW9" t="s">
        <v>223</v>
      </c>
      <c r="AX9" t="s">
        <v>224</v>
      </c>
    </row>
    <row r="10" ht="11.25" customHeight="1">
      <c r="B10" t="s">
        <v>225</v>
      </c>
      <c r="D10" t="s">
        <v>188</v>
      </c>
      <c r="H10" t="s">
        <v>226</v>
      </c>
      <c r="J10">
        <v>0</v>
      </c>
      <c r="K10" t="s">
        <v>227</v>
      </c>
      <c r="L10">
        <f>SUM('Unit Mix'!E169:E170)</f>
        <v>0</v>
      </c>
      <c r="M10">
        <f>_xlfn.IFERROR(SUM('Unit Mix'!H169:H170)/L10,0)</f>
        <v>0</v>
      </c>
      <c r="N10">
        <f t="shared" si="1"/>
        <v>0</v>
      </c>
      <c r="O10">
        <v>0</v>
      </c>
      <c r="P10">
        <f t="shared" si="2"/>
        <v>0</v>
      </c>
      <c r="R10" t="s">
        <v>228</v>
      </c>
      <c r="W10">
        <v>2</v>
      </c>
      <c r="X10">
        <v>2</v>
      </c>
      <c r="Y10">
        <v>2</v>
      </c>
      <c r="AK10" t="s">
        <v>229</v>
      </c>
      <c r="AO10" t="e">
        <f>LoanAmount</f>
        <v>#NAME?</v>
      </c>
      <c r="AP10" t="s">
        <v>230</v>
      </c>
      <c r="AT10">
        <f>IF(_xlfn.IFERROR(FIND("Acquisition",$H$23),0)+_xlfn.IFERROR(FIND("Construction",$H$23),0)&gt;0,K25,0)</f>
        <v>0</v>
      </c>
      <c r="AW10" t="s">
        <v>231</v>
      </c>
      <c r="AX10" t="b">
        <v>1</v>
      </c>
    </row>
    <row r="11" ht="11.25" customHeight="1">
      <c r="H11" t="s">
        <v>232</v>
      </c>
      <c r="J11">
        <f>'Rent Roll'!$P$135</f>
        <v>84991</v>
      </c>
      <c r="K11" t="s">
        <v>233</v>
      </c>
      <c r="L11">
        <f>'Unit Mix'!E171</f>
        <v>0</v>
      </c>
      <c r="M11">
        <f>'Unit Mix'!I171</f>
        <v>0</v>
      </c>
      <c r="N11">
        <f t="shared" si="1"/>
        <v>0</v>
      </c>
      <c r="O11">
        <v>0</v>
      </c>
      <c r="P11">
        <f t="shared" si="2"/>
        <v>0</v>
      </c>
      <c r="R11" t="s">
        <v>234</v>
      </c>
      <c r="W11">
        <v>0</v>
      </c>
      <c r="X11">
        <v>0</v>
      </c>
      <c r="Y11">
        <v>0</v>
      </c>
      <c r="AA11" t="s">
        <v>235</v>
      </c>
      <c r="AK11" t="s">
        <v>236</v>
      </c>
      <c r="AL11" t="s">
        <v>237</v>
      </c>
      <c r="AO11">
        <f>IF('SBL Quotes'!AN32="Supplemental",FirstUPB_IfSupp,0)+IF('SBL Quotes'!AN33="2nd Supplemental",SecondUPB_IfSupp,0)+IF('SBL Quotes'!AN34="3rd Supplemental",ThirdUPB_IfSupp,0)</f>
        <v>0</v>
      </c>
      <c r="AP11" t="s">
        <v>238</v>
      </c>
      <c r="AT11">
        <f>'Engineering schedule'!D78</f>
        <v>0</v>
      </c>
      <c r="AW11">
        <v>1.2</v>
      </c>
      <c r="AX11">
        <v>319</v>
      </c>
      <c r="AY11">
        <f t="shared" si="4" ref="AY11:AY16">IF(TotalUnits=0,"-",ROUND(AX11/TotalUnits,4))</f>
        <v>3.7529</v>
      </c>
    </row>
    <row r="12" ht="11.25" customHeight="1">
      <c r="B12" t="s">
        <v>239</v>
      </c>
      <c r="H12" t="s">
        <v>240</v>
      </c>
      <c r="J12">
        <v>0</v>
      </c>
      <c r="K12" t="s">
        <v>241</v>
      </c>
      <c r="L12">
        <f>'Unit Mix'!E172</f>
        <v>0</v>
      </c>
      <c r="M12">
        <f>'Unit Mix'!I172</f>
        <v>0</v>
      </c>
      <c r="N12">
        <f t="shared" si="1"/>
        <v>0</v>
      </c>
      <c r="O12">
        <v>0</v>
      </c>
      <c r="P12">
        <f t="shared" si="2"/>
        <v>0</v>
      </c>
      <c r="R12" t="s">
        <v>242</v>
      </c>
      <c r="W12">
        <f>_xlfn.IFERROR(FirstOrigLoan_IfSupp/TotalUnits,0)</f>
        <v>0</v>
      </c>
      <c r="X12">
        <f>_xlfn.IFERROR(SecondOrigLoan_IfSupp/TotalUnits,0)</f>
        <v>0</v>
      </c>
      <c r="Y12">
        <f>_xlfn.IFERROR(ThirdOrigLoan_IfSupp/TotalUnits,0)</f>
        <v>0</v>
      </c>
      <c r="AA12" t="s">
        <v>205</v>
      </c>
      <c r="AB12">
        <f t="shared" si="3"/>
        <v>-1720952.21</v>
      </c>
      <c r="AP12" t="s">
        <v>243</v>
      </c>
      <c r="AT12">
        <v>0</v>
      </c>
      <c r="AW12">
        <v>1</v>
      </c>
      <c r="AX12">
        <v>209</v>
      </c>
      <c r="AY12">
        <f t="shared" si="4"/>
        <v>2.4588</v>
      </c>
      <c r="AZ12" t="s">
        <v>244</v>
      </c>
      <c r="BA12" t="s">
        <v>244</v>
      </c>
    </row>
    <row r="13" ht="11.25" customHeight="1">
      <c r="B13" t="s">
        <v>245</v>
      </c>
      <c r="D13" t="s">
        <v>188</v>
      </c>
      <c r="H13" t="s">
        <v>246</v>
      </c>
      <c r="J13">
        <f>_xlfn.IFERROR(J12/GBA,0)</f>
        <v>0</v>
      </c>
      <c r="L13">
        <f t="shared" si="5" ref="L13:O13">SUM(L7:L12)</f>
        <v>85</v>
      </c>
      <c r="M13">
        <f>'Unit Mix'!I173</f>
        <v>839.7058823529412</v>
      </c>
      <c r="N13">
        <f t="shared" si="1"/>
        <v>1</v>
      </c>
      <c r="O13">
        <f t="shared" si="5"/>
        <v>0</v>
      </c>
      <c r="R13" t="s">
        <v>247</v>
      </c>
      <c r="W13">
        <v>0</v>
      </c>
      <c r="X13">
        <v>0</v>
      </c>
      <c r="Y13">
        <v>0</v>
      </c>
      <c r="AA13" t="s">
        <v>212</v>
      </c>
      <c r="AB13" t="e">
        <f>AB12/Requested_Actual_UW_DSCR</f>
        <v>#NAME?</v>
      </c>
      <c r="AW13">
        <v>0.8</v>
      </c>
      <c r="AX13">
        <v>5</v>
      </c>
      <c r="AY13">
        <f t="shared" si="4"/>
        <v>0.0588</v>
      </c>
      <c r="AZ13" t="b">
        <f>AND(TotalUnits&gt;50,AY13&lt;&gt;"-",AY13&gt;=75%)</f>
        <v>0</v>
      </c>
      <c r="BA13" t="b">
        <f>AND(LEN(AMI_HighNeedsRural_Marker)&gt;0,AY13&lt;&gt;"-",AY13&gt;=50%)</f>
        <v>0</v>
      </c>
    </row>
    <row r="14" ht="11.25" customHeight="1">
      <c r="B14" t="s">
        <v>248</v>
      </c>
      <c r="D14" t="s">
        <v>188</v>
      </c>
      <c r="R14" t="s">
        <v>249</v>
      </c>
      <c r="W14">
        <f>_xlfn.IFERROR(FirstUPB_IfSupp/TotalUnits,0)</f>
        <v>0</v>
      </c>
      <c r="X14">
        <f>_xlfn.IFERROR(SecondUPB_IfSupp/TotalUnits,0)</f>
        <v>0</v>
      </c>
      <c r="Y14">
        <f>_xlfn.IFERROR(ThirdUPB_IfSupp/TotalUnits,0)</f>
        <v>0</v>
      </c>
      <c r="AA14" t="s">
        <v>221</v>
      </c>
      <c r="AB14" t="e">
        <f t="shared" si="6"/>
        <v>#NAME?</v>
      </c>
      <c r="AL14" t="s">
        <v>250</v>
      </c>
      <c r="AO14" t="e">
        <f>SUM(AO10:AO12)</f>
        <v>#NAME?</v>
      </c>
      <c r="AP14" t="s">
        <v>251</v>
      </c>
      <c r="AT14">
        <v>0</v>
      </c>
      <c r="AW14">
        <v>0.6</v>
      </c>
      <c r="AX14">
        <v>1</v>
      </c>
      <c r="AY14">
        <f t="shared" si="4"/>
        <v>0.0118</v>
      </c>
      <c r="AZ14" t="s">
        <v>252</v>
      </c>
      <c r="BA14" t="s">
        <v>252</v>
      </c>
    </row>
    <row r="15" ht="11.25" customHeight="1">
      <c r="H15" t="s">
        <v>253</v>
      </c>
      <c r="L15" t="s">
        <v>254</v>
      </c>
      <c r="R15" t="s">
        <v>255</v>
      </c>
      <c r="W15">
        <v>0</v>
      </c>
      <c r="X15">
        <v>0</v>
      </c>
      <c r="Y15">
        <v>0</v>
      </c>
      <c r="AP15" t="s">
        <v>256</v>
      </c>
      <c r="AT15" t="e">
        <f>AO33-AO17-AO18-AO27-AO28</f>
        <v>#NAME?</v>
      </c>
      <c r="AW15">
        <v>0.5</v>
      </c>
      <c r="AX15">
        <v>1</v>
      </c>
      <c r="AY15">
        <f t="shared" si="4"/>
        <v>0.0118</v>
      </c>
      <c r="AZ15" t="b">
        <f>AND(TotalUnits&gt;=5,TotalUnits&lt;=50,AY13&lt;&gt;"-",AY13&gt;=50%)</f>
        <v>0</v>
      </c>
      <c r="BA15" t="s">
        <v>257</v>
      </c>
    </row>
    <row r="16" ht="11.25" customHeight="1">
      <c r="B16" t="s">
        <v>258</v>
      </c>
      <c r="H16" t="s">
        <v>259</v>
      </c>
      <c r="K16" t="str">
        <f>IF(LEN(AMI_CostBurden),AMI_CostBurden,"-")</f>
        <v>-</v>
      </c>
      <c r="L16">
        <v>0</v>
      </c>
      <c r="M16" t="s">
        <v>261</v>
      </c>
      <c r="R16" t="s">
        <v>262</v>
      </c>
      <c r="W16">
        <f>IF(FirstRate_IfSupp&gt;0,(PMT(FirstRate_IfSupp/12,FirstAmort_IfSupp*12,-1))*12,0)</f>
        <v>0</v>
      </c>
      <c r="X16">
        <f>IF(SecondRate_IfSupp&gt;0,(PMT(SecondRate_IfSupp/12,SecondAmort_IfSupp*12,-1))*12,0)</f>
        <v>0</v>
      </c>
      <c r="Y16">
        <f>IF(ThirdRate_IfSupp&gt;0,(PMT(ThirdRate_IfSupp/12,ThirdAmort_IfSupp*12,-1))*12,0)</f>
        <v>0</v>
      </c>
      <c r="AK16" t="s">
        <v>263</v>
      </c>
      <c r="AP16" t="s">
        <v>264</v>
      </c>
      <c r="AT16">
        <f>AO18</f>
        <v>0</v>
      </c>
      <c r="AW16">
        <v>0.4</v>
      </c>
      <c r="AX16">
        <v>1</v>
      </c>
      <c r="AY16">
        <f t="shared" si="4"/>
        <v>0.0118</v>
      </c>
    </row>
    <row r="17" ht="11.25" customHeight="1">
      <c r="B17" t="s">
        <v>265</v>
      </c>
      <c r="D17" t="str">
        <f>property_name</f>
        <v>XXXX</v>
      </c>
      <c r="H17" t="s">
        <v>266</v>
      </c>
      <c r="K17" t="str">
        <f>IF(AMI_IsRural,"Is Rural","-")</f>
        <v>-</v>
      </c>
      <c r="L17">
        <v>0</v>
      </c>
      <c r="M17" t="s">
        <v>261</v>
      </c>
      <c r="R17" t="s">
        <v>267</v>
      </c>
      <c r="U17" t="s">
        <v>268</v>
      </c>
      <c r="V17" t="s">
        <v>269</v>
      </c>
      <c r="W17">
        <f>IF($V$17="Yes",FirstOrigLoan_IfSupp*FirstConstant_IfSupp,FirstOrigLoan_IfSupp*FirstRate_IfSupp)</f>
        <v>0</v>
      </c>
      <c r="X17">
        <f>IF($V$17="Yes",SecondOrigLoan_IfSupp*SecondConstant_IfSupp,SecondOrigLoan_IfSupp*SecondRate_IfSupp)</f>
        <v>0</v>
      </c>
      <c r="Y17">
        <f>IF($V$17="Yes",ThirdOrigLoan_IfSupp*ThirdConstant_IfSupp,ThirdOrigLoan_IfSupp*ThirdRate_IfSupp)</f>
        <v>0</v>
      </c>
      <c r="AK17" t="str">
        <f>IF('Data Page'!H23="If Acquisition (within 1 year)","Purchase Price","Existing UPB")</f>
        <v>Existing UPB</v>
      </c>
      <c r="AO17">
        <f>IF(OR('Data Page'!H23="If Acquisition (within 1 year)",'Data Page'!H23="If Refinance"),'Data Page'!K25,0)</f>
        <v>0</v>
      </c>
      <c r="AP17" t="s">
        <v>271</v>
      </c>
      <c r="AT17" t="e">
        <f>SUM(AT10:AT16)</f>
        <v>#NAME?</v>
      </c>
      <c r="AX17" t="s">
        <v>272</v>
      </c>
      <c r="AY17" t="b">
        <f>EXACT(_xlfn.CONCAT(DataPage_AMI_Percentages),_xlfn.CONCAT(AMI_PercentagesFromServer))</f>
        <v>0</v>
      </c>
    </row>
    <row r="18" ht="12" customHeight="1">
      <c r="B18" t="s">
        <v>273</v>
      </c>
      <c r="C18" t="str">
        <f>HYPERLINK("https://maps.google.com/maps?q="&amp;Address_DataPageTab,"Map")</f>
        <v>Map</v>
      </c>
      <c r="D18">
        <f>address</f>
      </c>
      <c r="H18" t="s">
        <v>275</v>
      </c>
      <c r="L18">
        <v>0</v>
      </c>
      <c r="M18" t="s">
        <v>261</v>
      </c>
      <c r="AK18" t="s">
        <v>276</v>
      </c>
      <c r="AO18">
        <f>IF('Data Page'!H23="If Refinance",'Data Page'!K28,0)</f>
        <v>0</v>
      </c>
      <c r="AP18" t="s">
        <v>277</v>
      </c>
      <c r="AT18">
        <f>IF('SBL Quotes'!$AN$32="Supplemental",FirstUPB_IfSupp+SecondUPB_IfSupp+ThirdUPB_IfSupp,0)</f>
        <v>0</v>
      </c>
      <c r="AW18" t="s">
        <v>278</v>
      </c>
    </row>
    <row r="19" ht="11.25" customHeight="1">
      <c r="B19" t="s">
        <v>279</v>
      </c>
      <c r="C19">
        <f>_xlfn.IFERROR(FIND(",",SblQuotes_CityState),1000)</f>
        <v>5</v>
      </c>
      <c r="D19" t="str">
        <f>LEFT(SblQuotes_CityState,C19-1)</f>
        <v>City</v>
      </c>
      <c r="H19" t="s">
        <v>280</v>
      </c>
      <c r="L19">
        <v>0</v>
      </c>
      <c r="M19" t="s">
        <v>261</v>
      </c>
      <c r="AP19" t="s">
        <v>281</v>
      </c>
      <c r="AT19" t="e">
        <f>IF('SBL Quotes'!AN35="Assumption",0,AO10)</f>
        <v>#NAME?</v>
      </c>
      <c r="AW19" t="s">
        <v>282</v>
      </c>
      <c r="AX19" t="b">
        <v>0</v>
      </c>
    </row>
    <row r="20" ht="11.25" customHeight="1">
      <c r="B20" t="s">
        <v>283</v>
      </c>
      <c r="D20" t="str">
        <f>IF(LEN(SblQuotes_County)=0,"",SblQuotes_County)</f>
        <v>County not found</v>
      </c>
      <c r="H20" t="s">
        <v>285</v>
      </c>
      <c r="L20">
        <v>0</v>
      </c>
      <c r="M20" t="s">
        <v>261</v>
      </c>
      <c r="R20" t="s">
        <v>286</v>
      </c>
      <c r="W20" t="s">
        <v>193</v>
      </c>
      <c r="X20" t="s">
        <v>194</v>
      </c>
      <c r="Y20" t="s">
        <v>195</v>
      </c>
      <c r="AP20" t="s">
        <v>287</v>
      </c>
      <c r="AT20" t="e">
        <f>AT17-AT18-AT19</f>
        <v>#NAME?</v>
      </c>
      <c r="AW20" t="s">
        <v>288</v>
      </c>
    </row>
    <row r="21" ht="11.25" customHeight="1">
      <c r="B21" t="s">
        <v>289</v>
      </c>
      <c r="D21" t="str">
        <f>MID(SblQuotes_CityState,C19+2,2)</f>
        <v>XX</v>
      </c>
      <c r="H21" t="s">
        <v>291</v>
      </c>
      <c r="L21">
        <f>'SBL Quotes'!AN16</f>
        <v>0</v>
      </c>
      <c r="M21" t="s">
        <v>261</v>
      </c>
      <c r="R21" t="s">
        <v>292</v>
      </c>
      <c r="W21" t="s">
        <v>293</v>
      </c>
      <c r="X21" t="s">
        <v>294</v>
      </c>
      <c r="Y21" t="s">
        <v>294</v>
      </c>
      <c r="AK21" t="s">
        <v>295</v>
      </c>
      <c r="AM21">
        <f>OriginationPerc_Lender</f>
        <v>0.01</v>
      </c>
      <c r="AO21" t="e">
        <f>OriginationFee_Lender</f>
        <v>#NAME?</v>
      </c>
      <c r="AP21" t="s">
        <v>296</v>
      </c>
      <c r="AT21" t="e">
        <f>AT20/AT17</f>
        <v>#NAME?</v>
      </c>
      <c r="AW21" t="s">
        <v>297</v>
      </c>
    </row>
    <row r="22" ht="11.25" customHeight="1">
      <c r="B22" t="s">
        <v>298</v>
      </c>
      <c r="D22" t="str">
        <f>SBL_ZipCode</f>
        <v>XXXXX</v>
      </c>
      <c r="J22">
        <f>IF(H23="If Refinance","",IF(H23="If Construction","Date of Construction","Date of Acquisition"))</f>
      </c>
      <c r="K22" t="s">
        <v>300</v>
      </c>
      <c r="R22" t="s">
        <v>301</v>
      </c>
      <c r="W22" t="s">
        <v>269</v>
      </c>
      <c r="X22" t="s">
        <v>269</v>
      </c>
      <c r="Y22" t="s">
        <v>269</v>
      </c>
      <c r="AK22" t="s">
        <v>302</v>
      </c>
      <c r="AM22">
        <f>OriginationPerc_Broker</f>
        <v>0.01</v>
      </c>
      <c r="AO22" t="e">
        <f>OriginationFee_Broker</f>
        <v>#NAME?</v>
      </c>
      <c r="AW22" t="s">
        <v>303</v>
      </c>
      <c r="AX22">
        <v>5</v>
      </c>
      <c r="AY22" t="s">
        <v>304</v>
      </c>
    </row>
    <row r="23" ht="11.25" customHeight="1">
      <c r="B23" t="str">
        <f>SBL_MSA_Type</f>
        <v>Requires Manual Lookup</v>
      </c>
      <c r="D23">
        <f>MSA</f>
      </c>
      <c r="H23" t="str">
        <f>IF(SBL_DealPurpose="Refinance","If Refinance","If Acquisition (within 1 year)")</f>
        <v>If Refinance</v>
      </c>
      <c r="R23" t="s">
        <v>307</v>
      </c>
      <c r="W23" s="1">
        <f t="shared" si="7" ref="W23:Y23">EOMONTH(EDATE(W24,-W8*12),0)+1</f>
        <v>40634</v>
      </c>
      <c r="X23" s="1">
        <f t="shared" si="7"/>
        <v>41000</v>
      </c>
      <c r="Y23" s="1">
        <f t="shared" si="7"/>
        <v>41365</v>
      </c>
      <c r="AK23" t="s">
        <v>308</v>
      </c>
      <c r="AO23">
        <v>18000</v>
      </c>
      <c r="AP23" t="s">
        <v>309</v>
      </c>
      <c r="AW23" t="s">
        <v>310</v>
      </c>
      <c r="AX23">
        <v>5</v>
      </c>
      <c r="AY23" t="s">
        <v>304</v>
      </c>
    </row>
    <row r="24" ht="11.25" customHeight="1">
      <c r="H24" t="str">
        <f>IF(H23="If Refinance","Expected Closing of Refinance","Date of "&amp;IF(H23="If Construction","Construction","Acquisition")&amp;" (if within 5 years)")</f>
        <v>Expected Closing of Refinance</v>
      </c>
      <c r="J24" t="s">
        <v>312</v>
      </c>
      <c r="K24" s="1">
        <f>'SBL Quotes'!AK31</f>
        <v>45261</v>
      </c>
      <c r="R24" t="s">
        <v>313</v>
      </c>
      <c r="W24" s="1">
        <v>44275</v>
      </c>
      <c r="X24" s="1">
        <v>44640</v>
      </c>
      <c r="Y24" s="1">
        <v>45005</v>
      </c>
      <c r="AK24" t="s">
        <v>314</v>
      </c>
      <c r="AO24">
        <v>10000</v>
      </c>
      <c r="AP24" t="s">
        <v>315</v>
      </c>
      <c r="AQ24" t="s">
        <v>316</v>
      </c>
      <c r="AT24">
        <v>0</v>
      </c>
      <c r="AY24" t="s">
        <v>317</v>
      </c>
    </row>
    <row r="25" ht="11.25" customHeight="1">
      <c r="B25" t="s">
        <v>318</v>
      </c>
      <c r="H25" t="str">
        <f>IF(H23="If Refinance","Existing Mortgage (UPB)",IF(H23="If Construction","Construction Cost","Acquisition Price"))</f>
        <v>Existing Mortgage (UPB)</v>
      </c>
      <c r="K25">
        <f>_xlfn.IFERROR(VALUE('SBL Quotes'!$B$39),0)</f>
        <v>0</v>
      </c>
      <c r="M25" t="s">
        <v>320</v>
      </c>
      <c r="N25">
        <f t="shared" si="10" ref="N25:N37">_xlfn.IFERROR(K25/TotalUnits,0)</f>
        <v>0</v>
      </c>
      <c r="O25" t="s">
        <v>321</v>
      </c>
      <c r="P25">
        <f t="shared" si="11" ref="P25:P29">_xlfn.IFERROR(K25/TotalBeds,0)</f>
        <v>0</v>
      </c>
      <c r="R25" t="s">
        <v>322</v>
      </c>
      <c r="W25" s="1">
        <v>44044</v>
      </c>
      <c r="X25" s="1">
        <v>44409</v>
      </c>
      <c r="Y25" s="1">
        <v>44774</v>
      </c>
      <c r="AK25" t="s">
        <v>323</v>
      </c>
      <c r="AO25">
        <v>0</v>
      </c>
      <c r="AP25" t="s">
        <v>324</v>
      </c>
      <c r="AQ25" t="s">
        <v>325</v>
      </c>
      <c r="AT25">
        <v>0</v>
      </c>
      <c r="AX25" t="s">
        <v>326</v>
      </c>
      <c r="AY25" t="b">
        <v>0</v>
      </c>
    </row>
    <row r="26" ht="11.25" customHeight="1">
      <c r="B26" t="s">
        <v>327</v>
      </c>
      <c r="E26" t="s">
        <v>188</v>
      </c>
      <c r="H26" t="s">
        <v>328</v>
      </c>
      <c r="K26">
        <f>'SBL Quotes'!AK33</f>
        <v>0</v>
      </c>
      <c r="R26" t="s">
        <v>329</v>
      </c>
      <c r="W26" s="1">
        <f>K24</f>
        <v>45261</v>
      </c>
      <c r="AK26" t="s">
        <v>330</v>
      </c>
      <c r="AO26">
        <v>0</v>
      </c>
      <c r="AP26" t="s">
        <v>331</v>
      </c>
      <c r="AQ26" t="s">
        <v>332</v>
      </c>
      <c r="AT26">
        <v>0</v>
      </c>
      <c r="AX26" t="s">
        <v>333</v>
      </c>
      <c r="AY26" t="b">
        <f>AMI_MissionDriven_Discount_Addnl80</f>
        <v>0</v>
      </c>
    </row>
    <row r="27" ht="11.25" customHeight="1">
      <c r="B27" t="s">
        <v>334</v>
      </c>
      <c r="E27" t="e">
        <f t="shared" si="9" ref="E27:E34">E28*LoanAmount</f>
        <v>#NAME?</v>
      </c>
      <c r="H27" t="s">
        <v>335</v>
      </c>
      <c r="K27">
        <f>'SBL Quotes'!AK34</f>
        <v>0</v>
      </c>
      <c r="R27" t="s">
        <v>336</v>
      </c>
      <c r="W27" t="e">
        <f>EDATE(K24,E52*12)</f>
        <v>#NAME?</v>
      </c>
      <c r="AK27" t="s">
        <v>337</v>
      </c>
      <c r="AO27">
        <f>IF('Engineering schedule'!F79="Yes",0,'Engineering schedule'!F78)</f>
        <v>0</v>
      </c>
      <c r="AX27" t="s">
        <v>338</v>
      </c>
      <c r="AY27" t="b">
        <v>0</v>
      </c>
    </row>
    <row r="28" ht="11.25" customHeight="1">
      <c r="B28" t="s">
        <v>339</v>
      </c>
      <c r="E28">
        <v>0.01</v>
      </c>
      <c r="H28" t="str">
        <f>IF(H23="if refinance","Prepayment Penalty Amount","N/A")</f>
        <v>Prepayment Penalty Amount</v>
      </c>
      <c r="K28">
        <f>'SBL Quotes'!AK35</f>
        <v>0</v>
      </c>
      <c r="R28" t="s">
        <v>341</v>
      </c>
      <c r="V28" t="s">
        <v>342</v>
      </c>
      <c r="W28">
        <f t="shared" si="8" ref="W28:Y29">YEARFRAC(EOMONTH($W$26,-1)+1,EOMONTH(W24,-1)+1)</f>
        <v>2.75</v>
      </c>
      <c r="X28">
        <f t="shared" si="8"/>
        <v>1.75</v>
      </c>
      <c r="Y28">
        <f t="shared" si="8"/>
        <v>0.75</v>
      </c>
      <c r="AK28" t="s">
        <v>343</v>
      </c>
      <c r="AO28">
        <f>'Engineering schedule'!E42</f>
        <v>0</v>
      </c>
      <c r="AP28" t="s">
        <v>344</v>
      </c>
      <c r="AT28">
        <f>AT25+AT26</f>
        <v>0</v>
      </c>
      <c r="AX28" t="s">
        <v>345</v>
      </c>
      <c r="AY28" t="b">
        <v>0</v>
      </c>
    </row>
    <row r="29" ht="11.25" customHeight="1">
      <c r="B29" t="s">
        <v>346</v>
      </c>
      <c r="E29" t="e">
        <f t="shared" si="9"/>
        <v>#NAME?</v>
      </c>
      <c r="H29" t="str">
        <f>"Total "&amp;IF(H23="If Construction","Construction",IF(H23="If refinance","Refinance","Acquisition"))&amp;" Cost"</f>
        <v>Total Refinance Cost</v>
      </c>
      <c r="K29">
        <f>K25+K26+K27+K28</f>
        <v>0</v>
      </c>
      <c r="M29" t="s">
        <v>320</v>
      </c>
      <c r="N29">
        <f t="shared" si="10"/>
        <v>0</v>
      </c>
      <c r="O29" t="s">
        <v>321</v>
      </c>
      <c r="P29">
        <f t="shared" si="11"/>
        <v>0</v>
      </c>
      <c r="R29" t="s">
        <v>348</v>
      </c>
      <c r="V29" t="s">
        <v>342</v>
      </c>
      <c r="W29">
        <f t="shared" si="8"/>
        <v>3.33333333333333</v>
      </c>
      <c r="X29">
        <f t="shared" si="8"/>
        <v>2.33333333333333</v>
      </c>
      <c r="Y29">
        <f t="shared" si="8"/>
        <v>1.33333333333333</v>
      </c>
      <c r="AK29" t="s">
        <v>349</v>
      </c>
      <c r="AO29">
        <v>20000</v>
      </c>
      <c r="AX29" t="s">
        <v>350</v>
      </c>
      <c r="AY29" t="b">
        <v>0</v>
      </c>
    </row>
    <row r="30" ht="11.25" customHeight="1">
      <c r="B30" t="s">
        <v>339</v>
      </c>
      <c r="E30">
        <v>0.01</v>
      </c>
      <c r="H30" t="str">
        <f>IF(H23="If Refinance","% of Loan to Capped Refinance Costs","LTC")</f>
        <v>% of Loan to Capped Refinance Costs</v>
      </c>
      <c r="K30">
        <f>_xlfn.IFERROR(IF('SBL Quotes'!AN32="Supplemental",(LoanAmount+FirstUPB_IfSupp+SecondUPB_IfSupp+ThirdUPB_IfSupp)/K29,LoanAmount/K29),0)</f>
        <v>0</v>
      </c>
      <c r="R30" t="s">
        <v>352</v>
      </c>
      <c r="V30" t="s">
        <v>342</v>
      </c>
      <c r="W30">
        <f t="shared" si="12" ref="W30:Y30">MAX(W28-(W8-W10),0)</f>
        <v>0</v>
      </c>
      <c r="X30">
        <f t="shared" si="12"/>
        <v>0</v>
      </c>
      <c r="Y30">
        <f t="shared" si="12"/>
        <v>0</v>
      </c>
      <c r="AK30" t="s">
        <v>353</v>
      </c>
      <c r="AO30">
        <v>0</v>
      </c>
    </row>
    <row r="31" ht="11.25" customHeight="1">
      <c r="B31" t="s">
        <v>354</v>
      </c>
      <c r="H31" t="e">
        <f>IF(K31&lt;0,"Cash-In",IF(OR(K31=0,LoanAmount-(K25+K26+K27+K28)&lt;0),"Cash-Neutral","Cash-Out"))</f>
        <v>#NAME?</v>
      </c>
      <c r="I31" t="e">
        <f>IF(AND(H31="Cash-Out",Requested_Tier=2),"-5% to Max LTV","")</f>
        <v>#NAME?</v>
      </c>
      <c r="K31" t="e">
        <f>'Data Page'!AO35</f>
        <v>#NAME?</v>
      </c>
      <c r="AK31" t="s">
        <v>355</v>
      </c>
      <c r="AO31">
        <v>0</v>
      </c>
    </row>
    <row r="32" ht="11.25" customHeight="1">
      <c r="B32" t="str">
        <f>B27</f>
        <v>Broker Fee</v>
      </c>
      <c r="E32" t="e">
        <f t="shared" si="9"/>
        <v>#NAME?</v>
      </c>
      <c r="AK32" t="s">
        <v>236</v>
      </c>
      <c r="AO32">
        <v>0</v>
      </c>
    </row>
    <row r="33" ht="11.25" customHeight="1">
      <c r="B33" t="s">
        <v>339</v>
      </c>
      <c r="E33">
        <v>0</v>
      </c>
      <c r="H33" t="s">
        <v>356</v>
      </c>
      <c r="AL33" t="s">
        <v>357</v>
      </c>
      <c r="AO33" t="e">
        <f>SUM(AO17:AO32)</f>
        <v>#NAME?</v>
      </c>
    </row>
    <row r="34" ht="11.25" customHeight="1">
      <c r="B34" t="s">
        <v>346</v>
      </c>
      <c r="E34" t="e">
        <f t="shared" si="9"/>
        <v>#NAME?</v>
      </c>
      <c r="H34" t="s">
        <v>358</v>
      </c>
      <c r="K34" t="s">
        <v>188</v>
      </c>
    </row>
    <row r="35" ht="11.25" customHeight="1">
      <c r="B35" t="s">
        <v>339</v>
      </c>
      <c r="E35">
        <v>0</v>
      </c>
      <c r="H35" t="s">
        <v>359</v>
      </c>
      <c r="K35" t="s">
        <v>188</v>
      </c>
      <c r="AK35" t="s">
        <v>360</v>
      </c>
      <c r="AO35" t="e">
        <f>AO14-AO33</f>
        <v>#NAME?</v>
      </c>
    </row>
    <row r="36" ht="11.25" customHeight="1">
      <c r="B36" t="s">
        <v>361</v>
      </c>
      <c r="E36">
        <v>0</v>
      </c>
      <c r="H36" t="s">
        <v>362</v>
      </c>
      <c r="K36" t="s">
        <v>363</v>
      </c>
      <c r="R36" t="s">
        <v>364</v>
      </c>
    </row>
    <row r="37" ht="11.25" customHeight="1">
      <c r="H37" t="s">
        <v>365</v>
      </c>
      <c r="K37">
        <v>0</v>
      </c>
      <c r="M37" t="s">
        <v>320</v>
      </c>
      <c r="N37">
        <f t="shared" si="10"/>
        <v>0</v>
      </c>
      <c r="O37" t="s">
        <v>321</v>
      </c>
      <c r="P37" t="e">
        <f>K37/TotalBeds</f>
        <v>#DIV/0!</v>
      </c>
      <c r="R37" t="s">
        <v>366</v>
      </c>
      <c r="W37" t="s">
        <v>367</v>
      </c>
      <c r="AK37" t="s">
        <v>368</v>
      </c>
    </row>
    <row r="38" ht="11.25" customHeight="1">
      <c r="B38" t="s">
        <v>369</v>
      </c>
      <c r="H38" t="s">
        <v>370</v>
      </c>
      <c r="K38">
        <v>0</v>
      </c>
      <c r="M38" t="s">
        <v>320</v>
      </c>
      <c r="N38">
        <f t="shared" si="13" ref="N38:N42">_xlfn.IFERROR(IF(OR(K38="N/A",K38="NA",K38=""),"N/A",K38/TotalUnits),0)</f>
        <v>0</v>
      </c>
      <c r="O38" t="s">
        <v>321</v>
      </c>
      <c r="P38" t="e">
        <f t="shared" si="14" ref="P38:P42">IF(OR(K38="N/A",K38="NA",K38=""),"N/A",K38/TotalBeds)</f>
        <v>#DIV/0!</v>
      </c>
      <c r="AK38" t="s">
        <v>371</v>
      </c>
      <c r="AM38">
        <v>0.02</v>
      </c>
      <c r="AO38" t="e">
        <f t="shared" si="15" ref="AO38:AO40">AM38*$AO$10</f>
        <v>#NAME?</v>
      </c>
    </row>
    <row r="39" ht="11.25" customHeight="1">
      <c r="B39" t="s">
        <v>372</v>
      </c>
      <c r="D39" t="s">
        <v>373</v>
      </c>
      <c r="H39" t="s">
        <v>374</v>
      </c>
      <c r="K39">
        <v>0</v>
      </c>
      <c r="M39" t="s">
        <v>320</v>
      </c>
      <c r="N39">
        <f t="shared" si="13"/>
        <v>0</v>
      </c>
      <c r="O39" t="s">
        <v>321</v>
      </c>
      <c r="P39" t="e">
        <f t="shared" si="14"/>
        <v>#DIV/0!</v>
      </c>
      <c r="AK39" t="s">
        <v>375</v>
      </c>
      <c r="AM39">
        <v>0</v>
      </c>
      <c r="AO39" t="e">
        <f t="shared" si="15"/>
        <v>#NAME?</v>
      </c>
    </row>
    <row r="40" ht="11.25" customHeight="1">
      <c r="B40" t="str">
        <f>IF(Delegated_Level="Performance Differentiation","Borrow Priority (for PD Exit Rate)","N/A (Delegated Level is not PD)")</f>
        <v>N/A (Delegated Level is not PD)</v>
      </c>
      <c r="D40">
        <f>IF(Delegated_Level="Performance Differentiation","All other borrowers","")</f>
      </c>
      <c r="H40" t="s">
        <v>377</v>
      </c>
      <c r="K40" t="s">
        <v>174</v>
      </c>
      <c r="M40" t="s">
        <v>320</v>
      </c>
      <c r="N40" t="str">
        <f>IF(OR(K40="N/A",K40="NA",K40=""),"N/A",K40/TotalUnits)</f>
        <v>N/A</v>
      </c>
      <c r="O40" t="s">
        <v>321</v>
      </c>
      <c r="P40" t="str">
        <f t="shared" si="14"/>
        <v>N/A</v>
      </c>
      <c r="AK40" t="s">
        <v>378</v>
      </c>
      <c r="AM40">
        <v>0</v>
      </c>
      <c r="AO40" t="e">
        <f t="shared" si="15"/>
        <v>#NAME?</v>
      </c>
    </row>
    <row r="41" ht="11.25" customHeight="1">
      <c r="B41" t="s">
        <v>379</v>
      </c>
      <c r="D41" t="s">
        <v>380</v>
      </c>
      <c r="H41" t="s">
        <v>381</v>
      </c>
      <c r="K41">
        <f>'SBL Quotes'!B45</f>
        <v>-34419044.199999996</v>
      </c>
      <c r="M41" t="s">
        <v>320</v>
      </c>
      <c r="N41">
        <f t="shared" si="13"/>
        <v>-404929.9317647058</v>
      </c>
      <c r="O41" t="s">
        <v>321</v>
      </c>
      <c r="P41" t="e">
        <f t="shared" si="14"/>
        <v>#DIV/0!</v>
      </c>
      <c r="R41" t="str">
        <f>"Fannie Mae New Loan Test"&amp;IF(OR(FirstRemTerm_IfSupp&gt;7,FirstRemTerm_IfSupp=7)," (Not Applicable)"," (Required)")</f>
        <v>Fannie Mae New Loan Test (Required)</v>
      </c>
    </row>
    <row r="42" ht="10.5" customHeight="1">
      <c r="B42" t="s">
        <v>383</v>
      </c>
      <c r="E42" t="s">
        <v>384</v>
      </c>
      <c r="H42" t="s">
        <v>385</v>
      </c>
      <c r="K42">
        <f>Appraised_Value</f>
        <v>-34419044.199999996</v>
      </c>
      <c r="M42" t="s">
        <v>320</v>
      </c>
      <c r="N42">
        <f t="shared" si="13"/>
        <v>-404929.9317647058</v>
      </c>
      <c r="O42" t="s">
        <v>321</v>
      </c>
      <c r="P42" t="e">
        <f t="shared" si="14"/>
        <v>#DIV/0!</v>
      </c>
      <c r="R42" t="s">
        <v>386</v>
      </c>
    </row>
    <row r="43" ht="11.25" customHeight="1">
      <c r="B43" t="s">
        <v>387</v>
      </c>
      <c r="E43" t="s">
        <v>388</v>
      </c>
      <c r="H43" t="s">
        <v>389</v>
      </c>
      <c r="K43">
        <f>'SBL Quotes'!$B$40</f>
        <v>0.05</v>
      </c>
    </row>
    <row r="44" ht="11.25" customHeight="1">
      <c r="B44" t="s">
        <v>390</v>
      </c>
      <c r="E44" t="s">
        <v>293</v>
      </c>
      <c r="H44" t="s">
        <v>391</v>
      </c>
      <c r="K44">
        <f>Appraised_Cap</f>
        <v>0.05</v>
      </c>
    </row>
    <row r="45" ht="11.25" customHeight="1">
      <c r="B45" t="s">
        <v>392</v>
      </c>
      <c r="E45" t="s">
        <v>393</v>
      </c>
    </row>
    <row r="46" ht="11.25" customHeight="1">
      <c r="B46" t="s">
        <v>394</v>
      </c>
      <c r="E46" t="s">
        <v>395</v>
      </c>
      <c r="H46" t="s">
        <v>396</v>
      </c>
      <c r="AK46" t="s">
        <v>397</v>
      </c>
      <c r="AL46" t="str">
        <f>PropertyName_DataPageTab</f>
        <v>XXXX</v>
      </c>
      <c r="AN46" t="s">
        <v>398</v>
      </c>
      <c r="AP46" t="s">
        <v>399</v>
      </c>
      <c r="AR46" t="s">
        <v>400</v>
      </c>
    </row>
    <row r="47" ht="11.25" customHeight="1">
      <c r="D47" t="s">
        <v>401</v>
      </c>
      <c r="E47" t="s">
        <v>402</v>
      </c>
      <c r="H47" t="s">
        <v>403</v>
      </c>
      <c r="K47" t="e">
        <f>IF(LoanAmount&gt;0,((AmortizingDebtService+IF('SBL Quotes'!AN32="Supplemental",FirstDebtService_IfSupp+SecondDebtService_IfSupp+ThirdDebtService_IfSupp,0))-SOps_UnderwrittenTotalOtherIncome+SOps_UnderwrittenExpenses)/SOps_UnderwrittenGPR,0)</f>
        <v>#NAME?</v>
      </c>
      <c r="R47" t="s">
        <v>404</v>
      </c>
      <c r="W47">
        <v>2</v>
      </c>
      <c r="AK47" t="s">
        <v>405</v>
      </c>
      <c r="AL47" t="str">
        <f>Property_Type</f>
        <v>Multifamily</v>
      </c>
      <c r="AM47" t="s">
        <v>202</v>
      </c>
      <c r="AN47" t="b">
        <f t="shared" si="16" ref="AN47:AP47">_xlfn.IFERROR($AL$47="Multifamily",FALSE)</f>
        <v>1</v>
      </c>
      <c r="AO47" t="s">
        <v>202</v>
      </c>
      <c r="AP47" t="b">
        <f t="shared" si="16"/>
        <v>1</v>
      </c>
      <c r="AQ47" t="s">
        <v>406</v>
      </c>
      <c r="AR47" t="b">
        <v>1</v>
      </c>
    </row>
    <row r="48" ht="11.25" customHeight="1">
      <c r="B48" t="s">
        <v>407</v>
      </c>
      <c r="D48" t="e">
        <f>Requested_Tier</f>
        <v>#NAME?</v>
      </c>
      <c r="E48" t="e">
        <f>IF(GETSELECTEDQUOTEVALUEFORDATAPAGE('SBL Quotes'!D39)=0,2,GETSELECTEDQUOTEVALUEFORDATAPAGE('SBL Quotes'!D39))</f>
        <v>#NAME?</v>
      </c>
      <c r="H48" t="s">
        <v>408</v>
      </c>
      <c r="K48" t="e">
        <f>'FNM Exit Strategy'!AL16</f>
        <v>#NAME?</v>
      </c>
      <c r="R48" t="s">
        <v>409</v>
      </c>
      <c r="W48">
        <v>0.75</v>
      </c>
      <c r="AK48" t="s">
        <v>410</v>
      </c>
      <c r="AL48" t="str">
        <f>Loan_Purpose</f>
        <v>Refinance</v>
      </c>
      <c r="AM48" t="s">
        <v>406</v>
      </c>
      <c r="AN48" t="b">
        <v>1</v>
      </c>
      <c r="AO48" t="s">
        <v>406</v>
      </c>
      <c r="AP48" t="b">
        <v>1</v>
      </c>
      <c r="AQ48" t="s">
        <v>406</v>
      </c>
      <c r="AR48" t="b">
        <v>1</v>
      </c>
    </row>
    <row r="49" ht="11.25" customHeight="1">
      <c r="B49" t="s">
        <v>411</v>
      </c>
      <c r="D49">
        <v>0.75</v>
      </c>
      <c r="E49" cm="1">
        <f t="array" ref="E49">_xlfn.IFERROR(GETSELECTEDQUOTEVALUEFORDATAPAGE('SBL Quotes'!D41)*1,Tier_Max_LTV)</f>
        <v>0.75</v>
      </c>
      <c r="H49" t="s">
        <v>412</v>
      </c>
      <c r="J49" t="s">
        <v>413</v>
      </c>
      <c r="K49" t="e">
        <f>IF('SBL Quotes'!AN35="Assumption",FirstDebtService_IfSupp+SecondDebtService_IfSupp+ThirdDebtService_IfSupp,LoanAmount*NoteConstant)</f>
        <v>#NAME?</v>
      </c>
      <c r="M49" t="s">
        <v>228</v>
      </c>
      <c r="N49" t="e">
        <f>IF('SBL Quotes'!AN35="Assumption",IF(FirstRemIO_IfSupp&gt;0,FirstOrigLoan_IfSupp*FirstRate_IfSupp,FirstDebtService_IfSupp)+IF(SecondRemIO_IfSupp&gt;0,SecondOrigLoan_IfSupp*SecondRate_IfSupp,SecondDebtService_IfSupp)+IF(ThirdRemIO_IfSupp&gt;0,ThirdOrigLoan_IfSupp*ThirdRate_IfSupp,ThirdDebtService_IfSupp),IF(InterestOnly&gt;0,LoanAmount*NoteRate,AmortizingDebtService))</f>
        <v>#NAME?</v>
      </c>
      <c r="R49" t="s">
        <v>414</v>
      </c>
      <c r="W49">
        <v>1.25</v>
      </c>
      <c r="AK49" t="s">
        <v>415</v>
      </c>
      <c r="AL49">
        <f>_xlfn.IFERROR(LoanAmount,0)</f>
        <v>0</v>
      </c>
      <c r="AM49">
        <v>15000000</v>
      </c>
      <c r="AN49" t="b">
        <f>_xlfn.IFERROR(AL49&gt;=AM49,FALSE)</f>
        <v>0</v>
      </c>
      <c r="AO49">
        <v>13000000</v>
      </c>
      <c r="AP49" t="b">
        <f>_xlfn.IFERROR(AL49&gt;=AO49,FALSE)</f>
        <v>0</v>
      </c>
      <c r="AQ49">
        <v>10000000</v>
      </c>
      <c r="AR49" t="b">
        <f>_xlfn.IFERROR(AL49&gt;=AQ49,FALSE)</f>
        <v>0</v>
      </c>
    </row>
    <row r="50" ht="11.25" customHeight="1">
      <c r="B50" t="s">
        <v>416</v>
      </c>
      <c r="D50" t="e">
        <f t="shared" si="17" ref="D50:E50">Tier_Min_Floor_UW_DSCR</f>
        <v>#NAME?</v>
      </c>
      <c r="E50" t="e">
        <f t="shared" si="17"/>
        <v>#NAME?</v>
      </c>
      <c r="H50" t="s">
        <v>417</v>
      </c>
      <c r="K50">
        <f>_xlfn.IFERROR(SOps_UnderwrittenNCF/(LoanAmount+IF('SBL Quotes'!AN32="Supplemental",(FirstUPB_IfSupp+SecondUPB_IfSupp+ThirdUPB_IfSupp),0)),0)</f>
        <v>0</v>
      </c>
      <c r="R50" t="s">
        <v>418</v>
      </c>
      <c r="W50">
        <v>30</v>
      </c>
      <c r="AK50" t="s">
        <v>419</v>
      </c>
      <c r="AL50" t="str">
        <f>Interest_Rate_Type</f>
        <v>Fixed</v>
      </c>
      <c r="AM50" t="s">
        <v>420</v>
      </c>
      <c r="AN50" t="b">
        <v>1</v>
      </c>
      <c r="AO50" t="s">
        <v>420</v>
      </c>
      <c r="AP50" t="b">
        <v>1</v>
      </c>
      <c r="AQ50" t="s">
        <v>420</v>
      </c>
      <c r="AR50" t="b">
        <v>1</v>
      </c>
    </row>
    <row r="51" ht="11.25" customHeight="1">
      <c r="B51" t="s">
        <v>421</v>
      </c>
      <c r="D51" t="e">
        <f>IF(Min_Tier=2,1.25,IF(Min_Tier=3,1.35,IF(Min_Tier=4,1.55,0)))</f>
        <v>#NAME?</v>
      </c>
      <c r="E51" cm="1" t="e">
        <f t="array" ref="E51">GETSELECTEDQUOTEVALUEFORDATAPAGE('SBL Quotes'!D72)</f>
        <v>#NAME?</v>
      </c>
      <c r="H51" t="s">
        <v>422</v>
      </c>
      <c r="J51" cm="1" t="e">
        <f t="array" ref="J51">IF(DataPage_View="Producer View",GETSELECTEDQUOTEVALUEFORDATAPAGE('SBL Quotes'!D82),PD!V5)</f>
        <v>#NAME?</v>
      </c>
      <c r="K51" t="e">
        <f>IF(Term=Amort,"N/A",'FNM Exit Strategy'!AL25)</f>
        <v>#NAME?</v>
      </c>
      <c r="M51" t="s">
        <v>423</v>
      </c>
      <c r="N51">
        <f>'FNM Exit Strategy'!AM25</f>
        <v>0</v>
      </c>
      <c r="R51" t="s">
        <v>424</v>
      </c>
      <c r="W51">
        <v>0</v>
      </c>
      <c r="AK51" t="str">
        <f>IF(ISNUMBER(Loan_to_Cost),"Loan-to-Cost (LTC)","Loan-to-Value (LTV)")&amp;" is at or below maximum:"</f>
        <v>Loan-to-Value (LTV) is at or below maximum:</v>
      </c>
      <c r="AL51">
        <f>IF(ISNUMBER(Loan_to_Cost),Loan_to_Cost,LTV)</f>
        <v>0</v>
      </c>
      <c r="AM51">
        <v>0.83</v>
      </c>
      <c r="AN51" t="b">
        <f t="shared" si="18" ref="AN51:AP51">IF(ISNUMBER($AL51),$AL51&lt;=AM51,FALSE)</f>
        <v>1</v>
      </c>
      <c r="AO51">
        <v>0.83</v>
      </c>
      <c r="AP51" t="b">
        <f t="shared" si="18"/>
        <v>1</v>
      </c>
    </row>
    <row r="52" ht="11.25" customHeight="1">
      <c r="B52" t="s">
        <v>426</v>
      </c>
      <c r="D52" t="e">
        <f>Term</f>
        <v>#NAME?</v>
      </c>
      <c r="E52" cm="1" t="e">
        <f t="array" ref="E52">GETSELECTEDQUOTEVALUEFORDATAPAGE('SBL Quotes'!D98)</f>
        <v>#NAME?</v>
      </c>
      <c r="H52" t="s">
        <v>427</v>
      </c>
      <c r="K52" t="e">
        <f>IF(Term=Amort,"N/A",'FNM Exit Strategy'!AL21)</f>
        <v>#NAME?</v>
      </c>
      <c r="M52" t="s">
        <v>428</v>
      </c>
      <c r="N52">
        <f>'FNM Exit Strategy'!AM21</f>
        <v>0</v>
      </c>
      <c r="R52" t="s">
        <v>429</v>
      </c>
      <c r="W52">
        <v>0</v>
      </c>
      <c r="AK52" s="2" t="s">
        <v>430</v>
      </c>
      <c r="AL52" t="s">
        <v>431</v>
      </c>
      <c r="AN52" t="b">
        <f t="shared" si="19" ref="AN52:AR52">COUNTIF(AN47:AN51,"FALSE")=0</f>
        <v>0</v>
      </c>
      <c r="AP52" t="b">
        <f t="shared" si="19"/>
        <v>0</v>
      </c>
      <c r="AR52" t="b">
        <f t="shared" si="19"/>
        <v>0</v>
      </c>
    </row>
    <row r="53" ht="15" customHeight="1">
      <c r="B53" t="s">
        <v>432</v>
      </c>
      <c r="D53" t="e">
        <f>Amort</f>
        <v>#NAME?</v>
      </c>
      <c r="E53" t="e">
        <f>GETSELECTEDQUOTEVALUEFORDATAPAGE('SBL Quotes'!D46)</f>
        <v>#NAME?</v>
      </c>
      <c r="R53" t="s">
        <v>433</v>
      </c>
      <c r="W53" t="e">
        <f>IF(NewLoanTestCheck="Fannie Mae New Loan Test (Required)",IF(Amort&gt;0,(PMT(IF(OR(W52="N/A",W52="NA",W52=""),W51,MAX(W51,W52))/12,W50*12,-1))*12,0),"N/A")</f>
        <v>#NAME?</v>
      </c>
    </row>
    <row r="54" ht="12" customHeight="1">
      <c r="B54" cm="1" t="e">
        <f t="array" ref="B54">IF(GETSELECTEDQUOTEVALUEFORDATAPAGE('SBL Quotes'!D38)="Defeasance","Defeasance","Yield Maintenance (years)")</f>
        <v>#NAME?</v>
      </c>
      <c r="D54">
        <v>9.5</v>
      </c>
      <c r="E54">
        <f>D54</f>
        <v>9.5</v>
      </c>
      <c r="H54" t="s">
        <v>434</v>
      </c>
      <c r="R54" t="s">
        <v>435</v>
      </c>
      <c r="W54">
        <f>IF(NewLoanTestCheck="Fannie Mae New Loan Test (Required)",(UW_Value*W48),"N/A")</f>
        <v>-25814283.15</v>
      </c>
    </row>
    <row r="55" ht="11.25" customHeight="1">
      <c r="B55" t="s">
        <v>436</v>
      </c>
      <c r="D55" cm="1" t="e">
        <f t="array" ref="D55">GETSELECTEDQUOTEVALUEFORDATAPAGE('SBL Quotes'!D44)</f>
        <v>#NAME?</v>
      </c>
      <c r="E55" t="e">
        <f>GETSELECTEDQUOTEVALUEFORDATAPAGE('SBL Quotes'!D43)</f>
        <v>#NAME?</v>
      </c>
      <c r="J55" t="s">
        <v>437</v>
      </c>
      <c r="K55" t="s">
        <v>438</v>
      </c>
      <c r="L55" t="s">
        <v>439</v>
      </c>
      <c r="N55" t="s">
        <v>440</v>
      </c>
      <c r="R55" t="s">
        <v>441</v>
      </c>
      <c r="W55" t="e">
        <f>IF(NewLoanTestCheck="Fannie Mae New Loan Test (Required)",MIN((SOps_UnderwrittenNCF/W49/W53),W54)-FirstUPB_IfSupp-SecondUPB_IfSupp-ThirdUPB_IfSupp,"N/A")</f>
        <v>#NAME?</v>
      </c>
    </row>
    <row r="56" ht="14.25" customHeight="1">
      <c r="H56" t="s">
        <v>442</v>
      </c>
      <c r="J56">
        <f>_xlfn.IFERROR(SOps_UnderwrittenNCF/((LoanAmount*NoteConstant)+IF('SBL Quotes'!AN32="Supplemental",(FirstDebtService_IfSupp+SecondDebtService_IfSupp+ThirdDebtService_IfSupp),0)),0)</f>
        <v>0</v>
      </c>
      <c r="K56">
        <f t="shared" si="20" ref="K56:K57">_xlfn.IFERROR(SOps_UnderwrittenNCF/(FirstDebtService_IfSupp+SecondDebtService_IfSupp+ThirdDebtService_IfSupp),0)</f>
        <v>0</v>
      </c>
      <c r="L56">
        <f>_xlfn.IFERROR(SOps_UnderwrittenNCF/(IF('SBL Quotes'!AN32="Supplemental",IF(FirstRemIO_IfSupp&gt;0,FirstOrigLoan_IfSupp*FirstRate_IfSupp,FirstDebtService_IfSupp)+IF(SecondRemIO_IfSupp&gt;0,SecondOrigLoan_IfSupp*SecondRate_IfSupp,SecondDebtService_IfSupp)+IF(ThirdRemIO_IfSupp&gt;0,ThirdOrigLoan_IfSupp*ThirdRate_IfSupp,ThirdDebtService_IfSupp),0)+IF(InterestOnly&gt;0,InterestOnlyDebtService,AmortizingDebtService)),0)</f>
        <v>0</v>
      </c>
      <c r="N56">
        <f>IF(SOps_UnderwrittenNCF&gt;0,SOps_UnderwrittenNCF/(((PMT(NoteRate/12,Amort*12,-RequestedLoan))*12)+IF('SBL Quotes'!AN32="Supplemental",FirstDebtService_IfSupp+SecondDebtService_IfSupp+ThirdDebtService_IfSupp,0)),0)</f>
        <v>0</v>
      </c>
    </row>
    <row r="57" ht="14.25" customHeight="1">
      <c r="B57" t="s">
        <v>443</v>
      </c>
      <c r="H57" t="s">
        <v>444</v>
      </c>
      <c r="J57">
        <f>_xlfn.IFERROR(IF(OR(FloorRate="N/A",FloorRate="NA",FloorRate=""),"N/A",SOps_UnderwrittenNCF/((LoanAmount*FloorConstant)+IF('SBL Quotes'!AN32="Supplemental",(FirstDebtService_IfSupp+SecondDebtService_IfSupp+ThirdDebtService_IfSupp),0))),0)</f>
        <v>0</v>
      </c>
      <c r="K57">
        <f t="shared" si="20"/>
        <v>0</v>
      </c>
      <c r="N57" t="e">
        <f>IF(OR(FloorRate="N/A",FloorRate="NA",FloorRate=""),"N/A",IF(SOps_UnderwrittenNCF&gt;0,SOps_UnderwrittenNCF/(((PMT(FloorRate/12,Amort*12,-RequestedLoan))*12)+IF('SBL Quotes'!AN32="Supplemental",FirstDebtService_IfSupp+SecondDebtService_IfSupp+ThirdDebtService_IfSupp,0)),0))</f>
        <v>#NAME?</v>
      </c>
      <c r="R57">
        <f>IF(Interest_Rate_Type="Fixed","","Variable Rate Mortgage Loans are not eligible for Tier Dropping")</f>
      </c>
    </row>
    <row r="58" ht="11.25" customHeight="1">
      <c r="B58" t="s">
        <v>445</v>
      </c>
      <c r="E58" t="s">
        <v>393</v>
      </c>
      <c r="H58" t="s">
        <v>446</v>
      </c>
      <c r="J58">
        <f>_xlfn.IFERROR((IF('SBL Quotes'!AN32="Supplemental",(FirstUPB_IfSupp+SecondUPB_IfSupp+ThirdUPB_IfSupp),0)+LoanAmount)/Appraised_Value,0)</f>
        <v>0</v>
      </c>
      <c r="K58">
        <f>_xlfn.IFERROR((FirstUPB_IfSupp+SecondUPB_IfSupp+ThirdUPB_IfSupp)/Appraised_Value,0)</f>
        <v>0</v>
      </c>
      <c r="R58" t="str">
        <f>"Pricing for Tier Dropping Supplemental Loans"&amp;IF(W59="No"," (Not Applicable)","")</f>
        <v>Pricing for Tier Dropping Supplemental Loans (Not Applicable)</v>
      </c>
    </row>
    <row r="59" ht="11.25" customHeight="1">
      <c r="B59" t="s">
        <v>448</v>
      </c>
      <c r="E59" cm="1" t="e">
        <f t="array" ref="E59">GETSELECTEDQUOTEVALUEFORDATAPAGE('SBL Quotes'!D50)</f>
        <v>#NAME?</v>
      </c>
      <c r="H59" t="s">
        <v>449</v>
      </c>
      <c r="J59">
        <f>_xlfn.IFERROR((IF('SBL Quotes'!AN32="Supplemental",(FirstUPB_IfSupp+SecondUPB_IfSupp+ThirdUPB_IfSupp),0)+LoanAmount)/UW_Value,0)</f>
        <v>0</v>
      </c>
      <c r="K59">
        <f>_xlfn.IFERROR((FirstUPB_IfSupp+SecondUPB_IfSupp+ThirdUPB_IfSupp)/UW_Value,0)</f>
        <v>0</v>
      </c>
      <c r="R59" t="s">
        <v>450</v>
      </c>
      <c r="W59" t="s">
        <v>451</v>
      </c>
      <c r="AA59" t="s">
        <v>452</v>
      </c>
    </row>
    <row r="60" ht="11.25" customHeight="1">
      <c r="B60" t="s">
        <v>453</v>
      </c>
      <c r="C60" cm="1" t="e">
        <f t="array" ref="C60">GETSELECTEDQUOTEVALUEFORDATAPAGE('SBL Quotes'!D51)+GETSELECTEDQUOTEVALUEFORDATAPAGE('SBL Quotes'!D54)+GETSELECTEDQUOTEVALUEFORDATAPAGE('SBL Quotes'!D56)+GETSELECTEDQUOTEVALUEFORDATAPAGE('SBL Quotes'!D58)+GETSELECTEDQUOTEVALUEFORDATAPAGE('SBL Quotes'!D64)</f>
        <v>#NAME?</v>
      </c>
      <c r="E60" cm="1" t="e">
        <f t="array" ref="E60">_xlfn.IFERROR(_xlfn.LET(_xlpm.InvestorSpread,GETSELECTEDQUOTEVALUEFORDATAPAGE('SBL Quotes'!D51),_xlpm.PremiumAdjustment,GETSELECTEDQUOTEVALUEFORDATAPAGE('SBL Quotes'!D54),_xlpm.IOAdjustment,GETSELECTEDQUOTEVALUEFORDATAPAGE('SBL Quotes'!D56),_xlpm.ForwardCurve,GETSELECTEDQUOTEVALUEFORDATAPAGE('SBL Quotes'!D58),_xlpm.SmallLoanBuffer,GETSELECTEDQUOTEVALUEFORDATAPAGE('SBL Quotes'!D64),_xlpm.InvestorSpread+_xlpm.PremiumAdjustment+_xlpm.IOAdjustment+_xlpm.ForwardCurve+_xlpm.SmallLoanBuffer),C60)</f>
        <v>#NAME?</v>
      </c>
      <c r="H60" t="s">
        <v>454</v>
      </c>
      <c r="J60" t="str">
        <f>IF('Data Page'!H23="If Acquisition (within 1 year)",(IF('SBL Quotes'!AN32="Supplemental",(FirstUPB_IfSupp+SecondUPB_IfSupp+ThirdUPB_IfSupp),0)+LoanAmount)/K29,"N/A")</f>
        <v>N/A</v>
      </c>
      <c r="K60" t="str">
        <f>IF('Data Page'!H23="If Acquisition (within 1 year)",(FirstUPB_IfSupp+SecondUPB_IfSupp+ThirdUPB_IfSupp)/K29,"N/A")</f>
        <v>N/A</v>
      </c>
      <c r="R60" t="s">
        <v>455</v>
      </c>
      <c r="W60">
        <v>0</v>
      </c>
    </row>
    <row r="61" ht="11.25" customHeight="1">
      <c r="B61" t="s">
        <v>456</v>
      </c>
      <c r="E61" t="e">
        <f>E59+E60</f>
        <v>#NAME?</v>
      </c>
      <c r="R61" t="s">
        <v>457</v>
      </c>
      <c r="W61">
        <v>0</v>
      </c>
    </row>
    <row r="62" ht="12" customHeight="1">
      <c r="B62" t="s">
        <v>458</v>
      </c>
      <c r="C62" cm="1" t="e">
        <f t="array" ref="C62">(GETSELECTEDQUOTEVALUEFORDATAPAGE('SBL Quotes'!D52)+GETSELECTEDQUOTEVALUEFORDATAPAGE('SBL Quotes'!D57)+GETSELECTEDQUOTEVALUEFORDATAPAGE('SBL Quotes'!D65))*D62+GETSELECTEDQUOTEVALUEFORDATAPAGE('SBL Quotes'!D55)</f>
        <v>#NAME?</v>
      </c>
      <c r="D62">
        <f>'FNM Loan Terms'!D24</f>
        <v>0.6</v>
      </c>
      <c r="E62" cm="1" t="e">
        <f t="array" ref="E62">_xlfn.IFERROR(_xlfn.LET(_xlpm.CreditFee,GETSELECTEDQUOTEVALUEFORDATAPAGE('SBL Quotes'!D52),_xlpm.AffordablityAdjustment,GETSELECTEDQUOTEVALUEFORDATAPAGE('SBL Quotes'!D57),_xlpm.GuarantyFeePcnt,D62,_xlpm.PrePay,GETSELECTEDQUOTEVALUEFORDATAPAGE('SBL Quotes'!D55),_xlpm.SmallLoanAdjustment,GETSELECTEDQUOTEVALUEFORDATAPAGE('SBL Quotes'!D63),_xlpm.GandS_Adjustment,GETSELECTEDQUOTEVALUEFORDATAPAGE('SBL Quotes'!D65),(_xlpm.CreditFee+_xlpm.AffordablityAdjustment+_xlpm.SmallLoanAdjustment+_xlpm.GandS_Adjustment)*_xlpm.GuarantyFeePcnt+_xlpm.PrePay),C62)</f>
        <v>#NAME?</v>
      </c>
      <c r="H62" t="s">
        <v>459</v>
      </c>
      <c r="R62" t="s">
        <v>460</v>
      </c>
      <c r="W62">
        <v>0</v>
      </c>
    </row>
    <row r="63" ht="12" customHeight="1">
      <c r="B63" t="s">
        <v>461</v>
      </c>
      <c r="C63" cm="1" t="e">
        <f t="array" ref="C63">(GETSELECTEDQUOTEVALUEFORDATAPAGE('SBL Quotes'!D52)+GETSELECTEDQUOTEVALUEFORDATAPAGE('SBL Quotes'!D57)+GETSELECTEDQUOTEVALUEFORDATAPAGE('SBL Quotes'!D65))*D63</f>
        <v>#NAME?</v>
      </c>
      <c r="D63">
        <f>'FNM Loan Terms'!D25</f>
        <v>0.4</v>
      </c>
      <c r="E63" cm="1" t="e">
        <f t="array" ref="E63">_xlfn.IFERROR(_xlfn.LET(_xlpm.CreditFee,GETSELECTEDQUOTEVALUEFORDATAPAGE('SBL Quotes'!D52),_xlpm.AffordablityAdjustment,GETSELECTEDQUOTEVALUEFORDATAPAGE('SBL Quotes'!D57),_xlpm.ServicingFeePcnt,D63,_xlpm.SmallLoanAdjustment,GETSELECTEDQUOTEVALUEFORDATAPAGE('SBL Quotes'!D63),_xlpm.GandS_Adjustment,GETSELECTEDQUOTEVALUEFORDATAPAGE('SBL Quotes'!D65),(_xlpm.CreditFee+_xlpm.AffordablityAdjustment+_xlpm.SmallLoanAdjustment+_xlpm.GandS_Adjustment)*_xlpm.ServicingFeePcnt),C63)</f>
        <v>#NAME?</v>
      </c>
      <c r="H63" t="s">
        <v>462</v>
      </c>
      <c r="K63" cm="1" t="e">
        <f t="array" ref="K63">GETSELECTEDQUOTEVALUEFORDATAPAGE('SBL Quotes'!D30)</f>
        <v>#NAME?</v>
      </c>
      <c r="M63" t="s">
        <v>320</v>
      </c>
      <c r="N63">
        <f t="shared" si="21" ref="N63:N70">_xlfn.IFERROR(IF(K63="N/A","N/A",K63/TotalUnits),0)</f>
        <v>0</v>
      </c>
      <c r="O63" t="s">
        <v>321</v>
      </c>
      <c r="P63" t="e">
        <f t="shared" si="22" ref="P63:P70">IF(K63="N/A","N/A",K63/TotalBeds)</f>
        <v>#NAME?</v>
      </c>
      <c r="R63" t="s">
        <v>463</v>
      </c>
      <c r="W63">
        <v>0</v>
      </c>
      <c r="AA63" t="s">
        <v>464</v>
      </c>
    </row>
    <row r="64" ht="11.25" customHeight="1">
      <c r="B64" t="s">
        <v>465</v>
      </c>
      <c r="E64" cm="1" t="e">
        <f t="array" ref="E64">GETSELECTEDQUOTEVALUEFORDATAPAGE('SBL Quotes'!D66)</f>
        <v>#NAME?</v>
      </c>
      <c r="H64" t="s">
        <v>466</v>
      </c>
      <c r="K64" t="e">
        <f>ApplicationLoan</f>
        <v>#NAME?</v>
      </c>
      <c r="M64" t="s">
        <v>320</v>
      </c>
      <c r="N64">
        <f t="shared" si="21"/>
        <v>0</v>
      </c>
      <c r="O64" t="s">
        <v>321</v>
      </c>
      <c r="P64" t="e">
        <f t="shared" si="22"/>
        <v>#NAME?</v>
      </c>
      <c r="R64" t="s">
        <v>467</v>
      </c>
      <c r="W64">
        <v>0</v>
      </c>
    </row>
    <row r="65" ht="12" customHeight="1">
      <c r="B65" t="s">
        <v>468</v>
      </c>
      <c r="E65" t="e">
        <f>E60+E62+E63+E64</f>
        <v>#NAME?</v>
      </c>
      <c r="H65" t="s">
        <v>469</v>
      </c>
      <c r="K65" cm="1" t="e">
        <f t="array" ref="K65">GETSELECTEDQUOTEVALUEFORDATAPAGE('SBL Quotes'!D77)</f>
        <v>#NAME?</v>
      </c>
      <c r="M65" t="s">
        <v>320</v>
      </c>
      <c r="N65">
        <f t="shared" si="21"/>
        <v>0</v>
      </c>
      <c r="O65" t="s">
        <v>321</v>
      </c>
      <c r="P65" t="e">
        <f t="shared" si="22"/>
        <v>#NAME?</v>
      </c>
      <c r="R65" t="s">
        <v>470</v>
      </c>
      <c r="W65">
        <v>0</v>
      </c>
    </row>
    <row r="66" ht="12" customHeight="1">
      <c r="B66" t="s">
        <v>471</v>
      </c>
      <c r="E66" t="e">
        <f>E59+E65</f>
        <v>#NAME?</v>
      </c>
      <c r="H66" t="s">
        <v>472</v>
      </c>
      <c r="K66" cm="1" t="e">
        <f t="array" ref="K66">GETSELECTEDQUOTEVALUEFORDATAPAGE('SBL Quotes'!D76)</f>
        <v>#NAME?</v>
      </c>
      <c r="M66" t="s">
        <v>320</v>
      </c>
      <c r="N66">
        <f t="shared" si="21"/>
        <v>0</v>
      </c>
      <c r="O66" t="s">
        <v>321</v>
      </c>
      <c r="P66" t="e">
        <f t="shared" si="22"/>
        <v>#NAME?</v>
      </c>
      <c r="R66" t="s">
        <v>473</v>
      </c>
      <c r="W66" t="str">
        <f>IF(W59="No","N/A",W64+(((0.0005+(W62-W60))*((FirstUPB_IfSupp+SecondUPB_IfSupp+ThirdUPB_IfSupp)/LoanAmount))))</f>
        <v>N/A</v>
      </c>
    </row>
    <row r="67" ht="12" customHeight="1">
      <c r="B67" t="s">
        <v>474</v>
      </c>
      <c r="E67" cm="1" t="e">
        <f t="array" ref="E67">IF(GETSELECTEDQUOTEVALUEFORDATAPAGE('SBL Quotes'!D79)="N/A",NoteRate,GETSELECTEDQUOTEVALUEFORDATAPAGE('SBL Quotes'!D79))</f>
        <v>#NAME?</v>
      </c>
      <c r="H67" t="s">
        <v>475</v>
      </c>
      <c r="K67" cm="1" t="e">
        <f t="array" ref="K67">GETSELECTEDQUOTEVALUEFORDATAPAGE('SBL Quotes'!D78)</f>
        <v>#NAME?</v>
      </c>
      <c r="M67" t="s">
        <v>320</v>
      </c>
      <c r="N67">
        <f t="shared" si="21"/>
        <v>0</v>
      </c>
      <c r="O67" t="s">
        <v>321</v>
      </c>
      <c r="P67" t="e">
        <f t="shared" si="22"/>
        <v>#NAME?</v>
      </c>
      <c r="R67" t="s">
        <v>476</v>
      </c>
      <c r="W67" t="str">
        <f>IF(W59="No","N/A",W65+(((0.0005+(W63-W61))*((FirstUPB_IfSupp+SecondUPB_IfSupp+ThirdUPB_IfSupp)/LoanAmount))))</f>
        <v>N/A</v>
      </c>
    </row>
    <row r="68" ht="12" customHeight="1">
      <c r="B68" t="s">
        <v>477</v>
      </c>
      <c r="E68" t="e">
        <f>IF(Amort&gt;0,(PMT(NoteRate/12,Amort*12,-1))*12,0)</f>
        <v>#NAME?</v>
      </c>
      <c r="H68" t="str">
        <f>"Max Loan @ "&amp;IF(OR(Interest_Rate_Type="Fixed",Interest_Rate_Type="Variable: ILP"),"Variable Rate",Interest_Rate_Type)</f>
        <v>Max Loan @ Variable Rate</v>
      </c>
      <c r="K68" t="s">
        <v>174</v>
      </c>
      <c r="M68" t="s">
        <v>320</v>
      </c>
      <c r="N68" t="str">
        <f t="shared" si="23" ref="N68:N69">IF(K68="N/A","N/A",K68/TotalUnits)</f>
        <v>N/A</v>
      </c>
      <c r="O68" t="s">
        <v>321</v>
      </c>
      <c r="P68" t="str">
        <f t="shared" si="22"/>
        <v>N/A</v>
      </c>
    </row>
    <row r="69" ht="12" customHeight="1">
      <c r="B69" t="s">
        <v>479</v>
      </c>
      <c r="E69" t="e">
        <f>IF(OR(FloorRate="N/A",FloorRate="No Floor",FloorRate=""),"N/A",IF(Amort&gt;0,(PMT(FloorRate/12,Amort*12,-1))*12,0))</f>
        <v>#NAME?</v>
      </c>
      <c r="H69" t="s">
        <v>480</v>
      </c>
      <c r="K69" t="s">
        <v>174</v>
      </c>
      <c r="M69" t="s">
        <v>320</v>
      </c>
      <c r="N69" t="str">
        <f t="shared" si="23"/>
        <v>N/A</v>
      </c>
      <c r="O69" t="s">
        <v>321</v>
      </c>
      <c r="P69" t="str">
        <f t="shared" si="22"/>
        <v>N/A</v>
      </c>
      <c r="R69" t="s">
        <v>481</v>
      </c>
      <c r="W69" t="str">
        <f>IF('SBL Quotes'!AN32="Supplemental",AmortizingDebtService+FirstDebtService_IfSupp+SecondDebtService_IfSupp+ThirdDebtService_IfSupp,"N/A")</f>
        <v>N/A</v>
      </c>
    </row>
    <row r="70" ht="12" customHeight="1">
      <c r="B70" t="s">
        <v>482</v>
      </c>
      <c r="E70">
        <f>_xlfn.IFERROR(IF('SBL Quotes'!$AN$32="Supplemental",ROUNDDOWN(MIN(RATE(Amort*12,-AB14/12,LoanAmount)*12,RATE(Amort*12,-AB9/12,LoanAmount)*12),5),ROUNDDOWN(MIN(RATE(Amort*12,-SOps_UnderwrittenNCF/Requested_Floor_UW_DSCR/12,LoanAmount)*12,RATE(Amort*12,-SOps_UnderwrittenNCF/Requested_Actual_UW_DSCR/12,LoanAmount)*12),5)),0)</f>
        <v>0</v>
      </c>
      <c r="F70">
        <f>IF(OR(LossSharing_DataPageTab=0%,LossSharing_DataPageTab=25%,LossSharing_DataPageTab=50%,LossSharing_DataPageTab=75%,LossSharing_DataPageTab=100%),"","Waiver")</f>
      </c>
      <c r="H70" t="s">
        <v>483</v>
      </c>
      <c r="K70" t="e">
        <f>MIN(K64:K69)</f>
        <v>#NAME?</v>
      </c>
      <c r="M70" t="s">
        <v>320</v>
      </c>
      <c r="N70">
        <f t="shared" si="21"/>
        <v>0</v>
      </c>
      <c r="O70" t="s">
        <v>321</v>
      </c>
      <c r="P70" t="e">
        <f t="shared" si="22"/>
        <v>#NAME?</v>
      </c>
      <c r="R70" t="s">
        <v>484</v>
      </c>
      <c r="W70" t="str">
        <f>IF('SBL Quotes'!AN32="Supplemental",LoanAmount+FirstUPB_IfSupp+SecondUPB_IfSupp+ThirdUPB_IfSupp,"N/A")</f>
        <v>N/A</v>
      </c>
    </row>
    <row r="71" ht="12" customHeight="1">
      <c r="B71" t="s">
        <v>485</v>
      </c>
      <c r="E71">
        <v>1</v>
      </c>
    </row>
    <row r="72" ht="12" customHeight="1"/>
    <row r="73" ht="12" customHeight="1">
      <c r="H73" t="s">
        <v>486</v>
      </c>
    </row>
    <row r="74" ht="12" customHeight="1">
      <c r="H74" t="s">
        <v>487</v>
      </c>
      <c r="I74">
        <v>0.05</v>
      </c>
      <c r="J74">
        <v>0</v>
      </c>
      <c r="K74">
        <f t="shared" si="24" ref="K74:K75">J74*(100%+I74)</f>
        <v>0</v>
      </c>
    </row>
    <row r="75" ht="12" customHeight="1">
      <c r="H75" t="s">
        <v>488</v>
      </c>
      <c r="I75">
        <f>'Trade Sheet'!K14</f>
        <v>0.05</v>
      </c>
      <c r="J75">
        <v>0</v>
      </c>
      <c r="K75">
        <f t="shared" si="24"/>
        <v>0</v>
      </c>
    </row>
    <row r="76" ht="12" customHeight="1">
      <c r="H76" t="s">
        <v>489</v>
      </c>
      <c r="K76">
        <v>0</v>
      </c>
    </row>
  </sheetData>
  <hyperlinks>
    <hyperlink ref="AK52" r:id="rId1" display="Debt Product Integration Guide"/>
  </hyperlinks>
  <printOptions horizontalCentered="1"/>
  <pageMargins left="0.25" right="0.25" top="0.25" bottom="0.25" header="0.3" footer="0.3"/>
  <pageSetup useFirstPageNumber="1" fitToHeight="1" fitToWidth="1" paperSize="5" firstPageNumber="1" scale="67" pageOrder="downThenOver" orientation="landscape"/>
  <headerFooter>
    <oddHeader>&amp;L&amp;C&amp;R</oddHeader>
    <oddFooter>&amp;L&amp;C&amp;R</oddFooter>
  </headerFooter>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C8507DBA-CF75-9CA7-122A-26CEB972479E}" mc:Ignorable="x14ac xr xr2 xr3">
  <sheetPr>
    <tabColor rgb="FF00B050"/>
    <pageSetUpPr fitToPage="1"/>
  </sheetPr>
  <dimension ref="A1:FC43576"/>
  <sheetViews>
    <sheetView showGridLines="0" topLeftCell="A1" zoomScale="80" workbookViewId="0">
      <selection activeCell="B6" sqref="B6"/>
    </sheetView>
  </sheetViews>
  <sheetFormatPr defaultRowHeight="14.002500000000003" defaultColWidth="9.140625" customHeight="1"/>
  <cols>
    <col min="1" max="1" width="46.140625" customWidth="1"/>
    <col min="2" max="2" width="34.7109375" customWidth="1"/>
    <col min="3" max="3" width="2.7109375" customWidth="1"/>
    <col min="4" max="4" width="37.28125" customWidth="1"/>
    <col min="5" max="7" width="16.7109375" customWidth="1"/>
    <col min="8" max="16" width="16.7109375" hidden="1" customWidth="1"/>
    <col min="17" max="17" width="5.00390625" customWidth="1"/>
    <col min="18" max="18" width="16.57421875" customWidth="1"/>
    <col min="19" max="20" width="16.7109375" customWidth="1"/>
    <col min="21" max="25" width="16.7109375" hidden="1" customWidth="1"/>
    <col min="26" max="26" width="4.8515625" customWidth="1"/>
    <col min="27" max="28" width="16.7109375" customWidth="1"/>
    <col min="29" max="34" width="16.7109375" hidden="1" customWidth="1"/>
    <col min="35" max="35" width="2.7109375" customWidth="1"/>
    <col min="36" max="36" width="46.00390625" customWidth="1"/>
    <col min="37" max="37" width="20.140625" customWidth="1"/>
    <col min="38" max="38" width="2.7109375" customWidth="1"/>
    <col min="39" max="39" width="38.7109375" customWidth="1"/>
    <col min="40" max="40" width="24.140625" customWidth="1"/>
    <col min="41" max="41" width="7.8515625" customWidth="1"/>
    <col min="42" max="42" width="43.57421875" customWidth="1"/>
    <col min="43" max="43" width="13.28125" customWidth="1"/>
    <col min="44" max="45" width="12.140625" customWidth="1"/>
    <col min="46" max="46" width="7.8515625" customWidth="1"/>
    <col min="47" max="47" width="44.7109375" customWidth="1"/>
    <col min="48" max="48" width="12.7109375" customWidth="1"/>
    <col min="49" max="49" width="15.57421875" customWidth="1"/>
    <col min="50" max="56" width="12.7109375" customWidth="1"/>
    <col min="57" max="57" width="15.8515625" customWidth="1"/>
    <col min="58" max="59" width="12.7109375" customWidth="1"/>
    <col min="60" max="60" width="12.57421875" customWidth="1"/>
    <col min="61" max="61" width="7.8515625" customWidth="1"/>
    <col min="62" max="62" width="38.8515625" customWidth="1"/>
    <col min="63" max="68" width="15.28125" customWidth="1"/>
    <col min="70" max="70" width="4.7109375" customWidth="1"/>
    <col min="71" max="71" width="27.28125" customWidth="1"/>
    <col min="73" max="73" width="9.8515625" customWidth="1"/>
    <col min="74" max="74" width="17.57421875" customWidth="1"/>
    <col min="75" max="76" width="15.28125" customWidth="1"/>
    <col min="77" max="77" width="16.57421875" customWidth="1"/>
    <col min="79" max="79" width="19.140625" customWidth="1"/>
    <col min="80" max="80" width="20.7109375" customWidth="1"/>
    <col min="81" max="81" width="22.28125" customWidth="1"/>
    <col min="82" max="83" width="16.57421875" customWidth="1"/>
    <col min="84" max="84" width="17.57421875" customWidth="1"/>
    <col min="85" max="86" width="15.28125" customWidth="1"/>
    <col min="87" max="87" width="16.57421875" customWidth="1"/>
  </cols>
  <sheetData>
    <row r="1" ht="15" customHeight="1">
      <c r="E1">
        <v>3</v>
      </c>
      <c r="R1">
        <v>3</v>
      </c>
      <c r="AA1">
        <v>2</v>
      </c>
      <c r="AT1" t="s">
        <v>490</v>
      </c>
      <c r="BI1" t="s">
        <v>491</v>
      </c>
      <c r="BJ1" t="s">
        <v>492</v>
      </c>
      <c r="BK1" t="str">
        <f>DailyPricingUpdateTimestamp</f>
        <v>09/15/2023, 13:37:47</v>
      </c>
      <c r="BQ1" t="s">
        <v>494</v>
      </c>
      <c r="BU1" t="s">
        <v>491</v>
      </c>
    </row>
    <row r="2" ht="15" customHeight="1">
      <c r="E2" t="str">
        <f>IF(OR(property_name="XXXX",LEN(property_name)=0),"",property_name)&amp;IF(OR(_xlfn.IFERROR(SEARCH(address,property_name),0)&gt;=1,address=0),"",IF(property_name=0,address," | "&amp;address))&amp;IF(address=0,""," | "&amp;B8)</f>
        <v> | City, XX</v>
      </c>
      <c r="AJ2" t="s">
        <v>496</v>
      </c>
      <c r="AM2" t="s">
        <v>497</v>
      </c>
      <c r="AP2" t="s">
        <v>498</v>
      </c>
      <c r="AU2" t="s">
        <v>499</v>
      </c>
      <c r="BI2" t="s">
        <v>443</v>
      </c>
      <c r="BJ2" t="s">
        <v>500</v>
      </c>
      <c r="BK2" t="s">
        <v>501</v>
      </c>
      <c r="BL2" t="str">
        <f>IF(SBL_FRE_RegionalPricingGridRegionCode="WE","Western",IF(SBL_FRE_RegionalPricingGridRegionCode="NE","Northeast",IF(SBL_FRE_RegionalPricingGridRegionCode="NC","North Central",IF(SBL_FRE_RegionalPricingGridRegionCode="SE","Southeast",IF(SBL_FRE_RegionalPricingGridRegionCode="SC","South Central","Unknown")))))</f>
        <v>Northeast</v>
      </c>
      <c r="BQ2" t="s">
        <v>443</v>
      </c>
      <c r="BU2" t="s">
        <v>503</v>
      </c>
    </row>
    <row r="3" ht="15" customHeight="1">
      <c r="AJ3" t="s">
        <v>504</v>
      </c>
      <c r="AK3" t="str">
        <f>property_name</f>
        <v>XXXX</v>
      </c>
      <c r="AM3" t="s">
        <v>505</v>
      </c>
      <c r="AN3" t="e">
        <f>'Data Page'!$K$31</f>
        <v>#NAME?</v>
      </c>
      <c r="AP3" t="s">
        <v>506</v>
      </c>
      <c r="AT3" t="s">
        <v>507</v>
      </c>
      <c r="AU3" t="s">
        <v>508</v>
      </c>
      <c r="AV3" t="s">
        <v>509</v>
      </c>
      <c r="AW3" t="s">
        <v>510</v>
      </c>
      <c r="AX3" t="s">
        <v>511</v>
      </c>
      <c r="AY3" t="s">
        <v>512</v>
      </c>
      <c r="AZ3" t="s">
        <v>513</v>
      </c>
      <c r="BA3" t="s">
        <v>514</v>
      </c>
      <c r="BB3" t="s">
        <v>515</v>
      </c>
      <c r="BC3" t="s">
        <v>516</v>
      </c>
      <c r="BD3" t="s">
        <v>517</v>
      </c>
      <c r="BE3" t="s">
        <v>518</v>
      </c>
      <c r="BI3" t="s">
        <v>507</v>
      </c>
      <c r="BJ3" t="s">
        <v>519</v>
      </c>
      <c r="BK3" s="1">
        <v>45181</v>
      </c>
      <c r="BQ3" t="s">
        <v>507</v>
      </c>
      <c r="BS3" t="s">
        <v>520</v>
      </c>
      <c r="BU3" t="s">
        <v>507</v>
      </c>
    </row>
    <row r="4" ht="15" customHeight="1">
      <c r="A4" t="str">
        <f>"Assumptions (Blue = Freddie, Green = Fannie)  Version: "&amp;EnodoConfig_Version&amp;", released: "&amp;TEXT(EnodoConfig_ReleaseDate,"m/d/yy")</f>
        <v>Assumptions (Blue = Freddie, Green = Fannie)  Version: 5.35.2, released: 9/14/23</v>
      </c>
      <c r="D4" t="s">
        <v>522</v>
      </c>
      <c r="E4" t="s">
        <v>523</v>
      </c>
      <c r="R4" t="s">
        <v>524</v>
      </c>
      <c r="AA4" t="s">
        <v>525</v>
      </c>
      <c r="AJ4" t="s">
        <v>273</v>
      </c>
      <c r="AK4">
        <f>address</f>
      </c>
      <c r="AM4" t="s">
        <v>526</v>
      </c>
      <c r="AN4" cm="1">
        <f t="array" ref="AN4">_xlfn.IFERROR(INDEX(IF($B$53="Freddie Mac SBL",E30:G30,R30:T30),1,$B$54),0)</f>
        <v>0</v>
      </c>
      <c r="AP4" t="s">
        <v>527</v>
      </c>
      <c r="AU4" s="2" t="s">
        <v>528</v>
      </c>
      <c r="AV4" s="1">
        <v>45183</v>
      </c>
      <c r="AW4">
        <v>0.0542</v>
      </c>
      <c r="AX4">
        <v>0.05</v>
      </c>
      <c r="AY4">
        <v>0.046799999999999994</v>
      </c>
      <c r="BA4">
        <v>0.044199999999999996</v>
      </c>
      <c r="BB4">
        <v>0.0438</v>
      </c>
      <c r="BC4">
        <v>0.0429</v>
      </c>
      <c r="BD4">
        <v>0.045700000000000005</v>
      </c>
      <c r="BE4">
        <v>0.043899999999999995</v>
      </c>
      <c r="BJ4" t="s">
        <v>529</v>
      </c>
      <c r="BK4" t="s">
        <v>530</v>
      </c>
      <c r="BL4" t="s">
        <v>531</v>
      </c>
      <c r="BM4" t="s">
        <v>532</v>
      </c>
      <c r="BN4" t="s">
        <v>533</v>
      </c>
      <c r="BO4" t="s">
        <v>534</v>
      </c>
      <c r="BP4" t="s">
        <v>535</v>
      </c>
      <c r="BS4" t="s">
        <v>536</v>
      </c>
      <c r="BT4">
        <v>0.8</v>
      </c>
      <c r="BU4" t="s">
        <v>537</v>
      </c>
    </row>
    <row r="5" ht="15" customHeight="1">
      <c r="A5" t="s">
        <v>538</v>
      </c>
      <c r="B5" s="1">
        <v>45184.338842592595</v>
      </c>
      <c r="E5" t="s">
        <v>539</v>
      </c>
      <c r="F5" t="s">
        <v>540</v>
      </c>
      <c r="G5" t="s">
        <v>541</v>
      </c>
      <c r="H5" t="s">
        <v>542</v>
      </c>
      <c r="I5" t="s">
        <v>543</v>
      </c>
      <c r="J5" t="s">
        <v>544</v>
      </c>
      <c r="K5" t="s">
        <v>545</v>
      </c>
      <c r="L5" t="s">
        <v>546</v>
      </c>
      <c r="M5" t="s">
        <v>547</v>
      </c>
      <c r="N5" t="s">
        <v>548</v>
      </c>
      <c r="O5" t="s">
        <v>549</v>
      </c>
      <c r="P5" t="s">
        <v>550</v>
      </c>
      <c r="R5" t="s">
        <v>539</v>
      </c>
      <c r="S5" t="s">
        <v>540</v>
      </c>
      <c r="T5" t="s">
        <v>541</v>
      </c>
      <c r="U5" t="s">
        <v>542</v>
      </c>
      <c r="V5" t="s">
        <v>543</v>
      </c>
      <c r="W5" t="s">
        <v>544</v>
      </c>
      <c r="X5" t="s">
        <v>545</v>
      </c>
      <c r="Y5" t="s">
        <v>546</v>
      </c>
      <c r="AA5" t="s">
        <v>539</v>
      </c>
      <c r="AB5" t="s">
        <v>540</v>
      </c>
      <c r="AC5" t="s">
        <v>541</v>
      </c>
      <c r="AD5" t="s">
        <v>542</v>
      </c>
      <c r="AE5" t="s">
        <v>543</v>
      </c>
      <c r="AF5" t="s">
        <v>544</v>
      </c>
      <c r="AG5" t="s">
        <v>545</v>
      </c>
      <c r="AH5" t="s">
        <v>546</v>
      </c>
      <c r="AJ5" t="s">
        <v>551</v>
      </c>
      <c r="AK5">
        <f>MSA</f>
      </c>
      <c r="AM5" t="s">
        <v>552</v>
      </c>
      <c r="AN5" cm="1">
        <f t="array" ref="AN5">_xlfn.IFERROR(INDEX(IF($B$53="Freddie Mac SBL",E26:G26,R26:T26),1,$B$54),0)</f>
        <v>0</v>
      </c>
      <c r="AP5" t="s">
        <v>553</v>
      </c>
      <c r="AU5" t="s">
        <v>554</v>
      </c>
      <c r="AV5" s="1">
        <f>DailyPricing!E6</f>
        <v>45184</v>
      </c>
      <c r="AW5">
        <f>DailyPricing!E14</f>
        <v>0.054237</v>
      </c>
      <c r="AX5">
        <f>DailyPricing!E15</f>
        <v>0.050347</v>
      </c>
      <c r="AY5">
        <f>DailyPricing!E16</f>
        <v>0.047126</v>
      </c>
      <c r="AZ5">
        <f>DailyPricing!E17</f>
        <v>0.045816</v>
      </c>
      <c r="BA5">
        <f>DailyPricing!E18</f>
        <v>0.044509</v>
      </c>
      <c r="BB5">
        <f>DailyPricing!E19</f>
        <v>0.044065</v>
      </c>
      <c r="BC5">
        <f>DailyPricing!E20</f>
        <v>0.043144</v>
      </c>
      <c r="BD5">
        <f>DailyPricing!E21</f>
        <v>0.04582</v>
      </c>
      <c r="BE5">
        <f>DailyPricing!E22</f>
        <v>0.043957</v>
      </c>
      <c r="BJ5" t="str">
        <f>"SBL - "&amp;$BL$2&amp;" Region Pricing Grid - Top/Standard Markets Effective:    "&amp;TEXT(SBL_FRE_RegionalPricingGridTimestamp,"dddd  mm/dd/yyyy")</f>
        <v>SBL - Northeast Region Pricing Grid - Top/Standard Markets Effective:    Tuesday  09/12/2023</v>
      </c>
      <c r="BS5" t="s">
        <v>556</v>
      </c>
      <c r="BT5">
        <v>1.25</v>
      </c>
    </row>
    <row r="6" ht="15" customHeight="1">
      <c r="A6" t="s">
        <v>265</v>
      </c>
      <c r="B6" t="s">
        <v>188</v>
      </c>
      <c r="D6" t="s">
        <v>557</v>
      </c>
      <c r="E6" t="str">
        <f t="shared" si="0" ref="E6:AH6">E26</f>
        <v>5 YR Fixed</v>
      </c>
      <c r="F6" t="str">
        <f t="shared" si="0"/>
        <v>7 YR Fixed</v>
      </c>
      <c r="G6" t="str">
        <f t="shared" si="0"/>
        <v>10 YR Fixed</v>
      </c>
      <c r="H6" t="str">
        <f t="shared" si="0"/>
        <v>5 YR Fixed</v>
      </c>
      <c r="I6" t="str">
        <f t="shared" si="0"/>
        <v>7 YR Fixed</v>
      </c>
      <c r="J6" t="str">
        <f t="shared" si="0"/>
        <v>10 YR Fixed</v>
      </c>
      <c r="K6" t="str">
        <f t="shared" si="0"/>
        <v>5 YR Hybrid</v>
      </c>
      <c r="L6" t="str">
        <f t="shared" si="0"/>
        <v>7 YR Hybrid</v>
      </c>
      <c r="M6" t="str">
        <f t="shared" si="0"/>
        <v>10 YR Fixed</v>
      </c>
      <c r="N6" t="str">
        <f t="shared" si="0"/>
        <v>5 YR Hybrid</v>
      </c>
      <c r="O6" t="str">
        <f t="shared" si="0"/>
        <v>7 YR Hybrid</v>
      </c>
      <c r="P6" t="str">
        <f t="shared" si="0"/>
        <v>10 YR Fixed</v>
      </c>
      <c r="R6" t="str">
        <f t="shared" si="0"/>
        <v>10 YR Fixed</v>
      </c>
      <c r="S6" t="str">
        <f t="shared" si="0"/>
        <v>12 YR Fixed</v>
      </c>
      <c r="T6" t="str">
        <f t="shared" si="0"/>
        <v>15 YR Fixed</v>
      </c>
      <c r="U6" t="str">
        <f t="shared" si="0"/>
        <v>10 YR Fixed</v>
      </c>
      <c r="V6" t="str">
        <f t="shared" si="0"/>
        <v>10 YR Fixed</v>
      </c>
      <c r="W6" t="str">
        <f t="shared" si="0"/>
        <v>5 YR Fixed</v>
      </c>
      <c r="X6" t="str">
        <f t="shared" si="0"/>
        <v>5 YR Fixed</v>
      </c>
      <c r="Y6" t="str">
        <f t="shared" si="0"/>
        <v>10 YR Variable</v>
      </c>
      <c r="AA6" t="str">
        <f t="shared" si="0"/>
        <v>3 YR Floating</v>
      </c>
      <c r="AB6" t="str">
        <f t="shared" si="0"/>
        <v>5 YR Floating</v>
      </c>
      <c r="AC6" t="str">
        <f t="shared" si="0"/>
        <v>7 YR Floating</v>
      </c>
      <c r="AD6" t="str">
        <f t="shared" si="0"/>
        <v>3 YR Floating</v>
      </c>
      <c r="AE6" t="str">
        <f t="shared" si="0"/>
        <v>5 YR Floating</v>
      </c>
      <c r="AF6" t="str">
        <f t="shared" si="0"/>
        <v>7 YR Floating</v>
      </c>
      <c r="AG6" t="str">
        <f t="shared" si="0"/>
        <v>3 YR Floating</v>
      </c>
      <c r="AH6" t="str">
        <f t="shared" si="0"/>
        <v>5 YR Floating</v>
      </c>
      <c r="AJ6" t="s">
        <v>564</v>
      </c>
      <c r="AK6" t="str">
        <f>SBL_DelegatedLevel</f>
        <v>Delegated</v>
      </c>
      <c r="AM6" t="s">
        <v>565</v>
      </c>
      <c r="AN6" cm="1">
        <f t="array" ref="AN6">_xlfn.IFERROR(INDEX(IF($B$53="Freddie Mac SBL",E43:G43,R43:T43),1,$B$54),0)</f>
        <v>0</v>
      </c>
      <c r="AP6" t="s">
        <v>566</v>
      </c>
      <c r="AU6" t="s">
        <v>567</v>
      </c>
      <c r="AV6">
        <f>DailyPricing!E9</f>
        <v>0.053704</v>
      </c>
      <c r="BJ6" t="s">
        <v>568</v>
      </c>
      <c r="BS6" t="s">
        <v>569</v>
      </c>
      <c r="BT6">
        <v>0</v>
      </c>
    </row>
    <row r="7" ht="15" customHeight="1">
      <c r="A7" t="s">
        <v>570</v>
      </c>
      <c r="B7" t="s">
        <v>571</v>
      </c>
      <c r="D7" t="s">
        <v>572</v>
      </c>
      <c r="E7">
        <f t="shared" si="1" ref="E7:AH7">E30</f>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R7">
        <f t="shared" si="1"/>
        <v>0</v>
      </c>
      <c r="S7">
        <f t="shared" si="1"/>
        <v>0</v>
      </c>
      <c r="T7">
        <f t="shared" si="1"/>
        <v>0</v>
      </c>
      <c r="U7">
        <f t="shared" si="1"/>
        <v>0</v>
      </c>
      <c r="V7">
        <f t="shared" si="1"/>
        <v>0</v>
      </c>
      <c r="W7">
        <f t="shared" si="1"/>
        <v>0</v>
      </c>
      <c r="X7">
        <f t="shared" si="1"/>
        <v>0</v>
      </c>
      <c r="Y7">
        <f t="shared" si="1"/>
        <v>0</v>
      </c>
      <c r="AA7">
        <f t="shared" si="1"/>
        <v>0</v>
      </c>
      <c r="AB7">
        <f t="shared" si="1"/>
        <v>0</v>
      </c>
      <c r="AC7">
        <f t="shared" si="1"/>
        <v>0</v>
      </c>
      <c r="AD7">
        <f t="shared" si="1"/>
        <v>0</v>
      </c>
      <c r="AE7">
        <f t="shared" si="1"/>
        <v>0</v>
      </c>
      <c r="AF7">
        <f t="shared" si="1"/>
        <v>0</v>
      </c>
      <c r="AG7">
        <f t="shared" si="1"/>
        <v>0</v>
      </c>
      <c r="AH7">
        <f t="shared" si="1"/>
        <v>0</v>
      </c>
      <c r="AJ7" t="s">
        <v>573</v>
      </c>
      <c r="AK7" t="str">
        <f>SBL_MSA_Type</f>
        <v>Requires Manual Lookup</v>
      </c>
      <c r="AM7" t="s">
        <v>574</v>
      </c>
      <c r="AN7" t="str">
        <f>IF(B55="Select","Select in Column B",B55)</f>
        <v>Select in Column B</v>
      </c>
      <c r="AP7" t="s">
        <v>576</v>
      </c>
      <c r="AU7" t="s">
        <v>577</v>
      </c>
      <c r="AV7">
        <f>DailyPricing!E10</f>
        <v>0.053271</v>
      </c>
      <c r="BJ7" t="s">
        <v>578</v>
      </c>
      <c r="BK7" t="s">
        <v>579</v>
      </c>
      <c r="BL7" t="s">
        <v>579</v>
      </c>
      <c r="BM7" t="s">
        <v>579</v>
      </c>
      <c r="BN7" t="s">
        <v>384</v>
      </c>
      <c r="BO7" t="s">
        <v>384</v>
      </c>
      <c r="BP7" t="s">
        <v>384</v>
      </c>
      <c r="BS7" t="s">
        <v>580</v>
      </c>
      <c r="BT7">
        <v>-0.002</v>
      </c>
    </row>
    <row r="8" ht="15" customHeight="1">
      <c r="A8" t="s">
        <v>581</v>
      </c>
      <c r="B8" t="s">
        <v>582</v>
      </c>
      <c r="D8" t="s">
        <v>583</v>
      </c>
      <c r="E8" t="str">
        <f t="shared" si="2" ref="E8:AH8">TRIM(LEFT(E6,5))&amp;IF(RIGHT(E6,6)="Hybrid"," | "&amp;(20-E$98)&amp;" YR","")</f>
        <v>5 YR</v>
      </c>
      <c r="F8" t="str">
        <f t="shared" si="2"/>
        <v>7 YR</v>
      </c>
      <c r="G8" t="str">
        <f t="shared" si="2"/>
        <v>10 YR</v>
      </c>
      <c r="H8" t="str">
        <f t="shared" si="2"/>
        <v>5 YR</v>
      </c>
      <c r="I8" t="str">
        <f t="shared" si="2"/>
        <v>7 YR</v>
      </c>
      <c r="J8" t="str">
        <f t="shared" si="2"/>
        <v>10 YR</v>
      </c>
      <c r="K8" t="str">
        <f t="shared" si="2"/>
        <v>5 YR | 15 YR</v>
      </c>
      <c r="L8" t="str">
        <f t="shared" si="2"/>
        <v>7 YR | 13 YR</v>
      </c>
      <c r="M8" t="str">
        <f t="shared" si="2"/>
        <v>10 YR</v>
      </c>
      <c r="N8" t="str">
        <f t="shared" si="2"/>
        <v>5 YR | 15 YR</v>
      </c>
      <c r="O8" t="str">
        <f t="shared" si="2"/>
        <v>7 YR | 13 YR</v>
      </c>
      <c r="P8" t="str">
        <f t="shared" si="2"/>
        <v>10 YR</v>
      </c>
      <c r="R8" t="str">
        <f t="shared" si="3" ref="R8:Y8">TRIM(LEFT(R6,5))&amp;IF(RIGHT(R6,8)="Variable"," | "&amp;(20-R$98)&amp;" YR","")</f>
        <v>10 YR</v>
      </c>
      <c r="S8" t="str">
        <f t="shared" si="3"/>
        <v>12 YR</v>
      </c>
      <c r="T8" t="str">
        <f t="shared" si="3"/>
        <v>15 YR</v>
      </c>
      <c r="U8" t="str">
        <f t="shared" si="3"/>
        <v>10 YR</v>
      </c>
      <c r="V8" t="str">
        <f t="shared" si="3"/>
        <v>10 YR</v>
      </c>
      <c r="W8" t="str">
        <f t="shared" si="3"/>
        <v>5 YR</v>
      </c>
      <c r="X8" t="str">
        <f t="shared" si="3"/>
        <v>5 YR</v>
      </c>
      <c r="Y8" t="str">
        <f t="shared" si="3"/>
        <v>10 YR | 10 YR</v>
      </c>
      <c r="AA8" t="str">
        <f t="shared" si="2"/>
        <v>3 YR</v>
      </c>
      <c r="AB8" t="str">
        <f t="shared" si="2"/>
        <v>5 YR</v>
      </c>
      <c r="AC8" t="str">
        <f t="shared" si="2"/>
        <v>7 YR</v>
      </c>
      <c r="AD8" t="str">
        <f t="shared" si="2"/>
        <v>3 YR</v>
      </c>
      <c r="AE8" t="str">
        <f t="shared" si="2"/>
        <v>5 YR</v>
      </c>
      <c r="AF8" t="str">
        <f t="shared" si="2"/>
        <v>7 YR</v>
      </c>
      <c r="AG8" t="str">
        <f t="shared" si="2"/>
        <v>3 YR</v>
      </c>
      <c r="AH8" t="str">
        <f t="shared" si="2"/>
        <v>5 YR</v>
      </c>
      <c r="AJ8" t="s">
        <v>593</v>
      </c>
      <c r="AK8" t="str">
        <f>IF(OR(_xlfn.IFERROR(SEARCH("Strong",B32),0)&gt;0,_xlfn.IFERROR(SEARCH("Eligible",B32),0)&gt;0),"Yes","No")</f>
        <v>No</v>
      </c>
      <c r="AM8" t="s">
        <v>594</v>
      </c>
      <c r="AN8" cm="1" t="str">
        <f t="array" ref="AN8">_xlfn.IFERROR(INDEX($E$68:$G$68,1,Loan_Option_Accepted),"Select Loan Option (Cell B42)")</f>
        <v>Select Loan Option (Cell B42)</v>
      </c>
      <c r="AP8" t="s">
        <v>596</v>
      </c>
      <c r="AW8" t="s">
        <v>597</v>
      </c>
      <c r="BF8" t="s">
        <v>598</v>
      </c>
      <c r="BJ8" t="s">
        <v>599</v>
      </c>
      <c r="BK8">
        <v>5</v>
      </c>
      <c r="BL8">
        <v>7</v>
      </c>
      <c r="BM8">
        <v>10</v>
      </c>
      <c r="BN8">
        <v>5</v>
      </c>
      <c r="BO8">
        <v>7</v>
      </c>
      <c r="BP8">
        <v>10</v>
      </c>
      <c r="BS8" t="s">
        <v>600</v>
      </c>
      <c r="BT8">
        <v>-0.001</v>
      </c>
    </row>
    <row r="9" ht="15" customHeight="1">
      <c r="A9" t="s">
        <v>601</v>
      </c>
      <c r="B9" t="s">
        <v>299</v>
      </c>
      <c r="D9" t="s">
        <v>220</v>
      </c>
      <c r="E9">
        <f t="shared" si="4" ref="E9:Y9">IF(E$45="Full Term","Full Term IO",E$46)</f>
        <v>30</v>
      </c>
      <c r="F9">
        <f t="shared" si="4"/>
        <v>30</v>
      </c>
      <c r="G9">
        <f t="shared" si="4"/>
        <v>30</v>
      </c>
      <c r="H9">
        <f t="shared" si="4"/>
        <v>30</v>
      </c>
      <c r="I9">
        <f t="shared" si="4"/>
        <v>30</v>
      </c>
      <c r="J9">
        <f t="shared" si="4"/>
        <v>30</v>
      </c>
      <c r="K9">
        <f t="shared" si="4"/>
        <v>30</v>
      </c>
      <c r="L9">
        <f t="shared" si="4"/>
        <v>30</v>
      </c>
      <c r="M9">
        <f t="shared" si="4"/>
        <v>30</v>
      </c>
      <c r="N9">
        <f t="shared" si="4"/>
        <v>30</v>
      </c>
      <c r="O9">
        <f t="shared" si="4"/>
        <v>30</v>
      </c>
      <c r="P9">
        <f t="shared" si="4"/>
        <v>30</v>
      </c>
      <c r="R9">
        <f t="shared" si="4"/>
        <v>30</v>
      </c>
      <c r="S9">
        <f t="shared" si="4"/>
        <v>30</v>
      </c>
      <c r="T9">
        <f t="shared" si="4"/>
        <v>30</v>
      </c>
      <c r="U9">
        <f t="shared" si="4"/>
        <v>30</v>
      </c>
      <c r="V9" t="str">
        <f t="shared" si="4"/>
        <v>Full Term IO</v>
      </c>
      <c r="W9">
        <f t="shared" si="4"/>
        <v>30</v>
      </c>
      <c r="X9" t="str">
        <f t="shared" si="4"/>
        <v>Full Term IO</v>
      </c>
      <c r="Y9">
        <f t="shared" si="4"/>
        <v>30</v>
      </c>
      <c r="AA9" t="s">
        <v>602</v>
      </c>
      <c r="AB9" t="s">
        <v>602</v>
      </c>
      <c r="AC9" t="s">
        <v>602</v>
      </c>
      <c r="AD9" t="s">
        <v>602</v>
      </c>
      <c r="AE9" t="s">
        <v>602</v>
      </c>
      <c r="AF9" t="s">
        <v>602</v>
      </c>
      <c r="AG9" t="s">
        <v>602</v>
      </c>
      <c r="AH9" t="s">
        <v>602</v>
      </c>
      <c r="AJ9" t="s">
        <v>603</v>
      </c>
      <c r="AK9">
        <f>B19</f>
      </c>
      <c r="AM9" t="s">
        <v>604</v>
      </c>
      <c r="AN9" cm="1">
        <f t="array" ref="AN9">_xlfn.IFERROR(INDEX(IF($B$53="Freddie Mac SBL",E46:G46,R46:T46),1,$B$54),0)</f>
        <v>0</v>
      </c>
      <c r="AP9" t="s">
        <v>605</v>
      </c>
      <c r="AU9" t="s">
        <v>606</v>
      </c>
      <c r="AW9" t="s">
        <v>607</v>
      </c>
      <c r="AY9" t="s">
        <v>608</v>
      </c>
      <c r="BF9" t="s">
        <v>607</v>
      </c>
      <c r="BJ9" t="s">
        <v>609</v>
      </c>
      <c r="BK9">
        <v>15</v>
      </c>
      <c r="BL9">
        <v>13</v>
      </c>
      <c r="BM9">
        <v>10</v>
      </c>
      <c r="BN9">
        <v>0</v>
      </c>
      <c r="BO9">
        <v>0</v>
      </c>
      <c r="BP9">
        <v>0</v>
      </c>
      <c r="BS9" t="s">
        <v>610</v>
      </c>
      <c r="BT9">
        <v>-0.003</v>
      </c>
    </row>
    <row r="10" ht="15" customHeight="1">
      <c r="A10" t="s">
        <v>611</v>
      </c>
      <c r="D10" t="s">
        <v>612</v>
      </c>
      <c r="E10">
        <f t="shared" si="5" ref="E10:AH10">E43</f>
        <v>0</v>
      </c>
      <c r="F10">
        <f t="shared" si="5"/>
        <v>1</v>
      </c>
      <c r="G10">
        <f t="shared" si="5"/>
        <v>2</v>
      </c>
      <c r="H10">
        <f t="shared" si="5"/>
        <v>0</v>
      </c>
      <c r="I10">
        <f t="shared" si="5"/>
        <v>1</v>
      </c>
      <c r="J10">
        <f t="shared" si="5"/>
        <v>2</v>
      </c>
      <c r="K10">
        <f t="shared" si="5"/>
        <v>0</v>
      </c>
      <c r="L10">
        <f t="shared" si="5"/>
        <v>1</v>
      </c>
      <c r="M10">
        <f t="shared" si="5"/>
        <v>2</v>
      </c>
      <c r="N10">
        <f t="shared" si="5"/>
        <v>0</v>
      </c>
      <c r="O10">
        <f t="shared" si="5"/>
        <v>1</v>
      </c>
      <c r="P10">
        <f t="shared" si="5"/>
        <v>2</v>
      </c>
      <c r="R10">
        <f t="shared" si="5"/>
        <v>0</v>
      </c>
      <c r="S10">
        <f t="shared" si="5"/>
        <v>0</v>
      </c>
      <c r="T10">
        <f t="shared" si="5"/>
        <v>0</v>
      </c>
      <c r="U10">
        <f t="shared" si="5"/>
        <v>5</v>
      </c>
      <c r="V10">
        <f t="shared" si="5"/>
        <v>10</v>
      </c>
      <c r="W10">
        <f t="shared" si="5"/>
        <v>2</v>
      </c>
      <c r="X10">
        <f t="shared" si="5"/>
        <v>5</v>
      </c>
      <c r="Y10">
        <f t="shared" si="5"/>
        <v>0</v>
      </c>
      <c r="AA10">
        <f t="shared" si="5"/>
        <v>3</v>
      </c>
      <c r="AB10">
        <f t="shared" si="5"/>
        <v>5</v>
      </c>
      <c r="AC10">
        <f t="shared" si="5"/>
        <v>7</v>
      </c>
      <c r="AD10">
        <f t="shared" si="5"/>
        <v>3</v>
      </c>
      <c r="AE10">
        <f t="shared" si="5"/>
        <v>5</v>
      </c>
      <c r="AF10">
        <f t="shared" si="5"/>
        <v>7</v>
      </c>
      <c r="AG10">
        <f t="shared" si="5"/>
        <v>3</v>
      </c>
      <c r="AH10">
        <f t="shared" si="5"/>
        <v>5</v>
      </c>
      <c r="AJ10" t="s">
        <v>613</v>
      </c>
      <c r="AK10">
        <f>B22</f>
        <v>0</v>
      </c>
      <c r="AM10" t="s">
        <v>614</v>
      </c>
      <c r="AN10" t="s">
        <v>209</v>
      </c>
      <c r="AP10" t="s">
        <v>615</v>
      </c>
      <c r="AQ10">
        <f>$B$40</f>
        <v>0.05</v>
      </c>
      <c r="AU10" t="s">
        <v>616</v>
      </c>
      <c r="AY10" t="s">
        <v>617</v>
      </c>
      <c r="AZ10" t="s">
        <v>618</v>
      </c>
      <c r="BB10" t="s">
        <v>619</v>
      </c>
      <c r="BD10" t="s">
        <v>620</v>
      </c>
      <c r="BJ10" t="s">
        <v>621</v>
      </c>
      <c r="BK10" t="s">
        <v>622</v>
      </c>
      <c r="BL10" t="s">
        <v>622</v>
      </c>
      <c r="BM10" t="s">
        <v>622</v>
      </c>
      <c r="BN10" t="s">
        <v>623</v>
      </c>
      <c r="BO10" t="s">
        <v>624</v>
      </c>
      <c r="BP10" t="s">
        <v>625</v>
      </c>
      <c r="BS10" t="s">
        <v>626</v>
      </c>
      <c r="BT10">
        <v>-0.004</v>
      </c>
    </row>
    <row r="11" ht="15" customHeight="1">
      <c r="A11" t="s">
        <v>627</v>
      </c>
      <c r="D11" t="s">
        <v>628</v>
      </c>
      <c r="E11" t="str">
        <f t="shared" si="6" ref="E11:P11">IF(AND(TRIM(RIGHT(E26,6))="Hybrid",E38="310(3)"),"310(3),0%",IF(RIGHT(E26,5)="Fixed",E38,E38&amp;",1%"))</f>
        <v>YM</v>
      </c>
      <c r="F11" t="str">
        <f t="shared" si="6"/>
        <v>YM</v>
      </c>
      <c r="G11" t="str">
        <f t="shared" si="6"/>
        <v>YM</v>
      </c>
      <c r="H11" t="str">
        <f t="shared" si="6"/>
        <v>YM</v>
      </c>
      <c r="I11" t="str">
        <f t="shared" si="6"/>
        <v>YM</v>
      </c>
      <c r="J11" t="str">
        <f t="shared" si="6"/>
        <v>YM</v>
      </c>
      <c r="K11" t="str">
        <f t="shared" si="6"/>
        <v>YM,1%</v>
      </c>
      <c r="L11" t="str">
        <f t="shared" si="6"/>
        <v>YM,1%</v>
      </c>
      <c r="M11" t="str">
        <f t="shared" si="6"/>
        <v>YM</v>
      </c>
      <c r="N11" t="str">
        <f t="shared" si="6"/>
        <v>YM,1%</v>
      </c>
      <c r="O11" t="str">
        <f t="shared" si="6"/>
        <v>YM,1%</v>
      </c>
      <c r="P11" t="str">
        <f t="shared" si="6"/>
        <v>YM</v>
      </c>
      <c r="R11" cm="1" t="str">
        <f t="array" ref="R11">IF(R$38="Yield Maintenance","YM,1%",IF(R$38="Declining Premium",GETFNMDECLININGPREMIUMSTRING(R$98),R$38))</f>
        <v>YM,1%</v>
      </c>
      <c r="S11" cm="1" t="str">
        <f t="array" ref="S11">IF(S$38="Yield Maintenance","YM,1%",IF(S$38="Declining Premium",GETFNMDECLININGPREMIUMSTRING(S$98),S$38))</f>
        <v>YM,1%</v>
      </c>
      <c r="T11" cm="1" t="str">
        <f t="array" ref="T11">IF(T$38="Yield Maintenance","YM,1%",IF(T$38="Declining Premium",GETFNMDECLININGPREMIUMSTRING(T$98),T$38))</f>
        <v>YM,1%</v>
      </c>
      <c r="U11" cm="1" t="str">
        <f t="array" ref="U11">IF(U$38="Yield Maintenance","YM,1%",IF(U$38="Declining Premium",GETFNMDECLININGPREMIUMSTRING(U$98),U$38))</f>
        <v>YM,1%</v>
      </c>
      <c r="V11" cm="1" t="str">
        <f t="array" ref="V11">IF(V$38="Yield Maintenance","YM,1%",IF(V$38="Declining Premium",GETFNMDECLININGPREMIUMSTRING(V$98),V$38))</f>
        <v>YM,1%</v>
      </c>
      <c r="W11" cm="1" t="str">
        <f t="array" ref="W11">IF(W$38="Yield Maintenance","YM,1%",IF(W$38="Declining Premium",GETFNMDECLININGPREMIUMSTRING(W$98),W$38))</f>
        <v>YM,1%</v>
      </c>
      <c r="X11" cm="1" t="str">
        <f t="array" ref="X11">IF(X$38="Yield Maintenance","YM,1%",IF(X$38="Declining Premium",GETFNMDECLININGPREMIUMSTRING(X$98),X$38))</f>
        <v>YM,1%</v>
      </c>
      <c r="Y11" cm="1" t="str">
        <f t="array" ref="Y11">IF(Y$38="Yield Maintenance","YM,1%",IF(Y$38="Declining Premium",GETFNMDECLININGPREMIUMSTRING(Y$98),Y$38))</f>
        <v>YM,1%</v>
      </c>
      <c r="AA11" t="str">
        <f t="shared" si="7" ref="AA11:AH11">IF(AA$38="YM","YM,1%",AA$38)</f>
        <v>1% Prepayment</v>
      </c>
      <c r="AB11" t="str">
        <f t="shared" si="7"/>
        <v>1% Prepayment</v>
      </c>
      <c r="AC11" t="str">
        <f t="shared" si="7"/>
        <v>1% Prepayment</v>
      </c>
      <c r="AD11" t="str">
        <f t="shared" si="7"/>
        <v>1% Prepayment</v>
      </c>
      <c r="AE11" t="str">
        <f t="shared" si="7"/>
        <v>1% Prepayment</v>
      </c>
      <c r="AF11" t="str">
        <f t="shared" si="7"/>
        <v>1% Prepayment</v>
      </c>
      <c r="AG11" t="str">
        <f t="shared" si="7"/>
        <v>1% Prepayment</v>
      </c>
      <c r="AH11" t="str">
        <f t="shared" si="7"/>
        <v>1% Prepayment</v>
      </c>
      <c r="AJ11" t="s">
        <v>632</v>
      </c>
      <c r="AK11" t="s">
        <v>209</v>
      </c>
      <c r="AM11" t="s">
        <v>633</v>
      </c>
      <c r="AN11">
        <f>_xlfn.IFERROR(PMT(AN$8/12,AN$9*12,-1)*12*AN$4,0)</f>
        <v>0</v>
      </c>
      <c r="AP11" t="s">
        <v>634</v>
      </c>
      <c r="AU11" t="s">
        <v>635</v>
      </c>
      <c r="AV11" t="s">
        <v>636</v>
      </c>
      <c r="AW11" t="s">
        <v>453</v>
      </c>
      <c r="AX11" t="s">
        <v>637</v>
      </c>
      <c r="AY11" t="s">
        <v>638</v>
      </c>
      <c r="AZ11" t="s">
        <v>639</v>
      </c>
      <c r="BA11" t="s">
        <v>640</v>
      </c>
      <c r="BB11" t="s">
        <v>639</v>
      </c>
      <c r="BC11" t="s">
        <v>640</v>
      </c>
      <c r="BD11" t="s">
        <v>510</v>
      </c>
      <c r="BE11" t="s">
        <v>641</v>
      </c>
      <c r="BF11" t="s">
        <v>642</v>
      </c>
      <c r="BG11" t="s">
        <v>643</v>
      </c>
      <c r="BH11" t="s">
        <v>644</v>
      </c>
      <c r="BJ11" t="s">
        <v>645</v>
      </c>
      <c r="BK11">
        <v>1</v>
      </c>
      <c r="BL11">
        <v>2</v>
      </c>
      <c r="BM11">
        <v>3</v>
      </c>
      <c r="BN11">
        <v>1</v>
      </c>
      <c r="BO11">
        <v>2</v>
      </c>
      <c r="BP11">
        <v>3</v>
      </c>
      <c r="BS11" t="s">
        <v>646</v>
      </c>
      <c r="BT11">
        <v>-0.0035</v>
      </c>
    </row>
    <row r="12" ht="15" customHeight="1">
      <c r="A12" t="s">
        <v>647</v>
      </c>
      <c r="B12">
        <f>RentRollTotalUnits</f>
        <v>101</v>
      </c>
      <c r="D12" t="s">
        <v>648</v>
      </c>
      <c r="E12" t="str">
        <f t="shared" si="8" ref="E12:P12">IF(E47="Standard Delivery","Standard",E47)</f>
        <v>Standard</v>
      </c>
      <c r="F12" t="str">
        <f t="shared" si="8"/>
        <v>Standard</v>
      </c>
      <c r="G12" t="str">
        <f t="shared" si="8"/>
        <v>Standard</v>
      </c>
      <c r="H12" t="str">
        <f t="shared" si="8"/>
        <v>Standard</v>
      </c>
      <c r="I12" t="str">
        <f t="shared" si="8"/>
        <v>Standard</v>
      </c>
      <c r="J12" t="str">
        <f t="shared" si="8"/>
        <v>Standard</v>
      </c>
      <c r="K12" t="str">
        <f t="shared" si="8"/>
        <v>Standard</v>
      </c>
      <c r="L12" t="str">
        <f t="shared" si="8"/>
        <v>Standard</v>
      </c>
      <c r="M12" t="str">
        <f t="shared" si="8"/>
        <v>Standard</v>
      </c>
      <c r="N12" t="str">
        <f t="shared" si="8"/>
        <v>Standard</v>
      </c>
      <c r="O12" t="str">
        <f t="shared" si="8"/>
        <v>Standard</v>
      </c>
      <c r="P12" t="str">
        <f t="shared" si="8"/>
        <v>Standard</v>
      </c>
      <c r="R12" t="str">
        <f t="shared" si="9" ref="R12:AH12">R47</f>
        <v>Standard</v>
      </c>
      <c r="S12" t="str">
        <f t="shared" si="9"/>
        <v>Standard</v>
      </c>
      <c r="T12" t="str">
        <f t="shared" si="9"/>
        <v>Standard</v>
      </c>
      <c r="U12" t="str">
        <f t="shared" si="9"/>
        <v>Standard</v>
      </c>
      <c r="V12" t="str">
        <f t="shared" si="9"/>
        <v>Standard</v>
      </c>
      <c r="W12" t="str">
        <f t="shared" si="9"/>
        <v>Standard</v>
      </c>
      <c r="X12" t="str">
        <f t="shared" si="9"/>
        <v>Standard</v>
      </c>
      <c r="Y12" t="str">
        <f t="shared" si="9"/>
        <v>Standard</v>
      </c>
      <c r="AA12" t="str">
        <f t="shared" si="9"/>
        <v>Standard</v>
      </c>
      <c r="AB12" t="str">
        <f t="shared" si="9"/>
        <v>Standard</v>
      </c>
      <c r="AC12" t="str">
        <f t="shared" si="9"/>
        <v>Standard</v>
      </c>
      <c r="AD12" t="str">
        <f t="shared" si="9"/>
        <v>Standard</v>
      </c>
      <c r="AE12" t="str">
        <f t="shared" si="9"/>
        <v>Standard</v>
      </c>
      <c r="AF12" t="str">
        <f t="shared" si="9"/>
        <v>Standard</v>
      </c>
      <c r="AG12" t="str">
        <f t="shared" si="9"/>
        <v>Standard</v>
      </c>
      <c r="AH12" t="str">
        <f t="shared" si="9"/>
        <v>Standard</v>
      </c>
      <c r="AJ12" t="s">
        <v>649</v>
      </c>
      <c r="AK12">
        <f>number_units</f>
        <v>101</v>
      </c>
      <c r="AM12" t="s">
        <v>650</v>
      </c>
      <c r="AN12">
        <f>_xlfn.IFERROR(((AN$4*AN$8)*365)/360,0)</f>
        <v>0</v>
      </c>
      <c r="AP12" t="s">
        <v>651</v>
      </c>
      <c r="AU12">
        <v>5</v>
      </c>
      <c r="AV12">
        <v>4.5</v>
      </c>
      <c r="AW12">
        <f>DailyPricing!E23</f>
        <v>0.0069</v>
      </c>
      <c r="AX12">
        <f t="shared" si="26" ref="AX12:AX40">$BA$5</f>
        <v>0.044509</v>
      </c>
      <c r="AY12">
        <v>0.007</v>
      </c>
      <c r="AZ12">
        <f>DailyPricing!E33</f>
        <v>0.0234</v>
      </c>
      <c r="BA12">
        <f t="shared" si="10" ref="BA12:BC50">$AW12+MAX($AX12,$AY12)+AZ12</f>
        <v>0.074809</v>
      </c>
      <c r="BB12">
        <f>DailyPricing!E116</f>
        <v>0.0193</v>
      </c>
      <c r="BC12">
        <f t="shared" si="10"/>
        <v>0.070709</v>
      </c>
      <c r="BD12">
        <f>DailyPricing!E65/100</f>
        <v>0.00005936</v>
      </c>
      <c r="BE12">
        <f>DailyPricing!E66/100</f>
        <v>0.00001328</v>
      </c>
      <c r="BF12">
        <f>DailyPricing!E67/100</f>
        <v>-0.00001809</v>
      </c>
      <c r="BG12">
        <f>DailyPricing!E68/100</f>
        <v>-0.000036270000000000003</v>
      </c>
      <c r="BH12">
        <f>BG12</f>
        <v>-0.000036270000000000003</v>
      </c>
      <c r="BJ12" t="s">
        <v>652</v>
      </c>
      <c r="BK12">
        <v>54321</v>
      </c>
      <c r="BL12">
        <v>5544321</v>
      </c>
      <c r="BM12">
        <v>5544332211</v>
      </c>
      <c r="BN12">
        <v>54321</v>
      </c>
      <c r="BO12">
        <v>5544321</v>
      </c>
      <c r="BP12">
        <v>5544332211</v>
      </c>
      <c r="BS12" t="s">
        <v>653</v>
      </c>
      <c r="BT12">
        <v>-0.0027</v>
      </c>
    </row>
    <row r="13" ht="15" customHeight="1">
      <c r="A13" t="s">
        <v>201</v>
      </c>
      <c r="B13" t="s">
        <v>202</v>
      </c>
      <c r="D13" t="s">
        <v>654</v>
      </c>
      <c r="E13">
        <f t="shared" si="11" ref="E13:AH14">E73</f>
        <v>1.4</v>
      </c>
      <c r="F13">
        <f t="shared" si="11"/>
        <v>1.4</v>
      </c>
      <c r="G13">
        <f t="shared" si="11"/>
        <v>1.4</v>
      </c>
      <c r="H13">
        <f t="shared" si="11"/>
        <v>1.4</v>
      </c>
      <c r="I13">
        <f t="shared" si="11"/>
        <v>1.4</v>
      </c>
      <c r="J13">
        <f t="shared" si="11"/>
        <v>1.4</v>
      </c>
      <c r="K13">
        <f t="shared" si="11"/>
        <v>1.4</v>
      </c>
      <c r="L13">
        <f t="shared" si="11"/>
        <v>1.4</v>
      </c>
      <c r="M13">
        <f t="shared" si="11"/>
        <v>1.4</v>
      </c>
      <c r="N13">
        <f t="shared" si="11"/>
        <v>1.4</v>
      </c>
      <c r="O13">
        <f t="shared" si="11"/>
        <v>1.4</v>
      </c>
      <c r="P13">
        <f t="shared" si="11"/>
        <v>1.4</v>
      </c>
      <c r="R13">
        <f t="shared" si="12" ref="R13:Y13">R72</f>
        <v>1.25</v>
      </c>
      <c r="S13">
        <f t="shared" si="12"/>
        <v>1.25</v>
      </c>
      <c r="T13">
        <f t="shared" si="12"/>
        <v>1.25</v>
      </c>
      <c r="U13">
        <f t="shared" si="12"/>
        <v>1.35</v>
      </c>
      <c r="V13">
        <f t="shared" si="12"/>
        <v>1.55</v>
      </c>
      <c r="W13">
        <f t="shared" si="12"/>
        <v>1.35</v>
      </c>
      <c r="X13">
        <f t="shared" si="12"/>
        <v>1.55</v>
      </c>
      <c r="Y13">
        <f t="shared" si="12"/>
        <v>1.25</v>
      </c>
      <c r="AA13">
        <f t="shared" si="11"/>
        <v>1.35</v>
      </c>
      <c r="AB13">
        <f t="shared" si="11"/>
        <v>1.35</v>
      </c>
      <c r="AC13">
        <f t="shared" si="11"/>
        <v>1.35</v>
      </c>
      <c r="AD13">
        <f t="shared" si="11"/>
        <v>1.35</v>
      </c>
      <c r="AE13">
        <f t="shared" si="11"/>
        <v>1.35</v>
      </c>
      <c r="AF13">
        <f t="shared" si="11"/>
        <v>1.35</v>
      </c>
      <c r="AG13">
        <f t="shared" si="11"/>
        <v>1.35</v>
      </c>
      <c r="AH13">
        <f t="shared" si="11"/>
        <v>1.35</v>
      </c>
      <c r="AJ13" t="s">
        <v>405</v>
      </c>
      <c r="AK13" t="str">
        <f>Property_Type</f>
        <v>Multifamily</v>
      </c>
      <c r="AM13" t="s">
        <v>655</v>
      </c>
      <c r="AN13" t="s">
        <v>656</v>
      </c>
      <c r="AP13" t="s">
        <v>657</v>
      </c>
      <c r="AU13">
        <v>7</v>
      </c>
      <c r="AV13">
        <v>6.5</v>
      </c>
      <c r="AW13">
        <f>DailyPricing!E24</f>
        <v>0.0069</v>
      </c>
      <c r="AX13">
        <f t="shared" si="29" ref="AX13:AX41">$BB$5</f>
        <v>0.044065</v>
      </c>
      <c r="AY13">
        <v>0.008</v>
      </c>
      <c r="AZ13">
        <f>DailyPricing!E34</f>
        <v>0.0207</v>
      </c>
      <c r="BA13">
        <f t="shared" si="10"/>
        <v>0.07166499999999999</v>
      </c>
      <c r="BB13">
        <f>DailyPricing!E117</f>
        <v>0.0166</v>
      </c>
      <c r="BC13">
        <f t="shared" si="10"/>
        <v>0.067565</v>
      </c>
      <c r="BD13">
        <f>DailyPricing!E69/100</f>
        <v>0.00007325</v>
      </c>
      <c r="BE13">
        <f>DailyPricing!E70/100</f>
        <v>0.00003449</v>
      </c>
      <c r="BF13">
        <f>DailyPricing!E71/100</f>
        <v>0.000004180000000000001</v>
      </c>
      <c r="BG13">
        <f>DailyPricing!E72/100</f>
        <v>-0.00003359</v>
      </c>
      <c r="BH13">
        <f>DailyPricing!E73/100</f>
        <v>-0.0000409</v>
      </c>
      <c r="BJ13" t="s">
        <v>658</v>
      </c>
      <c r="BK13">
        <v>0.01</v>
      </c>
      <c r="BL13">
        <v>0.01</v>
      </c>
      <c r="BM13">
        <v>0.01</v>
      </c>
      <c r="BN13" t="s">
        <v>174</v>
      </c>
      <c r="BO13" t="s">
        <v>174</v>
      </c>
      <c r="BP13" t="s">
        <v>174</v>
      </c>
      <c r="BS13" t="s">
        <v>659</v>
      </c>
      <c r="BT13">
        <v>-0.0005</v>
      </c>
    </row>
    <row r="14" ht="15" customHeight="1">
      <c r="A14" t="s">
        <v>660</v>
      </c>
      <c r="B14" t="s">
        <v>188</v>
      </c>
      <c r="D14" t="s">
        <v>661</v>
      </c>
      <c r="E14">
        <f t="shared" si="11"/>
        <v>0.7</v>
      </c>
      <c r="F14">
        <f t="shared" si="11"/>
        <v>0.7</v>
      </c>
      <c r="G14">
        <f t="shared" si="11"/>
        <v>0.7</v>
      </c>
      <c r="H14">
        <f t="shared" si="11"/>
        <v>0.7</v>
      </c>
      <c r="I14">
        <f t="shared" si="11"/>
        <v>0.7</v>
      </c>
      <c r="J14">
        <f t="shared" si="11"/>
        <v>0.7</v>
      </c>
      <c r="K14">
        <f t="shared" si="11"/>
        <v>0.7</v>
      </c>
      <c r="L14">
        <f t="shared" si="11"/>
        <v>0.7</v>
      </c>
      <c r="M14">
        <f t="shared" si="11"/>
        <v>0.7</v>
      </c>
      <c r="N14">
        <f t="shared" si="11"/>
        <v>0.7</v>
      </c>
      <c r="O14">
        <f t="shared" si="11"/>
        <v>0.7</v>
      </c>
      <c r="P14">
        <f t="shared" si="11"/>
        <v>0.7</v>
      </c>
      <c r="R14">
        <f t="shared" si="11"/>
        <v>0.8</v>
      </c>
      <c r="S14">
        <f t="shared" si="11"/>
        <v>0.8</v>
      </c>
      <c r="T14">
        <f t="shared" si="11"/>
        <v>0.8</v>
      </c>
      <c r="U14">
        <f t="shared" si="11"/>
        <v>0.65</v>
      </c>
      <c r="V14">
        <f t="shared" si="11"/>
        <v>0.55</v>
      </c>
      <c r="W14">
        <f t="shared" si="11"/>
        <v>0.65</v>
      </c>
      <c r="X14">
        <f t="shared" si="11"/>
        <v>0.55</v>
      </c>
      <c r="Y14">
        <f t="shared" si="11"/>
        <v>0.8</v>
      </c>
      <c r="AA14">
        <f t="shared" si="11"/>
        <v>0.7</v>
      </c>
      <c r="AB14">
        <f t="shared" si="11"/>
        <v>0.7</v>
      </c>
      <c r="AC14">
        <f t="shared" si="11"/>
        <v>0.7</v>
      </c>
      <c r="AD14">
        <f t="shared" si="11"/>
        <v>0.7</v>
      </c>
      <c r="AE14">
        <f t="shared" si="11"/>
        <v>0.7</v>
      </c>
      <c r="AF14">
        <f t="shared" si="11"/>
        <v>0.7</v>
      </c>
      <c r="AG14">
        <f t="shared" si="11"/>
        <v>0.7</v>
      </c>
      <c r="AH14">
        <f t="shared" si="11"/>
        <v>0.7</v>
      </c>
      <c r="AJ14" t="s">
        <v>662</v>
      </c>
      <c r="AK14" t="s">
        <v>209</v>
      </c>
      <c r="AU14">
        <v>10</v>
      </c>
      <c r="AV14">
        <v>9.5</v>
      </c>
      <c r="AW14">
        <f>DailyPricing!E25</f>
        <v>0.0073</v>
      </c>
      <c r="AX14">
        <f t="shared" si="32" ref="AX14:AX42">$BC$5</f>
        <v>0.043144</v>
      </c>
      <c r="AY14">
        <v>0.009</v>
      </c>
      <c r="AZ14">
        <f>DailyPricing!E35</f>
        <v>0.0192</v>
      </c>
      <c r="BA14">
        <f t="shared" si="10"/>
        <v>0.069644</v>
      </c>
      <c r="BB14">
        <f>DailyPricing!E118</f>
        <v>0.0151</v>
      </c>
      <c r="BC14">
        <f t="shared" si="10"/>
        <v>0.065544</v>
      </c>
      <c r="BD14">
        <f>DailyPricing!E74/100</f>
        <v>0.00009379999999999999</v>
      </c>
      <c r="BE14">
        <f>DailyPricing!E75/100</f>
        <v>0.00007074</v>
      </c>
      <c r="BF14">
        <f>DailyPricing!E76/100</f>
        <v>0.00005143</v>
      </c>
      <c r="BG14">
        <f>DailyPricing!E77/100</f>
        <v>0.00002258</v>
      </c>
      <c r="BH14">
        <f>DailyPricing!E78/100</f>
        <v>-0.00000265</v>
      </c>
      <c r="BJ14" t="s">
        <v>663</v>
      </c>
      <c r="BK14" t="s">
        <v>664</v>
      </c>
      <c r="BL14" t="s">
        <v>664</v>
      </c>
      <c r="BM14" t="s">
        <v>664</v>
      </c>
      <c r="BN14" t="s">
        <v>664</v>
      </c>
      <c r="BO14" t="s">
        <v>664</v>
      </c>
      <c r="BP14" t="s">
        <v>664</v>
      </c>
      <c r="BS14" t="s">
        <v>665</v>
      </c>
      <c r="BT14">
        <v>-0.0045</v>
      </c>
    </row>
    <row r="15" ht="15" customHeight="1">
      <c r="A15" t="s">
        <v>666</v>
      </c>
      <c r="D15" t="s">
        <v>667</v>
      </c>
      <c r="E15">
        <f t="shared" si="13" ref="E15:P15">_xlfn.IFERROR($B$41/E69,0)</f>
        <v>0</v>
      </c>
      <c r="F15">
        <f t="shared" si="13"/>
        <v>0</v>
      </c>
      <c r="G15">
        <f t="shared" si="13"/>
        <v>0</v>
      </c>
      <c r="H15">
        <f t="shared" si="13"/>
        <v>0</v>
      </c>
      <c r="I15">
        <f t="shared" si="13"/>
        <v>0</v>
      </c>
      <c r="J15">
        <f t="shared" si="13"/>
        <v>0</v>
      </c>
      <c r="K15">
        <f t="shared" si="13"/>
        <v>0</v>
      </c>
      <c r="L15">
        <f t="shared" si="13"/>
        <v>0</v>
      </c>
      <c r="M15">
        <f t="shared" si="13"/>
        <v>0</v>
      </c>
      <c r="N15">
        <f t="shared" si="13"/>
        <v>0</v>
      </c>
      <c r="O15">
        <f t="shared" si="13"/>
        <v>0</v>
      </c>
      <c r="P15">
        <f t="shared" si="13"/>
        <v>0</v>
      </c>
      <c r="R15">
        <f t="shared" si="14" ref="R15:Y15">_xlfn.IFERROR($B$44/R69,0)</f>
        <v>0</v>
      </c>
      <c r="S15">
        <f t="shared" si="14"/>
        <v>0</v>
      </c>
      <c r="T15">
        <f t="shared" si="14"/>
        <v>0</v>
      </c>
      <c r="U15">
        <f t="shared" si="14"/>
        <v>0</v>
      </c>
      <c r="V15">
        <f t="shared" si="14"/>
        <v>0</v>
      </c>
      <c r="W15">
        <f t="shared" si="14"/>
        <v>0</v>
      </c>
      <c r="X15">
        <f t="shared" si="14"/>
        <v>0</v>
      </c>
      <c r="Y15">
        <f t="shared" si="14"/>
        <v>0</v>
      </c>
      <c r="AA15">
        <f t="shared" si="15" ref="AA15:AH15">_xlfn.IFERROR($B$44/AA$70,0)</f>
        <v>0</v>
      </c>
      <c r="AB15">
        <f t="shared" si="15"/>
        <v>0</v>
      </c>
      <c r="AC15">
        <f t="shared" si="15"/>
        <v>0</v>
      </c>
      <c r="AD15">
        <f t="shared" si="15"/>
        <v>0</v>
      </c>
      <c r="AE15">
        <f t="shared" si="15"/>
        <v>0</v>
      </c>
      <c r="AF15">
        <f t="shared" si="15"/>
        <v>0</v>
      </c>
      <c r="AG15">
        <f t="shared" si="15"/>
        <v>0</v>
      </c>
      <c r="AH15">
        <f t="shared" si="15"/>
        <v>0</v>
      </c>
      <c r="AJ15" t="s">
        <v>668</v>
      </c>
      <c r="AK15" t="str">
        <f>SBL_YearBuilt</f>
        <v>XXXX</v>
      </c>
      <c r="AM15" t="s">
        <v>669</v>
      </c>
      <c r="AP15" t="s">
        <v>670</v>
      </c>
      <c r="AU15">
        <v>12</v>
      </c>
      <c r="AV15">
        <v>11.5</v>
      </c>
      <c r="AW15">
        <f>DailyPricing!E26</f>
        <v>0.0087</v>
      </c>
      <c r="AX15">
        <f t="shared" si="18" ref="AX15:AX45">$AX$14</f>
        <v>0.043144</v>
      </c>
      <c r="AY15">
        <v>0.009</v>
      </c>
      <c r="AZ15">
        <f>DailyPricing!E36</f>
        <v>0.0192</v>
      </c>
      <c r="BA15">
        <f t="shared" si="10"/>
        <v>0.071044</v>
      </c>
      <c r="BB15">
        <f>DailyPricing!E119</f>
        <v>0.0151</v>
      </c>
      <c r="BC15">
        <f t="shared" si="10"/>
        <v>0.066944</v>
      </c>
      <c r="BD15">
        <f>DailyPricing!E79/100</f>
        <v>0.0001064</v>
      </c>
      <c r="BE15">
        <f>DailyPricing!E80/100</f>
        <v>0.00009410999999999999</v>
      </c>
      <c r="BF15">
        <f>DailyPricing!E81/100</f>
        <v>0.00008375</v>
      </c>
      <c r="BG15">
        <f>DailyPricing!E82/100</f>
        <v>0.00006768</v>
      </c>
      <c r="BH15">
        <f>DailyPricing!E83/100</f>
        <v>0.000048469999999999995</v>
      </c>
      <c r="BJ15" t="s">
        <v>671</v>
      </c>
      <c r="BK15" t="s">
        <v>672</v>
      </c>
      <c r="BL15" t="s">
        <v>672</v>
      </c>
      <c r="BM15" t="s">
        <v>672</v>
      </c>
      <c r="BN15" t="s">
        <v>672</v>
      </c>
      <c r="BO15" t="s">
        <v>672</v>
      </c>
      <c r="BP15" t="s">
        <v>672</v>
      </c>
      <c r="BS15" t="s">
        <v>673</v>
      </c>
      <c r="BT15">
        <v>-0.001</v>
      </c>
    </row>
    <row r="16" ht="15" customHeight="1">
      <c r="A16" t="s">
        <v>283</v>
      </c>
      <c r="B16" t="s">
        <v>284</v>
      </c>
      <c r="D16" t="s">
        <v>674</v>
      </c>
      <c r="E16">
        <f t="shared" si="16" ref="E16:P16">_xlfn.IFERROR(E30/$B$42,"")</f>
        <v>0</v>
      </c>
      <c r="F16">
        <f t="shared" si="16"/>
        <v>0</v>
      </c>
      <c r="G16">
        <f t="shared" si="16"/>
        <v>0</v>
      </c>
      <c r="H16">
        <f t="shared" si="16"/>
        <v>0</v>
      </c>
      <c r="I16">
        <f t="shared" si="16"/>
        <v>0</v>
      </c>
      <c r="J16">
        <f t="shared" si="16"/>
        <v>0</v>
      </c>
      <c r="K16">
        <f t="shared" si="16"/>
        <v>0</v>
      </c>
      <c r="L16">
        <f t="shared" si="16"/>
        <v>0</v>
      </c>
      <c r="M16">
        <f t="shared" si="16"/>
        <v>0</v>
      </c>
      <c r="N16">
        <f t="shared" si="16"/>
        <v>0</v>
      </c>
      <c r="O16">
        <f t="shared" si="16"/>
        <v>0</v>
      </c>
      <c r="P16">
        <f t="shared" si="16"/>
        <v>0</v>
      </c>
      <c r="R16">
        <f t="shared" si="17" ref="R16:AH16">_xlfn.IFERROR(R30/$B$45,"")</f>
        <v>0</v>
      </c>
      <c r="S16">
        <f t="shared" si="17"/>
        <v>0</v>
      </c>
      <c r="T16">
        <f t="shared" si="17"/>
        <v>0</v>
      </c>
      <c r="U16">
        <f t="shared" si="17"/>
        <v>0</v>
      </c>
      <c r="V16">
        <f t="shared" si="17"/>
        <v>0</v>
      </c>
      <c r="W16">
        <f t="shared" si="17"/>
        <v>0</v>
      </c>
      <c r="X16">
        <f t="shared" si="17"/>
        <v>0</v>
      </c>
      <c r="Y16">
        <f t="shared" si="17"/>
        <v>0</v>
      </c>
      <c r="AA16">
        <f t="shared" si="17"/>
        <v>0</v>
      </c>
      <c r="AB16">
        <f t="shared" si="17"/>
        <v>0</v>
      </c>
      <c r="AC16">
        <f t="shared" si="17"/>
        <v>0</v>
      </c>
      <c r="AD16">
        <f t="shared" si="17"/>
        <v>0</v>
      </c>
      <c r="AE16">
        <f t="shared" si="17"/>
        <v>0</v>
      </c>
      <c r="AF16">
        <f t="shared" si="17"/>
        <v>0</v>
      </c>
      <c r="AG16">
        <f t="shared" si="17"/>
        <v>0</v>
      </c>
      <c r="AH16">
        <f t="shared" si="17"/>
        <v>0</v>
      </c>
      <c r="AJ16" t="s">
        <v>675</v>
      </c>
      <c r="AK16" t="s">
        <v>209</v>
      </c>
      <c r="AM16" t="s">
        <v>676</v>
      </c>
      <c r="AN16">
        <v>0</v>
      </c>
      <c r="AP16" t="s">
        <v>677</v>
      </c>
      <c r="AQ16" t="str">
        <f>IF(LEN(AQ4)=0,"-",DATEDIF($AQ$4,TODAY(),"Y")&amp;" yrs, "&amp;DATEDIF($AQ$4,TODAY(),"YM")&amp;" mo")</f>
        <v>-</v>
      </c>
      <c r="AU16">
        <v>15</v>
      </c>
      <c r="AV16">
        <v>14.5</v>
      </c>
      <c r="AW16">
        <f>DailyPricing!E27</f>
        <v>0.0105</v>
      </c>
      <c r="AX16">
        <f t="shared" si="18"/>
        <v>0.043144</v>
      </c>
      <c r="AY16">
        <v>0.009</v>
      </c>
      <c r="AZ16">
        <f>DailyPricing!E37</f>
        <v>0.0192</v>
      </c>
      <c r="BA16">
        <f t="shared" si="10"/>
        <v>0.072844</v>
      </c>
      <c r="BB16">
        <f>DailyPricing!E120</f>
        <v>0.0151</v>
      </c>
      <c r="BC16">
        <f t="shared" si="10"/>
        <v>0.068744</v>
      </c>
      <c r="BD16">
        <f>DailyPricing!E84/100</f>
        <v>0.00010751</v>
      </c>
      <c r="BE16">
        <f>DailyPricing!E85/100</f>
        <v>0.00009582</v>
      </c>
      <c r="BF16">
        <f>DailyPricing!E86/100</f>
        <v>0.00008586</v>
      </c>
      <c r="BG16">
        <f>DailyPricing!E87/100</f>
        <v>0.00006981</v>
      </c>
      <c r="BH16">
        <f>DailyPricing!E88/100</f>
        <v>0.0000404</v>
      </c>
      <c r="BJ16" t="s">
        <v>678</v>
      </c>
      <c r="BS16" t="s">
        <v>679</v>
      </c>
      <c r="BT16">
        <v>0.0022</v>
      </c>
    </row>
    <row r="17" ht="15" customHeight="1">
      <c r="A17" t="s">
        <v>680</v>
      </c>
      <c r="B17" t="s">
        <v>571</v>
      </c>
      <c r="D17" t="s">
        <v>681</v>
      </c>
      <c r="E17" t="e">
        <f t="shared" si="19" ref="E17:AH17">E68</f>
        <v>#N/A</v>
      </c>
      <c r="F17" t="e">
        <f t="shared" si="19"/>
        <v>#N/A</v>
      </c>
      <c r="G17" t="e">
        <f t="shared" si="19"/>
        <v>#N/A</v>
      </c>
      <c r="H17" t="e">
        <f t="shared" si="19"/>
        <v>#N/A</v>
      </c>
      <c r="I17" t="e">
        <f t="shared" si="19"/>
        <v>#N/A</v>
      </c>
      <c r="J17" t="e">
        <f t="shared" si="19"/>
        <v>#N/A</v>
      </c>
      <c r="K17" t="e">
        <f t="shared" si="19"/>
        <v>#N/A</v>
      </c>
      <c r="L17" t="e">
        <f t="shared" si="19"/>
        <v>#N/A</v>
      </c>
      <c r="M17" t="e">
        <f t="shared" si="19"/>
        <v>#N/A</v>
      </c>
      <c r="N17" t="e">
        <f t="shared" si="19"/>
        <v>#N/A</v>
      </c>
      <c r="O17" t="e">
        <f t="shared" si="19"/>
        <v>#N/A</v>
      </c>
      <c r="P17" t="e">
        <f t="shared" si="19"/>
        <v>#N/A</v>
      </c>
      <c r="R17">
        <f t="shared" si="19"/>
        <v>0.070944</v>
      </c>
      <c r="S17">
        <f t="shared" si="19"/>
        <v>0.072144</v>
      </c>
      <c r="T17">
        <f t="shared" si="19"/>
        <v>0.07394400000000001</v>
      </c>
      <c r="U17">
        <f t="shared" si="19"/>
        <v>0.06896658000000001</v>
      </c>
      <c r="V17">
        <f t="shared" si="19"/>
        <v>0.06694135000000001</v>
      </c>
      <c r="W17">
        <f t="shared" si="19"/>
        <v>0.07172228</v>
      </c>
      <c r="X17">
        <f t="shared" si="19"/>
        <v>0.06967273</v>
      </c>
      <c r="Y17">
        <f t="shared" si="19"/>
        <v>0.070944</v>
      </c>
      <c r="AA17">
        <f t="shared" si="19"/>
        <v>0.053704</v>
      </c>
      <c r="AB17">
        <f t="shared" si="19"/>
        <v>0.053704</v>
      </c>
      <c r="AC17">
        <f t="shared" si="19"/>
        <v>0.053704</v>
      </c>
      <c r="AD17">
        <f t="shared" si="19"/>
        <v>0.053704</v>
      </c>
      <c r="AE17">
        <f t="shared" si="19"/>
        <v>0.053704</v>
      </c>
      <c r="AF17">
        <f t="shared" si="19"/>
        <v>0.053704</v>
      </c>
      <c r="AG17">
        <f t="shared" si="19"/>
        <v>0.053704</v>
      </c>
      <c r="AH17">
        <f t="shared" si="19"/>
        <v>0.053704</v>
      </c>
      <c r="AJ17" t="s">
        <v>682</v>
      </c>
      <c r="AK17">
        <v>0</v>
      </c>
      <c r="AM17" t="s">
        <v>683</v>
      </c>
      <c r="AN17">
        <v>0</v>
      </c>
      <c r="AP17" t="s">
        <v>684</v>
      </c>
      <c r="AQ17">
        <f>AQ5+AQ6+AQ21</f>
        <v>0</v>
      </c>
      <c r="AU17">
        <v>18</v>
      </c>
      <c r="AV17">
        <v>15</v>
      </c>
      <c r="AW17">
        <f>DailyPricing!E28</f>
        <v>0.0121</v>
      </c>
      <c r="AX17">
        <f t="shared" si="18"/>
        <v>0.043144</v>
      </c>
      <c r="AY17">
        <v>0.009</v>
      </c>
      <c r="AZ17">
        <f>DailyPricing!E38</f>
        <v>0.0192</v>
      </c>
      <c r="BA17">
        <f t="shared" si="10"/>
        <v>0.074444</v>
      </c>
      <c r="BB17">
        <f>DailyPricing!E121</f>
        <v>0.0151</v>
      </c>
      <c r="BC17">
        <f t="shared" si="10"/>
        <v>0.070344</v>
      </c>
      <c r="BJ17" t="s">
        <v>685</v>
      </c>
      <c r="BK17">
        <v>0.0675</v>
      </c>
      <c r="BL17">
        <v>0.0663</v>
      </c>
      <c r="BM17">
        <v>0.0683</v>
      </c>
      <c r="BN17">
        <v>0.065</v>
      </c>
      <c r="BO17">
        <v>0.0663</v>
      </c>
      <c r="BP17">
        <v>0.0668</v>
      </c>
      <c r="BS17" t="s">
        <v>686</v>
      </c>
      <c r="BT17">
        <v>0.0017</v>
      </c>
    </row>
    <row r="18" ht="15" customHeight="1">
      <c r="A18" t="s">
        <v>687</v>
      </c>
      <c r="B18" t="str">
        <f>IF(ISBLANK(B32),"Requires Manual Lookup",IF(_xlfn.IFERROR(SEARCH("pre-review",B32),0)&gt;0,"MSA (Pre-Review)",IF(_xlfn.IFERROR(SEARCH("Strong",B32),0)&gt;0,"MSA (Strong Market)","MSA (Standard Market)")))</f>
        <v>Requires Manual Lookup</v>
      </c>
      <c r="D18" t="s">
        <v>688</v>
      </c>
      <c r="E18" t="e">
        <f t="shared" si="20" ref="E18:AH18">IF(E$45="Full Term","NA",PMT(E68/12,E46*12,-1)*12*E30)</f>
        <v>#N/A</v>
      </c>
      <c r="F18" t="e">
        <f t="shared" si="20"/>
        <v>#N/A</v>
      </c>
      <c r="G18" t="e">
        <f t="shared" si="20"/>
        <v>#N/A</v>
      </c>
      <c r="H18" t="e">
        <f t="shared" si="20"/>
        <v>#N/A</v>
      </c>
      <c r="I18" t="e">
        <f t="shared" si="20"/>
        <v>#N/A</v>
      </c>
      <c r="J18" t="e">
        <f t="shared" si="20"/>
        <v>#N/A</v>
      </c>
      <c r="K18" t="e">
        <f t="shared" si="20"/>
        <v>#N/A</v>
      </c>
      <c r="L18" t="e">
        <f t="shared" si="20"/>
        <v>#N/A</v>
      </c>
      <c r="M18" t="e">
        <f t="shared" si="20"/>
        <v>#N/A</v>
      </c>
      <c r="N18" t="e">
        <f t="shared" si="20"/>
        <v>#N/A</v>
      </c>
      <c r="O18" t="e">
        <f t="shared" si="20"/>
        <v>#N/A</v>
      </c>
      <c r="P18" t="e">
        <f t="shared" si="20"/>
        <v>#N/A</v>
      </c>
      <c r="R18">
        <f t="shared" si="20"/>
        <v>0</v>
      </c>
      <c r="S18">
        <f t="shared" si="20"/>
        <v>0</v>
      </c>
      <c r="T18">
        <f t="shared" si="20"/>
        <v>0</v>
      </c>
      <c r="U18">
        <f t="shared" si="20"/>
        <v>0</v>
      </c>
      <c r="V18" t="str">
        <f t="shared" si="20"/>
        <v>NA</v>
      </c>
      <c r="W18">
        <f t="shared" si="20"/>
        <v>0</v>
      </c>
      <c r="X18" t="str">
        <f t="shared" si="20"/>
        <v>NA</v>
      </c>
      <c r="Y18">
        <f t="shared" si="20"/>
        <v>0</v>
      </c>
      <c r="AA18" t="str">
        <f t="shared" si="20"/>
        <v>NA</v>
      </c>
      <c r="AB18" t="str">
        <f t="shared" si="20"/>
        <v>NA</v>
      </c>
      <c r="AC18" t="str">
        <f t="shared" si="20"/>
        <v>NA</v>
      </c>
      <c r="AD18" t="str">
        <f t="shared" si="20"/>
        <v>NA</v>
      </c>
      <c r="AE18" t="str">
        <f t="shared" si="20"/>
        <v>NA</v>
      </c>
      <c r="AF18" t="str">
        <f t="shared" si="20"/>
        <v>NA</v>
      </c>
      <c r="AG18" t="str">
        <f t="shared" si="20"/>
        <v>NA</v>
      </c>
      <c r="AH18" t="str">
        <f t="shared" si="20"/>
        <v>NA</v>
      </c>
      <c r="AP18" t="s">
        <v>689</v>
      </c>
      <c r="AQ18">
        <f>IF(AQ17&gt;0,AQ12/AQ17,0)</f>
        <v>0</v>
      </c>
      <c r="AU18">
        <v>30</v>
      </c>
      <c r="AV18">
        <v>15</v>
      </c>
      <c r="AW18">
        <f>DailyPricing!E29</f>
        <v>0.013</v>
      </c>
      <c r="AX18">
        <f t="shared" si="34" ref="AX18:AX46">$BE$5</f>
        <v>0.043957</v>
      </c>
      <c r="AY18">
        <v>0.013</v>
      </c>
      <c r="AZ18">
        <f>DailyPricing!E39</f>
        <v>0.0192</v>
      </c>
      <c r="BA18">
        <f t="shared" si="10"/>
        <v>0.076157</v>
      </c>
      <c r="BB18">
        <f>DailyPricing!E122</f>
        <v>0.0151</v>
      </c>
      <c r="BC18">
        <f t="shared" si="10"/>
        <v>0.072057</v>
      </c>
      <c r="BJ18" t="s">
        <v>690</v>
      </c>
      <c r="BK18">
        <v>0.071</v>
      </c>
      <c r="BL18">
        <v>0.0698</v>
      </c>
      <c r="BM18">
        <v>0.0713</v>
      </c>
      <c r="BN18">
        <v>0.069</v>
      </c>
      <c r="BO18">
        <v>0.0698</v>
      </c>
      <c r="BP18">
        <v>0.0698</v>
      </c>
      <c r="BS18" t="s">
        <v>691</v>
      </c>
      <c r="BT18">
        <v>0.0013</v>
      </c>
    </row>
    <row r="19" ht="15" customHeight="1">
      <c r="A19" t="s">
        <v>692</v>
      </c>
      <c r="B19" t="s">
        <v>571</v>
      </c>
      <c r="D19" t="s">
        <v>693</v>
      </c>
      <c r="E19" t="e">
        <f t="shared" si="21" ref="E19:AH19">(E30*E68*365)/360</f>
        <v>#N/A</v>
      </c>
      <c r="F19" t="e">
        <f t="shared" si="21"/>
        <v>#N/A</v>
      </c>
      <c r="G19" t="e">
        <f t="shared" si="21"/>
        <v>#N/A</v>
      </c>
      <c r="H19" t="e">
        <f t="shared" si="21"/>
        <v>#N/A</v>
      </c>
      <c r="I19" t="e">
        <f t="shared" si="21"/>
        <v>#N/A</v>
      </c>
      <c r="J19" t="e">
        <f t="shared" si="21"/>
        <v>#N/A</v>
      </c>
      <c r="K19" t="e">
        <f t="shared" si="21"/>
        <v>#N/A</v>
      </c>
      <c r="L19" t="e">
        <f t="shared" si="21"/>
        <v>#N/A</v>
      </c>
      <c r="M19" t="e">
        <f t="shared" si="21"/>
        <v>#N/A</v>
      </c>
      <c r="N19" t="e">
        <f t="shared" si="21"/>
        <v>#N/A</v>
      </c>
      <c r="O19" t="e">
        <f t="shared" si="21"/>
        <v>#N/A</v>
      </c>
      <c r="P19" t="e">
        <f t="shared" si="21"/>
        <v>#N/A</v>
      </c>
      <c r="R19">
        <f t="shared" si="21"/>
        <v>0</v>
      </c>
      <c r="S19">
        <f t="shared" si="21"/>
        <v>0</v>
      </c>
      <c r="T19">
        <f t="shared" si="21"/>
        <v>0</v>
      </c>
      <c r="U19">
        <f t="shared" si="21"/>
        <v>0</v>
      </c>
      <c r="V19">
        <f t="shared" si="21"/>
        <v>0</v>
      </c>
      <c r="W19">
        <f t="shared" si="21"/>
        <v>0</v>
      </c>
      <c r="X19">
        <f t="shared" si="21"/>
        <v>0</v>
      </c>
      <c r="Y19">
        <f t="shared" si="21"/>
        <v>0</v>
      </c>
      <c r="AA19">
        <f t="shared" si="21"/>
        <v>0</v>
      </c>
      <c r="AB19">
        <f t="shared" si="21"/>
        <v>0</v>
      </c>
      <c r="AC19">
        <f t="shared" si="21"/>
        <v>0</v>
      </c>
      <c r="AD19">
        <f t="shared" si="21"/>
        <v>0</v>
      </c>
      <c r="AE19">
        <f t="shared" si="21"/>
        <v>0</v>
      </c>
      <c r="AF19">
        <f t="shared" si="21"/>
        <v>0</v>
      </c>
      <c r="AG19">
        <f t="shared" si="21"/>
        <v>0</v>
      </c>
      <c r="AH19">
        <f t="shared" si="21"/>
        <v>0</v>
      </c>
      <c r="AJ19" t="s">
        <v>694</v>
      </c>
      <c r="AM19" t="s">
        <v>695</v>
      </c>
      <c r="AP19" t="s">
        <v>696</v>
      </c>
      <c r="AQ19">
        <f>AQ12-AQ7</f>
        <v>0</v>
      </c>
      <c r="AU19" t="s">
        <v>635</v>
      </c>
      <c r="AV19" t="s">
        <v>636</v>
      </c>
      <c r="AX19" t="s">
        <v>697</v>
      </c>
      <c r="BJ19" t="s">
        <v>698</v>
      </c>
      <c r="BS19" t="s">
        <v>699</v>
      </c>
      <c r="BT19">
        <v>0.0011</v>
      </c>
    </row>
    <row r="20" ht="15" customHeight="1">
      <c r="A20" t="s">
        <v>700</v>
      </c>
      <c r="B20" t="s">
        <v>571</v>
      </c>
      <c r="D20" t="s">
        <v>701</v>
      </c>
      <c r="AJ20" t="s">
        <v>702</v>
      </c>
      <c r="AK20" t="s">
        <v>209</v>
      </c>
      <c r="AM20" t="s">
        <v>703</v>
      </c>
      <c r="AN20" t="s">
        <v>209</v>
      </c>
      <c r="AP20" t="s">
        <v>704</v>
      </c>
      <c r="AQ20">
        <f>IF(AQ12&gt;0,AQ19/AQ12,0)</f>
        <v>0</v>
      </c>
      <c r="AU20">
        <v>5</v>
      </c>
      <c r="AV20">
        <v>3</v>
      </c>
      <c r="AW20">
        <f>DailyPricing!E30</f>
        <v>0.0129</v>
      </c>
      <c r="AX20">
        <f>'SBL Quotes'!$BA$5</f>
        <v>0.044509</v>
      </c>
      <c r="AY20">
        <v>0.007</v>
      </c>
      <c r="AZ20">
        <f>DailyPricing!E40</f>
        <v>0.0234</v>
      </c>
      <c r="BA20">
        <f t="shared" si="10"/>
        <v>0.080809</v>
      </c>
      <c r="BB20">
        <f>DailyPricing!E123</f>
        <v>0.0196</v>
      </c>
      <c r="BC20">
        <f t="shared" si="10"/>
        <v>0.077009</v>
      </c>
      <c r="BJ20" t="s">
        <v>705</v>
      </c>
      <c r="BS20" t="s">
        <v>706</v>
      </c>
      <c r="BT20">
        <v>0.001</v>
      </c>
    </row>
    <row r="21" ht="15" customHeight="1">
      <c r="A21" t="s">
        <v>707</v>
      </c>
      <c r="B21" t="s">
        <v>501</v>
      </c>
      <c r="AJ21" t="s">
        <v>708</v>
      </c>
      <c r="AK21" s="1">
        <f>TODAY()</f>
        <v>45189</v>
      </c>
      <c r="AM21" t="s">
        <v>709</v>
      </c>
      <c r="AN21">
        <f>'Rent Roll'!$D$132</f>
        <v>0</v>
      </c>
      <c r="AP21" t="s">
        <v>710</v>
      </c>
      <c r="AQ21">
        <f>AQ7*3%</f>
        <v>0</v>
      </c>
      <c r="AU21">
        <v>7</v>
      </c>
      <c r="AV21">
        <v>5</v>
      </c>
      <c r="AW21">
        <f>DailyPricing!E31</f>
        <v>0.0129</v>
      </c>
      <c r="AX21">
        <f>'SBL Quotes'!$BB$5</f>
        <v>0.044065</v>
      </c>
      <c r="AY21">
        <v>0.008</v>
      </c>
      <c r="AZ21">
        <f>DailyPricing!E41</f>
        <v>0.0207</v>
      </c>
      <c r="BA21">
        <f t="shared" si="10"/>
        <v>0.077665</v>
      </c>
      <c r="BB21">
        <f>DailyPricing!E124</f>
        <v>0.0169</v>
      </c>
      <c r="BC21">
        <f t="shared" si="10"/>
        <v>0.073865</v>
      </c>
      <c r="BJ21" t="s">
        <v>711</v>
      </c>
      <c r="BK21" t="s">
        <v>712</v>
      </c>
      <c r="BL21" t="s">
        <v>712</v>
      </c>
      <c r="BM21" t="s">
        <v>712</v>
      </c>
      <c r="BN21" t="s">
        <v>712</v>
      </c>
      <c r="BO21" t="s">
        <v>712</v>
      </c>
      <c r="BP21" t="s">
        <v>712</v>
      </c>
      <c r="BS21" t="s">
        <v>713</v>
      </c>
      <c r="BT21">
        <v>0.001</v>
      </c>
    </row>
    <row r="22" ht="15" customHeight="1">
      <c r="A22" t="s">
        <v>714</v>
      </c>
      <c r="AJ22" t="s">
        <v>715</v>
      </c>
      <c r="AK22">
        <f>IF(B38="Refinance",IF(B53="Freddie Mac SBL",B42,B45),B39)</f>
        <v>-34419044.199999996</v>
      </c>
      <c r="AM22" t="s">
        <v>716</v>
      </c>
      <c r="AN22">
        <v>0.9</v>
      </c>
      <c r="AU22">
        <v>10</v>
      </c>
      <c r="AV22">
        <v>7</v>
      </c>
      <c r="AW22">
        <f>DailyPricing!E32</f>
        <v>0.0133</v>
      </c>
      <c r="AX22">
        <f>'SBL Quotes'!$BC$5</f>
        <v>0.043144</v>
      </c>
      <c r="AY22">
        <v>0.009</v>
      </c>
      <c r="AZ22">
        <f>DailyPricing!E42</f>
        <v>0.0192</v>
      </c>
      <c r="BA22">
        <f t="shared" si="10"/>
        <v>0.075644</v>
      </c>
      <c r="BB22">
        <f>DailyPricing!E125</f>
        <v>0.0153</v>
      </c>
      <c r="BC22">
        <f t="shared" si="10"/>
        <v>0.071744</v>
      </c>
      <c r="BJ22" t="s">
        <v>717</v>
      </c>
      <c r="BK22" t="s">
        <v>712</v>
      </c>
      <c r="BL22" t="s">
        <v>712</v>
      </c>
      <c r="BM22" t="s">
        <v>712</v>
      </c>
      <c r="BN22" t="s">
        <v>712</v>
      </c>
      <c r="BO22" t="s">
        <v>712</v>
      </c>
      <c r="BP22" t="s">
        <v>712</v>
      </c>
      <c r="BS22" t="s">
        <v>718</v>
      </c>
      <c r="BT22">
        <v>0.001</v>
      </c>
    </row>
    <row r="23" ht="15" customHeight="1">
      <c r="A23" t="s">
        <v>719</v>
      </c>
      <c r="B23">
        <f>IF(OR(B22="Top",B22="Standard"),0,IF(B22="Small",0.1,0.2))</f>
        <v>0.2</v>
      </c>
      <c r="E23">
        <f t="shared" si="22" ref="E23:P23">IF(AND($B$53="Freddie Mac SBL",$B$54=VALUE(RIGHT(E5,2))),"Selected","")</f>
      </c>
      <c r="F23">
        <f t="shared" si="22"/>
      </c>
      <c r="G23">
        <f t="shared" si="22"/>
      </c>
      <c r="H23">
        <f t="shared" si="22"/>
      </c>
      <c r="I23">
        <f t="shared" si="22"/>
      </c>
      <c r="J23">
        <f t="shared" si="22"/>
      </c>
      <c r="K23">
        <f t="shared" si="22"/>
      </c>
      <c r="L23">
        <f t="shared" si="22"/>
      </c>
      <c r="M23">
        <f t="shared" si="22"/>
      </c>
      <c r="N23">
        <f t="shared" si="22"/>
      </c>
      <c r="O23">
        <f t="shared" si="22"/>
      </c>
      <c r="P23">
        <f t="shared" si="22"/>
      </c>
      <c r="R23">
        <f t="shared" si="23" ref="R23:Y23">IF(AND($B$53="Fannie Mae SML",$B$54=VALUE(RIGHT(R5,2))),"Selected","")</f>
      </c>
      <c r="S23">
        <f t="shared" si="23"/>
      </c>
      <c r="T23">
        <f t="shared" si="23"/>
      </c>
      <c r="U23">
        <f t="shared" si="23"/>
      </c>
      <c r="V23">
        <f t="shared" si="23"/>
      </c>
      <c r="W23">
        <f t="shared" si="23"/>
      </c>
      <c r="X23">
        <f t="shared" si="23"/>
      </c>
      <c r="Y23">
        <f t="shared" si="23"/>
      </c>
      <c r="AA23">
        <f t="shared" si="24" ref="AA23:AH23">IF(AND($B$53="Proprietary Capital",$B$54=VALUE(RIGHT(AA5,2))),"Selected","")</f>
      </c>
      <c r="AB23">
        <f t="shared" si="24"/>
      </c>
      <c r="AC23">
        <f t="shared" si="24"/>
      </c>
      <c r="AD23">
        <f t="shared" si="24"/>
      </c>
      <c r="AE23">
        <f t="shared" si="24"/>
      </c>
      <c r="AF23">
        <f t="shared" si="24"/>
      </c>
      <c r="AG23">
        <f t="shared" si="24"/>
      </c>
      <c r="AH23">
        <f t="shared" si="24"/>
      </c>
      <c r="AJ23" t="s">
        <v>720</v>
      </c>
      <c r="AK23">
        <v>0</v>
      </c>
      <c r="AM23" t="s">
        <v>721</v>
      </c>
      <c r="AN23">
        <f>T3_Annualized_NRI</f>
        <v>4904876</v>
      </c>
      <c r="AP23" t="s">
        <v>722</v>
      </c>
      <c r="BS23" t="s">
        <v>723</v>
      </c>
      <c r="BT23">
        <v>0.0425</v>
      </c>
    </row>
    <row r="24" ht="15" customHeight="1">
      <c r="A24" t="s">
        <v>724</v>
      </c>
      <c r="B24" t="s">
        <v>451</v>
      </c>
      <c r="D24" t="s">
        <v>725</v>
      </c>
      <c r="E24" t="s">
        <v>726</v>
      </c>
      <c r="R24" t="s">
        <v>727</v>
      </c>
      <c r="AA24" t="s">
        <v>525</v>
      </c>
      <c r="AJ24" t="s">
        <v>728</v>
      </c>
      <c r="AK24">
        <v>0</v>
      </c>
      <c r="AM24" t="s">
        <v>729</v>
      </c>
      <c r="AN24">
        <f>B41</f>
        <v>-1616089.29</v>
      </c>
      <c r="AP24" t="s">
        <v>730</v>
      </c>
      <c r="AQ24">
        <f t="shared" si="25" ref="AQ24:AQ25">AQ8*12</f>
        <v>0</v>
      </c>
      <c r="AU24" t="s">
        <v>731</v>
      </c>
      <c r="AW24" t="s">
        <v>697</v>
      </c>
      <c r="AX24" t="s">
        <v>697</v>
      </c>
      <c r="AY24" t="s">
        <v>617</v>
      </c>
      <c r="AZ24" t="s">
        <v>618</v>
      </c>
      <c r="BB24" t="s">
        <v>619</v>
      </c>
      <c r="BD24" t="s">
        <v>732</v>
      </c>
      <c r="BJ24" t="s">
        <v>733</v>
      </c>
      <c r="BK24">
        <v>-10</v>
      </c>
      <c r="BL24">
        <v>-10</v>
      </c>
      <c r="BM24">
        <v>-10</v>
      </c>
      <c r="BN24">
        <v>-10</v>
      </c>
      <c r="BO24">
        <v>-10</v>
      </c>
      <c r="BP24">
        <v>-10</v>
      </c>
      <c r="BS24" t="s">
        <v>734</v>
      </c>
      <c r="BT24">
        <v>0.0675</v>
      </c>
    </row>
    <row r="25" ht="15" customHeight="1">
      <c r="A25" t="str">
        <f>IF(AND(SblQuotes_FreddieMktTier="Top",OR(region="NE",region="WE")),"Affordability Discount &gt;40% Uncapped","Affordability Discount &gt;50% Uncapped")</f>
        <v>Affordability Discount &gt;50% Uncapped</v>
      </c>
      <c r="B25" t="str">
        <f>IF(IF(AND(SblQuotes_FreddieMktTier="Top",OR(region="NE",region="WE")),AMI_MissionDriven_Discount_Afford40,AMI_MissionDriven_Discount_Afford50),"Yes","No")</f>
        <v>No</v>
      </c>
      <c r="D25" t="s">
        <v>736</v>
      </c>
      <c r="AJ25" t="s">
        <v>737</v>
      </c>
      <c r="AK25">
        <f>SUM(AK22:AK24)</f>
        <v>-34419044.199999996</v>
      </c>
      <c r="AM25" t="s">
        <v>738</v>
      </c>
      <c r="AN25">
        <f>B40</f>
        <v>0.05</v>
      </c>
      <c r="AP25" t="s">
        <v>739</v>
      </c>
      <c r="AQ25">
        <f t="shared" si="25"/>
        <v>0</v>
      </c>
      <c r="AU25" t="s">
        <v>635</v>
      </c>
      <c r="AV25" t="s">
        <v>636</v>
      </c>
      <c r="AW25" t="s">
        <v>453</v>
      </c>
      <c r="AX25" t="s">
        <v>637</v>
      </c>
      <c r="AY25" t="s">
        <v>638</v>
      </c>
      <c r="AZ25" t="s">
        <v>639</v>
      </c>
      <c r="BA25" t="s">
        <v>640</v>
      </c>
      <c r="BB25" t="s">
        <v>639</v>
      </c>
      <c r="BC25" t="s">
        <v>640</v>
      </c>
      <c r="BD25" t="s">
        <v>510</v>
      </c>
      <c r="BE25" t="s">
        <v>641</v>
      </c>
      <c r="BF25" t="s">
        <v>642</v>
      </c>
      <c r="BG25" t="s">
        <v>643</v>
      </c>
      <c r="BH25" t="s">
        <v>644</v>
      </c>
      <c r="BS25" t="s">
        <v>740</v>
      </c>
      <c r="BT25">
        <v>0.055</v>
      </c>
    </row>
    <row r="26" ht="15" customHeight="1">
      <c r="A26" t="s">
        <v>741</v>
      </c>
      <c r="B26" t="str">
        <f>IF(AMI_MissionDriven_Discount_Afford80,"Yes","No")</f>
        <v>No</v>
      </c>
      <c r="D26" t="s">
        <v>742</v>
      </c>
      <c r="E26" t="s">
        <v>533</v>
      </c>
      <c r="F26" t="s">
        <v>534</v>
      </c>
      <c r="G26" t="s">
        <v>535</v>
      </c>
      <c r="H26" t="s">
        <v>533</v>
      </c>
      <c r="I26" t="s">
        <v>534</v>
      </c>
      <c r="J26" t="s">
        <v>535</v>
      </c>
      <c r="K26" t="s">
        <v>530</v>
      </c>
      <c r="L26" t="s">
        <v>531</v>
      </c>
      <c r="M26" t="s">
        <v>535</v>
      </c>
      <c r="N26" t="s">
        <v>530</v>
      </c>
      <c r="O26" t="s">
        <v>531</v>
      </c>
      <c r="P26" t="s">
        <v>535</v>
      </c>
      <c r="R26" t="s">
        <v>535</v>
      </c>
      <c r="S26" t="s">
        <v>558</v>
      </c>
      <c r="T26" t="s">
        <v>559</v>
      </c>
      <c r="U26" t="s">
        <v>535</v>
      </c>
      <c r="V26" t="s">
        <v>535</v>
      </c>
      <c r="W26" t="s">
        <v>533</v>
      </c>
      <c r="X26" t="s">
        <v>533</v>
      </c>
      <c r="Y26" t="s">
        <v>560</v>
      </c>
      <c r="AA26" t="s">
        <v>561</v>
      </c>
      <c r="AB26" t="s">
        <v>562</v>
      </c>
      <c r="AC26" t="s">
        <v>563</v>
      </c>
      <c r="AD26" t="s">
        <v>561</v>
      </c>
      <c r="AE26" t="s">
        <v>562</v>
      </c>
      <c r="AF26" t="s">
        <v>563</v>
      </c>
      <c r="AG26" t="s">
        <v>561</v>
      </c>
      <c r="AH26" t="s">
        <v>562</v>
      </c>
      <c r="AJ26" t="s">
        <v>689</v>
      </c>
      <c r="AK26">
        <f>IF(AK25&gt;0,AN4/AK25,0)</f>
        <v>0</v>
      </c>
      <c r="AM26" t="str">
        <f>IF($AK$20&lt;&gt;"Acquisition","NRI at Acquisition","N/A")</f>
        <v>NRI at Acquisition</v>
      </c>
      <c r="AN26">
        <f>'Freddie I&amp;E'!AD23</f>
        <v>1432397</v>
      </c>
      <c r="AP26" t="s">
        <v>744</v>
      </c>
      <c r="AQ26">
        <f>AQ25-AQ24</f>
        <v>0</v>
      </c>
      <c r="AU26">
        <v>5</v>
      </c>
      <c r="AV26">
        <v>4.5</v>
      </c>
      <c r="AW26">
        <f t="shared" si="27" ref="AW26:BH36">AW12</f>
        <v>0.0069</v>
      </c>
      <c r="AX26">
        <f t="shared" si="26"/>
        <v>0.044509</v>
      </c>
      <c r="AY26">
        <v>0.007</v>
      </c>
      <c r="AZ26">
        <f>DailyPricing!E43</f>
        <v>0.018</v>
      </c>
      <c r="BA26">
        <f t="shared" si="10"/>
        <v>0.069409</v>
      </c>
      <c r="BB26">
        <f>DailyPricing!E126</f>
        <v>0.0139</v>
      </c>
      <c r="BC26">
        <f t="shared" si="10"/>
        <v>0.06530899999999999</v>
      </c>
      <c r="BD26">
        <f t="shared" si="27"/>
        <v>0.00005936</v>
      </c>
      <c r="BE26">
        <f t="shared" si="27"/>
        <v>0.00001328</v>
      </c>
      <c r="BF26">
        <f t="shared" si="27"/>
        <v>-0.00001809</v>
      </c>
      <c r="BG26">
        <f t="shared" si="27"/>
        <v>-0.000036270000000000003</v>
      </c>
      <c r="BH26">
        <f t="shared" si="27"/>
        <v>-0.000036270000000000003</v>
      </c>
      <c r="BJ26" t="s">
        <v>745</v>
      </c>
      <c r="BS26" t="s">
        <v>746</v>
      </c>
      <c r="BT26">
        <v>0.05</v>
      </c>
    </row>
    <row r="27" ht="15" customHeight="1">
      <c r="A27" t="s">
        <v>733</v>
      </c>
      <c r="B27" t="str">
        <f>IF(AND(AMI_MissionDriven_Discount_Afford80,number_units&lt;=50),"Yes","No")</f>
        <v>No</v>
      </c>
      <c r="D27" t="s">
        <v>747</v>
      </c>
      <c r="R27">
        <f t="shared" si="28" ref="R27:Y27">_xlfn.LET(_xlpm.Term,R26,IF(NOT(OR(ISNUMBER(SEARCH("Variable",_xlpm.Term)),_xlpm.Term="5 YR Fixed",_xlpm.Term="7 YR Fixed",_xlpm.Term="10 YR Fixed",_xlpm.Term="12 YR Fixed",_xlpm.Term="15 YR Fixed",_xlpm.Term="30 YR Fixed")),"Yes",""))</f>
      </c>
      <c r="S27">
        <f t="shared" si="28"/>
      </c>
      <c r="T27">
        <f t="shared" si="28"/>
      </c>
      <c r="U27">
        <f t="shared" si="28"/>
      </c>
      <c r="V27">
        <f t="shared" si="28"/>
      </c>
      <c r="W27">
        <f t="shared" si="28"/>
      </c>
      <c r="X27">
        <f t="shared" si="28"/>
      </c>
      <c r="Y27">
        <f t="shared" si="28"/>
      </c>
      <c r="AJ27" t="s">
        <v>748</v>
      </c>
      <c r="AK27">
        <f>IF(AK21="",0,(TODAY()-AK21)/365)</f>
        <v>0</v>
      </c>
      <c r="AM27" t="str">
        <f>IF($AK$20&lt;&gt;"Acquisition","Capitalized Income Value Add since Acq.","N/A")</f>
        <v>Capitalized Income Value Add since Acq.</v>
      </c>
      <c r="AN27">
        <f>IF($AN$25="","",($AN$23-$AN$26)/$AN$25)</f>
        <v>69449580</v>
      </c>
      <c r="AP27" t="s">
        <v>750</v>
      </c>
      <c r="AQ27">
        <f>IF(AQ10=0,0,AQ26/AQ10)</f>
        <v>0</v>
      </c>
      <c r="AU27">
        <v>7</v>
      </c>
      <c r="AV27">
        <v>6.5</v>
      </c>
      <c r="AW27">
        <f t="shared" si="27"/>
        <v>0.0069</v>
      </c>
      <c r="AX27">
        <f t="shared" si="29"/>
        <v>0.044065</v>
      </c>
      <c r="AY27">
        <v>0.008</v>
      </c>
      <c r="AZ27">
        <f>DailyPricing!E44</f>
        <v>0.0176</v>
      </c>
      <c r="BA27">
        <f t="shared" si="10"/>
        <v>0.068565</v>
      </c>
      <c r="BB27">
        <f>DailyPricing!E127</f>
        <v>0.0135</v>
      </c>
      <c r="BC27">
        <f t="shared" si="10"/>
        <v>0.064465</v>
      </c>
      <c r="BD27">
        <f t="shared" si="27"/>
        <v>0.00007325</v>
      </c>
      <c r="BE27">
        <f t="shared" si="27"/>
        <v>0.00003449</v>
      </c>
      <c r="BF27">
        <f t="shared" si="27"/>
        <v>0.000004180000000000001</v>
      </c>
      <c r="BG27">
        <f t="shared" si="27"/>
        <v>-0.00003359</v>
      </c>
      <c r="BH27">
        <f t="shared" si="27"/>
        <v>-0.0000409</v>
      </c>
      <c r="BJ27" t="s">
        <v>751</v>
      </c>
      <c r="BK27" t="s">
        <v>630</v>
      </c>
      <c r="BL27" t="s">
        <v>630</v>
      </c>
      <c r="BM27" t="s">
        <v>630</v>
      </c>
      <c r="BN27" t="s">
        <v>629</v>
      </c>
      <c r="BO27" t="s">
        <v>629</v>
      </c>
      <c r="BP27" t="s">
        <v>629</v>
      </c>
    </row>
    <row r="28" ht="15" customHeight="1">
      <c r="A28" t="s">
        <v>752</v>
      </c>
      <c r="B28" t="s">
        <v>451</v>
      </c>
      <c r="D28" t="s">
        <v>753</v>
      </c>
      <c r="E28">
        <f t="shared" si="30" ref="E28:P28">ROUNDDOWN(MIN(E76:E77,E25),-3)</f>
        <v>-22625000</v>
      </c>
      <c r="F28">
        <f t="shared" si="30"/>
        <v>-22625000</v>
      </c>
      <c r="G28">
        <f t="shared" si="30"/>
        <v>-22625000</v>
      </c>
      <c r="H28">
        <f t="shared" si="30"/>
        <v>-22625000</v>
      </c>
      <c r="I28">
        <f t="shared" si="30"/>
        <v>-22625000</v>
      </c>
      <c r="J28">
        <f t="shared" si="30"/>
        <v>-22625000</v>
      </c>
      <c r="K28">
        <f t="shared" si="30"/>
        <v>-22625000</v>
      </c>
      <c r="L28">
        <f t="shared" si="30"/>
        <v>-22625000</v>
      </c>
      <c r="M28">
        <f t="shared" si="30"/>
        <v>-22625000</v>
      </c>
      <c r="N28">
        <f t="shared" si="30"/>
        <v>-22625000</v>
      </c>
      <c r="O28">
        <f t="shared" si="30"/>
        <v>-22625000</v>
      </c>
      <c r="P28">
        <f t="shared" si="30"/>
        <v>-22625000</v>
      </c>
      <c r="R28">
        <f t="shared" si="31" ref="R28:AH28">ROUNDDOWN(MIN(R76:R78,R25),-3)</f>
        <v>-27535000</v>
      </c>
      <c r="S28">
        <f t="shared" si="31"/>
        <v>-27535000</v>
      </c>
      <c r="T28">
        <f t="shared" si="31"/>
        <v>-27535000</v>
      </c>
      <c r="U28">
        <f t="shared" si="31"/>
        <v>-22372000</v>
      </c>
      <c r="V28">
        <f t="shared" si="31"/>
        <v>-18930000</v>
      </c>
      <c r="W28">
        <f t="shared" si="31"/>
        <v>-22372000</v>
      </c>
      <c r="X28">
        <f t="shared" si="31"/>
        <v>-18930000</v>
      </c>
      <c r="Y28">
        <f t="shared" si="31"/>
        <v>-27535000</v>
      </c>
      <c r="AA28">
        <f t="shared" si="31"/>
        <v>-24093000</v>
      </c>
      <c r="AB28">
        <f t="shared" si="31"/>
        <v>-24093000</v>
      </c>
      <c r="AC28">
        <f t="shared" si="31"/>
        <v>-24093000</v>
      </c>
      <c r="AD28">
        <f t="shared" si="31"/>
        <v>-24093000</v>
      </c>
      <c r="AE28">
        <f t="shared" si="31"/>
        <v>-24093000</v>
      </c>
      <c r="AF28">
        <f t="shared" si="31"/>
        <v>-24093000</v>
      </c>
      <c r="AG28">
        <f t="shared" si="31"/>
        <v>-24093000</v>
      </c>
      <c r="AH28">
        <f t="shared" si="31"/>
        <v>-24093000</v>
      </c>
      <c r="AJ28" t="s">
        <v>754</v>
      </c>
      <c r="AK28">
        <f>IF(AK20="Acquisition",SUM(AK22:AK23),IF(AK20="Financing within 1 year of acquisition",AK25,AN24/AN25))</f>
        <v>-32321785.8</v>
      </c>
      <c r="AM28" t="s">
        <v>755</v>
      </c>
      <c r="AN28">
        <f>AN27+AK22</f>
        <v>35030535.800000004</v>
      </c>
      <c r="AP28" t="s">
        <v>756</v>
      </c>
      <c r="AQ28">
        <f>AQ5+AQ6+AQ27</f>
        <v>0</v>
      </c>
      <c r="AU28">
        <v>10</v>
      </c>
      <c r="AV28">
        <v>9.5</v>
      </c>
      <c r="AW28">
        <f t="shared" si="27"/>
        <v>0.0073</v>
      </c>
      <c r="AX28">
        <f t="shared" si="32"/>
        <v>0.043144</v>
      </c>
      <c r="AY28">
        <v>0.009</v>
      </c>
      <c r="AZ28">
        <f>DailyPricing!E45</f>
        <v>0.0172</v>
      </c>
      <c r="BA28">
        <f t="shared" si="10"/>
        <v>0.06764400000000001</v>
      </c>
      <c r="BB28">
        <f>DailyPricing!E128</f>
        <v>0.0131</v>
      </c>
      <c r="BC28">
        <f t="shared" si="10"/>
        <v>0.063544</v>
      </c>
      <c r="BD28">
        <f t="shared" si="27"/>
        <v>0.00009379999999999999</v>
      </c>
      <c r="BE28">
        <f t="shared" si="27"/>
        <v>0.00007074</v>
      </c>
      <c r="BF28">
        <f t="shared" si="27"/>
        <v>0.00005143</v>
      </c>
      <c r="BG28">
        <f t="shared" si="27"/>
        <v>0.00002258</v>
      </c>
      <c r="BH28">
        <f t="shared" si="27"/>
        <v>-0.00000265</v>
      </c>
      <c r="BJ28" t="s">
        <v>757</v>
      </c>
      <c r="BK28">
        <v>-5</v>
      </c>
      <c r="BL28">
        <v>-10</v>
      </c>
      <c r="BM28">
        <v>-10</v>
      </c>
      <c r="BN28">
        <v>-5</v>
      </c>
      <c r="BO28">
        <v>-10</v>
      </c>
      <c r="BP28">
        <v>-10</v>
      </c>
    </row>
    <row r="29" ht="15" customHeight="1">
      <c r="A29" t="s">
        <v>758</v>
      </c>
      <c r="B29" t="s">
        <v>451</v>
      </c>
      <c r="D29" t="s">
        <v>759</v>
      </c>
      <c r="AM29" t="s">
        <v>760</v>
      </c>
      <c r="AN29">
        <f>IF(OR(AN4=0,AK28=0),0,AN4/AK28)</f>
        <v>0</v>
      </c>
      <c r="AP29" t="s">
        <v>761</v>
      </c>
      <c r="AQ29">
        <f>AQ28-AQ11</f>
        <v>0</v>
      </c>
      <c r="AU29">
        <v>12</v>
      </c>
      <c r="AV29">
        <v>11.5</v>
      </c>
      <c r="AW29">
        <f t="shared" si="27"/>
        <v>0.0087</v>
      </c>
      <c r="AX29">
        <f t="shared" si="18"/>
        <v>0.043144</v>
      </c>
      <c r="AY29">
        <v>0.009</v>
      </c>
      <c r="AZ29">
        <f>DailyPricing!E46</f>
        <v>0.0172</v>
      </c>
      <c r="BA29">
        <f t="shared" si="10"/>
        <v>0.069044</v>
      </c>
      <c r="BB29">
        <f>DailyPricing!E129</f>
        <v>0.0131</v>
      </c>
      <c r="BC29">
        <f t="shared" si="10"/>
        <v>0.064944</v>
      </c>
      <c r="BD29">
        <f t="shared" si="27"/>
        <v>0.0001064</v>
      </c>
      <c r="BE29">
        <f t="shared" si="27"/>
        <v>0.00009410999999999999</v>
      </c>
      <c r="BF29">
        <f t="shared" si="27"/>
        <v>0.00008375</v>
      </c>
      <c r="BG29">
        <f t="shared" si="27"/>
        <v>0.00006768</v>
      </c>
      <c r="BH29">
        <f t="shared" si="27"/>
        <v>0.000048469999999999995</v>
      </c>
    </row>
    <row r="30" ht="15" customHeight="1">
      <c r="A30" t="s">
        <v>762</v>
      </c>
      <c r="B30" t="s">
        <v>451</v>
      </c>
      <c r="D30" t="s">
        <v>572</v>
      </c>
      <c r="E30">
        <v>0</v>
      </c>
      <c r="F30">
        <v>0</v>
      </c>
      <c r="G30">
        <v>0</v>
      </c>
      <c r="H30">
        <v>0</v>
      </c>
      <c r="I30">
        <v>0</v>
      </c>
      <c r="J30">
        <v>0</v>
      </c>
      <c r="K30">
        <v>0</v>
      </c>
      <c r="L30">
        <v>0</v>
      </c>
      <c r="M30">
        <v>0</v>
      </c>
      <c r="N30">
        <v>0</v>
      </c>
      <c r="O30">
        <v>0</v>
      </c>
      <c r="P30">
        <v>0</v>
      </c>
      <c r="R30">
        <v>0</v>
      </c>
      <c r="S30">
        <v>0</v>
      </c>
      <c r="T30">
        <v>0</v>
      </c>
      <c r="U30">
        <v>0</v>
      </c>
      <c r="V30">
        <v>0</v>
      </c>
      <c r="W30">
        <v>0</v>
      </c>
      <c r="X30">
        <v>0</v>
      </c>
      <c r="Y30">
        <v>0</v>
      </c>
      <c r="AA30">
        <v>0</v>
      </c>
      <c r="AB30">
        <v>0</v>
      </c>
      <c r="AC30">
        <v>0</v>
      </c>
      <c r="AD30">
        <v>0</v>
      </c>
      <c r="AE30">
        <v>0</v>
      </c>
      <c r="AF30">
        <v>0</v>
      </c>
      <c r="AG30">
        <v>0</v>
      </c>
      <c r="AH30">
        <v>0</v>
      </c>
      <c r="AJ30" t="str">
        <f>IF(SBL_DealPurpose="Refinance","If Refinance","If Acquisition (within 1 year)")</f>
        <v>If Refinance</v>
      </c>
      <c r="AU30">
        <v>15</v>
      </c>
      <c r="AV30">
        <v>14.5</v>
      </c>
      <c r="AW30">
        <f t="shared" si="27"/>
        <v>0.0105</v>
      </c>
      <c r="AX30">
        <f t="shared" si="18"/>
        <v>0.043144</v>
      </c>
      <c r="AY30">
        <v>0.009</v>
      </c>
      <c r="AZ30">
        <f>DailyPricing!E47</f>
        <v>0.0172</v>
      </c>
      <c r="BA30">
        <f t="shared" si="10"/>
        <v>0.070844</v>
      </c>
      <c r="BB30">
        <f>DailyPricing!E130</f>
        <v>0.0131</v>
      </c>
      <c r="BC30">
        <f t="shared" si="10"/>
        <v>0.066744</v>
      </c>
      <c r="BD30">
        <f t="shared" si="27"/>
        <v>0.00010751</v>
      </c>
      <c r="BE30">
        <f t="shared" si="27"/>
        <v>0.00009582</v>
      </c>
      <c r="BF30">
        <f t="shared" si="27"/>
        <v>0.00008586</v>
      </c>
      <c r="BG30">
        <f t="shared" si="27"/>
        <v>0.00006981</v>
      </c>
      <c r="BH30">
        <f t="shared" si="27"/>
        <v>0.0000404</v>
      </c>
      <c r="BJ30" t="s">
        <v>763</v>
      </c>
      <c r="BK30" t="s">
        <v>764</v>
      </c>
      <c r="BL30" t="s">
        <v>765</v>
      </c>
      <c r="BM30" t="s">
        <v>766</v>
      </c>
      <c r="BN30" t="s">
        <v>767</v>
      </c>
      <c r="BO30" t="s">
        <v>768</v>
      </c>
      <c r="BP30" t="s">
        <v>769</v>
      </c>
    </row>
    <row r="31" ht="15" customHeight="1">
      <c r="A31" t="s">
        <v>770</v>
      </c>
      <c r="B31" t="s">
        <v>451</v>
      </c>
      <c r="D31" t="s">
        <v>771</v>
      </c>
      <c r="E31">
        <v>0.01</v>
      </c>
      <c r="F31">
        <v>0.01</v>
      </c>
      <c r="G31">
        <v>0.01</v>
      </c>
      <c r="H31">
        <v>0.01</v>
      </c>
      <c r="I31">
        <v>0.01</v>
      </c>
      <c r="J31">
        <v>0.01</v>
      </c>
      <c r="K31">
        <v>0.01</v>
      </c>
      <c r="L31">
        <v>0.01</v>
      </c>
      <c r="M31">
        <v>0.01</v>
      </c>
      <c r="N31">
        <v>0.01</v>
      </c>
      <c r="O31">
        <v>0.01</v>
      </c>
      <c r="P31">
        <v>0.01</v>
      </c>
      <c r="R31">
        <v>0.01</v>
      </c>
      <c r="S31">
        <v>0.01</v>
      </c>
      <c r="T31">
        <v>0.01</v>
      </c>
      <c r="U31">
        <v>0.005</v>
      </c>
      <c r="V31">
        <v>0.005</v>
      </c>
      <c r="W31">
        <v>0.005</v>
      </c>
      <c r="X31">
        <v>0.005</v>
      </c>
      <c r="Y31">
        <v>0.01</v>
      </c>
      <c r="AA31">
        <v>0.01</v>
      </c>
      <c r="AB31">
        <v>0.01</v>
      </c>
      <c r="AC31">
        <v>0.01</v>
      </c>
      <c r="AD31">
        <v>0.01</v>
      </c>
      <c r="AE31">
        <v>0.01</v>
      </c>
      <c r="AF31">
        <v>0.01</v>
      </c>
      <c r="AG31">
        <v>0.01</v>
      </c>
      <c r="AH31">
        <v>0.01</v>
      </c>
      <c r="AJ31" t="str">
        <f>IF(AJ30="If Refinance","Expected Closing of Refinance","Date of "&amp;IF(AJ30="If Construction","Construction","Acquisition")&amp;" (if within 5 years)")</f>
        <v>Expected Closing of Refinance</v>
      </c>
      <c r="AK31" s="1">
        <f>EOMONTH(TODAY()+32,1)+1</f>
        <v>45261</v>
      </c>
      <c r="AM31" t="s">
        <v>578</v>
      </c>
      <c r="AP31" t="s">
        <v>772</v>
      </c>
      <c r="AQ31" t="s">
        <v>773</v>
      </c>
      <c r="AR31" t="s">
        <v>774</v>
      </c>
      <c r="AS31" t="s">
        <v>775</v>
      </c>
      <c r="AU31">
        <v>18</v>
      </c>
      <c r="AV31">
        <v>15</v>
      </c>
      <c r="AW31">
        <f t="shared" si="27"/>
        <v>0.0121</v>
      </c>
      <c r="AX31">
        <f t="shared" si="18"/>
        <v>0.043144</v>
      </c>
      <c r="AY31">
        <v>0.009</v>
      </c>
      <c r="AZ31">
        <f>DailyPricing!E48</f>
        <v>0.0172</v>
      </c>
      <c r="BA31">
        <f t="shared" si="10"/>
        <v>0.07244400000000001</v>
      </c>
      <c r="BB31">
        <f>DailyPricing!E131</f>
        <v>0.0131</v>
      </c>
      <c r="BC31">
        <f t="shared" si="10"/>
        <v>0.068344</v>
      </c>
      <c r="BJ31" t="s">
        <v>757</v>
      </c>
      <c r="BK31">
        <v>5</v>
      </c>
      <c r="BL31">
        <v>10</v>
      </c>
      <c r="BM31">
        <v>10</v>
      </c>
      <c r="BN31">
        <v>5</v>
      </c>
      <c r="BO31">
        <v>10</v>
      </c>
      <c r="BP31">
        <v>10</v>
      </c>
    </row>
    <row r="32" ht="15" customHeight="1">
      <c r="A32" t="s">
        <v>776</v>
      </c>
      <c r="D32" t="str">
        <f>"Premium Buy-up W&amp;D"&amp;IF(OR(E31+E32&lt;E33,F31+F32&lt;F33,G31+G32&lt;G33,H31+H32&lt;H33,I31+I32&lt;I33,J31+J32&lt;J33,K31+K32&lt;K33,L31+L32&lt;L33,M31+M32&lt;M33,N31+N32&lt;N33,O31+O32&lt;O33,P31+P32&lt;P33,)," (Orig Fee + Buy-up below min)","")</f>
        <v>Premium Buy-up W&amp;D</v>
      </c>
      <c r="E32">
        <f t="shared" si="33" ref="E32:AM43">E33</f>
        <v>0.015</v>
      </c>
      <c r="F32">
        <f t="shared" si="33"/>
        <v>0.015</v>
      </c>
      <c r="G32">
        <f t="shared" si="33"/>
        <v>0.015</v>
      </c>
      <c r="H32">
        <f t="shared" si="33"/>
        <v>0.015</v>
      </c>
      <c r="I32">
        <f t="shared" si="33"/>
        <v>0.015</v>
      </c>
      <c r="J32">
        <f t="shared" si="33"/>
        <v>0.015</v>
      </c>
      <c r="K32">
        <f t="shared" si="33"/>
        <v>0.015</v>
      </c>
      <c r="L32">
        <f t="shared" si="33"/>
        <v>0.015</v>
      </c>
      <c r="M32">
        <f t="shared" si="33"/>
        <v>0.015</v>
      </c>
      <c r="N32">
        <f t="shared" si="33"/>
        <v>0.015</v>
      </c>
      <c r="O32">
        <f t="shared" si="33"/>
        <v>0.015</v>
      </c>
      <c r="P32">
        <f t="shared" si="33"/>
        <v>0.015</v>
      </c>
      <c r="R32">
        <v>0.01</v>
      </c>
      <c r="S32">
        <v>0.01</v>
      </c>
      <c r="T32">
        <v>0.01</v>
      </c>
      <c r="U32">
        <v>0.01</v>
      </c>
      <c r="V32">
        <v>0.01</v>
      </c>
      <c r="W32">
        <v>0.01</v>
      </c>
      <c r="X32">
        <v>0.01</v>
      </c>
      <c r="Y32">
        <v>0.01</v>
      </c>
      <c r="AA32">
        <v>0.01</v>
      </c>
      <c r="AB32">
        <v>0.01</v>
      </c>
      <c r="AC32">
        <v>0.01</v>
      </c>
      <c r="AD32">
        <v>0.01</v>
      </c>
      <c r="AE32">
        <v>0.01</v>
      </c>
      <c r="AF32">
        <v>0.01</v>
      </c>
      <c r="AG32">
        <v>0.01</v>
      </c>
      <c r="AH32">
        <v>0.01</v>
      </c>
      <c r="AJ32" t="str">
        <f>IF(AJ30="If Refinance","Existing Mortgage (UPB)",IF(AJ30="If Construction","Construction Cost","Acquisition Price"))</f>
        <v>Existing Mortgage (UPB)</v>
      </c>
      <c r="AK32">
        <f>AQ7</f>
        <v>0</v>
      </c>
      <c r="AM32" t="s">
        <v>552</v>
      </c>
      <c r="AN32" t="s">
        <v>778</v>
      </c>
      <c r="AP32" t="s">
        <v>779</v>
      </c>
      <c r="AR32">
        <f>AQ11</f>
        <v>0</v>
      </c>
      <c r="AS32">
        <f t="shared" si="36" ref="AS32:AS33">AQ32-AR32</f>
        <v>0</v>
      </c>
      <c r="AU32">
        <v>30</v>
      </c>
      <c r="AV32">
        <v>15</v>
      </c>
      <c r="AW32">
        <f t="shared" si="27"/>
        <v>0.013</v>
      </c>
      <c r="AX32">
        <f t="shared" si="34"/>
        <v>0.043957</v>
      </c>
      <c r="AY32">
        <v>0.013</v>
      </c>
      <c r="AZ32">
        <f>DailyPricing!E49</f>
        <v>0.0172</v>
      </c>
      <c r="BA32">
        <f t="shared" si="10"/>
        <v>0.074157</v>
      </c>
      <c r="BB32">
        <f>DailyPricing!E132</f>
        <v>0.0131</v>
      </c>
      <c r="BC32">
        <f t="shared" si="10"/>
        <v>0.07005700000000001</v>
      </c>
    </row>
    <row r="33" ht="15.75" customHeight="1">
      <c r="A33" t="s">
        <v>780</v>
      </c>
      <c r="D33" t="s">
        <v>781</v>
      </c>
      <c r="E33">
        <f t="shared" si="35" ref="E33:P33">IF(E25&lt;2500000,1.5%,IF(AND(E25&gt;=2500000,E25&lt;5000000),1.25%,IF(AND(E25&gt;=5000000,E25&lt;7500000),1%,0)))</f>
        <v>0.015</v>
      </c>
      <c r="F33">
        <f t="shared" si="35"/>
        <v>0.015</v>
      </c>
      <c r="G33">
        <f t="shared" si="35"/>
        <v>0.015</v>
      </c>
      <c r="H33">
        <f t="shared" si="35"/>
        <v>0.015</v>
      </c>
      <c r="I33">
        <f t="shared" si="35"/>
        <v>0.015</v>
      </c>
      <c r="J33">
        <f t="shared" si="35"/>
        <v>0.015</v>
      </c>
      <c r="K33">
        <f t="shared" si="35"/>
        <v>0.015</v>
      </c>
      <c r="L33">
        <f t="shared" si="35"/>
        <v>0.015</v>
      </c>
      <c r="M33">
        <f t="shared" si="35"/>
        <v>0.015</v>
      </c>
      <c r="N33">
        <f t="shared" si="35"/>
        <v>0.015</v>
      </c>
      <c r="O33">
        <f t="shared" si="35"/>
        <v>0.015</v>
      </c>
      <c r="P33">
        <f t="shared" si="35"/>
        <v>0.015</v>
      </c>
      <c r="AJ33" t="s">
        <v>328</v>
      </c>
      <c r="AK33">
        <f>AQ21</f>
        <v>0</v>
      </c>
      <c r="AM33" t="s">
        <v>782</v>
      </c>
      <c r="AP33" t="s">
        <v>783</v>
      </c>
      <c r="AR33">
        <f>AQ13/12*9</f>
        <v>0</v>
      </c>
      <c r="AS33">
        <f t="shared" si="36"/>
        <v>0</v>
      </c>
      <c r="AU33" t="s">
        <v>635</v>
      </c>
      <c r="AV33" t="s">
        <v>636</v>
      </c>
      <c r="BJ33" t="s">
        <v>784</v>
      </c>
      <c r="BK33" t="s">
        <v>785</v>
      </c>
      <c r="BL33" t="s">
        <v>174</v>
      </c>
      <c r="BM33" t="s">
        <v>174</v>
      </c>
      <c r="BN33" t="s">
        <v>786</v>
      </c>
      <c r="BO33" t="s">
        <v>174</v>
      </c>
      <c r="BP33" t="s">
        <v>174</v>
      </c>
    </row>
    <row r="34" ht="15" customHeight="1">
      <c r="A34" t="str">
        <f>"Is Highly Affordable "&amp;IF(number_units&gt;50,"(≥ 75% at ≤ 80% AMI)","(≥ 50% at ≤ 80% AMI)")</f>
        <v>Is Highly Affordable (≥ 75% at ≤ 80% AMI)</v>
      </c>
      <c r="B34" t="str">
        <f>_xlfn.LET(_xlpm.is_5_50_units,AND(number_units&gt;=5,number_units&lt;=50),_xlpm.is_over_50_units,number_units&gt;50,IF(_xlpm.is_5_50_units,IF('Data Page'!AZ15,"Yes","No"),IF(_xlpm.is_over_50_units,IF('Data Page'!AZ13,"Yes","No"),"No")))</f>
        <v>No</v>
      </c>
      <c r="D34" t="s">
        <v>788</v>
      </c>
      <c r="E34">
        <f t="shared" si="37" ref="E34:P34">IF(AND(2500000&lt;=E30,E30&lt;=5000000,E32&gt;0.025),(E32-0.025)/2,IF(AND(E30&gt;5000000,E30&lt;=6000000,E32&gt;0.02),(E32-0.02)/2,IF(AND(E30&gt;6000000,E30&lt;=7500000,E32&gt;0.015),(E32-0.015)/2,IF(E32&gt;0.03,3*((E32-0.03)/4),0))))</f>
        <v>0</v>
      </c>
      <c r="F34">
        <f t="shared" si="37"/>
        <v>0</v>
      </c>
      <c r="G34">
        <f t="shared" si="37"/>
        <v>0</v>
      </c>
      <c r="H34">
        <f t="shared" si="37"/>
        <v>0</v>
      </c>
      <c r="I34">
        <f t="shared" si="37"/>
        <v>0</v>
      </c>
      <c r="J34">
        <f t="shared" si="37"/>
        <v>0</v>
      </c>
      <c r="K34">
        <f t="shared" si="37"/>
        <v>0</v>
      </c>
      <c r="L34">
        <f t="shared" si="37"/>
        <v>0</v>
      </c>
      <c r="M34">
        <f t="shared" si="37"/>
        <v>0</v>
      </c>
      <c r="N34">
        <f t="shared" si="37"/>
        <v>0</v>
      </c>
      <c r="O34">
        <f t="shared" si="37"/>
        <v>0</v>
      </c>
      <c r="P34">
        <f t="shared" si="37"/>
        <v>0</v>
      </c>
      <c r="R34">
        <f t="shared" si="38" ref="R34:Y34">_xlfn.LET(_xlpm.LoanAmt,R$30,_xlpm.BuyUpPremium,R$32,IF(_xlpm.LoanAmt&lt;1000000,0,IF(_xlpm.LoanAmt&lt;3000000,IF(((_xlpm.BuyUpPremium-2%)*_xlpm.LoanAmt)&lt;0,0,(_xlpm.BuyUpPremium-2%)*_xlpm.LoanAmt)/2,IF(((_xlpm.BuyUpPremium-1%)*_xlpm.LoanAmt)&lt;0,0,(_xlpm.BuyUpPremium-1%)*_xlpm.LoanAmt)/2)))</f>
        <v>0</v>
      </c>
      <c r="S34">
        <f t="shared" si="38"/>
        <v>0</v>
      </c>
      <c r="T34">
        <f t="shared" si="38"/>
        <v>0</v>
      </c>
      <c r="U34">
        <f t="shared" si="38"/>
        <v>0</v>
      </c>
      <c r="V34">
        <f t="shared" si="38"/>
        <v>0</v>
      </c>
      <c r="W34">
        <f t="shared" si="38"/>
        <v>0</v>
      </c>
      <c r="X34">
        <f t="shared" si="38"/>
        <v>0</v>
      </c>
      <c r="Y34">
        <f t="shared" si="38"/>
        <v>0</v>
      </c>
      <c r="AJ34" t="s">
        <v>335</v>
      </c>
      <c r="AK34">
        <v>0</v>
      </c>
      <c r="AM34" t="s">
        <v>789</v>
      </c>
      <c r="AU34">
        <v>5</v>
      </c>
      <c r="AV34">
        <v>3</v>
      </c>
      <c r="AW34">
        <f t="shared" si="27"/>
        <v>0.0129</v>
      </c>
      <c r="AX34">
        <f>'SBL Quotes'!$BA$5</f>
        <v>0.044509</v>
      </c>
      <c r="AY34">
        <v>0.007</v>
      </c>
      <c r="AZ34">
        <f>DailyPricing!E50</f>
        <v>0.018</v>
      </c>
      <c r="BA34">
        <f t="shared" si="10"/>
        <v>0.075409</v>
      </c>
      <c r="BB34">
        <f>DailyPricing!E133</f>
        <v>0.0139</v>
      </c>
      <c r="BC34">
        <f t="shared" si="10"/>
        <v>0.071309</v>
      </c>
      <c r="BJ34" t="s">
        <v>757</v>
      </c>
      <c r="BK34">
        <v>30</v>
      </c>
      <c r="BL34">
        <v>0</v>
      </c>
      <c r="BM34">
        <v>0</v>
      </c>
      <c r="BN34">
        <v>30</v>
      </c>
      <c r="BO34">
        <v>0</v>
      </c>
      <c r="BP34">
        <v>0</v>
      </c>
    </row>
    <row r="35" ht="15" customHeight="1">
      <c r="A35" t="s">
        <v>790</v>
      </c>
      <c r="B35" t="str">
        <f>IF('Data Page'!BA13,"Yes","No")</f>
        <v>No</v>
      </c>
      <c r="D35" t="s">
        <v>791</v>
      </c>
      <c r="E35">
        <v>0</v>
      </c>
      <c r="F35">
        <v>0</v>
      </c>
      <c r="G35">
        <v>0</v>
      </c>
      <c r="H35">
        <v>0</v>
      </c>
      <c r="I35">
        <v>0</v>
      </c>
      <c r="J35">
        <v>0</v>
      </c>
      <c r="K35">
        <v>0</v>
      </c>
      <c r="L35">
        <v>0</v>
      </c>
      <c r="M35">
        <v>0</v>
      </c>
      <c r="N35">
        <v>0</v>
      </c>
      <c r="O35">
        <v>0</v>
      </c>
      <c r="P35">
        <v>0</v>
      </c>
      <c r="AA35">
        <v>0</v>
      </c>
      <c r="AB35">
        <v>0</v>
      </c>
      <c r="AC35">
        <v>0</v>
      </c>
      <c r="AD35">
        <v>0</v>
      </c>
      <c r="AE35">
        <v>0</v>
      </c>
      <c r="AF35">
        <v>0</v>
      </c>
      <c r="AG35">
        <v>0</v>
      </c>
      <c r="AH35">
        <v>0</v>
      </c>
      <c r="AJ35" t="str">
        <f>IF(AJ30="if Refinance","Prepayment Penalty Amount","N/A")</f>
        <v>Prepayment Penalty Amount</v>
      </c>
      <c r="AK35">
        <v>0</v>
      </c>
      <c r="AM35" t="s">
        <v>792</v>
      </c>
      <c r="AU35">
        <v>7</v>
      </c>
      <c r="AV35">
        <v>5</v>
      </c>
      <c r="AW35">
        <f t="shared" si="27"/>
        <v>0.0129</v>
      </c>
      <c r="AX35">
        <f>'SBL Quotes'!$BB$5</f>
        <v>0.044065</v>
      </c>
      <c r="AY35">
        <v>0.008</v>
      </c>
      <c r="AZ35">
        <f>DailyPricing!E51</f>
        <v>0.0176</v>
      </c>
      <c r="BA35">
        <f t="shared" si="10"/>
        <v>0.074565</v>
      </c>
      <c r="BB35">
        <f>DailyPricing!E134</f>
        <v>0.0135</v>
      </c>
      <c r="BC35">
        <f t="shared" si="10"/>
        <v>0.070465</v>
      </c>
    </row>
    <row r="36" ht="15" customHeight="1">
      <c r="A36" t="s">
        <v>793</v>
      </c>
      <c r="B36" t="s">
        <v>451</v>
      </c>
      <c r="D36" t="str">
        <f>"Total Origination Fee"</f>
        <v>Total Origination Fee</v>
      </c>
      <c r="E36">
        <f t="shared" si="39" ref="E36:P36">(E31+E32-E34-E35)*E30</f>
        <v>0</v>
      </c>
      <c r="F36">
        <f t="shared" si="39"/>
        <v>0</v>
      </c>
      <c r="G36">
        <f t="shared" si="39"/>
        <v>0</v>
      </c>
      <c r="H36">
        <f t="shared" si="39"/>
        <v>0</v>
      </c>
      <c r="I36">
        <f t="shared" si="39"/>
        <v>0</v>
      </c>
      <c r="J36">
        <f t="shared" si="39"/>
        <v>0</v>
      </c>
      <c r="K36">
        <f t="shared" si="39"/>
        <v>0</v>
      </c>
      <c r="L36">
        <f t="shared" si="39"/>
        <v>0</v>
      </c>
      <c r="M36">
        <f t="shared" si="39"/>
        <v>0</v>
      </c>
      <c r="N36">
        <f t="shared" si="39"/>
        <v>0</v>
      </c>
      <c r="O36">
        <f t="shared" si="39"/>
        <v>0</v>
      </c>
      <c r="P36">
        <f t="shared" si="39"/>
        <v>0</v>
      </c>
      <c r="R36">
        <f t="shared" si="40" ref="R36:Y36">(R31+R32)*R30-R34</f>
        <v>0</v>
      </c>
      <c r="S36">
        <f t="shared" si="40"/>
        <v>0</v>
      </c>
      <c r="T36">
        <f t="shared" si="40"/>
        <v>0</v>
      </c>
      <c r="U36">
        <f t="shared" si="40"/>
        <v>0</v>
      </c>
      <c r="V36">
        <f t="shared" si="40"/>
        <v>0</v>
      </c>
      <c r="W36">
        <f t="shared" si="40"/>
        <v>0</v>
      </c>
      <c r="X36">
        <f t="shared" si="40"/>
        <v>0</v>
      </c>
      <c r="Y36">
        <f t="shared" si="40"/>
        <v>0</v>
      </c>
      <c r="AA36" t="str">
        <f t="shared" si="41" ref="AA36:AH36">_xlfn.LET(_xlpm.LoanAmount,AA30,_xlpm.OriginationFeePcnt,AA31,_xlpm.Premium,AA32,_xlpm.BrokerFee,AA35,_xlpm.OriginationFee,_xlpm.LoanAmount*(_xlpm.OriginationFeePcnt+_xlpm.Premium)-_xlpm.BrokerFee,_xlpm.OriginationFeeAsText,TEXT(_xlpm.OriginationFee,"$#,##0"),_xlpm.MinimumFee,25000,_xlpm.OriginationFeeAsText&amp;IF(AND(_xlpm.OriginationFee&gt;0,_xlpm.OriginationFee&lt;_xlpm.MinimumFee)," (&lt; $25k)",""))</f>
        <v>$0</v>
      </c>
      <c r="AB36" t="str">
        <f t="shared" si="41"/>
        <v>$0</v>
      </c>
      <c r="AC36" t="str">
        <f t="shared" si="41"/>
        <v>$0</v>
      </c>
      <c r="AD36" t="str">
        <f t="shared" si="41"/>
        <v>$0</v>
      </c>
      <c r="AE36" t="str">
        <f t="shared" si="41"/>
        <v>$0</v>
      </c>
      <c r="AF36" t="str">
        <f t="shared" si="41"/>
        <v>$0</v>
      </c>
      <c r="AG36" t="str">
        <f t="shared" si="41"/>
        <v>$0</v>
      </c>
      <c r="AH36" t="str">
        <f t="shared" si="41"/>
        <v>$0</v>
      </c>
      <c r="AJ36" t="str">
        <f>"Total "&amp;IF(AJ30="If Construction","Construction",IF(AJ30="If Refinance","Refinance","Acquisition"))&amp;" Cost"</f>
        <v>Total Refinance Cost</v>
      </c>
      <c r="AK36">
        <f>AK32+AK33+AK34+AK35</f>
        <v>0</v>
      </c>
      <c r="AM36" t="s">
        <v>796</v>
      </c>
      <c r="AU36">
        <v>10</v>
      </c>
      <c r="AV36">
        <v>7</v>
      </c>
      <c r="AW36">
        <f t="shared" si="27"/>
        <v>0.0133</v>
      </c>
      <c r="AX36">
        <f>'SBL Quotes'!$BC$5</f>
        <v>0.043144</v>
      </c>
      <c r="AY36">
        <v>0.009</v>
      </c>
      <c r="AZ36">
        <f>DailyPricing!E52</f>
        <v>0.0172</v>
      </c>
      <c r="BA36">
        <f t="shared" si="10"/>
        <v>0.073644</v>
      </c>
      <c r="BB36">
        <f>DailyPricing!E135</f>
        <v>0.0131</v>
      </c>
      <c r="BC36">
        <f t="shared" si="10"/>
        <v>0.069544</v>
      </c>
      <c r="BJ36" t="s">
        <v>797</v>
      </c>
      <c r="BK36">
        <v>15</v>
      </c>
      <c r="BL36">
        <v>15</v>
      </c>
      <c r="BM36">
        <v>15</v>
      </c>
      <c r="BN36">
        <v>15</v>
      </c>
      <c r="BO36">
        <v>15</v>
      </c>
      <c r="BP36">
        <v>15</v>
      </c>
    </row>
    <row r="37" ht="15" customHeight="1">
      <c r="A37" t="s">
        <v>798</v>
      </c>
      <c r="B37" t="s">
        <v>451</v>
      </c>
      <c r="D37" t="s">
        <v>461</v>
      </c>
      <c r="E37">
        <f t="shared" si="42" ref="E37:Y37">_xlfn.LET(_xlpm.servicing_fee_pcnt,E$104,_xlpm.requested_loan_amount,E$25,_xlpm.loan_amount,E$30,_xlpm.servicing_fee_pcnt*IF(_xlpm.loan_amount&gt;0,_xlpm.loan_amount,_xlpm.requested_loan_amount))</f>
        <v>0</v>
      </c>
      <c r="F37">
        <f t="shared" si="42"/>
        <v>0</v>
      </c>
      <c r="G37">
        <f t="shared" si="42"/>
        <v>0</v>
      </c>
      <c r="H37">
        <f t="shared" si="42"/>
        <v>0</v>
      </c>
      <c r="I37">
        <f t="shared" si="42"/>
        <v>0</v>
      </c>
      <c r="J37">
        <f t="shared" si="42"/>
        <v>0</v>
      </c>
      <c r="K37">
        <f t="shared" si="42"/>
        <v>0</v>
      </c>
      <c r="L37">
        <f t="shared" si="42"/>
        <v>0</v>
      </c>
      <c r="M37">
        <f t="shared" si="42"/>
        <v>0</v>
      </c>
      <c r="N37">
        <f t="shared" si="42"/>
        <v>0</v>
      </c>
      <c r="O37">
        <f t="shared" si="42"/>
        <v>0</v>
      </c>
      <c r="P37">
        <f t="shared" si="42"/>
        <v>0</v>
      </c>
      <c r="R37">
        <f t="shared" si="42"/>
        <v>0</v>
      </c>
      <c r="S37">
        <f t="shared" si="42"/>
        <v>0</v>
      </c>
      <c r="T37">
        <f t="shared" si="42"/>
        <v>0</v>
      </c>
      <c r="U37">
        <f t="shared" si="42"/>
        <v>0</v>
      </c>
      <c r="V37">
        <f t="shared" si="42"/>
        <v>0</v>
      </c>
      <c r="W37">
        <f t="shared" si="42"/>
        <v>0</v>
      </c>
      <c r="X37">
        <f t="shared" si="42"/>
        <v>0</v>
      </c>
      <c r="Y37">
        <f t="shared" si="42"/>
        <v>0</v>
      </c>
      <c r="AA37">
        <f t="shared" si="43" ref="AA37:AH37">_xlfn.LET(_xlpm.ServicingFeePcnt,AA104,_xlpm.LoanAmt,AA30,_xlpm.ServicingFeePcnt*_xlpm.LoanAmt)</f>
        <v>0</v>
      </c>
      <c r="AB37">
        <f t="shared" si="43"/>
        <v>0</v>
      </c>
      <c r="AC37">
        <f t="shared" si="43"/>
        <v>0</v>
      </c>
      <c r="AD37">
        <f t="shared" si="43"/>
        <v>0</v>
      </c>
      <c r="AE37">
        <f t="shared" si="43"/>
        <v>0</v>
      </c>
      <c r="AF37">
        <f t="shared" si="43"/>
        <v>0</v>
      </c>
      <c r="AG37">
        <f t="shared" si="43"/>
        <v>0</v>
      </c>
      <c r="AH37">
        <f t="shared" si="43"/>
        <v>0</v>
      </c>
      <c r="AJ37" t="str">
        <f>IF(AJ30="If Refinance","% of Loan to Capped Refinance Costs","LTC")</f>
        <v>% of Loan to Capped Refinance Costs</v>
      </c>
      <c r="AK37">
        <f>_xlfn.IFERROR(IF('SBL Quotes'!AN32="Supplemental","Supplemental",(IF(R$23="Selected",R$25,0)+IF(S$23="Selected",S$25,0)+IF(T$23="Selected",T$25,0))/AK36),0)</f>
        <v>0</v>
      </c>
    </row>
    <row r="38" ht="15" customHeight="1">
      <c r="A38" t="s">
        <v>799</v>
      </c>
      <c r="B38" t="s">
        <v>388</v>
      </c>
      <c r="D38" t="s">
        <v>800</v>
      </c>
      <c r="E38" t="s">
        <v>629</v>
      </c>
      <c r="F38" t="s">
        <v>629</v>
      </c>
      <c r="G38" t="s">
        <v>629</v>
      </c>
      <c r="H38" t="s">
        <v>629</v>
      </c>
      <c r="I38" t="s">
        <v>629</v>
      </c>
      <c r="J38" t="s">
        <v>629</v>
      </c>
      <c r="K38" t="s">
        <v>629</v>
      </c>
      <c r="L38" t="s">
        <v>629</v>
      </c>
      <c r="M38" t="s">
        <v>629</v>
      </c>
      <c r="N38" t="s">
        <v>629</v>
      </c>
      <c r="O38" t="s">
        <v>629</v>
      </c>
      <c r="P38" t="s">
        <v>629</v>
      </c>
      <c r="R38" t="s">
        <v>801</v>
      </c>
      <c r="S38" t="s">
        <v>801</v>
      </c>
      <c r="T38" t="s">
        <v>801</v>
      </c>
      <c r="U38" t="s">
        <v>801</v>
      </c>
      <c r="V38" t="s">
        <v>801</v>
      </c>
      <c r="W38" t="s">
        <v>801</v>
      </c>
      <c r="X38" t="s">
        <v>801</v>
      </c>
      <c r="Y38" t="s">
        <v>801</v>
      </c>
      <c r="AA38" t="s">
        <v>631</v>
      </c>
      <c r="AB38" t="s">
        <v>631</v>
      </c>
      <c r="AC38" t="s">
        <v>631</v>
      </c>
      <c r="AD38" t="s">
        <v>631</v>
      </c>
      <c r="AE38" t="s">
        <v>631</v>
      </c>
      <c r="AF38" t="s">
        <v>631</v>
      </c>
      <c r="AG38" t="s">
        <v>631</v>
      </c>
      <c r="AH38" t="s">
        <v>631</v>
      </c>
      <c r="AJ38" t="e">
        <f>IF(AK38&lt;0,"Cash-In",IF(OR(AK38=0,LoanAmount-(AK32+AK33+AK34+AK35)&lt;0),"Cash-Neutral","Cash-Out"))</f>
        <v>#NAME?</v>
      </c>
      <c r="AK38">
        <v>0</v>
      </c>
      <c r="AU38" t="s">
        <v>802</v>
      </c>
      <c r="AW38" t="s">
        <v>697</v>
      </c>
      <c r="AX38" t="s">
        <v>697</v>
      </c>
      <c r="AY38" t="s">
        <v>617</v>
      </c>
      <c r="AZ38" t="s">
        <v>618</v>
      </c>
      <c r="BB38" t="s">
        <v>619</v>
      </c>
      <c r="BD38" t="s">
        <v>732</v>
      </c>
      <c r="BJ38" t="s">
        <v>803</v>
      </c>
      <c r="BK38">
        <v>10</v>
      </c>
      <c r="BL38">
        <v>10</v>
      </c>
      <c r="BM38">
        <v>10</v>
      </c>
      <c r="BN38">
        <v>10</v>
      </c>
      <c r="BO38">
        <v>10</v>
      </c>
      <c r="BP38">
        <v>10</v>
      </c>
    </row>
    <row r="39" ht="15" customHeight="1">
      <c r="A39" t="s">
        <v>804</v>
      </c>
      <c r="B39" t="str">
        <f>IF(B38="Acquisition",AQ5,"-")</f>
        <v>-</v>
      </c>
      <c r="D39" t="s">
        <v>805</v>
      </c>
      <c r="R39">
        <v>2</v>
      </c>
      <c r="S39">
        <v>2</v>
      </c>
      <c r="T39">
        <v>2</v>
      </c>
      <c r="U39">
        <v>3</v>
      </c>
      <c r="V39">
        <v>4</v>
      </c>
      <c r="W39">
        <v>3</v>
      </c>
      <c r="X39">
        <v>4</v>
      </c>
      <c r="Y39">
        <v>2</v>
      </c>
      <c r="AA39" t="s">
        <v>806</v>
      </c>
      <c r="AB39" t="s">
        <v>806</v>
      </c>
      <c r="AC39" t="s">
        <v>806</v>
      </c>
      <c r="AD39" t="s">
        <v>806</v>
      </c>
      <c r="AE39" t="s">
        <v>806</v>
      </c>
      <c r="AF39" t="s">
        <v>806</v>
      </c>
      <c r="AG39" t="s">
        <v>806</v>
      </c>
      <c r="AH39" t="s">
        <v>806</v>
      </c>
      <c r="AU39" t="s">
        <v>635</v>
      </c>
      <c r="AV39" t="s">
        <v>636</v>
      </c>
      <c r="AW39" t="s">
        <v>453</v>
      </c>
      <c r="AX39" t="s">
        <v>637</v>
      </c>
      <c r="AY39" t="s">
        <v>638</v>
      </c>
      <c r="AZ39" t="s">
        <v>639</v>
      </c>
      <c r="BA39" t="s">
        <v>640</v>
      </c>
      <c r="BB39" t="s">
        <v>639</v>
      </c>
      <c r="BC39" t="s">
        <v>640</v>
      </c>
      <c r="BD39" t="s">
        <v>510</v>
      </c>
      <c r="BE39" t="s">
        <v>641</v>
      </c>
      <c r="BF39" t="s">
        <v>642</v>
      </c>
      <c r="BG39" t="s">
        <v>643</v>
      </c>
      <c r="BH39" t="s">
        <v>644</v>
      </c>
    </row>
    <row r="40" ht="15" customHeight="1">
      <c r="A40" t="str">
        <f>_xlfn.IFERROR(IF(B38="Acquisition","Estimated Cap Rate (actual: "&amp;TEXT(B41/B39,"0.00%")&amp;")","Estimated Cap Rate"),"Estimated Cap Rate")</f>
        <v>Estimated Cap Rate</v>
      </c>
      <c r="B40">
        <v>0.05</v>
      </c>
      <c r="D40" t="s">
        <v>808</v>
      </c>
      <c r="E40" t="str">
        <f t="shared" si="44" ref="E40:P40">_xlfn.IFERROR($B$41/E69,"--")</f>
        <v>--</v>
      </c>
      <c r="F40" t="str">
        <f t="shared" si="44"/>
        <v>--</v>
      </c>
      <c r="G40" t="str">
        <f t="shared" si="44"/>
        <v>--</v>
      </c>
      <c r="H40" t="str">
        <f t="shared" si="44"/>
        <v>--</v>
      </c>
      <c r="I40" t="str">
        <f t="shared" si="44"/>
        <v>--</v>
      </c>
      <c r="J40" t="str">
        <f t="shared" si="44"/>
        <v>--</v>
      </c>
      <c r="K40" t="str">
        <f t="shared" si="44"/>
        <v>--</v>
      </c>
      <c r="L40" t="str">
        <f t="shared" si="44"/>
        <v>--</v>
      </c>
      <c r="M40" t="str">
        <f t="shared" si="44"/>
        <v>--</v>
      </c>
      <c r="N40" t="str">
        <f t="shared" si="44"/>
        <v>--</v>
      </c>
      <c r="O40" t="str">
        <f t="shared" si="44"/>
        <v>--</v>
      </c>
      <c r="P40" t="str">
        <f t="shared" si="44"/>
        <v>--</v>
      </c>
      <c r="R40" t="str">
        <f t="shared" si="45" ref="R40:Y40">_xlfn.IFERROR($B$44/R69,"--")</f>
        <v>--</v>
      </c>
      <c r="S40" t="str">
        <f t="shared" si="45"/>
        <v>--</v>
      </c>
      <c r="T40" t="str">
        <f t="shared" si="45"/>
        <v>--</v>
      </c>
      <c r="U40" t="str">
        <f t="shared" si="45"/>
        <v>--</v>
      </c>
      <c r="V40" t="str">
        <f t="shared" si="45"/>
        <v>--</v>
      </c>
      <c r="W40" t="str">
        <f t="shared" si="45"/>
        <v>--</v>
      </c>
      <c r="X40" t="str">
        <f t="shared" si="45"/>
        <v>--</v>
      </c>
      <c r="Y40" t="str">
        <f t="shared" si="45"/>
        <v>--</v>
      </c>
      <c r="AA40" t="str">
        <f t="shared" si="46" ref="AA40:AH40">_xlfn.IFERROR($B$44/AA70,"--")</f>
        <v>--</v>
      </c>
      <c r="AB40" t="str">
        <f t="shared" si="46"/>
        <v>--</v>
      </c>
      <c r="AC40" t="str">
        <f t="shared" si="46"/>
        <v>--</v>
      </c>
      <c r="AD40" t="str">
        <f t="shared" si="46"/>
        <v>--</v>
      </c>
      <c r="AE40" t="str">
        <f t="shared" si="46"/>
        <v>--</v>
      </c>
      <c r="AF40" t="str">
        <f t="shared" si="46"/>
        <v>--</v>
      </c>
      <c r="AG40" t="str">
        <f t="shared" si="46"/>
        <v>--</v>
      </c>
      <c r="AH40" t="str">
        <f t="shared" si="46"/>
        <v>--</v>
      </c>
      <c r="AJ40" t="s">
        <v>809</v>
      </c>
      <c r="AM40" t="s">
        <v>810</v>
      </c>
      <c r="AU40">
        <v>5</v>
      </c>
      <c r="AV40">
        <v>4.5</v>
      </c>
      <c r="AW40">
        <f t="shared" si="47" ref="AW40:BH50">AW12</f>
        <v>0.0069</v>
      </c>
      <c r="AX40">
        <f t="shared" si="26"/>
        <v>0.044509</v>
      </c>
      <c r="AY40">
        <v>0.007</v>
      </c>
      <c r="AZ40">
        <f>DailyPricing!E53</f>
        <v>0.016</v>
      </c>
      <c r="BA40">
        <f t="shared" si="10"/>
        <v>0.067409</v>
      </c>
      <c r="BB40">
        <f>DailyPricing!E136</f>
        <v>0.0119</v>
      </c>
      <c r="BC40">
        <f t="shared" si="10"/>
        <v>0.063309</v>
      </c>
      <c r="BD40">
        <f t="shared" si="47"/>
        <v>0.00005936</v>
      </c>
      <c r="BE40">
        <f t="shared" si="47"/>
        <v>0.00001328</v>
      </c>
      <c r="BF40">
        <f t="shared" si="47"/>
        <v>-0.00001809</v>
      </c>
      <c r="BG40">
        <f t="shared" si="47"/>
        <v>-0.000036270000000000003</v>
      </c>
      <c r="BH40">
        <f t="shared" si="47"/>
        <v>-0.000036270000000000003</v>
      </c>
      <c r="BJ40" t="s">
        <v>811</v>
      </c>
      <c r="BK40" t="s">
        <v>812</v>
      </c>
      <c r="BL40" t="s">
        <v>812</v>
      </c>
      <c r="BM40" t="s">
        <v>812</v>
      </c>
      <c r="BN40" t="s">
        <v>812</v>
      </c>
      <c r="BO40" t="s">
        <v>812</v>
      </c>
      <c r="BP40" t="s">
        <v>812</v>
      </c>
    </row>
    <row r="41" ht="15" customHeight="1">
      <c r="A41" t="s">
        <v>813</v>
      </c>
      <c r="B41">
        <f>'Freddie I&amp;E'!$AD$84</f>
        <v>-1616089.29</v>
      </c>
      <c r="D41" t="s">
        <v>814</v>
      </c>
      <c r="E41">
        <f t="shared" si="48" ref="E41:P41">_xlfn.IFERROR(E30/$B$42,"--")</f>
        <v>0</v>
      </c>
      <c r="F41">
        <f t="shared" si="48"/>
        <v>0</v>
      </c>
      <c r="G41">
        <f t="shared" si="48"/>
        <v>0</v>
      </c>
      <c r="H41">
        <f t="shared" si="48"/>
        <v>0</v>
      </c>
      <c r="I41">
        <f t="shared" si="48"/>
        <v>0</v>
      </c>
      <c r="J41">
        <f t="shared" si="48"/>
        <v>0</v>
      </c>
      <c r="K41">
        <f t="shared" si="48"/>
        <v>0</v>
      </c>
      <c r="L41">
        <f t="shared" si="48"/>
        <v>0</v>
      </c>
      <c r="M41">
        <f t="shared" si="48"/>
        <v>0</v>
      </c>
      <c r="N41">
        <f t="shared" si="48"/>
        <v>0</v>
      </c>
      <c r="O41">
        <f t="shared" si="48"/>
        <v>0</v>
      </c>
      <c r="P41">
        <f t="shared" si="48"/>
        <v>0</v>
      </c>
      <c r="R41">
        <f t="shared" si="49" ref="R41:AH41">_xlfn.IFERROR(R30/$B$45,"--")</f>
        <v>0</v>
      </c>
      <c r="S41">
        <f t="shared" si="49"/>
        <v>0</v>
      </c>
      <c r="T41">
        <f t="shared" si="49"/>
        <v>0</v>
      </c>
      <c r="U41">
        <f t="shared" si="49"/>
        <v>0</v>
      </c>
      <c r="V41">
        <f t="shared" si="49"/>
        <v>0</v>
      </c>
      <c r="W41">
        <f t="shared" si="49"/>
        <v>0</v>
      </c>
      <c r="X41">
        <f t="shared" si="49"/>
        <v>0</v>
      </c>
      <c r="Y41">
        <f t="shared" si="49"/>
        <v>0</v>
      </c>
      <c r="AA41">
        <f t="shared" si="49"/>
        <v>0</v>
      </c>
      <c r="AB41">
        <f t="shared" si="49"/>
        <v>0</v>
      </c>
      <c r="AC41">
        <f t="shared" si="49"/>
        <v>0</v>
      </c>
      <c r="AD41">
        <f t="shared" si="49"/>
        <v>0</v>
      </c>
      <c r="AE41">
        <f t="shared" si="49"/>
        <v>0</v>
      </c>
      <c r="AF41">
        <f t="shared" si="49"/>
        <v>0</v>
      </c>
      <c r="AG41">
        <f t="shared" si="49"/>
        <v>0</v>
      </c>
      <c r="AH41">
        <f t="shared" si="49"/>
        <v>0</v>
      </c>
      <c r="AJ41" t="s">
        <v>815</v>
      </c>
      <c r="AK41" t="s">
        <v>656</v>
      </c>
      <c r="AM41" t="s">
        <v>816</v>
      </c>
      <c r="AN41" t="s">
        <v>209</v>
      </c>
      <c r="AU41">
        <v>7</v>
      </c>
      <c r="AV41">
        <v>6.5</v>
      </c>
      <c r="AW41">
        <f t="shared" si="47"/>
        <v>0.0069</v>
      </c>
      <c r="AX41">
        <f t="shared" si="29"/>
        <v>0.044065</v>
      </c>
      <c r="AY41">
        <v>0.008</v>
      </c>
      <c r="AZ41">
        <f>DailyPricing!E54</f>
        <v>0.0156</v>
      </c>
      <c r="BA41">
        <f t="shared" si="10"/>
        <v>0.066565</v>
      </c>
      <c r="BB41">
        <f>DailyPricing!E137</f>
        <v>0.0115</v>
      </c>
      <c r="BC41">
        <f t="shared" si="10"/>
        <v>0.06246499999999999</v>
      </c>
      <c r="BD41">
        <f t="shared" si="47"/>
        <v>0.00007325</v>
      </c>
      <c r="BE41">
        <f t="shared" si="47"/>
        <v>0.00003449</v>
      </c>
      <c r="BF41">
        <f t="shared" si="47"/>
        <v>0.000004180000000000001</v>
      </c>
      <c r="BG41">
        <f t="shared" si="47"/>
        <v>-0.00003359</v>
      </c>
      <c r="BH41">
        <f t="shared" si="47"/>
        <v>-0.0000409</v>
      </c>
    </row>
    <row r="42" ht="15" customHeight="1">
      <c r="A42" t="s">
        <v>817</v>
      </c>
      <c r="B42">
        <f>_xlfn.IFERROR(IF(B38="Acquisition",B39,B41/B40),0)</f>
        <v>-32321785.8</v>
      </c>
      <c r="D42" t="s">
        <v>818</v>
      </c>
      <c r="E42">
        <f t="shared" si="50" ref="E42:P42">IF(E30=0,0,SBL_FreddieNOI/E30)</f>
        <v>0</v>
      </c>
      <c r="F42">
        <f t="shared" si="50"/>
        <v>0</v>
      </c>
      <c r="G42">
        <f t="shared" si="50"/>
        <v>0</v>
      </c>
      <c r="H42">
        <f t="shared" si="50"/>
        <v>0</v>
      </c>
      <c r="I42">
        <f t="shared" si="50"/>
        <v>0</v>
      </c>
      <c r="J42">
        <f t="shared" si="50"/>
        <v>0</v>
      </c>
      <c r="K42">
        <f t="shared" si="50"/>
        <v>0</v>
      </c>
      <c r="L42">
        <f t="shared" si="50"/>
        <v>0</v>
      </c>
      <c r="M42">
        <f t="shared" si="50"/>
        <v>0</v>
      </c>
      <c r="N42">
        <f t="shared" si="50"/>
        <v>0</v>
      </c>
      <c r="O42">
        <f t="shared" si="50"/>
        <v>0</v>
      </c>
      <c r="P42">
        <f t="shared" si="50"/>
        <v>0</v>
      </c>
      <c r="R42">
        <f t="shared" si="51" ref="R42:AH42">IF(R30=0,0,SBL_FannieNOI/R30)</f>
        <v>0</v>
      </c>
      <c r="S42">
        <f t="shared" si="51"/>
        <v>0</v>
      </c>
      <c r="T42">
        <f t="shared" si="51"/>
        <v>0</v>
      </c>
      <c r="U42">
        <f t="shared" si="51"/>
        <v>0</v>
      </c>
      <c r="V42">
        <f t="shared" si="51"/>
        <v>0</v>
      </c>
      <c r="W42">
        <f t="shared" si="51"/>
        <v>0</v>
      </c>
      <c r="X42">
        <f t="shared" si="51"/>
        <v>0</v>
      </c>
      <c r="Y42">
        <f t="shared" si="51"/>
        <v>0</v>
      </c>
      <c r="AA42">
        <f t="shared" si="51"/>
        <v>0</v>
      </c>
      <c r="AB42">
        <f t="shared" si="51"/>
        <v>0</v>
      </c>
      <c r="AC42">
        <f t="shared" si="51"/>
        <v>0</v>
      </c>
      <c r="AD42">
        <f t="shared" si="51"/>
        <v>0</v>
      </c>
      <c r="AE42">
        <f t="shared" si="51"/>
        <v>0</v>
      </c>
      <c r="AF42">
        <f t="shared" si="51"/>
        <v>0</v>
      </c>
      <c r="AG42">
        <f t="shared" si="51"/>
        <v>0</v>
      </c>
      <c r="AH42">
        <f t="shared" si="51"/>
        <v>0</v>
      </c>
      <c r="AJ42" t="s">
        <v>819</v>
      </c>
      <c r="AK42" t="s">
        <v>656</v>
      </c>
      <c r="AM42" t="s">
        <v>820</v>
      </c>
      <c r="AN42" t="s">
        <v>209</v>
      </c>
      <c r="AU42">
        <v>10</v>
      </c>
      <c r="AV42">
        <v>9.5</v>
      </c>
      <c r="AW42">
        <f t="shared" si="47"/>
        <v>0.0073</v>
      </c>
      <c r="AX42">
        <f t="shared" si="32"/>
        <v>0.043144</v>
      </c>
      <c r="AY42">
        <v>0.009</v>
      </c>
      <c r="AZ42">
        <f>DailyPricing!E55</f>
        <v>0.0152</v>
      </c>
      <c r="BA42">
        <f t="shared" si="10"/>
        <v>0.06564400000000001</v>
      </c>
      <c r="BB42">
        <f>DailyPricing!E138</f>
        <v>0.0111</v>
      </c>
      <c r="BC42">
        <f t="shared" si="10"/>
        <v>0.061544</v>
      </c>
      <c r="BD42">
        <f t="shared" si="47"/>
        <v>0.00009379999999999999</v>
      </c>
      <c r="BE42">
        <f t="shared" si="47"/>
        <v>0.00007074</v>
      </c>
      <c r="BF42">
        <f t="shared" si="47"/>
        <v>0.00005143</v>
      </c>
      <c r="BG42">
        <f t="shared" si="47"/>
        <v>0.00002258</v>
      </c>
      <c r="BH42">
        <f t="shared" si="47"/>
        <v>-0.00000265</v>
      </c>
      <c r="BJ42" t="s">
        <v>821</v>
      </c>
      <c r="BK42" t="s">
        <v>822</v>
      </c>
      <c r="BL42" t="s">
        <v>822</v>
      </c>
      <c r="BM42" t="s">
        <v>822</v>
      </c>
      <c r="BN42" t="s">
        <v>822</v>
      </c>
      <c r="BO42" t="s">
        <v>822</v>
      </c>
      <c r="BP42" t="s">
        <v>822</v>
      </c>
    </row>
    <row r="43" ht="15" customHeight="1">
      <c r="A43" t="s">
        <v>823</v>
      </c>
      <c r="B43">
        <f t="shared" si="57" ref="B43:B46">_xlfn.IFERROR(B42/number_units,0)</f>
        <v>-320017.6811881188</v>
      </c>
      <c r="D43" t="s">
        <v>824</v>
      </c>
      <c r="E43">
        <f t="shared" si="33"/>
        <v>0</v>
      </c>
      <c r="F43">
        <f t="shared" si="33"/>
        <v>1</v>
      </c>
      <c r="G43">
        <f t="shared" si="33"/>
        <v>2</v>
      </c>
      <c r="H43">
        <f t="shared" si="33"/>
        <v>0</v>
      </c>
      <c r="I43">
        <f t="shared" si="33"/>
        <v>1</v>
      </c>
      <c r="J43">
        <f t="shared" si="33"/>
        <v>2</v>
      </c>
      <c r="K43">
        <f t="shared" si="33"/>
        <v>0</v>
      </c>
      <c r="L43">
        <f t="shared" si="33"/>
        <v>1</v>
      </c>
      <c r="M43">
        <f t="shared" si="33"/>
        <v>2</v>
      </c>
      <c r="N43">
        <f t="shared" si="33"/>
        <v>0</v>
      </c>
      <c r="O43">
        <f t="shared" si="33"/>
        <v>1</v>
      </c>
      <c r="P43">
        <f t="shared" si="33"/>
        <v>2</v>
      </c>
      <c r="R43">
        <f t="shared" si="33"/>
        <v>0</v>
      </c>
      <c r="S43">
        <f t="shared" si="33"/>
        <v>0</v>
      </c>
      <c r="T43">
        <f t="shared" si="33"/>
        <v>0</v>
      </c>
      <c r="U43">
        <f t="shared" si="33"/>
        <v>5</v>
      </c>
      <c r="V43">
        <f t="shared" si="33"/>
        <v>10</v>
      </c>
      <c r="W43">
        <f t="shared" si="33"/>
        <v>2</v>
      </c>
      <c r="X43">
        <f t="shared" si="33"/>
        <v>5</v>
      </c>
      <c r="Y43">
        <f t="shared" si="33"/>
        <v>0</v>
      </c>
      <c r="AA43">
        <f t="shared" si="33"/>
        <v>3</v>
      </c>
      <c r="AB43">
        <f t="shared" si="33"/>
        <v>5</v>
      </c>
      <c r="AC43">
        <f t="shared" si="33"/>
        <v>7</v>
      </c>
      <c r="AD43">
        <f t="shared" si="33"/>
        <v>3</v>
      </c>
      <c r="AE43">
        <f t="shared" si="33"/>
        <v>5</v>
      </c>
      <c r="AF43">
        <f t="shared" si="33"/>
        <v>7</v>
      </c>
      <c r="AG43">
        <f t="shared" si="33"/>
        <v>3</v>
      </c>
      <c r="AH43">
        <f t="shared" si="33"/>
        <v>5</v>
      </c>
      <c r="AJ43" t="str">
        <f t="shared" si="33"/>
        <v>Repeat Fannie Mae Guarantors / KPs?</v>
      </c>
      <c r="AK43">
        <v>0</v>
      </c>
      <c r="AL43">
        <f t="shared" si="33"/>
        <v>0</v>
      </c>
      <c r="AM43" t="str">
        <f t="shared" si="33"/>
        <v>Headquarters (City/State)</v>
      </c>
      <c r="AN43" t="s">
        <v>656</v>
      </c>
      <c r="AU43">
        <v>12</v>
      </c>
      <c r="AV43">
        <v>11.5</v>
      </c>
      <c r="AW43">
        <f t="shared" si="47"/>
        <v>0.0087</v>
      </c>
      <c r="AX43">
        <f t="shared" si="18"/>
        <v>0.043144</v>
      </c>
      <c r="AY43">
        <v>0.009</v>
      </c>
      <c r="AZ43">
        <f>DailyPricing!E56</f>
        <v>0.0152</v>
      </c>
      <c r="BA43">
        <f t="shared" si="10"/>
        <v>0.067044</v>
      </c>
      <c r="BB43">
        <f>DailyPricing!E139</f>
        <v>0.0111</v>
      </c>
      <c r="BC43">
        <f t="shared" si="10"/>
        <v>0.062944</v>
      </c>
      <c r="BD43">
        <f t="shared" si="47"/>
        <v>0.0001064</v>
      </c>
      <c r="BE43">
        <f t="shared" si="47"/>
        <v>0.00009410999999999999</v>
      </c>
      <c r="BF43">
        <f t="shared" si="47"/>
        <v>0.00008375</v>
      </c>
      <c r="BG43">
        <f t="shared" si="47"/>
        <v>0.00006768</v>
      </c>
      <c r="BH43">
        <f t="shared" si="47"/>
        <v>0.000048469999999999995</v>
      </c>
      <c r="BJ43" t="s">
        <v>827</v>
      </c>
    </row>
    <row r="44" ht="15" customHeight="1">
      <c r="A44" t="s">
        <v>828</v>
      </c>
      <c r="B44">
        <f>HOps_NetCashFlow</f>
        <v>-1720952.21</v>
      </c>
      <c r="D44" t="s">
        <v>829</v>
      </c>
      <c r="E44">
        <f t="shared" si="52" ref="E44:P44">_xlfn.LET(_xlpm.term_yrs,E$98,_xlpm.market_tier,$B$22,_xlpm.is_feb_2023_special_FRE_terms,AND(MONTH(LastPricingUpdateTimestamp)=2,YEAR(LastPricingUpdateTimestamp)=2023),IF(OR(_xlpm.market_tier="Top",_xlpm.market_tier="Standard"),IF(_xlpm.term_yrs=5,1,IF(_xlpm.term_yrs=7,2,IF(_xlpm.term_yrs=10,3,0))),IF(_xlpm.term_yrs=5,0,IF(_xlpm.term_yrs=7,1,IF(_xlpm.term_yrs=10,2,0))))+IF(_xlpm.is_feb_2023_special_FRE_terms,1,0))</f>
        <v>0</v>
      </c>
      <c r="F44">
        <f t="shared" si="52"/>
        <v>1</v>
      </c>
      <c r="G44">
        <f t="shared" si="52"/>
        <v>2</v>
      </c>
      <c r="H44">
        <f t="shared" si="52"/>
        <v>0</v>
      </c>
      <c r="I44">
        <f t="shared" si="52"/>
        <v>1</v>
      </c>
      <c r="J44">
        <f t="shared" si="52"/>
        <v>2</v>
      </c>
      <c r="K44">
        <f t="shared" si="52"/>
        <v>0</v>
      </c>
      <c r="L44">
        <f t="shared" si="52"/>
        <v>1</v>
      </c>
      <c r="M44">
        <f t="shared" si="52"/>
        <v>2</v>
      </c>
      <c r="N44">
        <f t="shared" si="52"/>
        <v>0</v>
      </c>
      <c r="O44">
        <f t="shared" si="52"/>
        <v>1</v>
      </c>
      <c r="P44">
        <f t="shared" si="52"/>
        <v>2</v>
      </c>
      <c r="R44">
        <f t="shared" si="53" ref="R44:Y44">_xlfn.LET(_xlpm.Tier,R$39,_xlpm.TermYrs,R$98,_xlpm.TermMonths,_xlpm.TermYrs*12,_xlpm.IsStrongMkt,SblQuotes_FannieMktTier="Strong",_xlpm.IsLosAngeles,MSA="Los Angeles-Long Beach-Anaheim",_xlpm.IsSeniors,SBL_PropertyType="Seniors",_xlpm.IsAcquisition,SBL_DealPurpose="Acquisition",_xlpm.IsStrongNonSeniors,AND(NOT(_xlpm.IsSeniors),OR(_xlpm.IsStrongMkt,_xlpm.IsLosAngeles)),IF(_xlpm.Tier=4,MIN(_xlpm.TermYrs,15),0)+IF(_xlpm.Tier=3,IF(_xlpm.IsStrongNonSeniors,MIN(_xlpm.TermYrs,15),IF(_xlpm.TermMonths&gt;=120,5,IF(_xlpm.TermMonths&gt;=84,3,IF(_xlpm.TermMonths&gt;=60,2,0)))),0)+IF(_xlpm.Tier=2,IF(AND(_xlpm.IsAcquisition,_xlpm.TermMonths&gt;=120),1,0),0))</f>
        <v>0</v>
      </c>
      <c r="S44">
        <f t="shared" si="53"/>
        <v>0</v>
      </c>
      <c r="T44">
        <f t="shared" si="53"/>
        <v>0</v>
      </c>
      <c r="U44">
        <f t="shared" si="53"/>
        <v>5</v>
      </c>
      <c r="V44">
        <f t="shared" si="53"/>
        <v>10</v>
      </c>
      <c r="W44">
        <f t="shared" si="53"/>
        <v>2</v>
      </c>
      <c r="X44">
        <f t="shared" si="53"/>
        <v>5</v>
      </c>
      <c r="Y44">
        <f t="shared" si="53"/>
        <v>0</v>
      </c>
      <c r="AA44">
        <f t="shared" si="54" ref="AA44:AH44">AA$98</f>
        <v>3</v>
      </c>
      <c r="AB44">
        <f t="shared" si="54"/>
        <v>5</v>
      </c>
      <c r="AC44">
        <f t="shared" si="54"/>
        <v>7</v>
      </c>
      <c r="AD44">
        <f t="shared" si="54"/>
        <v>3</v>
      </c>
      <c r="AE44">
        <f t="shared" si="54"/>
        <v>5</v>
      </c>
      <c r="AF44">
        <f t="shared" si="54"/>
        <v>7</v>
      </c>
      <c r="AG44">
        <f t="shared" si="54"/>
        <v>3</v>
      </c>
      <c r="AH44">
        <f t="shared" si="54"/>
        <v>5</v>
      </c>
      <c r="AJ44" t="s">
        <v>825</v>
      </c>
      <c r="AK44" t="s">
        <v>209</v>
      </c>
      <c r="AM44" t="s">
        <v>826</v>
      </c>
      <c r="AN44" t="s">
        <v>656</v>
      </c>
      <c r="AU44">
        <v>15</v>
      </c>
      <c r="AV44">
        <v>14.5</v>
      </c>
      <c r="AW44">
        <f t="shared" si="47"/>
        <v>0.0105</v>
      </c>
      <c r="AX44">
        <f t="shared" si="18"/>
        <v>0.043144</v>
      </c>
      <c r="AY44">
        <v>0.009</v>
      </c>
      <c r="AZ44">
        <f>DailyPricing!E57</f>
        <v>0.0152</v>
      </c>
      <c r="BA44">
        <f t="shared" si="10"/>
        <v>0.068844</v>
      </c>
      <c r="BB44">
        <f>DailyPricing!E140</f>
        <v>0.0111</v>
      </c>
      <c r="BC44">
        <f t="shared" si="10"/>
        <v>0.06474400000000001</v>
      </c>
      <c r="BD44">
        <f t="shared" si="47"/>
        <v>0.00010751</v>
      </c>
      <c r="BE44">
        <f t="shared" si="47"/>
        <v>0.00009582</v>
      </c>
      <c r="BF44">
        <f t="shared" si="47"/>
        <v>0.00008586</v>
      </c>
      <c r="BG44">
        <f t="shared" si="47"/>
        <v>0.00006981</v>
      </c>
      <c r="BH44">
        <f t="shared" si="47"/>
        <v>0.0000404</v>
      </c>
      <c r="BJ44" t="s">
        <v>830</v>
      </c>
      <c r="BK44">
        <v>25</v>
      </c>
      <c r="BL44">
        <v>20</v>
      </c>
      <c r="BM44">
        <v>15</v>
      </c>
      <c r="BN44">
        <v>25</v>
      </c>
      <c r="BO44">
        <v>20</v>
      </c>
      <c r="BP44">
        <v>15</v>
      </c>
    </row>
    <row r="45" ht="15" customHeight="1">
      <c r="A45" t="s">
        <v>831</v>
      </c>
      <c r="B45">
        <f>_xlfn.IFERROR(IF(B38="Acquisition",B39,B44/B40),0)</f>
        <v>-34419044.199999996</v>
      </c>
      <c r="D45" t="s">
        <v>832</v>
      </c>
      <c r="E45" t="str">
        <f t="shared" si="55" ref="E45:P45">IF(E$98=E$43,"Full Term","--")</f>
        <v>--</v>
      </c>
      <c r="F45" t="str">
        <f t="shared" si="55"/>
        <v>--</v>
      </c>
      <c r="G45" t="str">
        <f t="shared" si="55"/>
        <v>--</v>
      </c>
      <c r="H45" t="str">
        <f t="shared" si="55"/>
        <v>--</v>
      </c>
      <c r="I45" t="str">
        <f t="shared" si="55"/>
        <v>--</v>
      </c>
      <c r="J45" t="str">
        <f t="shared" si="55"/>
        <v>--</v>
      </c>
      <c r="K45" t="str">
        <f t="shared" si="55"/>
        <v>--</v>
      </c>
      <c r="L45" t="str">
        <f t="shared" si="55"/>
        <v>--</v>
      </c>
      <c r="M45" t="str">
        <f t="shared" si="55"/>
        <v>--</v>
      </c>
      <c r="N45" t="str">
        <f t="shared" si="55"/>
        <v>--</v>
      </c>
      <c r="O45" t="str">
        <f t="shared" si="55"/>
        <v>--</v>
      </c>
      <c r="P45" t="str">
        <f t="shared" si="55"/>
        <v>--</v>
      </c>
      <c r="R45">
        <f t="shared" si="56" ref="R45:AH45">IF(R$98=R$43,"Full Term","")</f>
      </c>
      <c r="S45">
        <f t="shared" si="56"/>
      </c>
      <c r="T45">
        <f t="shared" si="56"/>
      </c>
      <c r="U45">
        <f t="shared" si="56"/>
      </c>
      <c r="V45" t="str">
        <f t="shared" si="56"/>
        <v>Full Term</v>
      </c>
      <c r="W45">
        <f t="shared" si="56"/>
      </c>
      <c r="X45" t="str">
        <f t="shared" si="56"/>
        <v>Full Term</v>
      </c>
      <c r="Y45">
        <f t="shared" si="56"/>
      </c>
      <c r="AA45" t="str">
        <f t="shared" si="56"/>
        <v>Full Term</v>
      </c>
      <c r="AB45" t="str">
        <f t="shared" si="56"/>
        <v>Full Term</v>
      </c>
      <c r="AC45" t="str">
        <f t="shared" si="56"/>
        <v>Full Term</v>
      </c>
      <c r="AD45" t="str">
        <f t="shared" si="56"/>
        <v>Full Term</v>
      </c>
      <c r="AE45" t="str">
        <f t="shared" si="56"/>
        <v>Full Term</v>
      </c>
      <c r="AF45" t="str">
        <f t="shared" si="56"/>
        <v>Full Term</v>
      </c>
      <c r="AG45" t="str">
        <f t="shared" si="56"/>
        <v>Full Term</v>
      </c>
      <c r="AH45" t="str">
        <f t="shared" si="56"/>
        <v>Full Term</v>
      </c>
      <c r="AJ45" t="s">
        <v>833</v>
      </c>
      <c r="AK45" t="s">
        <v>209</v>
      </c>
      <c r="AM45" t="s">
        <v>834</v>
      </c>
      <c r="AN45" t="s">
        <v>656</v>
      </c>
      <c r="AU45">
        <v>18</v>
      </c>
      <c r="AV45">
        <v>15</v>
      </c>
      <c r="AW45">
        <f t="shared" si="47"/>
        <v>0.0121</v>
      </c>
      <c r="AX45">
        <f t="shared" si="18"/>
        <v>0.043144</v>
      </c>
      <c r="AY45">
        <v>0.009</v>
      </c>
      <c r="AZ45">
        <f>DailyPricing!E58</f>
        <v>0.0152</v>
      </c>
      <c r="BA45">
        <f t="shared" si="10"/>
        <v>0.070444</v>
      </c>
      <c r="BB45">
        <f>DailyPricing!E141</f>
        <v>0.0111</v>
      </c>
      <c r="BC45">
        <f t="shared" si="10"/>
        <v>0.066344</v>
      </c>
    </row>
    <row r="46" ht="15" customHeight="1">
      <c r="A46" t="s">
        <v>835</v>
      </c>
      <c r="B46">
        <f t="shared" si="57"/>
        <v>-340782.6158415841</v>
      </c>
      <c r="D46" t="s">
        <v>220</v>
      </c>
      <c r="E46">
        <v>30</v>
      </c>
      <c r="F46">
        <v>30</v>
      </c>
      <c r="G46">
        <v>30</v>
      </c>
      <c r="H46">
        <v>30</v>
      </c>
      <c r="I46">
        <v>30</v>
      </c>
      <c r="J46">
        <v>30</v>
      </c>
      <c r="K46">
        <v>30</v>
      </c>
      <c r="L46">
        <v>30</v>
      </c>
      <c r="M46">
        <v>30</v>
      </c>
      <c r="N46">
        <v>30</v>
      </c>
      <c r="O46">
        <v>30</v>
      </c>
      <c r="P46">
        <v>30</v>
      </c>
      <c r="R46">
        <v>30</v>
      </c>
      <c r="S46">
        <v>30</v>
      </c>
      <c r="T46">
        <v>30</v>
      </c>
      <c r="U46">
        <v>30</v>
      </c>
      <c r="V46">
        <v>30</v>
      </c>
      <c r="W46">
        <v>30</v>
      </c>
      <c r="X46">
        <v>30</v>
      </c>
      <c r="Y46">
        <v>30</v>
      </c>
      <c r="AA46">
        <v>30</v>
      </c>
      <c r="AB46">
        <v>30</v>
      </c>
      <c r="AC46">
        <v>30</v>
      </c>
      <c r="AD46">
        <v>30</v>
      </c>
      <c r="AE46">
        <v>30</v>
      </c>
      <c r="AF46">
        <v>30</v>
      </c>
      <c r="AG46">
        <v>30</v>
      </c>
      <c r="AH46">
        <v>30</v>
      </c>
      <c r="AJ46" t="s">
        <v>836</v>
      </c>
      <c r="AK46" t="s">
        <v>209</v>
      </c>
      <c r="AM46" t="s">
        <v>837</v>
      </c>
      <c r="AN46" t="s">
        <v>209</v>
      </c>
      <c r="AU46">
        <v>30</v>
      </c>
      <c r="AV46">
        <v>15</v>
      </c>
      <c r="AW46">
        <f t="shared" si="47"/>
        <v>0.013</v>
      </c>
      <c r="AX46">
        <f t="shared" si="34"/>
        <v>0.043957</v>
      </c>
      <c r="AY46">
        <v>0.013</v>
      </c>
      <c r="AZ46">
        <f>DailyPricing!E59</f>
        <v>0.0152</v>
      </c>
      <c r="BA46">
        <f t="shared" si="10"/>
        <v>0.072157</v>
      </c>
      <c r="BB46">
        <f>DailyPricing!E142</f>
        <v>0.0111</v>
      </c>
      <c r="BC46">
        <f t="shared" si="10"/>
        <v>0.068057</v>
      </c>
    </row>
    <row r="47" ht="15" customHeight="1">
      <c r="A47" t="s">
        <v>838</v>
      </c>
      <c r="B47" t="b">
        <f>OR(SblQuotes_FannieMktTier="Strong",_xlfn.IFERROR(SEARCH("Chicago-Naperville-Elgin",MSA),0)&gt;0,_xlfn.IFERROR(SEARCH("Los Angeles-Long Beach-Anaheim",MSA),0)&gt;0,_xlfn.IFERROR(SEARCH("Washington-Arlington-Alexandria",MSA),0)&gt;0)</f>
        <v>0</v>
      </c>
      <c r="D47" t="s">
        <v>839</v>
      </c>
      <c r="E47" t="s">
        <v>840</v>
      </c>
      <c r="F47" t="s">
        <v>840</v>
      </c>
      <c r="G47" t="s">
        <v>840</v>
      </c>
      <c r="H47" t="s">
        <v>840</v>
      </c>
      <c r="I47" t="s">
        <v>840</v>
      </c>
      <c r="J47" t="s">
        <v>840</v>
      </c>
      <c r="K47" t="s">
        <v>840</v>
      </c>
      <c r="L47" t="s">
        <v>840</v>
      </c>
      <c r="M47" t="s">
        <v>840</v>
      </c>
      <c r="N47" t="s">
        <v>840</v>
      </c>
      <c r="O47" t="s">
        <v>840</v>
      </c>
      <c r="P47" t="s">
        <v>840</v>
      </c>
      <c r="R47" t="s">
        <v>393</v>
      </c>
      <c r="S47" t="s">
        <v>393</v>
      </c>
      <c r="T47" t="s">
        <v>393</v>
      </c>
      <c r="U47" t="s">
        <v>393</v>
      </c>
      <c r="V47" t="s">
        <v>393</v>
      </c>
      <c r="W47" t="s">
        <v>393</v>
      </c>
      <c r="X47" t="s">
        <v>393</v>
      </c>
      <c r="Y47" t="s">
        <v>393</v>
      </c>
      <c r="AA47" t="s">
        <v>393</v>
      </c>
      <c r="AB47" t="s">
        <v>393</v>
      </c>
      <c r="AC47" t="s">
        <v>393</v>
      </c>
      <c r="AD47" t="s">
        <v>393</v>
      </c>
      <c r="AE47" t="s">
        <v>393</v>
      </c>
      <c r="AF47" t="s">
        <v>393</v>
      </c>
      <c r="AG47" t="s">
        <v>393</v>
      </c>
      <c r="AH47" t="s">
        <v>393</v>
      </c>
      <c r="AJ47" t="s">
        <v>841</v>
      </c>
      <c r="AK47">
        <v>0</v>
      </c>
      <c r="AM47" t="s">
        <v>842</v>
      </c>
      <c r="AN47" t="s">
        <v>209</v>
      </c>
      <c r="AU47" t="s">
        <v>635</v>
      </c>
      <c r="AV47" t="s">
        <v>636</v>
      </c>
      <c r="BJ47" t="str">
        <f>"SBL - "&amp;$BL$2&amp;" Region Pricing Grid - Small/Very Small Markets   Effective: "&amp;TEXT(SBL_FRE_RegionalPricingGridTimestamp,"dddd  mm/dd/yyyy")</f>
        <v>SBL - Northeast Region Pricing Grid - Small/Very Small Markets   Effective: Tuesday  09/12/2023</v>
      </c>
    </row>
    <row r="48" ht="15" customHeight="1">
      <c r="A48" t="s">
        <v>372</v>
      </c>
      <c r="B48" t="s">
        <v>373</v>
      </c>
      <c r="D48" t="s">
        <v>844</v>
      </c>
      <c r="E48" t="str">
        <f t="shared" si="58" ref="E48:P48">IF(TRIM(RIGHT(E26,6))="Hybrid","N/A: Hybrid",_xlfn.IFERROR(IF(FV(E68/12,_xlfn.NUMBERVALUE(TRIM(LEFT(E26,2)))*12-(E43*12),E69/12,-E30)/$B$42&lt;=70%,"PASS (","FAIL (")&amp;TEXT(FV(E68/12,_xlfn.NUMBERVALUE(TRIM(LEFT(E26,2)))*12-(E43*12),E69/12,-E30)/$B$42,"0.00%")&amp;")","--"))</f>
        <v>--</v>
      </c>
      <c r="F48" t="str">
        <f t="shared" si="58"/>
        <v>--</v>
      </c>
      <c r="G48" t="str">
        <f t="shared" si="58"/>
        <v>--</v>
      </c>
      <c r="H48" t="str">
        <f t="shared" si="58"/>
        <v>--</v>
      </c>
      <c r="I48" t="str">
        <f t="shared" si="58"/>
        <v>--</v>
      </c>
      <c r="J48" t="str">
        <f t="shared" si="58"/>
        <v>--</v>
      </c>
      <c r="K48" t="str">
        <f t="shared" si="58"/>
        <v>N/A: Hybrid</v>
      </c>
      <c r="L48" t="str">
        <f t="shared" si="58"/>
        <v>N/A: Hybrid</v>
      </c>
      <c r="M48" t="str">
        <f t="shared" si="58"/>
        <v>--</v>
      </c>
      <c r="N48" t="str">
        <f t="shared" si="58"/>
        <v>N/A: Hybrid</v>
      </c>
      <c r="O48" t="str">
        <f t="shared" si="58"/>
        <v>N/A: Hybrid</v>
      </c>
      <c r="P48" t="str">
        <f t="shared" si="58"/>
        <v>--</v>
      </c>
      <c r="AJ48" t="s">
        <v>846</v>
      </c>
      <c r="AK48">
        <v>0</v>
      </c>
      <c r="AM48" t="s">
        <v>847</v>
      </c>
      <c r="AN48" t="s">
        <v>209</v>
      </c>
      <c r="AU48">
        <v>5</v>
      </c>
      <c r="AV48">
        <v>3</v>
      </c>
      <c r="AW48">
        <f t="shared" si="47"/>
        <v>0.0129</v>
      </c>
      <c r="AX48">
        <f>'SBL Quotes'!$BA$5</f>
        <v>0.044509</v>
      </c>
      <c r="AY48">
        <v>0.007</v>
      </c>
      <c r="AZ48">
        <f>DailyPricing!E60</f>
        <v>0.016</v>
      </c>
      <c r="BA48">
        <f t="shared" si="10"/>
        <v>0.073409</v>
      </c>
      <c r="BB48">
        <f>DailyPricing!E143</f>
        <v>0.0119</v>
      </c>
      <c r="BC48">
        <f t="shared" si="10"/>
        <v>0.06930900000000001</v>
      </c>
      <c r="BJ48" t="s">
        <v>568</v>
      </c>
    </row>
    <row r="49" ht="15" customHeight="1">
      <c r="A49" t="s">
        <v>848</v>
      </c>
      <c r="B49">
        <f>IF(SBL_DelegatedLevel="Performance Differentiation","All other borrowers","")</f>
      </c>
      <c r="D49" t="s">
        <v>849</v>
      </c>
      <c r="E49" t="str">
        <f t="shared" si="59" ref="E49:P49">IF(E30=0,"-",IF(RIGHT(E26,5)="Fixed","N/A: Fixed",IF(AND($B$22="Top",$B$29="No"),"Top Market",_xlfn.LET(_xlpm.NOI\PMTs,_xlfn.IFERROR($B$41/(PMT((E68+2.5%)/12,E46*12,-1)*12*E30),0),IF(_xlpm.NOI\PMTs&gt;=1,"PASS (","FAIL (")&amp;TEXT(ROUNDDOWN(_xlpm.NOI\PMTs,2),"0.00")&amp;"x)"))))</f>
        <v>-</v>
      </c>
      <c r="F49" t="str">
        <f t="shared" si="59"/>
        <v>-</v>
      </c>
      <c r="G49" t="str">
        <f t="shared" si="59"/>
        <v>-</v>
      </c>
      <c r="H49" t="str">
        <f t="shared" si="59"/>
        <v>-</v>
      </c>
      <c r="I49" t="str">
        <f t="shared" si="59"/>
        <v>-</v>
      </c>
      <c r="J49" t="str">
        <f t="shared" si="59"/>
        <v>-</v>
      </c>
      <c r="K49" t="str">
        <f t="shared" si="59"/>
        <v>-</v>
      </c>
      <c r="L49" t="str">
        <f t="shared" si="59"/>
        <v>-</v>
      </c>
      <c r="M49" t="str">
        <f t="shared" si="59"/>
        <v>-</v>
      </c>
      <c r="N49" t="str">
        <f t="shared" si="59"/>
        <v>-</v>
      </c>
      <c r="O49" t="str">
        <f t="shared" si="59"/>
        <v>-</v>
      </c>
      <c r="P49" t="str">
        <f t="shared" si="59"/>
        <v>-</v>
      </c>
      <c r="AA49" t="str">
        <f t="shared" si="60" ref="AA49:AH49">_xlfn.LET(_xlpm.LoanAmt,AA$30,_xlpm.IsFixed,RIGHT(AA$26,5)="Fixed",_xlpm.FannieNOI,$B$44,_xlpm.ActualRate,AA$68,_xlpm.AmortizationMos,AA$46*12,_xlpm.Comment,"EquivFixedRate will eventually be a lookup, but for now requires manual calculation and entry",_xlpm.EquivFixedRate,AA$105,_xlpm.MinDSCR,1.35,_xlpm.Comment2,"IO_PMT is based on 30/365, not Actual/360",_xlpm.IO_PMT,MAX(_xlpm.ActualRate,_xlpm.EquivFixedRate)*_xlpm.LoanAmt*365/360,_xlpm.DSCR,_xlpm.FannieNOI/_xlpm.IO_PMT,_xlpm.DscrAsString,TEXT(ROUNDDOWN(_xlpm.DSCR,2),"0.00")&amp;"x",IF(_xlpm.LoanAmt=0,"-",IF(_xlpm.IsFixed,"N/A: Fixed",IF(_xlpm.EquivFixedRate=0,"See cell "&amp;ADDRESS(ROW(_xlpm.EquivFixedRate),COLUMN(_xlpm.EquivFixedRate)),IF(_xlpm.DSCR&gt;=_xlpm.MinDSCR,"PASS (","FAIL (")&amp;_xlpm.DscrAsString))))</f>
        <v>-</v>
      </c>
      <c r="AB49" t="str">
        <f t="shared" si="60"/>
        <v>-</v>
      </c>
      <c r="AC49" t="str">
        <f t="shared" si="60"/>
        <v>-</v>
      </c>
      <c r="AD49" t="str">
        <f t="shared" si="60"/>
        <v>-</v>
      </c>
      <c r="AE49" t="str">
        <f t="shared" si="60"/>
        <v>-</v>
      </c>
      <c r="AF49" t="str">
        <f t="shared" si="60"/>
        <v>-</v>
      </c>
      <c r="AG49" t="str">
        <f t="shared" si="60"/>
        <v>-</v>
      </c>
      <c r="AH49" t="str">
        <f t="shared" si="60"/>
        <v>-</v>
      </c>
      <c r="AJ49" t="s">
        <v>850</v>
      </c>
      <c r="AK49">
        <v>1</v>
      </c>
      <c r="AM49" t="s">
        <v>851</v>
      </c>
      <c r="AN49" t="s">
        <v>656</v>
      </c>
      <c r="AU49">
        <v>7</v>
      </c>
      <c r="AV49">
        <v>5</v>
      </c>
      <c r="AW49">
        <f t="shared" si="47"/>
        <v>0.0129</v>
      </c>
      <c r="AX49">
        <f>'SBL Quotes'!$BB$5</f>
        <v>0.044065</v>
      </c>
      <c r="AY49">
        <v>0.008</v>
      </c>
      <c r="AZ49">
        <f>DailyPricing!E61</f>
        <v>0.0156</v>
      </c>
      <c r="BA49">
        <f t="shared" si="10"/>
        <v>0.072565</v>
      </c>
      <c r="BB49">
        <f>DailyPricing!E144</f>
        <v>0.0115</v>
      </c>
      <c r="BC49">
        <f t="shared" si="10"/>
        <v>0.068465</v>
      </c>
      <c r="BJ49" t="s">
        <v>578</v>
      </c>
      <c r="BK49" t="s">
        <v>579</v>
      </c>
      <c r="BL49" t="s">
        <v>579</v>
      </c>
      <c r="BM49" t="s">
        <v>579</v>
      </c>
      <c r="BN49" t="s">
        <v>384</v>
      </c>
      <c r="BO49" t="s">
        <v>384</v>
      </c>
      <c r="BP49" t="s">
        <v>384</v>
      </c>
    </row>
    <row r="50" ht="15" customHeight="1">
      <c r="A50" t="s">
        <v>852</v>
      </c>
      <c r="B50" t="s">
        <v>451</v>
      </c>
      <c r="D50" t="s">
        <v>853</v>
      </c>
      <c r="E50" t="e">
        <f t="shared" si="61" ref="E50:P50">INDEX($BJ$4:$BP$92,MATCH("Fixed Pricing ("&amp;$B$22&amp;" Markets)",$BJ$4:$BJ$92,0),MATCH(E26,$BJ$4:$BP$4,0))+IF(AND(_xlfn.NUMBERVALUE(TRIM(LEFT(E26,2)))=5,$B$22="Top"),0.25%,0.47%)</f>
        <v>#N/A</v>
      </c>
      <c r="F50" t="e">
        <f t="shared" si="61"/>
        <v>#N/A</v>
      </c>
      <c r="G50" t="e">
        <f t="shared" si="61"/>
        <v>#N/A</v>
      </c>
      <c r="H50" t="e">
        <f t="shared" si="61"/>
        <v>#N/A</v>
      </c>
      <c r="I50" t="e">
        <f t="shared" si="61"/>
        <v>#N/A</v>
      </c>
      <c r="J50" t="e">
        <f t="shared" si="61"/>
        <v>#N/A</v>
      </c>
      <c r="K50" t="e">
        <f t="shared" si="61"/>
        <v>#N/A</v>
      </c>
      <c r="L50" t="e">
        <f t="shared" si="61"/>
        <v>#N/A</v>
      </c>
      <c r="M50" t="e">
        <f t="shared" si="61"/>
        <v>#N/A</v>
      </c>
      <c r="N50" t="e">
        <f t="shared" si="61"/>
        <v>#N/A</v>
      </c>
      <c r="O50" t="e">
        <f t="shared" si="61"/>
        <v>#N/A</v>
      </c>
      <c r="P50" t="e">
        <f t="shared" si="61"/>
        <v>#N/A</v>
      </c>
      <c r="R50">
        <f t="shared" si="62" ref="R50:Y50">_xlfn.LET(_xlpm.term_yrs,R$98,_xlpm.tier,R$39,_xlpm.pricing_table,CHOOSE(_xlpm.tier-1,SBL_PricingTbl_FNM_Tier2,SBL_PricingTbl_FNM_Tier3,SBL_PricingTbl_FNM_Tier4),_xlpm.pricing_table_column_number,4,_xlpm.comment,"assumes Treasury Rate is in column 4 of the table",_xlpm.comment2,"Using TRUE in the VLOOKUP causes the table to use the row above for non-exact matches. So a 14 year Term goes up to the 12 year row.",VLOOKUP(_xlpm.term_yrs,_xlpm.pricing_table,_xlpm.pricing_table_column_number,TRUE))</f>
        <v>0.043144</v>
      </c>
      <c r="S50">
        <f t="shared" si="62"/>
        <v>0.043144</v>
      </c>
      <c r="T50">
        <f t="shared" si="62"/>
        <v>0.043144</v>
      </c>
      <c r="U50">
        <f t="shared" si="62"/>
        <v>0.043144</v>
      </c>
      <c r="V50">
        <f t="shared" si="62"/>
        <v>0.043144</v>
      </c>
      <c r="W50">
        <f t="shared" si="62"/>
        <v>0.044509</v>
      </c>
      <c r="X50">
        <f t="shared" si="62"/>
        <v>0.044509</v>
      </c>
      <c r="Y50">
        <f t="shared" si="62"/>
        <v>0.043144</v>
      </c>
      <c r="AA50">
        <f t="shared" si="63" ref="AA50:AH50">_xlfn.LET(_xlpm.Term,AA$98,_xlpm.IsFloating,RIGHT(AA$26,8)="Floating",_xlpm.SOFR_1mo_Term,$AV$6,_xlpm.TreasRate_5Yr,$BA$4,_xlpm.TreasRate_7Yr,$BB$4,_xlpm.TreasRate_10Yr,$BC$4,_xlpm.TermLookupValue,IF(_xlpm.Term&gt;=10,10,IF(_xlpm.Term&gt;=7,7,5)),IF(_xlpm.IsFloating,_xlpm.SOFR_1mo_Term,IF(_xlpm.TermLookupValue=5,_xlpm.TreasRate_5Yr,0)+IF(_xlpm.TermLookupValue=7,_xlpm.TreasRate_7Yr,0)+IF(_xlpm.TermLookupValue=10,_xlpm.TreasRate_10Yr,0)))</f>
        <v>0.053704</v>
      </c>
      <c r="AB50">
        <f t="shared" si="63"/>
        <v>0.053704</v>
      </c>
      <c r="AC50">
        <f t="shared" si="63"/>
        <v>0.053704</v>
      </c>
      <c r="AD50">
        <f t="shared" si="63"/>
        <v>0.053704</v>
      </c>
      <c r="AE50">
        <f t="shared" si="63"/>
        <v>0.053704</v>
      </c>
      <c r="AF50">
        <f t="shared" si="63"/>
        <v>0.053704</v>
      </c>
      <c r="AG50">
        <f t="shared" si="63"/>
        <v>0.053704</v>
      </c>
      <c r="AH50">
        <f t="shared" si="63"/>
        <v>0.053704</v>
      </c>
      <c r="AJ50" t="s">
        <v>854</v>
      </c>
      <c r="AK50" t="s">
        <v>209</v>
      </c>
      <c r="AM50" t="s">
        <v>855</v>
      </c>
      <c r="AN50" t="s">
        <v>656</v>
      </c>
      <c r="AU50">
        <v>10</v>
      </c>
      <c r="AV50">
        <v>7</v>
      </c>
      <c r="AW50">
        <f t="shared" si="47"/>
        <v>0.0133</v>
      </c>
      <c r="AX50">
        <f>'SBL Quotes'!$BC$5</f>
        <v>0.043144</v>
      </c>
      <c r="AY50">
        <v>0.009</v>
      </c>
      <c r="AZ50">
        <f>DailyPricing!E62</f>
        <v>0.0152</v>
      </c>
      <c r="BA50">
        <f t="shared" si="10"/>
        <v>0.071644</v>
      </c>
      <c r="BB50">
        <f>DailyPricing!E145</f>
        <v>0.0111</v>
      </c>
      <c r="BC50">
        <f t="shared" si="10"/>
        <v>0.067544</v>
      </c>
      <c r="BJ50" t="s">
        <v>599</v>
      </c>
      <c r="BK50">
        <v>5</v>
      </c>
      <c r="BL50">
        <v>7</v>
      </c>
      <c r="BM50">
        <v>10</v>
      </c>
      <c r="BN50">
        <v>5</v>
      </c>
      <c r="BO50">
        <v>7</v>
      </c>
      <c r="BP50">
        <v>10</v>
      </c>
    </row>
    <row r="51" ht="15" customHeight="1">
      <c r="A51" t="s">
        <v>856</v>
      </c>
      <c r="B51" t="str">
        <f>_xlfn.IFERROR(IF(('Fannie Historical Ops'!$AK$75/'Fannie Historical Ops'!$AK$30)&lt;=50%,"Yes","No"),"Select")</f>
        <v>No</v>
      </c>
      <c r="D51" t="s">
        <v>857</v>
      </c>
      <c r="R51">
        <f t="shared" si="64" ref="R51:Y51">_xlfn.LET(_xlpm.term_yrs,R$98,_xlpm.tier,R$39,_xlpm.pricing_table,CHOOSE(_xlpm.tier-1,SBL_PricingTbl_FNM_Tier2,SBL_PricingTbl_FNM_Tier3,SBL_PricingTbl_FNM_Tier4),_xlpm.pricing_table_column_number,3,_xlpm.comment,"assumes Investor Spread is in column 3 of the table",_xlpm.comment2,"Using TRUE in the VLOOKUP causes the table to use the row above for non-exact matches. So a 14 year Term goes up to the 12 year row.",VLOOKUP(_xlpm.term_yrs,_xlpm.pricing_table,_xlpm.pricing_table_column_number,TRUE))</f>
        <v>0.0073</v>
      </c>
      <c r="S51">
        <f t="shared" si="64"/>
        <v>0.0087</v>
      </c>
      <c r="T51">
        <f t="shared" si="64"/>
        <v>0.0105</v>
      </c>
      <c r="U51">
        <f t="shared" si="64"/>
        <v>0.0073</v>
      </c>
      <c r="V51">
        <f t="shared" si="64"/>
        <v>0.0073</v>
      </c>
      <c r="W51">
        <f t="shared" si="64"/>
        <v>0.0069</v>
      </c>
      <c r="X51">
        <f t="shared" si="64"/>
        <v>0.0069</v>
      </c>
      <c r="Y51">
        <f t="shared" si="64"/>
        <v>0.0073</v>
      </c>
      <c r="AA51">
        <v>0</v>
      </c>
      <c r="AB51">
        <v>0</v>
      </c>
      <c r="AC51">
        <v>0</v>
      </c>
      <c r="AD51">
        <v>0</v>
      </c>
      <c r="AE51">
        <v>0</v>
      </c>
      <c r="AF51">
        <v>0</v>
      </c>
      <c r="AG51">
        <v>0</v>
      </c>
      <c r="AH51">
        <v>0</v>
      </c>
      <c r="AJ51" t="s">
        <v>858</v>
      </c>
      <c r="AK51" t="s">
        <v>209</v>
      </c>
      <c r="BJ51" t="s">
        <v>609</v>
      </c>
      <c r="BK51">
        <v>15</v>
      </c>
      <c r="BL51">
        <v>13</v>
      </c>
      <c r="BM51">
        <v>10</v>
      </c>
      <c r="BN51">
        <v>0</v>
      </c>
      <c r="BO51">
        <v>0</v>
      </c>
      <c r="BP51">
        <v>0</v>
      </c>
    </row>
    <row r="52" ht="15" customHeight="1">
      <c r="A52" t="s">
        <v>859</v>
      </c>
      <c r="D52" t="s">
        <v>860</v>
      </c>
      <c r="R52" cm="1">
        <f t="array" ref="R52">_xlfn.LET(_xlpm.term_yrs,R$98,_xlpm.tier,R$39,_xlpm.loan_amount_6mm_or_less,MIN(R$25,R$30)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0.0192</v>
      </c>
      <c r="S52" cm="1">
        <f t="array" ref="S52">_xlfn.LET(_xlpm.term_yrs,S$98,_xlpm.tier,S$39,_xlpm.loan_amount_6mm_or_less,MIN(S$25,S$30)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0.0192</v>
      </c>
      <c r="T52" cm="1">
        <f t="array" ref="T52">_xlfn.LET(_xlpm.term_yrs,T$98,_xlpm.tier,T$39,_xlpm.loan_amount_6mm_or_less,MIN(T$25,T$30)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0.0192</v>
      </c>
      <c r="U52" cm="1">
        <f t="array" ref="U52">_xlfn.LET(_xlpm.term_yrs,U$98,_xlpm.tier,U$39,_xlpm.loan_amount_6mm_or_less,MIN(U$25,U$30)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0.0172</v>
      </c>
      <c r="V52" cm="1">
        <f t="array" ref="V52">_xlfn.LET(_xlpm.term_yrs,V$98,_xlpm.tier,V$39,_xlpm.loan_amount_6mm_or_less,MIN(V$25,V$30)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0.0152</v>
      </c>
      <c r="W52" cm="1">
        <f t="array" ref="W52">_xlfn.LET(_xlpm.term_yrs,W$98,_xlpm.tier,W$39,_xlpm.loan_amount_6mm_or_less,MIN(W$25,W$30)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0.018</v>
      </c>
      <c r="X52" cm="1">
        <f t="array" ref="X52">_xlfn.LET(_xlpm.term_yrs,X$98,_xlpm.tier,X$39,_xlpm.loan_amount_6mm_or_less,MIN(X$25,X$30)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0.016</v>
      </c>
      <c r="Y52" cm="1">
        <f t="array" ref="Y52">_xlfn.LET(_xlpm.term_yrs,Y$98,_xlpm.tier,Y$39,_xlpm.loan_amount_6mm_or_less,MIN(Y$25,Y$30)&lt;=6000000,_xlpm.pricing_terms,CHOOSE(_xlpm.tier-1,SBL_PricingTbl_FNM_Term_Tier2,SBL_PricingTbl_FNM_Term_Tier3,SBL_PricingTbl_FNM_Term_Tier4),_xlpm.g_and_s,IF(_xlpm.loan_amount_6mm_or_less,CHOOSE(_xlpm.tier-1,SBL_PricingTbl_FNM_GS_6MM_Tier2,SBL_PricingTbl_FNM_GS_6MM_Tier3,SBL_PricingTbl_FNM_GS_6MM_Tier4),CHOOSE(_xlpm.tier-1,SBL_PricingTbl_FNM_GS_9MM_Tier2,SBL_PricingTbl_FNM_GS_9MM_Tier3,SBL_PricingTbl_FNM_GS_9MM_Tier4)),_xlpm.comment,"Using -1 in the XLOOKUP causes the table to use a row above it for non-exact matches. So a 14 year Term goes up to the 12 year row.",_xlfn.XLOOKUP(_xlpm.term_yrs,_xlpm.pricing_terms,_xlpm.g_and_s,,-1))</f>
        <v>0.0192</v>
      </c>
      <c r="AU52" t="s">
        <v>861</v>
      </c>
      <c r="BE52" t="s">
        <v>862</v>
      </c>
      <c r="BJ52" t="s">
        <v>621</v>
      </c>
      <c r="BK52" t="s">
        <v>622</v>
      </c>
      <c r="BL52" t="s">
        <v>622</v>
      </c>
      <c r="BM52" t="s">
        <v>622</v>
      </c>
      <c r="BN52" t="s">
        <v>623</v>
      </c>
      <c r="BO52" t="s">
        <v>624</v>
      </c>
      <c r="BP52" t="s">
        <v>625</v>
      </c>
    </row>
    <row r="53" ht="15" customHeight="1">
      <c r="A53" t="s">
        <v>863</v>
      </c>
      <c r="B53" t="s">
        <v>864</v>
      </c>
      <c r="D53" t="s">
        <v>503</v>
      </c>
      <c r="AJ53" t="s">
        <v>865</v>
      </c>
      <c r="AU53" t="s">
        <v>866</v>
      </c>
      <c r="AV53">
        <f>DailyPricing!E115</f>
        <v>0.001</v>
      </c>
      <c r="BE53" t="s">
        <v>867</v>
      </c>
      <c r="BF53" t="s">
        <v>868</v>
      </c>
      <c r="BJ53" t="s">
        <v>869</v>
      </c>
      <c r="BK53">
        <v>0</v>
      </c>
      <c r="BL53">
        <v>1</v>
      </c>
      <c r="BM53">
        <v>2</v>
      </c>
      <c r="BN53">
        <v>0</v>
      </c>
      <c r="BO53">
        <v>1</v>
      </c>
      <c r="BP53">
        <v>2</v>
      </c>
    </row>
    <row r="54" ht="15" customHeight="1">
      <c r="A54" t="s">
        <v>870</v>
      </c>
      <c r="B54" t="s">
        <v>864</v>
      </c>
      <c r="D54" t="s">
        <v>871</v>
      </c>
      <c r="E54">
        <f>INDEX(FRE_PremiumAdjustmentsTable[#All],MATCH(E32,FRE_PremiumAdjustmentsTable[[#All], [Total Premium]],0),MATCH(E26,FRE_PremiumAdjustmentsTable[#Headers],0))</f>
        <v>0.0038</v>
      </c>
      <c r="F54">
        <f>INDEX(FRE_PremiumAdjustmentsTable[#All],MATCH(F32,FRE_PremiumAdjustmentsTable[[#All], [Total Premium]],0),MATCH(F26,FRE_PremiumAdjustmentsTable[#Headers],0))</f>
        <v>0.003</v>
      </c>
      <c r="G54">
        <f>INDEX(FRE_PremiumAdjustmentsTable[#All],MATCH(G32,FRE_PremiumAdjustmentsTable[[#All], [Total Premium]],0),MATCH(G26,FRE_PremiumAdjustmentsTable[#Headers],0))</f>
        <v>0.0023</v>
      </c>
      <c r="H54">
        <f>INDEX(FRE_PremiumAdjustmentsTable[#All],MATCH(H32,FRE_PremiumAdjustmentsTable[[#All], [Total Premium]],0),MATCH(H26,FRE_PremiumAdjustmentsTable[#Headers],0))</f>
        <v>0.0038</v>
      </c>
      <c r="I54">
        <f>INDEX(FRE_PremiumAdjustmentsTable[#All],MATCH(I32,FRE_PremiumAdjustmentsTable[[#All], [Total Premium]],0),MATCH(I26,FRE_PremiumAdjustmentsTable[#Headers],0))</f>
        <v>0.003</v>
      </c>
      <c r="J54">
        <f>INDEX(FRE_PremiumAdjustmentsTable[#All],MATCH(J32,FRE_PremiumAdjustmentsTable[[#All], [Total Premium]],0),MATCH(J26,FRE_PremiumAdjustmentsTable[#Headers],0))</f>
        <v>0.0023</v>
      </c>
      <c r="K54">
        <f>INDEX(FRE_PremiumAdjustmentsTable[#All],MATCH(K32,FRE_PremiumAdjustmentsTable[[#All], [Total Premium]],0),MATCH(K26,FRE_PremiumAdjustmentsTable[#Headers],0))</f>
        <v>0.0038</v>
      </c>
      <c r="L54">
        <f>INDEX(FRE_PremiumAdjustmentsTable[#All],MATCH(L32,FRE_PremiumAdjustmentsTable[[#All], [Total Premium]],0),MATCH(L26,FRE_PremiumAdjustmentsTable[#Headers],0))</f>
        <v>0.003</v>
      </c>
      <c r="M54">
        <f>INDEX(FRE_PremiumAdjustmentsTable[#All],MATCH(M32,FRE_PremiumAdjustmentsTable[[#All], [Total Premium]],0),MATCH(M26,FRE_PremiumAdjustmentsTable[#Headers],0))</f>
        <v>0.0023</v>
      </c>
      <c r="N54">
        <f>INDEX(FRE_PremiumAdjustmentsTable[#All],MATCH(N32,FRE_PremiumAdjustmentsTable[[#All], [Total Premium]],0),MATCH(N26,FRE_PremiumAdjustmentsTable[#Headers],0))</f>
        <v>0.0038</v>
      </c>
      <c r="O54">
        <f>INDEX(FRE_PremiumAdjustmentsTable[#All],MATCH(O32,FRE_PremiumAdjustmentsTable[[#All], [Total Premium]],0),MATCH(O26,FRE_PremiumAdjustmentsTable[#Headers],0))</f>
        <v>0.003</v>
      </c>
      <c r="P54">
        <f>INDEX(FRE_PremiumAdjustmentsTable[#All],MATCH(P32,FRE_PremiumAdjustmentsTable[[#All], [Total Premium]],0),MATCH(P26,FRE_PremiumAdjustmentsTable[#Headers],0))</f>
        <v>0.0023</v>
      </c>
      <c r="R54">
        <f t="shared" si="65" ref="R54:Y54">_xlfn.LET(_xlpm.Term,R$98,_xlpm.PremiumBuyup,R$32,IF(_xlpm.Term&gt;=12,0.11%,IF(_xlpm.Term=12,0.12%,IF(_xlpm.Term&gt;=10,0.13%,IF(_xlpm.Term&gt;=7,0.17%,IF(_xlpm.Term&gt;=5,0.23%)))))*_xlpm.PremiumBuyup/1%)</f>
        <v>0.0013</v>
      </c>
      <c r="S54">
        <f t="shared" si="65"/>
        <v>0.0011</v>
      </c>
      <c r="T54">
        <f t="shared" si="65"/>
        <v>0.0011</v>
      </c>
      <c r="U54">
        <f t="shared" si="65"/>
        <v>0.0013</v>
      </c>
      <c r="V54">
        <f t="shared" si="65"/>
        <v>0.0013</v>
      </c>
      <c r="W54">
        <f t="shared" si="65"/>
        <v>0.0023</v>
      </c>
      <c r="X54">
        <f t="shared" si="65"/>
        <v>0.0023</v>
      </c>
      <c r="Y54">
        <f t="shared" si="65"/>
        <v>0.0013</v>
      </c>
      <c r="AA54">
        <f t="shared" si="66" ref="AA54:AH54">_xlfn.LET(_xlpm.IsFloating,RIGHT(AA$26,8)="Floating",_xlpm.PremiumBuyupBps,AA$32,_xlpm.Term,AA$98,IF(OR(_xlpm.PremiumBuyupBps=0,_xlpm.IsFloating),0,(IF(_xlpm.PremiumBuyupBps=0.25%,IF(_xlpm.Term=5,0.07%,IF(_xlpm.Term=7,0.05%,IF(_xlpm.Term=10,0.04%,0))),0)+IF(_xlpm.PremiumBuyupBps=0.5%,IF(_xlpm.Term=5,0.13%,IF(_xlpm.Term=7,0.1%,IF(_xlpm.Term=10,0.08%,0))),0)+IF(_xlpm.PremiumBuyupBps=0.75%,IF(_xlpm.Term=5,0.19%,IF(_xlpm.Term=7,0.15%,IF(_xlpm.Term=10,0.12%,0))),0)+IF(_xlpm.PremiumBuyupBps=1%,IF(_xlpm.Term=5,0.25%,IF(_xlpm.Term=7,0.2%,IF(_xlpm.Term=10,0.15%,0))),0))))</f>
        <v>0</v>
      </c>
      <c r="AB54">
        <f t="shared" si="66"/>
        <v>0</v>
      </c>
      <c r="AC54">
        <f t="shared" si="66"/>
        <v>0</v>
      </c>
      <c r="AD54">
        <f t="shared" si="66"/>
        <v>0</v>
      </c>
      <c r="AE54">
        <f t="shared" si="66"/>
        <v>0</v>
      </c>
      <c r="AF54">
        <f t="shared" si="66"/>
        <v>0</v>
      </c>
      <c r="AG54">
        <f t="shared" si="66"/>
        <v>0</v>
      </c>
      <c r="AH54">
        <f t="shared" si="66"/>
        <v>0</v>
      </c>
      <c r="AJ54" t="str">
        <f>INDEX(Boilerplate!$C$20:$C$25,MATCH(AN20,Boilerplate!$B$20:$B$25,0))</f>
        <v>Please select an answer for "Recent NRI/NCF Growth and Physical Occupancy" above.</v>
      </c>
      <c r="BE54" t="s">
        <v>873</v>
      </c>
      <c r="BF54" t="s">
        <v>868</v>
      </c>
      <c r="BJ54" t="s">
        <v>652</v>
      </c>
      <c r="BK54">
        <v>54321</v>
      </c>
      <c r="BL54">
        <v>5544321</v>
      </c>
      <c r="BM54">
        <v>5544332211</v>
      </c>
      <c r="BN54">
        <v>54321</v>
      </c>
      <c r="BO54">
        <v>5544321</v>
      </c>
      <c r="BP54">
        <v>5544332211</v>
      </c>
    </row>
    <row r="55" ht="15" customHeight="1">
      <c r="A55" t="s">
        <v>874</v>
      </c>
      <c r="B55" t="s">
        <v>209</v>
      </c>
      <c r="D55" t="s">
        <v>875</v>
      </c>
      <c r="E55">
        <f>INDEX(FRE_PrepayAdjustmentsTable[#All],MATCH(E11,FRE_PrepayAdjustmentsTable[[#All], [Prepay Strings]],0),MATCH(E26,FRE_PrepayAdjustmentsTable[#Headers],0))</f>
        <v>-0.0005</v>
      </c>
      <c r="F55">
        <f>INDEX(FRE_PrepayAdjustmentsTable[#All],MATCH(F11,FRE_PrepayAdjustmentsTable[[#All], [Prepay Strings]],0),MATCH(F26,FRE_PrepayAdjustmentsTable[#Headers],0))</f>
        <v>-0.001</v>
      </c>
      <c r="G55">
        <f>INDEX(FRE_PrepayAdjustmentsTable[#All],MATCH(G11,FRE_PrepayAdjustmentsTable[[#All], [Prepay Strings]],0),MATCH(G26,FRE_PrepayAdjustmentsTable[#Headers],0))</f>
        <v>-0.001</v>
      </c>
      <c r="H55">
        <f>INDEX(FRE_PrepayAdjustmentsTable[#All],MATCH(H11,FRE_PrepayAdjustmentsTable[[#All], [Prepay Strings]],0),MATCH(H26,FRE_PrepayAdjustmentsTable[#Headers],0))</f>
        <v>-0.0005</v>
      </c>
      <c r="I55">
        <f>INDEX(FRE_PrepayAdjustmentsTable[#All],MATCH(I11,FRE_PrepayAdjustmentsTable[[#All], [Prepay Strings]],0),MATCH(I26,FRE_PrepayAdjustmentsTable[#Headers],0))</f>
        <v>-0.001</v>
      </c>
      <c r="J55">
        <f>INDEX(FRE_PrepayAdjustmentsTable[#All],MATCH(J11,FRE_PrepayAdjustmentsTable[[#All], [Prepay Strings]],0),MATCH(J26,FRE_PrepayAdjustmentsTable[#Headers],0))</f>
        <v>-0.001</v>
      </c>
      <c r="K55">
        <f>INDEX(FRE_PrepayAdjustmentsTable[#All],MATCH(K11,FRE_PrepayAdjustmentsTable[[#All], [Prepay Strings]],0),MATCH(K26,FRE_PrepayAdjustmentsTable[#Headers],0))</f>
        <v>-0.0005</v>
      </c>
      <c r="L55">
        <f>INDEX(FRE_PrepayAdjustmentsTable[#All],MATCH(L11,FRE_PrepayAdjustmentsTable[[#All], [Prepay Strings]],0),MATCH(L26,FRE_PrepayAdjustmentsTable[#Headers],0))</f>
        <v>-0.001</v>
      </c>
      <c r="M55">
        <f>INDEX(FRE_PrepayAdjustmentsTable[#All],MATCH(M11,FRE_PrepayAdjustmentsTable[[#All], [Prepay Strings]],0),MATCH(M26,FRE_PrepayAdjustmentsTable[#Headers],0))</f>
        <v>-0.001</v>
      </c>
      <c r="N55">
        <f>INDEX(FRE_PrepayAdjustmentsTable[#All],MATCH(N11,FRE_PrepayAdjustmentsTable[[#All], [Prepay Strings]],0),MATCH(N26,FRE_PrepayAdjustmentsTable[#Headers],0))</f>
        <v>-0.0005</v>
      </c>
      <c r="O55">
        <f>INDEX(FRE_PrepayAdjustmentsTable[#All],MATCH(O11,FRE_PrepayAdjustmentsTable[[#All], [Prepay Strings]],0),MATCH(O26,FRE_PrepayAdjustmentsTable[#Headers],0))</f>
        <v>-0.001</v>
      </c>
      <c r="P55">
        <f>INDEX(FRE_PrepayAdjustmentsTable[#All],MATCH(P11,FRE_PrepayAdjustmentsTable[[#All], [Prepay Strings]],0),MATCH(P26,FRE_PrepayAdjustmentsTable[#Headers],0))</f>
        <v>-0.001</v>
      </c>
      <c r="R55">
        <f t="shared" si="67" ref="R55:Y55">IF(R$38="Yield Maintenance",0,0.31%)</f>
        <v>0</v>
      </c>
      <c r="S55">
        <f t="shared" si="67"/>
        <v>0</v>
      </c>
      <c r="T55">
        <f t="shared" si="67"/>
        <v>0</v>
      </c>
      <c r="U55">
        <f t="shared" si="67"/>
        <v>0</v>
      </c>
      <c r="V55">
        <f t="shared" si="67"/>
        <v>0</v>
      </c>
      <c r="W55">
        <f t="shared" si="67"/>
        <v>0</v>
      </c>
      <c r="X55">
        <f t="shared" si="67"/>
        <v>0</v>
      </c>
      <c r="Y55">
        <f t="shared" si="67"/>
        <v>0</v>
      </c>
      <c r="AA55">
        <f t="shared" si="68" ref="AA55:AH55">_xlfn.LET(_xlpm.PrepaymentOption,AA$38,IF(OR(_xlpm.PrepaymentOption="1%  Prepayment",_xlpm.PrepaymentOption="YM"),0,0)+IF(_xlpm.PrepaymentOption="54321",0.15%,0)+IF(OR(_xlpm.PrepaymentOption="5544321",_xlpm.PrepaymentOption="5544332211"),0.2%,0)+IF(_xlpm.PrepaymentOption="321(3)",0.25%,0)+IF(_xlpm.PrepaymentOption="3(2),2(2),1(3)",0.4%,0)+IF(_xlpm.PrepaymentOption="3(3),2(3),1(4)",0.35%,0))</f>
        <v>0</v>
      </c>
      <c r="AB55">
        <f t="shared" si="68"/>
        <v>0</v>
      </c>
      <c r="AC55">
        <f t="shared" si="68"/>
        <v>0</v>
      </c>
      <c r="AD55">
        <f t="shared" si="68"/>
        <v>0</v>
      </c>
      <c r="AE55">
        <f t="shared" si="68"/>
        <v>0</v>
      </c>
      <c r="AF55">
        <f t="shared" si="68"/>
        <v>0</v>
      </c>
      <c r="AG55">
        <f t="shared" si="68"/>
        <v>0</v>
      </c>
      <c r="AH55">
        <f t="shared" si="68"/>
        <v>0</v>
      </c>
      <c r="BE55" t="s">
        <v>876</v>
      </c>
      <c r="BF55">
        <v>0.0425</v>
      </c>
      <c r="BJ55" t="s">
        <v>658</v>
      </c>
      <c r="BK55">
        <v>0.01</v>
      </c>
      <c r="BL55">
        <v>0.01</v>
      </c>
      <c r="BM55">
        <v>0.01</v>
      </c>
      <c r="BN55" t="s">
        <v>174</v>
      </c>
      <c r="BO55" t="s">
        <v>174</v>
      </c>
      <c r="BP55" t="s">
        <v>174</v>
      </c>
    </row>
    <row r="56" ht="15" customHeight="1">
      <c r="A56" t="s">
        <v>877</v>
      </c>
      <c r="B56">
        <f>IF(Loan_Program_Accepted="Proprietary Capital",12500,7500)</f>
        <v>7500</v>
      </c>
      <c r="D56" t="s">
        <v>878</v>
      </c>
      <c r="E56">
        <f t="shared" si="69" ref="E56:P56">_xlfn.LET(_xlpm.comment,"Updated Feb-2023: is_feb_2023_special_FRE_terms condition can be deleted once expired",_xlpm.is_feb_2023_special_FRE_terms,AND(MONTH(LastPricingUpdateTimestamp)=2,YEAR(LastPricingUpdateTimestamp)=2023),_xlpm.io_years,E$43,_xlpm.default_io_years,E$44,IF(_xlpm.is_feb_2023_special_FRE_terms,(_xlpm.io_years-_xlpm.default_io_years+1)*0.01%,(_xlpm.io_years-_xlpm.default_io_years)*0.01%))</f>
        <v>0</v>
      </c>
      <c r="F56">
        <f t="shared" si="69"/>
        <v>0</v>
      </c>
      <c r="G56">
        <f t="shared" si="69"/>
        <v>0</v>
      </c>
      <c r="H56">
        <f t="shared" si="69"/>
        <v>0</v>
      </c>
      <c r="I56">
        <f t="shared" si="69"/>
        <v>0</v>
      </c>
      <c r="J56">
        <f t="shared" si="69"/>
        <v>0</v>
      </c>
      <c r="K56">
        <f t="shared" si="69"/>
        <v>0</v>
      </c>
      <c r="L56">
        <f t="shared" si="69"/>
        <v>0</v>
      </c>
      <c r="M56">
        <f t="shared" si="69"/>
        <v>0</v>
      </c>
      <c r="N56">
        <f t="shared" si="69"/>
        <v>0</v>
      </c>
      <c r="O56">
        <f t="shared" si="69"/>
        <v>0</v>
      </c>
      <c r="P56">
        <f t="shared" si="69"/>
        <v>0</v>
      </c>
      <c r="R56" cm="1">
        <f t="array" ref="R56">_xlfn.LET(_xlpm.yrs_of_io,R$43,_xlpm.term,R$98,_xlpm.is_full_term,R$45="Full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v>
      </c>
      <c r="S56" cm="1">
        <f t="array" ref="S56">_xlfn.LET(_xlpm.yrs_of_io,S$43,_xlpm.term,S$98,_xlpm.is_full_term,S$45="Full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v>
      </c>
      <c r="T56" cm="1">
        <f t="array" ref="T56">_xlfn.LET(_xlpm.yrs_of_io,T$43,_xlpm.term,T$98,_xlpm.is_full_term,T$45="Full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v>
      </c>
      <c r="U56" cm="1">
        <f t="array" ref="U56">_xlfn.LET(_xlpm.yrs_of_io,U$43,_xlpm.term,U$98,_xlpm.is_full_term,U$45="Full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0.00002258</v>
      </c>
      <c r="V56" cm="1">
        <f t="array" ref="V56">_xlfn.LET(_xlpm.yrs_of_io,V$43,_xlpm.term,V$98,_xlpm.is_full_term,V$45="Full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-0.00000265</v>
      </c>
      <c r="W56" cm="1">
        <f t="array" ref="W56">_xlfn.LET(_xlpm.yrs_of_io,W$43,_xlpm.term,W$98,_xlpm.is_full_term,W$45="Full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0.00001328</v>
      </c>
      <c r="X56" cm="1">
        <f t="array" ref="X56">_xlfn.LET(_xlpm.yrs_of_io,X$43,_xlpm.term,X$98,_xlpm.is_full_term,X$45="Full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-0.000036270000000000003</v>
      </c>
      <c r="Y56" cm="1">
        <f t="array" ref="Y56">_xlfn.LET(_xlpm.yrs_of_io,Y$43,_xlpm.term,Y$98,_xlpm.is_full_term,Y$45="Full Term",_xlpm.lookup_term,IF(_xlpm.term&gt;=15,15,IF(_xlpm.term&gt;=12,12,IF(_xlpm.term&gt;=10,10,IF(_xlpm.term&gt;=7,7,5)))),_xlpm.loan_term_options,$AU$12:$AU$16,_xlpm.io_rates_1_yr,$BD$12:$BD$16,_xlpm.io_rates_2_yrs,$BE$12:$BE$16,_xlpm.io_rates_3_yrs,$BF$12:$BF$16,_xlpm.io_rates_5_yrs,$BG$12:$BG$16,_xlpm.io_rates_full_term,$BH$12:$BH$16,IF(_xlpm.yrs_of_io=0,0,IF(_xlpm.yrs_of_io=4,AVERAGE(_xlfn.XLOOKUP(_xlpm.lookup_term,_xlpm.loan_term_options,_xlpm.io_rates_3_yrs),_xlfn.XLOOKUP(_xlpm.lookup_term,_xlpm.loan_term_options,_xlpm.io_rates_5_yrs)),IF(AND(_xlpm.yrs_of_io&gt;5,_xlpm.yrs_of_io&lt;_xlpm.term),AVERAGE(_xlfn.XLOOKUP(_xlpm.lookup_term,_xlpm.loan_term_options,_xlpm.io_rates_5_yrs),_xlfn.XLOOKUP(_xlpm.lookup_term,_xlpm.loan_term_options,_xlpm.io_rates_full_term)),_xlfn.XLOOKUP(_xlpm.lookup_term,_xlpm.loan_term_options,IF(_xlpm.yrs_of_io=1,_xlpm.io_rates_1_yr,IF(_xlpm.yrs_of_io=2,_xlpm.io_rates_2_yrs,IF(_xlpm.yrs_of_io=3,_xlpm.io_rates_3_yrs,IF(_xlpm.yrs_of_io=5,_xlpm.io_rates_5_yrs,IF(_xlpm.is_full_term,_xlpm.io_rates_full_term,"Look Up"))))))))))</f>
        <v>0</v>
      </c>
      <c r="BE56" t="s">
        <v>879</v>
      </c>
      <c r="BF56">
        <v>0.0675</v>
      </c>
      <c r="BJ56" t="s">
        <v>880</v>
      </c>
      <c r="BK56" t="s">
        <v>881</v>
      </c>
      <c r="BL56" t="s">
        <v>881</v>
      </c>
      <c r="BM56" t="s">
        <v>881</v>
      </c>
      <c r="BN56" t="s">
        <v>881</v>
      </c>
      <c r="BO56" t="s">
        <v>881</v>
      </c>
      <c r="BP56" t="s">
        <v>881</v>
      </c>
    </row>
    <row r="57" ht="15" customHeight="1">
      <c r="A57" t="s">
        <v>882</v>
      </c>
      <c r="D57" t="s">
        <v>883</v>
      </c>
      <c r="E57" cm="1">
        <f t="array" ref="E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Small",_xlpm.VerySmallMarketTable,#N/A)))),_xlpm.LoanProduct,E$26,_xlpm.LoanProductOptions,$BK$4:$BP$4,_xlpm.discountString,_xlfn.XLOOKUP(_xlpm.LoanProduct,_xlpm.LoanProductOptions,_xlpm.MarketTable,"Not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F57" cm="1">
        <f t="array" ref="F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Small",_xlpm.VerySmallMarketTable,#N/A)))),_xlpm.LoanProduct,F$26,_xlpm.LoanProductOptions,$BK$4:$BP$4,_xlpm.discountString,_xlfn.XLOOKUP(_xlpm.LoanProduct,_xlpm.LoanProductOptions,_xlpm.MarketTable,"Not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G57" cm="1">
        <f t="array" ref="G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Small",_xlpm.VerySmallMarketTable,#N/A)))),_xlpm.LoanProduct,G$26,_xlpm.LoanProductOptions,$BK$4:$BP$4,_xlpm.discountString,_xlfn.XLOOKUP(_xlpm.LoanProduct,_xlpm.LoanProductOptions,_xlpm.MarketTable,"Not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H57" cm="1">
        <f t="array" ref="H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Small",_xlpm.VerySmallMarketTable,#N/A)))),_xlpm.LoanProduct,H$26,_xlpm.LoanProductOptions,$BK$4:$BP$4,_xlpm.discountString,_xlfn.XLOOKUP(_xlpm.LoanProduct,_xlpm.LoanProductOptions,_xlpm.MarketTable,"Not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I57" cm="1">
        <f t="array" ref="I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Small",_xlpm.VerySmallMarketTable,#N/A)))),_xlpm.LoanProduct,I$26,_xlpm.LoanProductOptions,$BK$4:$BP$4,_xlpm.discountString,_xlfn.XLOOKUP(_xlpm.LoanProduct,_xlpm.LoanProductOptions,_xlpm.MarketTable,"Not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J57" cm="1">
        <f t="array" ref="J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Small",_xlpm.VerySmallMarketTable,#N/A)))),_xlpm.LoanProduct,J$26,_xlpm.LoanProductOptions,$BK$4:$BP$4,_xlpm.discountString,_xlfn.XLOOKUP(_xlpm.LoanProduct,_xlpm.LoanProductOptions,_xlpm.MarketTable,"Not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K57" cm="1">
        <f t="array" ref="K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Small",_xlpm.VerySmallMarketTable,#N/A)))),_xlpm.LoanProduct,K$26,_xlpm.LoanProductOptions,$BK$4:$BP$4,_xlpm.discountString,_xlfn.XLOOKUP(_xlpm.LoanProduct,_xlpm.LoanProductOptions,_xlpm.MarketTable,"Not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L57" cm="1">
        <f t="array" ref="L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Small",_xlpm.VerySmallMarketTable,#N/A)))),_xlpm.LoanProduct,L$26,_xlpm.LoanProductOptions,$BK$4:$BP$4,_xlpm.discountString,_xlfn.XLOOKUP(_xlpm.LoanProduct,_xlpm.LoanProductOptions,_xlpm.MarketTable,"Not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M57" cm="1">
        <f t="array" ref="M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Small",_xlpm.VerySmallMarketTable,#N/A)))),_xlpm.LoanProduct,M$26,_xlpm.LoanProductOptions,$BK$4:$BP$4,_xlpm.discountString,_xlfn.XLOOKUP(_xlpm.LoanProduct,_xlpm.LoanProductOptions,_xlpm.MarketTable,"Not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N57" cm="1">
        <f t="array" ref="N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Small",_xlpm.VerySmallMarketTable,#N/A)))),_xlpm.LoanProduct,N$26,_xlpm.LoanProductOptions,$BK$4:$BP$4,_xlpm.discountString,_xlfn.XLOOKUP(_xlpm.LoanProduct,_xlpm.LoanProductOptions,_xlpm.MarketTable,"Not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O57" cm="1">
        <f t="array" ref="O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Small",_xlpm.VerySmallMarketTable,#N/A)))),_xlpm.LoanProduct,O$26,_xlpm.LoanProductOptions,$BK$4:$BP$4,_xlpm.discountString,_xlfn.XLOOKUP(_xlpm.LoanProduct,_xlpm.LoanProductOptions,_xlpm.MarketTable,"Not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P57" cm="1">
        <f t="array" ref="P57">_xlfn.LET(_xlpm.IsAffordable,$B$25="Yes",_xlpm.Is80orMore,$B$26="Yes",_xlpm.MarketSize,$B$22,_xlpm.TopMarketTable,$BK$22:$BP$22,_xlpm.StdMarketTable,$BK$21:$BP$21,_xlpm.SmallMarketTable,$BK$64:$BP$64,_xlpm.VerySmallMarketTable,$BK$63:$BP$63,_xlpm.MarketTable,IF(_xlpm.MarketSize="Top",_xlpm.TopMarketTable,IF(_xlpm.MarketSize="Standard",_xlpm.StdMarketTable,IF(_xlpm.MarketSize="Small",_xlpm.SmallMarketTable,IF(_xlpm.MarketSize="Very Small",_xlpm.VerySmallMarketTable,#N/A)))),_xlpm.LoanProduct,P$26,_xlpm.LoanProductOptions,$BK$4:$BP$4,_xlpm.discountString,_xlfn.XLOOKUP(_xlpm.LoanProduct,_xlpm.LoanProductOptions,_xlpm.MarketTable,"Not Found",0),_xlpm.discountStringComment,"Returns a two-value delimited string formatted similar to '0 | -15' which means 0 bps for LessThan80, -15bps for AtOrAbove80",_xlpm.delimiterIndex,FIND("|",_xlpm.discountString),_xlpm.LessThan80Discount,VALUE(TRIM(LEFT(_xlpm.discountString,_xlpm.delimiterIndex-1))),_xlpm.AtOrAbove80Discount,VALUE(TRIM(MID(_xlpm.discountString,_xlpm.delimiterIndex+1,5))),_xlfn.IFERROR(IF(_xlpm.IsAffordable,IF(_xlpm.Is80orMore,_xlpm.AtOrAbove80Discount,_xlpm.LessThan80Discount)/10000,0),"Lookup Failed"))</f>
        <v>0</v>
      </c>
      <c r="R57">
        <f t="shared" si="70" ref="R57:Y57">_xlfn.LET(_xlpm.is_highly_affordable,$B$34="Yes",_xlpm.tier,R$39,_xlpm.is_5_50_units,AND(number_units&gt;=5,number_units&lt;=50),_xlpm.is_over_50_units,number_units&gt;50,_xlpm.loan_term_yrs,R$98,_xlpm.tier2_discount,-0.5%,_xlpm.tier3_discount,-0.5%,_xlpm.tier4_discount,-0.5%,_xlpm.is_high_needs_rural,$B$35="Yes",_xlpm.rural_discount,-0.1%,IF(AND(_xlpm.is_over_50_units,_xlpm.is_highly_affordable),IF(_xlpm.tier=2,_xlpm.tier2_discount,IF(_xlpm.tier=3,_xlpm.tier3_discount,_xlpm.tier4_discount)),0)+IF(AND(_xlpm.is_over_50_units,NOT(_xlpm.is_highly_affordable),_xlpm.is_high_needs_rural),_xlpm.rural_discount,0)+IF(AND(_xlpm.is_5_50_units,_xlpm.is_highly_affordable),IF(_xlpm.loan_term_yrs=5,-0.7%,-0.5%),0))</f>
        <v>0</v>
      </c>
      <c r="S57">
        <f t="shared" si="70"/>
        <v>0</v>
      </c>
      <c r="T57">
        <f t="shared" si="70"/>
        <v>0</v>
      </c>
      <c r="U57">
        <f t="shared" si="70"/>
        <v>0</v>
      </c>
      <c r="V57">
        <f t="shared" si="70"/>
        <v>0</v>
      </c>
      <c r="W57">
        <f t="shared" si="70"/>
        <v>0</v>
      </c>
      <c r="X57">
        <f t="shared" si="70"/>
        <v>0</v>
      </c>
      <c r="Y57">
        <f t="shared" si="70"/>
        <v>0</v>
      </c>
      <c r="AJ57" t="str">
        <f>INDEX(Boilerplate!$C$14:$C$18,MATCH(AK20,Boilerplate!$B$14:$B$18,0))</f>
        <v>Please select an answer for "Acquisition or Refinance" above.</v>
      </c>
      <c r="BE57" t="s">
        <v>885</v>
      </c>
      <c r="BF57" t="s">
        <v>868</v>
      </c>
      <c r="BJ57" t="s">
        <v>886</v>
      </c>
      <c r="BK57" t="s">
        <v>887</v>
      </c>
      <c r="BL57" t="s">
        <v>887</v>
      </c>
      <c r="BM57" t="s">
        <v>887</v>
      </c>
      <c r="BN57" t="s">
        <v>887</v>
      </c>
      <c r="BO57" t="s">
        <v>887</v>
      </c>
      <c r="BP57" t="s">
        <v>887</v>
      </c>
    </row>
    <row r="58" ht="15" customHeight="1">
      <c r="A58" t="s">
        <v>6</v>
      </c>
      <c r="B58" t="s">
        <v>209</v>
      </c>
      <c r="D58" t="s">
        <v>839</v>
      </c>
      <c r="E58">
        <f t="shared" si="71" ref="E58:P58">IF(E47="Standard Delivery",0,IF(E47="30-Days",0.04%,IF(E47="60-Days",0.08%,IF(E47="90-Days",0.13%,IF(E47="120-Days",0.18%,0.23%)))))</f>
        <v>0</v>
      </c>
      <c r="F58">
        <f t="shared" si="71"/>
        <v>0</v>
      </c>
      <c r="G58">
        <f t="shared" si="71"/>
        <v>0</v>
      </c>
      <c r="H58">
        <f t="shared" si="71"/>
        <v>0</v>
      </c>
      <c r="I58">
        <f t="shared" si="71"/>
        <v>0</v>
      </c>
      <c r="J58">
        <f t="shared" si="71"/>
        <v>0</v>
      </c>
      <c r="K58">
        <f t="shared" si="71"/>
        <v>0</v>
      </c>
      <c r="L58">
        <f t="shared" si="71"/>
        <v>0</v>
      </c>
      <c r="M58">
        <f t="shared" si="71"/>
        <v>0</v>
      </c>
      <c r="N58">
        <f t="shared" si="71"/>
        <v>0</v>
      </c>
      <c r="O58">
        <f t="shared" si="71"/>
        <v>0</v>
      </c>
      <c r="P58">
        <f t="shared" si="71"/>
        <v>0</v>
      </c>
      <c r="R58">
        <f t="shared" si="72" ref="R58:Y58">IF(OR(R$98=5,R$98=7),IF(R47="90 Days",0.07%,IF(R47="120 Days",0.12%,IF(R47="150 Days",0.18%,IF(R47="180 Days",0.23%,IF(R47="210 Days",0.29%,IF(R47="240 Days",0.31%,IF(R47="270 Days",0.35%,IF(R47="365 Days",0.46%,0)))))))),IF(R47="90 Days",0.04%,IF(R47="120 Days",0.09%,IF(R47="150 Days",0.13%,IF(R47="180 Days",0.18%,IF(R47="210 Days",0.24%,IF(R47="240 Days",0.26%,IF(R47="270 Days",0.3%,IF(R47="365 Days",0.41%,0)))))))))</f>
        <v>0</v>
      </c>
      <c r="S58">
        <f t="shared" si="72"/>
        <v>0</v>
      </c>
      <c r="T58">
        <f t="shared" si="72"/>
        <v>0</v>
      </c>
      <c r="U58">
        <f t="shared" si="72"/>
        <v>0</v>
      </c>
      <c r="V58">
        <f t="shared" si="72"/>
        <v>0</v>
      </c>
      <c r="W58">
        <f t="shared" si="72"/>
        <v>0</v>
      </c>
      <c r="X58">
        <f t="shared" si="72"/>
        <v>0</v>
      </c>
      <c r="Y58">
        <f t="shared" si="72"/>
        <v>0</v>
      </c>
      <c r="BE58" t="s">
        <v>888</v>
      </c>
      <c r="BF58">
        <v>0.055</v>
      </c>
      <c r="BJ58" t="s">
        <v>678</v>
      </c>
    </row>
    <row r="59" ht="15" customHeight="1">
      <c r="B59" t="str">
        <f>_xlfn.XLOOKUP(ProducerName,DropDowns_ProducerNames,Dropdowns_ProducerContactInfo,"Not found")</f>
        <v>Select Producer Above</v>
      </c>
      <c r="D59" t="s">
        <v>890</v>
      </c>
      <c r="E59">
        <f t="shared" si="73" ref="E59:P59">IF(E40="--",0,IF(E40&gt;=1.5+$B$23,-0.16%,IF(AND(E40&gt;=1.4+$B$23,E40&lt;1.5+$B$23),-0.12%,IF(AND(E40&gt;=1.3+$B$23,E40&lt;1.4+$B$23),-0.06%,0%))))</f>
        <v>0</v>
      </c>
      <c r="F59">
        <f t="shared" si="73"/>
        <v>0</v>
      </c>
      <c r="G59">
        <f t="shared" si="73"/>
        <v>0</v>
      </c>
      <c r="H59">
        <f t="shared" si="73"/>
        <v>0</v>
      </c>
      <c r="I59">
        <f t="shared" si="73"/>
        <v>0</v>
      </c>
      <c r="J59">
        <f t="shared" si="73"/>
        <v>0</v>
      </c>
      <c r="K59">
        <f t="shared" si="73"/>
        <v>0</v>
      </c>
      <c r="L59">
        <f t="shared" si="73"/>
        <v>0</v>
      </c>
      <c r="M59">
        <f t="shared" si="73"/>
        <v>0</v>
      </c>
      <c r="N59">
        <f t="shared" si="73"/>
        <v>0</v>
      </c>
      <c r="O59">
        <f t="shared" si="73"/>
        <v>0</v>
      </c>
      <c r="P59">
        <f t="shared" si="73"/>
        <v>0</v>
      </c>
      <c r="BE59" t="s">
        <v>891</v>
      </c>
      <c r="BF59" t="s">
        <v>868</v>
      </c>
      <c r="BJ59" t="s">
        <v>892</v>
      </c>
      <c r="BK59">
        <v>0.07</v>
      </c>
      <c r="BL59">
        <v>0.0685</v>
      </c>
      <c r="BM59">
        <v>0.0708</v>
      </c>
      <c r="BN59">
        <v>0.0675</v>
      </c>
      <c r="BO59">
        <v>0.0685</v>
      </c>
      <c r="BP59">
        <v>0.0693</v>
      </c>
    </row>
    <row r="60" ht="15" customHeight="1">
      <c r="D60" t="s">
        <v>893</v>
      </c>
      <c r="E60">
        <f t="shared" si="74" ref="E60:P60">IF(OR($B$22="Top",$B$22="Standard"),IF(E41&lt;=55%,-0.12%,IF(E41&lt;=65%,-0.08%,IF(E41&lt;=70%,-0.04%,0))),IF(AND(OR($B$22="Small",$B$22="Very Small"),$B$38="Acquisition"),IF(E41&lt;=50%,-0.12%,IF(E41&lt;=60%,-0.08%,IF(E41&lt;=65%,-0.04%,0))),IF(E41&lt;=45%,-0.12%,IF(E41&lt;=55%,-0.08%,IF(E41&lt;=60%,-0.04%,0)))))</f>
        <v>-0.0012</v>
      </c>
      <c r="F60">
        <f t="shared" si="74"/>
        <v>-0.0012</v>
      </c>
      <c r="G60">
        <f t="shared" si="74"/>
        <v>-0.0012</v>
      </c>
      <c r="H60">
        <f t="shared" si="74"/>
        <v>-0.0012</v>
      </c>
      <c r="I60">
        <f t="shared" si="74"/>
        <v>-0.0012</v>
      </c>
      <c r="J60">
        <f t="shared" si="74"/>
        <v>-0.0012</v>
      </c>
      <c r="K60">
        <f t="shared" si="74"/>
        <v>-0.0012</v>
      </c>
      <c r="L60">
        <f t="shared" si="74"/>
        <v>-0.0012</v>
      </c>
      <c r="M60">
        <f t="shared" si="74"/>
        <v>-0.0012</v>
      </c>
      <c r="N60">
        <f t="shared" si="74"/>
        <v>-0.0012</v>
      </c>
      <c r="O60">
        <f t="shared" si="74"/>
        <v>-0.0012</v>
      </c>
      <c r="P60">
        <f t="shared" si="74"/>
        <v>-0.0012</v>
      </c>
      <c r="R60" cm="1">
        <f t="array" ref="R60">_xlfn.LET(_xlpm.comment,"Tier-2 Fixed over $6MM, 5/7 years, 65% max LTV",_xlpm.term,R$98,_xlpm.is_tier_2,R$39=2,_xlpm.is_fixed_rate,RIGHT(R$26,5)="Fixed",_xlpm.loan_amount,MIN(R$25,R$30),_xlpm.ltv,R$41,IF(NOT(AND(_xlpm.loan_amount&gt;6000000,_xlpm.is_tier_2,_xlpm.is_fixed_rate,_xlpm.ltv&lt;=65%)),0,_xlfn.IFS(AND(_xlpm.term&gt;=7,_xlpm.term&lt;10),-0.11%,AND(_xlpm.term&gt;=5,_xlpm.term&lt;7),-0.34%,TRUE,0)))</f>
        <v>0</v>
      </c>
      <c r="S60" cm="1">
        <f t="array" ref="S60">_xlfn.LET(_xlpm.comment,"Tier-2 Fixed over $6MM, 5/7 years, 65% max LTV",_xlpm.term,S$98,_xlpm.is_tier_2,S$39=2,_xlpm.is_fixed_rate,RIGHT(S$26,5)="Fixed",_xlpm.loan_amount,MIN(S$25,S$30),_xlpm.ltv,S$41,IF(NOT(AND(_xlpm.loan_amount&gt;6000000,_xlpm.is_tier_2,_xlpm.is_fixed_rate,_xlpm.ltv&lt;=65%)),0,_xlfn.IFS(AND(_xlpm.term&gt;=7,_xlpm.term&lt;10),-0.11%,AND(_xlpm.term&gt;=5,_xlpm.term&lt;7),-0.34%,TRUE,0)))</f>
        <v>0</v>
      </c>
      <c r="T60" cm="1">
        <f t="array" ref="T60">_xlfn.LET(_xlpm.comment,"Tier-2 Fixed over $6MM, 5/7 years, 65% max LTV",_xlpm.term,T$98,_xlpm.is_tier_2,T$39=2,_xlpm.is_fixed_rate,RIGHT(T$26,5)="Fixed",_xlpm.loan_amount,MIN(T$25,T$30),_xlpm.ltv,T$41,IF(NOT(AND(_xlpm.loan_amount&gt;6000000,_xlpm.is_tier_2,_xlpm.is_fixed_rate,_xlpm.ltv&lt;=65%)),0,_xlfn.IFS(AND(_xlpm.term&gt;=7,_xlpm.term&lt;10),-0.11%,AND(_xlpm.term&gt;=5,_xlpm.term&lt;7),-0.34%,TRUE,0)))</f>
        <v>0</v>
      </c>
      <c r="U60" cm="1">
        <f t="array" ref="U60">_xlfn.LET(_xlpm.comment,"Tier-2 Fixed over $6MM, 5/7 years, 65% max LTV",_xlpm.term,U$98,_xlpm.is_tier_2,U$39=2,_xlpm.is_fixed_rate,RIGHT(U$26,5)="Fixed",_xlpm.loan_amount,MIN(U$25,U$30),_xlpm.ltv,U$41,IF(NOT(AND(_xlpm.loan_amount&gt;6000000,_xlpm.is_tier_2,_xlpm.is_fixed_rate,_xlpm.ltv&lt;=65%)),0,_xlfn.IFS(AND(_xlpm.term&gt;=7,_xlpm.term&lt;10),-0.11%,AND(_xlpm.term&gt;=5,_xlpm.term&lt;7),-0.34%,TRUE,0)))</f>
        <v>0</v>
      </c>
      <c r="V60" cm="1">
        <f t="array" ref="V60">_xlfn.LET(_xlpm.comment,"Tier-2 Fixed over $6MM, 5/7 years, 65% max LTV",_xlpm.term,V$98,_xlpm.is_tier_2,V$39=2,_xlpm.is_fixed_rate,RIGHT(V$26,5)="Fixed",_xlpm.loan_amount,MIN(V$25,V$30),_xlpm.ltv,V$41,IF(NOT(AND(_xlpm.loan_amount&gt;6000000,_xlpm.is_tier_2,_xlpm.is_fixed_rate,_xlpm.ltv&lt;=65%)),0,_xlfn.IFS(AND(_xlpm.term&gt;=7,_xlpm.term&lt;10),-0.11%,AND(_xlpm.term&gt;=5,_xlpm.term&lt;7),-0.34%,TRUE,0)))</f>
        <v>0</v>
      </c>
      <c r="W60" cm="1">
        <f t="array" ref="W60">_xlfn.LET(_xlpm.comment,"Tier-2 Fixed over $6MM, 5/7 years, 65% max LTV",_xlpm.term,W$98,_xlpm.is_tier_2,W$39=2,_xlpm.is_fixed_rate,RIGHT(W$26,5)="Fixed",_xlpm.loan_amount,MIN(W$25,W$30),_xlpm.ltv,W$41,IF(NOT(AND(_xlpm.loan_amount&gt;6000000,_xlpm.is_tier_2,_xlpm.is_fixed_rate,_xlpm.ltv&lt;=65%)),0,_xlfn.IFS(AND(_xlpm.term&gt;=7,_xlpm.term&lt;10),-0.11%,AND(_xlpm.term&gt;=5,_xlpm.term&lt;7),-0.34%,TRUE,0)))</f>
        <v>0</v>
      </c>
      <c r="X60" cm="1">
        <f t="array" ref="X60">_xlfn.LET(_xlpm.comment,"Tier-2 Fixed over $6MM, 5/7 years, 65% max LTV",_xlpm.term,X$98,_xlpm.is_tier_2,X$39=2,_xlpm.is_fixed_rate,RIGHT(X$26,5)="Fixed",_xlpm.loan_amount,MIN(X$25,X$30),_xlpm.ltv,X$41,IF(NOT(AND(_xlpm.loan_amount&gt;6000000,_xlpm.is_tier_2,_xlpm.is_fixed_rate,_xlpm.ltv&lt;=65%)),0,_xlfn.IFS(AND(_xlpm.term&gt;=7,_xlpm.term&lt;10),-0.11%,AND(_xlpm.term&gt;=5,_xlpm.term&lt;7),-0.34%,TRUE,0)))</f>
        <v>0</v>
      </c>
      <c r="Y60" cm="1">
        <f t="array" ref="Y60">_xlfn.LET(_xlpm.comment,"Tier-2 Fixed over $6MM, 5/7 years, 65% max LTV",_xlpm.term,Y$98,_xlpm.is_tier_2,Y$39=2,_xlpm.is_fixed_rate,RIGHT(Y$26,5)="Fixed",_xlpm.loan_amount,MIN(Y$25,Y$30),_xlpm.ltv,Y$41,IF(NOT(AND(_xlpm.loan_amount&gt;6000000,_xlpm.is_tier_2,_xlpm.is_fixed_rate,_xlpm.ltv&lt;=65%)),0,_xlfn.IFS(AND(_xlpm.term&gt;=7,_xlpm.term&lt;10),-0.11%,AND(_xlpm.term&gt;=5,_xlpm.term&lt;7),-0.34%,TRUE,0)))</f>
        <v>0</v>
      </c>
      <c r="AJ60" t="s">
        <v>894</v>
      </c>
      <c r="BE60" t="s">
        <v>895</v>
      </c>
      <c r="BF60">
        <v>0.05</v>
      </c>
      <c r="BJ60" t="s">
        <v>896</v>
      </c>
      <c r="BK60">
        <v>0.0695</v>
      </c>
      <c r="BL60">
        <v>0.068</v>
      </c>
      <c r="BM60">
        <v>0.0703</v>
      </c>
      <c r="BN60">
        <v>0.067</v>
      </c>
      <c r="BO60">
        <v>0.068</v>
      </c>
      <c r="BP60">
        <v>0.0688</v>
      </c>
    </row>
    <row r="61" ht="15" customHeight="1">
      <c r="D61" t="s">
        <v>897</v>
      </c>
      <c r="E61">
        <f t="shared" si="75" ref="E61:P61">_xlfn.LET(_xlpm.HasRegulatoryAgreement,$B$24="Yes",_xlpm.FreddieMktTier,$B$22,IF(AND(_xlpm.HasRegulatoryAgreement,OR(_xlpm.FreddieMktTier="Top",_xlpm.FreddieMktTier="Standard")),0.1%,IF(AND(_xlpm.HasRegulatoryAgreement,_xlpm.FreddieMktTier="Small"),0.15%,IF(AND(_xlpm.HasRegulatoryAgreement,_xlpm.FreddieMktTier="Very Small"),0.25%,0))))</f>
        <v>0</v>
      </c>
      <c r="F61">
        <f t="shared" si="75"/>
        <v>0</v>
      </c>
      <c r="G61">
        <f t="shared" si="75"/>
        <v>0</v>
      </c>
      <c r="H61">
        <f t="shared" si="75"/>
        <v>0</v>
      </c>
      <c r="I61">
        <f t="shared" si="75"/>
        <v>0</v>
      </c>
      <c r="J61">
        <f t="shared" si="75"/>
        <v>0</v>
      </c>
      <c r="K61">
        <f t="shared" si="75"/>
        <v>0</v>
      </c>
      <c r="L61">
        <f t="shared" si="75"/>
        <v>0</v>
      </c>
      <c r="M61">
        <f t="shared" si="75"/>
        <v>0</v>
      </c>
      <c r="N61">
        <f t="shared" si="75"/>
        <v>0</v>
      </c>
      <c r="O61">
        <f t="shared" si="75"/>
        <v>0</v>
      </c>
      <c r="P61">
        <f t="shared" si="75"/>
        <v>0</v>
      </c>
      <c r="AU61" t="s">
        <v>898</v>
      </c>
      <c r="AW61" t="s">
        <v>453</v>
      </c>
      <c r="AX61" t="s">
        <v>899</v>
      </c>
      <c r="AZ61" t="s">
        <v>639</v>
      </c>
      <c r="BA61" t="s">
        <v>640</v>
      </c>
      <c r="BJ61" t="s">
        <v>698</v>
      </c>
    </row>
    <row r="62" ht="15" customHeight="1">
      <c r="D62" t="s">
        <v>900</v>
      </c>
      <c r="E62" cm="1">
        <f t="array" ref="E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Small"),_xlpm.SmallVerySmallMarketTable,#N/A)),_xlpm.LoanProduct,E$26,_xlpm.LoanProductOptions,$BK$4:$BP$4,_xlpm.DiscountString,_xlfn.XLOOKUP(_xlpm.LoanProduct,_xlpm.LoanProductOptions,_xlpm.MarketTable,"Not Found",0),IF(_xlpm.is_qualified_LI_prop_le_50,VALUE(_xlpm.DiscountString)/10000,0))</f>
        <v>0</v>
      </c>
      <c r="F62" cm="1">
        <f t="array" ref="F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Small"),_xlpm.SmallVerySmallMarketTable,#N/A)),_xlpm.LoanProduct,F$26,_xlpm.LoanProductOptions,$BK$4:$BP$4,_xlpm.DiscountString,_xlfn.XLOOKUP(_xlpm.LoanProduct,_xlpm.LoanProductOptions,_xlpm.MarketTable,"Not Found",0),IF(_xlpm.is_qualified_LI_prop_le_50,VALUE(_xlpm.DiscountString)/10000,0))</f>
        <v>0</v>
      </c>
      <c r="G62" cm="1">
        <f t="array" ref="G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Small"),_xlpm.SmallVerySmallMarketTable,#N/A)),_xlpm.LoanProduct,G$26,_xlpm.LoanProductOptions,$BK$4:$BP$4,_xlpm.DiscountString,_xlfn.XLOOKUP(_xlpm.LoanProduct,_xlpm.LoanProductOptions,_xlpm.MarketTable,"Not Found",0),IF(_xlpm.is_qualified_LI_prop_le_50,VALUE(_xlpm.DiscountString)/10000,0))</f>
        <v>0</v>
      </c>
      <c r="H62" cm="1">
        <f t="array" ref="H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Small"),_xlpm.SmallVerySmallMarketTable,#N/A)),_xlpm.LoanProduct,H$26,_xlpm.LoanProductOptions,$BK$4:$BP$4,_xlpm.DiscountString,_xlfn.XLOOKUP(_xlpm.LoanProduct,_xlpm.LoanProductOptions,_xlpm.MarketTable,"Not Found",0),IF(_xlpm.is_qualified_LI_prop_le_50,VALUE(_xlpm.DiscountString)/10000,0))</f>
        <v>0</v>
      </c>
      <c r="I62" cm="1">
        <f t="array" ref="I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Small"),_xlpm.SmallVerySmallMarketTable,#N/A)),_xlpm.LoanProduct,I$26,_xlpm.LoanProductOptions,$BK$4:$BP$4,_xlpm.DiscountString,_xlfn.XLOOKUP(_xlpm.LoanProduct,_xlpm.LoanProductOptions,_xlpm.MarketTable,"Not Found",0),IF(_xlpm.is_qualified_LI_prop_le_50,VALUE(_xlpm.DiscountString)/10000,0))</f>
        <v>0</v>
      </c>
      <c r="J62" cm="1">
        <f t="array" ref="J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Small"),_xlpm.SmallVerySmallMarketTable,#N/A)),_xlpm.LoanProduct,J$26,_xlpm.LoanProductOptions,$BK$4:$BP$4,_xlpm.DiscountString,_xlfn.XLOOKUP(_xlpm.LoanProduct,_xlpm.LoanProductOptions,_xlpm.MarketTable,"Not Found",0),IF(_xlpm.is_qualified_LI_prop_le_50,VALUE(_xlpm.DiscountString)/10000,0))</f>
        <v>0</v>
      </c>
      <c r="K62" cm="1">
        <f t="array" ref="K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Small"),_xlpm.SmallVerySmallMarketTable,#N/A)),_xlpm.LoanProduct,K$26,_xlpm.LoanProductOptions,$BK$4:$BP$4,_xlpm.DiscountString,_xlfn.XLOOKUP(_xlpm.LoanProduct,_xlpm.LoanProductOptions,_xlpm.MarketTable,"Not Found",0),IF(_xlpm.is_qualified_LI_prop_le_50,VALUE(_xlpm.DiscountString)/10000,0))</f>
        <v>0</v>
      </c>
      <c r="L62" cm="1">
        <f t="array" ref="L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Small"),_xlpm.SmallVerySmallMarketTable,#N/A)),_xlpm.LoanProduct,L$26,_xlpm.LoanProductOptions,$BK$4:$BP$4,_xlpm.DiscountString,_xlfn.XLOOKUP(_xlpm.LoanProduct,_xlpm.LoanProductOptions,_xlpm.MarketTable,"Not Found",0),IF(_xlpm.is_qualified_LI_prop_le_50,VALUE(_xlpm.DiscountString)/10000,0))</f>
        <v>0</v>
      </c>
      <c r="M62" cm="1">
        <f t="array" ref="M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Small"),_xlpm.SmallVerySmallMarketTable,#N/A)),_xlpm.LoanProduct,M$26,_xlpm.LoanProductOptions,$BK$4:$BP$4,_xlpm.DiscountString,_xlfn.XLOOKUP(_xlpm.LoanProduct,_xlpm.LoanProductOptions,_xlpm.MarketTable,"Not Found",0),IF(_xlpm.is_qualified_LI_prop_le_50,VALUE(_xlpm.DiscountString)/10000,0))</f>
        <v>0</v>
      </c>
      <c r="N62" cm="1">
        <f t="array" ref="N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Small"),_xlpm.SmallVerySmallMarketTable,#N/A)),_xlpm.LoanProduct,N$26,_xlpm.LoanProductOptions,$BK$4:$BP$4,_xlpm.DiscountString,_xlfn.XLOOKUP(_xlpm.LoanProduct,_xlpm.LoanProductOptions,_xlpm.MarketTable,"Not Found",0),IF(_xlpm.is_qualified_LI_prop_le_50,VALUE(_xlpm.DiscountString)/10000,0))</f>
        <v>0</v>
      </c>
      <c r="O62" cm="1">
        <f t="array" ref="O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Small"),_xlpm.SmallVerySmallMarketTable,#N/A)),_xlpm.LoanProduct,O$26,_xlpm.LoanProductOptions,$BK$4:$BP$4,_xlpm.DiscountString,_xlfn.XLOOKUP(_xlpm.LoanProduct,_xlpm.LoanProductOptions,_xlpm.MarketTable,"Not Found",0),IF(_xlpm.is_qualified_LI_prop_le_50,VALUE(_xlpm.DiscountString)/10000,0))</f>
        <v>0</v>
      </c>
      <c r="P62" cm="1">
        <f t="array" ref="P62">_xlfn.LET(_xlpm.is_qualified_LI_prop_le_50,$B$27="Yes",_xlpm.MarketSize,$B$22,_xlpm.TopStdTable,$BK$24:$BP$24,_xlpm.SmallVerySmallMarketTable,$BK$66:$BP$66,_xlpm.MarketTable,IF(OR(_xlpm.MarketSize="Top",_xlpm.MarketSize="Standard"),_xlpm.TopStdTable,IF(OR(_xlpm.MarketSize="Small",_xlpm.MarketSize="Very Small"),_xlpm.SmallVerySmallMarketTable,#N/A)),_xlpm.LoanProduct,P$26,_xlpm.LoanProductOptions,$BK$4:$BP$4,_xlpm.DiscountString,_xlfn.XLOOKUP(_xlpm.LoanProduct,_xlpm.LoanProductOptions,_xlpm.MarketTable,"Not Found",0),IF(_xlpm.is_qualified_LI_prop_le_50,VALUE(_xlpm.DiscountString)/10000,0))</f>
        <v>0</v>
      </c>
      <c r="AA62">
        <f t="shared" si="76" ref="AA62:AH62">IF(SBL_PropertyType="Manufactured Housing",0.1%,0)</f>
        <v>0</v>
      </c>
      <c r="AB62">
        <f t="shared" si="76"/>
        <v>0</v>
      </c>
      <c r="AC62">
        <f t="shared" si="76"/>
        <v>0</v>
      </c>
      <c r="AD62">
        <f t="shared" si="76"/>
        <v>0</v>
      </c>
      <c r="AE62">
        <f t="shared" si="76"/>
        <v>0</v>
      </c>
      <c r="AF62">
        <f t="shared" si="76"/>
        <v>0</v>
      </c>
      <c r="AG62">
        <f t="shared" si="76"/>
        <v>0</v>
      </c>
      <c r="AH62">
        <f t="shared" si="76"/>
        <v>0</v>
      </c>
      <c r="AU62" t="s">
        <v>901</v>
      </c>
      <c r="AW62">
        <f t="shared" si="80" ref="AW62:AW73">_xlfn.NUMBERVALUE(TRIM(LEFT(0,3)))/10000</f>
        <v>0</v>
      </c>
      <c r="AX62">
        <f>DailyPricing!E7</f>
        <v>0.053133</v>
      </c>
      <c r="AZ62">
        <f>DailyPricing!E63</f>
        <v>0</v>
      </c>
      <c r="BA62">
        <f t="shared" si="81" ref="BA62:BA63">SUM(AW62:AZ62)</f>
        <v>0.053133</v>
      </c>
      <c r="BJ62" t="s">
        <v>705</v>
      </c>
    </row>
    <row r="63" ht="15" customHeight="1">
      <c r="D63" t="str">
        <f>IF(AND(B28="Yes",OR($B$22="Small",$B$22="Very Small")),"Link Loan Adder (warning: market size)","Link Loan Adder")&amp;" (FRE/PC) / ≤ $2MM (FNM)"</f>
        <v>Link Loan Adder (FRE/PC) / ≤ $2MM (FNM)</v>
      </c>
      <c r="E63">
        <f t="shared" si="77" ref="E63:P63">IF($B$28="Yes",0.15%,0)</f>
        <v>0</v>
      </c>
      <c r="F63">
        <f t="shared" si="77"/>
        <v>0</v>
      </c>
      <c r="G63">
        <f t="shared" si="77"/>
        <v>0</v>
      </c>
      <c r="H63">
        <f t="shared" si="77"/>
        <v>0</v>
      </c>
      <c r="I63">
        <f t="shared" si="77"/>
        <v>0</v>
      </c>
      <c r="J63">
        <f t="shared" si="77"/>
        <v>0</v>
      </c>
      <c r="K63">
        <f t="shared" si="77"/>
        <v>0</v>
      </c>
      <c r="L63">
        <f t="shared" si="77"/>
        <v>0</v>
      </c>
      <c r="M63">
        <f t="shared" si="77"/>
        <v>0</v>
      </c>
      <c r="N63">
        <f t="shared" si="77"/>
        <v>0</v>
      </c>
      <c r="O63">
        <f t="shared" si="77"/>
        <v>0</v>
      </c>
      <c r="P63">
        <f t="shared" si="77"/>
        <v>0</v>
      </c>
      <c r="R63">
        <f t="shared" si="78" ref="R63:Y63">_xlfn.LET(_xlpm.tier,R$39,_xlpm.is_highly_affordable,$B$34,_xlpm.is_5_50,AND(number_units&gt;=5,number_units&lt;=50),_xlpm.requested_loan_amount,R$25,_xlpm.calculated_loan_amount,R$30,_xlpm.loan_amount,IF(_xlpm.calculated_loan_amount&gt;0,_xlpm.calculated_loan_amount,_xlpm.requested_loan_amount),IF(AND(_xlpm.tier=2,_xlpm.loan_amount&gt;0,_xlpm.loan_amount&lt;=2000000),IF(AND(_xlpm.is_highly_affordable,_xlpm.is_5_50),0.41%,0.82%),0))</f>
        <v>0</v>
      </c>
      <c r="S63">
        <f t="shared" si="78"/>
        <v>0</v>
      </c>
      <c r="T63">
        <f t="shared" si="78"/>
        <v>0</v>
      </c>
      <c r="U63">
        <f t="shared" si="78"/>
        <v>0</v>
      </c>
      <c r="V63">
        <f t="shared" si="78"/>
        <v>0</v>
      </c>
      <c r="W63">
        <f t="shared" si="78"/>
        <v>0</v>
      </c>
      <c r="X63">
        <f t="shared" si="78"/>
        <v>0</v>
      </c>
      <c r="Y63">
        <f t="shared" si="78"/>
        <v>0</v>
      </c>
      <c r="AA63">
        <f t="shared" si="79" ref="AA63:AH63">IF($B$28="Yes",0.1%,0)</f>
        <v>0</v>
      </c>
      <c r="AB63">
        <f t="shared" si="79"/>
        <v>0</v>
      </c>
      <c r="AC63">
        <f t="shared" si="79"/>
        <v>0</v>
      </c>
      <c r="AD63">
        <f t="shared" si="79"/>
        <v>0</v>
      </c>
      <c r="AE63">
        <f t="shared" si="79"/>
        <v>0</v>
      </c>
      <c r="AF63">
        <f t="shared" si="79"/>
        <v>0</v>
      </c>
      <c r="AG63">
        <f t="shared" si="79"/>
        <v>0</v>
      </c>
      <c r="AH63">
        <f t="shared" si="79"/>
        <v>0</v>
      </c>
      <c r="AU63" t="s">
        <v>903</v>
      </c>
      <c r="AW63">
        <f t="shared" si="80"/>
        <v>0</v>
      </c>
      <c r="AX63">
        <f>AX62</f>
        <v>0.053133</v>
      </c>
      <c r="AZ63">
        <f>DailyPricing!E64</f>
        <v>0.02</v>
      </c>
      <c r="BA63">
        <f t="shared" si="81"/>
        <v>0.073133</v>
      </c>
      <c r="BJ63" t="s">
        <v>904</v>
      </c>
      <c r="BK63" t="s">
        <v>905</v>
      </c>
      <c r="BL63" t="s">
        <v>712</v>
      </c>
      <c r="BM63" t="s">
        <v>712</v>
      </c>
      <c r="BN63" t="s">
        <v>905</v>
      </c>
      <c r="BO63" t="s">
        <v>712</v>
      </c>
      <c r="BP63" t="s">
        <v>712</v>
      </c>
    </row>
    <row r="64" ht="15" customHeight="1">
      <c r="A64" t="s">
        <v>906</v>
      </c>
      <c r="B64" t="s">
        <v>188</v>
      </c>
      <c r="D64" t="s">
        <v>907</v>
      </c>
      <c r="R64">
        <f t="shared" si="82" ref="R64:Y64">IF($B$37="Yes",SBL_SmallLoanSpreadAdder,0)</f>
        <v>0</v>
      </c>
      <c r="S64">
        <f t="shared" si="82"/>
        <v>0</v>
      </c>
      <c r="T64">
        <f t="shared" si="82"/>
        <v>0</v>
      </c>
      <c r="U64">
        <f t="shared" si="82"/>
        <v>0</v>
      </c>
      <c r="V64">
        <f t="shared" si="82"/>
        <v>0</v>
      </c>
      <c r="W64">
        <f t="shared" si="82"/>
        <v>0</v>
      </c>
      <c r="X64">
        <f t="shared" si="82"/>
        <v>0</v>
      </c>
      <c r="Y64">
        <f t="shared" si="82"/>
        <v>0</v>
      </c>
      <c r="AJ64" t="s">
        <v>908</v>
      </c>
      <c r="AU64" t="s">
        <v>909</v>
      </c>
      <c r="AW64" t="s">
        <v>453</v>
      </c>
      <c r="BJ64" t="s">
        <v>910</v>
      </c>
      <c r="BK64" t="s">
        <v>905</v>
      </c>
      <c r="BL64" t="s">
        <v>712</v>
      </c>
      <c r="BM64" t="s">
        <v>712</v>
      </c>
      <c r="BN64" t="s">
        <v>905</v>
      </c>
      <c r="BO64" t="s">
        <v>712</v>
      </c>
      <c r="BP64" t="s">
        <v>712</v>
      </c>
    </row>
    <row r="65" ht="15" customHeight="1">
      <c r="D65" t="s">
        <v>911</v>
      </c>
      <c r="R65">
        <v>0</v>
      </c>
      <c r="S65">
        <v>0</v>
      </c>
      <c r="T65">
        <v>0</v>
      </c>
      <c r="U65">
        <v>0</v>
      </c>
      <c r="V65">
        <v>0</v>
      </c>
      <c r="W65">
        <v>0</v>
      </c>
      <c r="X65">
        <v>0</v>
      </c>
      <c r="Y65">
        <v>0</v>
      </c>
      <c r="AA65">
        <f t="shared" si="83" ref="AA65:AH65">IF(SBL_PropertyType="Dedicated Student",0.1%,0)</f>
        <v>0</v>
      </c>
      <c r="AB65">
        <f t="shared" si="83"/>
        <v>0</v>
      </c>
      <c r="AC65">
        <f t="shared" si="83"/>
        <v>0</v>
      </c>
      <c r="AD65">
        <f t="shared" si="83"/>
        <v>0</v>
      </c>
      <c r="AE65">
        <f t="shared" si="83"/>
        <v>0</v>
      </c>
      <c r="AF65">
        <f t="shared" si="83"/>
        <v>0</v>
      </c>
      <c r="AG65">
        <f t="shared" si="83"/>
        <v>0</v>
      </c>
      <c r="AH65">
        <f t="shared" si="83"/>
        <v>0</v>
      </c>
      <c r="AU65" t="s">
        <v>912</v>
      </c>
      <c r="AW65">
        <f t="shared" si="80"/>
        <v>0</v>
      </c>
    </row>
    <row r="66" ht="15" customHeight="1">
      <c r="D66" t="s">
        <v>913</v>
      </c>
      <c r="E66">
        <v>0</v>
      </c>
      <c r="F66">
        <v>0</v>
      </c>
      <c r="G66">
        <v>0</v>
      </c>
      <c r="H66">
        <v>0</v>
      </c>
      <c r="I66">
        <v>0</v>
      </c>
      <c r="J66">
        <v>0</v>
      </c>
      <c r="K66">
        <v>0</v>
      </c>
      <c r="L66">
        <v>0</v>
      </c>
      <c r="M66">
        <v>0</v>
      </c>
      <c r="N66">
        <v>0</v>
      </c>
      <c r="O66">
        <v>0</v>
      </c>
      <c r="P66">
        <v>0</v>
      </c>
      <c r="R66">
        <v>0</v>
      </c>
      <c r="S66">
        <v>0</v>
      </c>
      <c r="T66">
        <v>0</v>
      </c>
      <c r="U66">
        <v>0</v>
      </c>
      <c r="V66">
        <v>0</v>
      </c>
      <c r="W66">
        <v>0</v>
      </c>
      <c r="X66">
        <v>0</v>
      </c>
      <c r="Y66">
        <v>0</v>
      </c>
      <c r="AA66">
        <v>0</v>
      </c>
      <c r="AB66">
        <v>0</v>
      </c>
      <c r="AC66">
        <v>0</v>
      </c>
      <c r="AD66">
        <v>0</v>
      </c>
      <c r="AE66">
        <v>0</v>
      </c>
      <c r="AF66">
        <v>0</v>
      </c>
      <c r="AG66">
        <v>0</v>
      </c>
      <c r="AH66">
        <v>0</v>
      </c>
      <c r="AU66" t="s">
        <v>914</v>
      </c>
      <c r="AW66">
        <f t="shared" si="80"/>
        <v>0</v>
      </c>
      <c r="BJ66" t="s">
        <v>733</v>
      </c>
      <c r="BK66">
        <v>-10</v>
      </c>
      <c r="BL66">
        <v>-10</v>
      </c>
      <c r="BM66">
        <v>-10</v>
      </c>
      <c r="BN66">
        <v>-10</v>
      </c>
      <c r="BO66">
        <v>-10</v>
      </c>
      <c r="BP66">
        <v>-10</v>
      </c>
    </row>
    <row r="67" ht="15" customHeight="1">
      <c r="D67" t="s">
        <v>468</v>
      </c>
      <c r="E67">
        <f t="shared" si="84" ref="E67:Y67">SUM(E54:E66)</f>
        <v>0.0021000000000000003</v>
      </c>
      <c r="F67">
        <f t="shared" si="84"/>
        <v>0.0008000000000000001</v>
      </c>
      <c r="G67">
        <f t="shared" si="84"/>
        <v>0.00010000000000000005</v>
      </c>
      <c r="H67">
        <f t="shared" si="84"/>
        <v>0.0021000000000000003</v>
      </c>
      <c r="I67">
        <f t="shared" si="84"/>
        <v>0.0008000000000000001</v>
      </c>
      <c r="J67">
        <f t="shared" si="84"/>
        <v>0.00010000000000000005</v>
      </c>
      <c r="K67">
        <f t="shared" si="84"/>
        <v>0.0021000000000000003</v>
      </c>
      <c r="L67">
        <f t="shared" si="84"/>
        <v>0.0008000000000000001</v>
      </c>
      <c r="M67">
        <f t="shared" si="84"/>
        <v>0.00010000000000000005</v>
      </c>
      <c r="N67">
        <f t="shared" si="84"/>
        <v>0.0021000000000000003</v>
      </c>
      <c r="O67">
        <f t="shared" si="84"/>
        <v>0.0008000000000000001</v>
      </c>
      <c r="P67">
        <f t="shared" si="84"/>
        <v>0.00010000000000000005</v>
      </c>
      <c r="R67">
        <f t="shared" si="84"/>
        <v>0.0013</v>
      </c>
      <c r="S67">
        <f t="shared" si="84"/>
        <v>0.0011</v>
      </c>
      <c r="T67">
        <f t="shared" si="84"/>
        <v>0.0011</v>
      </c>
      <c r="U67">
        <f t="shared" si="84"/>
        <v>0.0013225799999999998</v>
      </c>
      <c r="V67">
        <f t="shared" si="84"/>
        <v>0.0012973499999999998</v>
      </c>
      <c r="W67">
        <f t="shared" si="84"/>
        <v>0.00231328</v>
      </c>
      <c r="X67">
        <f t="shared" si="84"/>
        <v>0.00226373</v>
      </c>
      <c r="Y67">
        <f t="shared" si="84"/>
        <v>0.0013</v>
      </c>
      <c r="AA67">
        <f t="shared" si="85" ref="AA67:AH67">SUM(AA$51,AA$54:AA$66)</f>
        <v>0</v>
      </c>
      <c r="AB67">
        <f t="shared" si="85"/>
        <v>0</v>
      </c>
      <c r="AC67">
        <f t="shared" si="85"/>
        <v>0</v>
      </c>
      <c r="AD67">
        <f t="shared" si="85"/>
        <v>0</v>
      </c>
      <c r="AE67">
        <f t="shared" si="85"/>
        <v>0</v>
      </c>
      <c r="AF67">
        <f t="shared" si="85"/>
        <v>0</v>
      </c>
      <c r="AG67">
        <f t="shared" si="85"/>
        <v>0</v>
      </c>
      <c r="AH67">
        <f t="shared" si="85"/>
        <v>0</v>
      </c>
      <c r="AU67" t="s">
        <v>915</v>
      </c>
      <c r="AW67">
        <f t="shared" si="80"/>
        <v>0</v>
      </c>
    </row>
    <row r="68" ht="15" customHeight="1">
      <c r="D68" t="s">
        <v>681</v>
      </c>
      <c r="E68" t="e">
        <f t="shared" si="86" ref="E68:P68">E50+E67</f>
        <v>#N/A</v>
      </c>
      <c r="F68" t="e">
        <f t="shared" si="86"/>
        <v>#N/A</v>
      </c>
      <c r="G68" t="e">
        <f t="shared" si="86"/>
        <v>#N/A</v>
      </c>
      <c r="H68" t="e">
        <f t="shared" si="86"/>
        <v>#N/A</v>
      </c>
      <c r="I68" t="e">
        <f t="shared" si="86"/>
        <v>#N/A</v>
      </c>
      <c r="J68" t="e">
        <f t="shared" si="86"/>
        <v>#N/A</v>
      </c>
      <c r="K68" t="e">
        <f t="shared" si="86"/>
        <v>#N/A</v>
      </c>
      <c r="L68" t="e">
        <f t="shared" si="86"/>
        <v>#N/A</v>
      </c>
      <c r="M68" t="e">
        <f t="shared" si="86"/>
        <v>#N/A</v>
      </c>
      <c r="N68" t="e">
        <f t="shared" si="86"/>
        <v>#N/A</v>
      </c>
      <c r="O68" t="e">
        <f t="shared" si="86"/>
        <v>#N/A</v>
      </c>
      <c r="P68" t="e">
        <f t="shared" si="86"/>
        <v>#N/A</v>
      </c>
      <c r="R68">
        <f t="shared" si="87" ref="R68:Y68">SUM(R50:R52)+R67</f>
        <v>0.070944</v>
      </c>
      <c r="S68">
        <f t="shared" si="87"/>
        <v>0.072144</v>
      </c>
      <c r="T68">
        <f t="shared" si="87"/>
        <v>0.07394400000000001</v>
      </c>
      <c r="U68">
        <f t="shared" si="87"/>
        <v>0.06896658000000001</v>
      </c>
      <c r="V68">
        <f t="shared" si="87"/>
        <v>0.06694135000000001</v>
      </c>
      <c r="W68">
        <f t="shared" si="87"/>
        <v>0.07172228</v>
      </c>
      <c r="X68">
        <f t="shared" si="87"/>
        <v>0.06967273</v>
      </c>
      <c r="Y68">
        <f t="shared" si="87"/>
        <v>0.070944</v>
      </c>
      <c r="AA68">
        <f t="shared" si="88" ref="AA68:AH68">AA$50+AA$67</f>
        <v>0.053704</v>
      </c>
      <c r="AB68">
        <f t="shared" si="88"/>
        <v>0.053704</v>
      </c>
      <c r="AC68">
        <f t="shared" si="88"/>
        <v>0.053704</v>
      </c>
      <c r="AD68">
        <f t="shared" si="88"/>
        <v>0.053704</v>
      </c>
      <c r="AE68">
        <f t="shared" si="88"/>
        <v>0.053704</v>
      </c>
      <c r="AF68">
        <f t="shared" si="88"/>
        <v>0.053704</v>
      </c>
      <c r="AG68">
        <f t="shared" si="88"/>
        <v>0.053704</v>
      </c>
      <c r="AH68">
        <f t="shared" si="88"/>
        <v>0.053704</v>
      </c>
      <c r="AU68" t="s">
        <v>916</v>
      </c>
      <c r="AW68">
        <f t="shared" si="80"/>
        <v>0</v>
      </c>
      <c r="BJ68" t="s">
        <v>745</v>
      </c>
    </row>
    <row r="69" ht="15" customHeight="1">
      <c r="D69" t="s">
        <v>917</v>
      </c>
      <c r="E69" t="e">
        <f t="shared" si="89" ref="E69:AH69">PMT(E68/12,E46*12,-1)*12*E30</f>
        <v>#N/A</v>
      </c>
      <c r="F69" t="e">
        <f t="shared" si="89"/>
        <v>#N/A</v>
      </c>
      <c r="G69" t="e">
        <f t="shared" si="89"/>
        <v>#N/A</v>
      </c>
      <c r="H69" t="e">
        <f t="shared" si="89"/>
        <v>#N/A</v>
      </c>
      <c r="I69" t="e">
        <f t="shared" si="89"/>
        <v>#N/A</v>
      </c>
      <c r="J69" t="e">
        <f t="shared" si="89"/>
        <v>#N/A</v>
      </c>
      <c r="K69" t="e">
        <f t="shared" si="89"/>
        <v>#N/A</v>
      </c>
      <c r="L69" t="e">
        <f t="shared" si="89"/>
        <v>#N/A</v>
      </c>
      <c r="M69" t="e">
        <f t="shared" si="89"/>
        <v>#N/A</v>
      </c>
      <c r="N69" t="e">
        <f t="shared" si="89"/>
        <v>#N/A</v>
      </c>
      <c r="O69" t="e">
        <f t="shared" si="89"/>
        <v>#N/A</v>
      </c>
      <c r="P69" t="e">
        <f t="shared" si="89"/>
        <v>#N/A</v>
      </c>
      <c r="R69">
        <f t="shared" si="89"/>
        <v>0</v>
      </c>
      <c r="S69">
        <f t="shared" si="89"/>
        <v>0</v>
      </c>
      <c r="T69">
        <f t="shared" si="89"/>
        <v>0</v>
      </c>
      <c r="U69">
        <f t="shared" si="89"/>
        <v>0</v>
      </c>
      <c r="V69">
        <f t="shared" si="89"/>
        <v>0</v>
      </c>
      <c r="W69">
        <f t="shared" si="89"/>
        <v>0</v>
      </c>
      <c r="X69">
        <f t="shared" si="89"/>
        <v>0</v>
      </c>
      <c r="Y69">
        <f t="shared" si="89"/>
        <v>0</v>
      </c>
      <c r="AA69">
        <f t="shared" si="89"/>
        <v>0</v>
      </c>
      <c r="AB69">
        <f t="shared" si="89"/>
        <v>0</v>
      </c>
      <c r="AC69">
        <f t="shared" si="89"/>
        <v>0</v>
      </c>
      <c r="AD69">
        <f t="shared" si="89"/>
        <v>0</v>
      </c>
      <c r="AE69">
        <f t="shared" si="89"/>
        <v>0</v>
      </c>
      <c r="AF69">
        <f t="shared" si="89"/>
        <v>0</v>
      </c>
      <c r="AG69">
        <f t="shared" si="89"/>
        <v>0</v>
      </c>
      <c r="AH69">
        <f t="shared" si="89"/>
        <v>0</v>
      </c>
      <c r="AJ69" t="s">
        <v>918</v>
      </c>
      <c r="AU69" t="s">
        <v>919</v>
      </c>
      <c r="AW69">
        <f t="shared" si="80"/>
        <v>0</v>
      </c>
      <c r="BJ69" t="s">
        <v>751</v>
      </c>
      <c r="BK69" t="s">
        <v>630</v>
      </c>
      <c r="BL69" t="s">
        <v>630</v>
      </c>
      <c r="BM69" t="s">
        <v>630</v>
      </c>
      <c r="BN69" t="s">
        <v>629</v>
      </c>
      <c r="BO69" t="s">
        <v>629</v>
      </c>
      <c r="BP69" t="s">
        <v>629</v>
      </c>
    </row>
    <row r="70" ht="15" customHeight="1">
      <c r="D70" t="s">
        <v>650</v>
      </c>
      <c r="E70" t="e">
        <f t="shared" si="90" ref="E70:AH70">(E30*E68*365)/360</f>
        <v>#N/A</v>
      </c>
      <c r="F70" t="e">
        <f t="shared" si="90"/>
        <v>#N/A</v>
      </c>
      <c r="G70" t="e">
        <f t="shared" si="90"/>
        <v>#N/A</v>
      </c>
      <c r="H70" t="e">
        <f t="shared" si="90"/>
        <v>#N/A</v>
      </c>
      <c r="I70" t="e">
        <f t="shared" si="90"/>
        <v>#N/A</v>
      </c>
      <c r="J70" t="e">
        <f t="shared" si="90"/>
        <v>#N/A</v>
      </c>
      <c r="K70" t="e">
        <f t="shared" si="90"/>
        <v>#N/A</v>
      </c>
      <c r="L70" t="e">
        <f t="shared" si="90"/>
        <v>#N/A</v>
      </c>
      <c r="M70" t="e">
        <f t="shared" si="90"/>
        <v>#N/A</v>
      </c>
      <c r="N70" t="e">
        <f t="shared" si="90"/>
        <v>#N/A</v>
      </c>
      <c r="O70" t="e">
        <f t="shared" si="90"/>
        <v>#N/A</v>
      </c>
      <c r="P70" t="e">
        <f t="shared" si="90"/>
        <v>#N/A</v>
      </c>
      <c r="R70">
        <f t="shared" si="90"/>
        <v>0</v>
      </c>
      <c r="S70">
        <f t="shared" si="90"/>
        <v>0</v>
      </c>
      <c r="T70">
        <f t="shared" si="90"/>
        <v>0</v>
      </c>
      <c r="U70">
        <f t="shared" si="90"/>
        <v>0</v>
      </c>
      <c r="V70">
        <f t="shared" si="90"/>
        <v>0</v>
      </c>
      <c r="W70">
        <f t="shared" si="90"/>
        <v>0</v>
      </c>
      <c r="X70">
        <f t="shared" si="90"/>
        <v>0</v>
      </c>
      <c r="Y70">
        <f t="shared" si="90"/>
        <v>0</v>
      </c>
      <c r="AA70">
        <f t="shared" si="90"/>
        <v>0</v>
      </c>
      <c r="AB70">
        <f t="shared" si="90"/>
        <v>0</v>
      </c>
      <c r="AC70">
        <f t="shared" si="90"/>
        <v>0</v>
      </c>
      <c r="AD70">
        <f t="shared" si="90"/>
        <v>0</v>
      </c>
      <c r="AE70">
        <f t="shared" si="90"/>
        <v>0</v>
      </c>
      <c r="AF70">
        <f t="shared" si="90"/>
        <v>0</v>
      </c>
      <c r="AG70">
        <f t="shared" si="90"/>
        <v>0</v>
      </c>
      <c r="AH70">
        <f t="shared" si="90"/>
        <v>0</v>
      </c>
      <c r="AK70" t="s">
        <v>209</v>
      </c>
      <c r="AN70">
        <v>0</v>
      </c>
      <c r="AU70" t="s">
        <v>920</v>
      </c>
      <c r="AW70">
        <f t="shared" si="80"/>
        <v>0</v>
      </c>
      <c r="BJ70" t="s">
        <v>757</v>
      </c>
      <c r="BK70">
        <v>-5</v>
      </c>
      <c r="BL70">
        <v>-10</v>
      </c>
      <c r="BM70">
        <v>-10</v>
      </c>
      <c r="BN70">
        <v>-5</v>
      </c>
      <c r="BO70">
        <v>-10</v>
      </c>
      <c r="BP70">
        <v>-10</v>
      </c>
    </row>
    <row r="71" ht="15" customHeight="1">
      <c r="D71" t="s">
        <v>921</v>
      </c>
      <c r="AK71" t="s">
        <v>209</v>
      </c>
      <c r="AN71">
        <v>0</v>
      </c>
      <c r="AU71" t="s">
        <v>922</v>
      </c>
      <c r="AW71">
        <f t="shared" si="80"/>
        <v>0</v>
      </c>
    </row>
    <row r="72" ht="15" customHeight="1">
      <c r="D72" t="s">
        <v>923</v>
      </c>
      <c r="E72">
        <f t="shared" si="91" ref="E72:P72">_xlfn.LET(_xlpm.market_tier,$B$22,_xlpm.requested_loan_amount,E$25,_xlpm.is_linked_loan_or_scattered_site,$B$28="Yes",_xlpm.borrower_is_inexperienced,$B$30="Yes",_xlpm.yrs_of_io,E$43,_xlpm.default_yrs_of_io,E$44,MAX(IF(_xlpm.is_linked_loan_or_scattered_site,IF(_xlpm.market_tier="Top",1.25,1.3),1.2),IF(_xlpm.market_tier="Top",1.2,IF(_xlpm.market_tier="Standard",1.25,IF(_xlpm.market_tier="Small",1.3,1.4))),IF(_xlpm.requested_loan_amount&gt;=6000000,1.2,1.2))+IF(_xlpm.yrs_of_io&gt;_xlpm.default_yrs_of_io,IF(OR(_xlpm.market_tier="Top",_xlpm.market_tier="Standard"),0.15,0.1),0)+IF(_xlpm.borrower_is_inexperienced,0.05,0))</f>
        <v>1.4</v>
      </c>
      <c r="F72">
        <f t="shared" si="91"/>
        <v>1.4</v>
      </c>
      <c r="G72">
        <f t="shared" si="91"/>
        <v>1.4</v>
      </c>
      <c r="H72">
        <f t="shared" si="91"/>
        <v>1.4</v>
      </c>
      <c r="I72">
        <f t="shared" si="91"/>
        <v>1.4</v>
      </c>
      <c r="J72">
        <f t="shared" si="91"/>
        <v>1.4</v>
      </c>
      <c r="K72">
        <f t="shared" si="91"/>
        <v>1.4</v>
      </c>
      <c r="L72">
        <f t="shared" si="91"/>
        <v>1.4</v>
      </c>
      <c r="M72">
        <f t="shared" si="91"/>
        <v>1.4</v>
      </c>
      <c r="N72">
        <f t="shared" si="91"/>
        <v>1.4</v>
      </c>
      <c r="O72">
        <f t="shared" si="91"/>
        <v>1.4</v>
      </c>
      <c r="P72">
        <f t="shared" si="91"/>
        <v>1.4</v>
      </c>
      <c r="R72">
        <f t="shared" si="92" ref="R72:Y72">_xlfn.LET(_xlpm.Tier,R$39,IF(_xlpm.Tier=4,1.55,IF(_xlpm.Tier=3,1.35,IF(_xlpm.Tier=2,1.25,1.25))))</f>
        <v>1.25</v>
      </c>
      <c r="S72">
        <f t="shared" si="92"/>
        <v>1.25</v>
      </c>
      <c r="T72">
        <f t="shared" si="92"/>
        <v>1.25</v>
      </c>
      <c r="U72">
        <f t="shared" si="92"/>
        <v>1.35</v>
      </c>
      <c r="V72">
        <f t="shared" si="92"/>
        <v>1.55</v>
      </c>
      <c r="W72">
        <f t="shared" si="92"/>
        <v>1.35</v>
      </c>
      <c r="X72">
        <f t="shared" si="92"/>
        <v>1.55</v>
      </c>
      <c r="Y72">
        <f t="shared" si="92"/>
        <v>1.25</v>
      </c>
      <c r="AA72">
        <v>1.35</v>
      </c>
      <c r="AB72">
        <v>1.35</v>
      </c>
      <c r="AC72">
        <v>1.35</v>
      </c>
      <c r="AD72">
        <v>1.35</v>
      </c>
      <c r="AE72">
        <v>1.35</v>
      </c>
      <c r="AF72">
        <v>1.35</v>
      </c>
      <c r="AG72">
        <v>1.35</v>
      </c>
      <c r="AH72">
        <v>1.35</v>
      </c>
      <c r="AJ72" t="s">
        <v>924</v>
      </c>
      <c r="AK72" t="s">
        <v>209</v>
      </c>
      <c r="AM72" t="s">
        <v>925</v>
      </c>
      <c r="AN72">
        <v>0</v>
      </c>
      <c r="AU72" t="s">
        <v>926</v>
      </c>
      <c r="AW72">
        <f t="shared" si="80"/>
        <v>0</v>
      </c>
      <c r="BJ72" t="s">
        <v>927</v>
      </c>
      <c r="BK72" t="s">
        <v>764</v>
      </c>
      <c r="BL72" t="s">
        <v>765</v>
      </c>
      <c r="BM72" t="s">
        <v>766</v>
      </c>
      <c r="BN72" t="s">
        <v>767</v>
      </c>
      <c r="BO72" t="s">
        <v>768</v>
      </c>
      <c r="BP72" t="s">
        <v>769</v>
      </c>
    </row>
    <row r="73" ht="15" customHeight="1">
      <c r="D73" t="s">
        <v>928</v>
      </c>
      <c r="E73">
        <f t="shared" si="93" ref="E73:AH73">E72</f>
        <v>1.4</v>
      </c>
      <c r="F73">
        <f t="shared" si="93"/>
        <v>1.4</v>
      </c>
      <c r="G73">
        <f t="shared" si="93"/>
        <v>1.4</v>
      </c>
      <c r="H73">
        <f t="shared" si="93"/>
        <v>1.4</v>
      </c>
      <c r="I73">
        <f t="shared" si="93"/>
        <v>1.4</v>
      </c>
      <c r="J73">
        <f t="shared" si="93"/>
        <v>1.4</v>
      </c>
      <c r="K73">
        <f t="shared" si="93"/>
        <v>1.4</v>
      </c>
      <c r="L73">
        <f t="shared" si="93"/>
        <v>1.4</v>
      </c>
      <c r="M73">
        <f t="shared" si="93"/>
        <v>1.4</v>
      </c>
      <c r="N73">
        <f t="shared" si="93"/>
        <v>1.4</v>
      </c>
      <c r="O73">
        <f t="shared" si="93"/>
        <v>1.4</v>
      </c>
      <c r="P73">
        <f t="shared" si="93"/>
        <v>1.4</v>
      </c>
      <c r="R73">
        <f t="shared" si="93"/>
        <v>1.25</v>
      </c>
      <c r="S73">
        <f t="shared" si="93"/>
        <v>1.25</v>
      </c>
      <c r="T73">
        <f t="shared" si="93"/>
        <v>1.25</v>
      </c>
      <c r="U73">
        <f t="shared" si="93"/>
        <v>1.35</v>
      </c>
      <c r="V73">
        <f t="shared" si="93"/>
        <v>1.55</v>
      </c>
      <c r="W73">
        <f t="shared" si="93"/>
        <v>1.35</v>
      </c>
      <c r="X73">
        <f t="shared" si="93"/>
        <v>1.55</v>
      </c>
      <c r="Y73">
        <f t="shared" si="93"/>
        <v>1.25</v>
      </c>
      <c r="AA73">
        <f t="shared" si="93"/>
        <v>1.35</v>
      </c>
      <c r="AB73">
        <f t="shared" si="93"/>
        <v>1.35</v>
      </c>
      <c r="AC73">
        <f t="shared" si="93"/>
        <v>1.35</v>
      </c>
      <c r="AD73">
        <f t="shared" si="93"/>
        <v>1.35</v>
      </c>
      <c r="AE73">
        <f t="shared" si="93"/>
        <v>1.35</v>
      </c>
      <c r="AF73">
        <f t="shared" si="93"/>
        <v>1.35</v>
      </c>
      <c r="AG73">
        <f t="shared" si="93"/>
        <v>1.35</v>
      </c>
      <c r="AH73">
        <f t="shared" si="93"/>
        <v>1.35</v>
      </c>
      <c r="AJ73" t="s">
        <v>929</v>
      </c>
      <c r="AK73" t="s">
        <v>209</v>
      </c>
      <c r="AM73" t="s">
        <v>930</v>
      </c>
      <c r="AN73">
        <v>0</v>
      </c>
      <c r="AU73" t="s">
        <v>931</v>
      </c>
      <c r="AW73">
        <f t="shared" si="80"/>
        <v>0</v>
      </c>
      <c r="BJ73" t="s">
        <v>757</v>
      </c>
      <c r="BK73">
        <v>5</v>
      </c>
      <c r="BL73">
        <v>10</v>
      </c>
      <c r="BM73">
        <v>10</v>
      </c>
      <c r="BN73">
        <v>5</v>
      </c>
      <c r="BO73">
        <v>10</v>
      </c>
      <c r="BP73">
        <v>10</v>
      </c>
    </row>
    <row r="74" ht="15" customHeight="1">
      <c r="D74" t="s">
        <v>932</v>
      </c>
      <c r="E74">
        <f t="shared" si="94" ref="E74:P74">_xlfn.LET(_xlpm.comment,"Updated Feb-2023: is_feb_2023_special_FRE_terms condition can be deleted once expired",_xlpm.is_feb_2023_special_FRE_terms,AND(MONTH(LastPricingUpdateTimestamp)=2,YEAR(LastPricingUpdateTimestamp)=2023),_xlpm.is_feb_2023_extra_yr_of_io,AND(_xlpm.is_feb_2023_special_FRE_terms,E$43=E$44),_xlpm.is_linkedloan_scattered_site,$B$28="Yes",_xlpm.is_acquisition,$B$38="Acquisition",_xlpm.io_is_longer_than_default,E$43&gt;E$44,_xlpm.market_tier,$B22,_xlpm.is_top_or_std_mkt,OR(_xlpm.market_tier="Top",_xlpm.market_tier="Standard"),_xlpm.is_acquisition_and_small_or_verysmall_mkt,AND(_xlpm.is_acquisition,OR(_xlpm.market_tier="Small",_xlpm.market_tier="Very Small")),MIN(IF(_xlpm.is_linkedloan_scattered_site,75%,80%),IF(_xlpm.is_top_or_std_mkt,80%,IF(_xlpm.is_acquisition_and_small_or_verysmall_mkt,75%,70%))-IF(_xlpm.io_is_longer_than_default,IF(_xlpm.is_top_or_std_mkt,15%,10%),0),IF(_xlpm.is_feb_2023_extra_yr_of_io,75%,80%)))</f>
        <v>0.7</v>
      </c>
      <c r="F74">
        <f t="shared" si="94"/>
        <v>0.7</v>
      </c>
      <c r="G74">
        <f t="shared" si="94"/>
        <v>0.7</v>
      </c>
      <c r="H74">
        <f t="shared" si="94"/>
        <v>0.7</v>
      </c>
      <c r="I74">
        <f t="shared" si="94"/>
        <v>0.7</v>
      </c>
      <c r="J74">
        <f t="shared" si="94"/>
        <v>0.7</v>
      </c>
      <c r="K74">
        <f t="shared" si="94"/>
        <v>0.7</v>
      </c>
      <c r="L74">
        <f t="shared" si="94"/>
        <v>0.7</v>
      </c>
      <c r="M74">
        <f t="shared" si="94"/>
        <v>0.7</v>
      </c>
      <c r="N74">
        <f t="shared" si="94"/>
        <v>0.7</v>
      </c>
      <c r="O74">
        <f t="shared" si="94"/>
        <v>0.7</v>
      </c>
      <c r="P74">
        <f t="shared" si="94"/>
        <v>0.7</v>
      </c>
      <c r="R74">
        <f t="shared" si="95" ref="R74:Y74">_xlfn.LET(_xlpm.Tier,R$39,IF(_xlpm.Tier=4,55%,IF(_xlpm.Tier=3,65%,IF(_xlpm.Tier=2,IF(AND(IsCashOutRefinance="Yes",NOT(IsFannieStrongOrSelectEligibleMkt)),75%,80%)))))</f>
        <v>0.8</v>
      </c>
      <c r="S74">
        <f t="shared" si="95"/>
        <v>0.8</v>
      </c>
      <c r="T74">
        <f t="shared" si="95"/>
        <v>0.8</v>
      </c>
      <c r="U74">
        <f t="shared" si="95"/>
        <v>0.65</v>
      </c>
      <c r="V74">
        <f t="shared" si="95"/>
        <v>0.55</v>
      </c>
      <c r="W74">
        <f t="shared" si="95"/>
        <v>0.65</v>
      </c>
      <c r="X74">
        <f t="shared" si="95"/>
        <v>0.55</v>
      </c>
      <c r="Y74">
        <f t="shared" si="95"/>
        <v>0.8</v>
      </c>
      <c r="AA74">
        <f t="shared" si="96" ref="AA74:AH74">_xlfn.LET(_xlpm.Term,AA$98,_xlpm.Tier,MID(AA$39,6,1),IF(_xlpm.Tier="2",70%,0)+IF(_xlpm.Tier="3",65%,0)+IF(_xlpm.Tier="4",60%,0))</f>
        <v>0.7</v>
      </c>
      <c r="AB74">
        <f t="shared" si="96"/>
        <v>0.7</v>
      </c>
      <c r="AC74">
        <f t="shared" si="96"/>
        <v>0.7</v>
      </c>
      <c r="AD74">
        <f t="shared" si="96"/>
        <v>0.7</v>
      </c>
      <c r="AE74">
        <f t="shared" si="96"/>
        <v>0.7</v>
      </c>
      <c r="AF74">
        <f t="shared" si="96"/>
        <v>0.7</v>
      </c>
      <c r="AG74">
        <f t="shared" si="96"/>
        <v>0.7</v>
      </c>
      <c r="AH74">
        <f t="shared" si="96"/>
        <v>0.7</v>
      </c>
      <c r="AJ74" t="s">
        <v>933</v>
      </c>
      <c r="AK74" t="s">
        <v>209</v>
      </c>
      <c r="AM74" t="s">
        <v>934</v>
      </c>
      <c r="AN74">
        <v>0</v>
      </c>
    </row>
    <row r="75" ht="15" customHeight="1">
      <c r="D75" t="s">
        <v>935</v>
      </c>
      <c r="E75" t="str">
        <f t="shared" si="97" ref="E75:P75">IF(E76&lt;E77,"DSCR","LTV")</f>
        <v>LTV</v>
      </c>
      <c r="F75" t="str">
        <f t="shared" si="97"/>
        <v>LTV</v>
      </c>
      <c r="G75" t="str">
        <f t="shared" si="97"/>
        <v>LTV</v>
      </c>
      <c r="H75" t="str">
        <f t="shared" si="97"/>
        <v>LTV</v>
      </c>
      <c r="I75" t="str">
        <f t="shared" si="97"/>
        <v>LTV</v>
      </c>
      <c r="J75" t="str">
        <f t="shared" si="97"/>
        <v>LTV</v>
      </c>
      <c r="K75" t="str">
        <f t="shared" si="97"/>
        <v>LTV</v>
      </c>
      <c r="L75" t="str">
        <f t="shared" si="97"/>
        <v>LTV</v>
      </c>
      <c r="M75" t="str">
        <f t="shared" si="97"/>
        <v>LTV</v>
      </c>
      <c r="N75" t="str">
        <f t="shared" si="97"/>
        <v>LTV</v>
      </c>
      <c r="O75" t="str">
        <f t="shared" si="97"/>
        <v>LTV</v>
      </c>
      <c r="P75" t="str">
        <f t="shared" si="97"/>
        <v>LTV</v>
      </c>
      <c r="R75" t="str">
        <f t="shared" si="98" ref="R75:Y75">IF(R78&lt;MIN(R76,R77),"Floor Rate",IF(R76&lt;R77,"DSCR","LTV"))</f>
        <v>LTV</v>
      </c>
      <c r="S75" t="str">
        <f t="shared" si="98"/>
        <v>LTV</v>
      </c>
      <c r="T75" t="str">
        <f t="shared" si="98"/>
        <v>LTV</v>
      </c>
      <c r="U75" t="str">
        <f t="shared" si="98"/>
        <v>LTV</v>
      </c>
      <c r="V75" t="str">
        <f t="shared" si="98"/>
        <v>LTV</v>
      </c>
      <c r="W75" t="str">
        <f t="shared" si="98"/>
        <v>LTV</v>
      </c>
      <c r="X75" t="str">
        <f t="shared" si="98"/>
        <v>LTV</v>
      </c>
      <c r="Y75" t="str">
        <f t="shared" si="98"/>
        <v>LTV</v>
      </c>
      <c r="AA75" t="str">
        <f t="shared" si="99" ref="AA75:AH75">IF(AA78&lt;MIN(AA76,AA77),"Debt Yield",IF(AA76&lt;AA77,"DSCR","LTV"))</f>
        <v>LTV</v>
      </c>
      <c r="AB75" t="str">
        <f t="shared" si="99"/>
        <v>LTV</v>
      </c>
      <c r="AC75" t="str">
        <f t="shared" si="99"/>
        <v>LTV</v>
      </c>
      <c r="AD75" t="str">
        <f t="shared" si="99"/>
        <v>LTV</v>
      </c>
      <c r="AE75" t="str">
        <f t="shared" si="99"/>
        <v>LTV</v>
      </c>
      <c r="AF75" t="str">
        <f t="shared" si="99"/>
        <v>LTV</v>
      </c>
      <c r="AG75" t="str">
        <f t="shared" si="99"/>
        <v>LTV</v>
      </c>
      <c r="AH75" t="str">
        <f t="shared" si="99"/>
        <v>LTV</v>
      </c>
      <c r="AJ75" t="s">
        <v>936</v>
      </c>
      <c r="AK75" t="s">
        <v>209</v>
      </c>
      <c r="AM75" t="s">
        <v>937</v>
      </c>
      <c r="AN75">
        <v>0</v>
      </c>
      <c r="AU75" t="s">
        <v>938</v>
      </c>
      <c r="AW75" t="s">
        <v>640</v>
      </c>
      <c r="AX75" t="s">
        <v>629</v>
      </c>
      <c r="BJ75" t="s">
        <v>939</v>
      </c>
      <c r="BK75" t="s">
        <v>785</v>
      </c>
      <c r="BL75" t="s">
        <v>174</v>
      </c>
      <c r="BM75" t="s">
        <v>174</v>
      </c>
      <c r="BN75" t="s">
        <v>786</v>
      </c>
      <c r="BO75" t="s">
        <v>174</v>
      </c>
      <c r="BP75" t="s">
        <v>174</v>
      </c>
    </row>
    <row r="76" ht="15" customHeight="1">
      <c r="D76" t="s">
        <v>940</v>
      </c>
      <c r="E76">
        <f t="shared" si="100" ref="E76:P76">IF(E30=0,0,-PV(E68/12,E46*12,$B$41/E73/12,0))</f>
        <v>0</v>
      </c>
      <c r="F76">
        <f t="shared" si="100"/>
        <v>0</v>
      </c>
      <c r="G76">
        <f t="shared" si="100"/>
        <v>0</v>
      </c>
      <c r="H76">
        <f t="shared" si="100"/>
        <v>0</v>
      </c>
      <c r="I76">
        <f t="shared" si="100"/>
        <v>0</v>
      </c>
      <c r="J76">
        <f t="shared" si="100"/>
        <v>0</v>
      </c>
      <c r="K76">
        <f t="shared" si="100"/>
        <v>0</v>
      </c>
      <c r="L76">
        <f t="shared" si="100"/>
        <v>0</v>
      </c>
      <c r="M76">
        <f t="shared" si="100"/>
        <v>0</v>
      </c>
      <c r="N76">
        <f t="shared" si="100"/>
        <v>0</v>
      </c>
      <c r="O76">
        <f t="shared" si="100"/>
        <v>0</v>
      </c>
      <c r="P76">
        <f t="shared" si="100"/>
        <v>0</v>
      </c>
      <c r="R76">
        <f t="shared" si="101" ref="R76:Y76">-PV(R68/12,R46*12,$B$44/R72/12,0)</f>
        <v>-17081723.51155998</v>
      </c>
      <c r="S76">
        <f t="shared" si="101"/>
        <v>-16877955.580361508</v>
      </c>
      <c r="T76">
        <f t="shared" si="101"/>
        <v>-16579553.352712335</v>
      </c>
      <c r="U76">
        <f t="shared" si="101"/>
        <v>-16135387.568689754</v>
      </c>
      <c r="V76">
        <f t="shared" si="101"/>
        <v>-14347323.995971369</v>
      </c>
      <c r="W76">
        <f t="shared" si="101"/>
        <v>-15693629.013439042</v>
      </c>
      <c r="X76">
        <f t="shared" si="101"/>
        <v>-13953170.44231928</v>
      </c>
      <c r="Y76">
        <f t="shared" si="101"/>
        <v>-17081723.51155998</v>
      </c>
      <c r="AA76">
        <f t="shared" si="102" ref="AA76:AH76">$B$44/AA$73/(AA$68/360*365)</f>
        <v>-23411974.584854435</v>
      </c>
      <c r="AB76">
        <f t="shared" si="102"/>
        <v>-23411974.584854435</v>
      </c>
      <c r="AC76">
        <f t="shared" si="102"/>
        <v>-23411974.584854435</v>
      </c>
      <c r="AD76">
        <f t="shared" si="102"/>
        <v>-23411974.584854435</v>
      </c>
      <c r="AE76">
        <f t="shared" si="102"/>
        <v>-23411974.584854435</v>
      </c>
      <c r="AF76">
        <f t="shared" si="102"/>
        <v>-23411974.584854435</v>
      </c>
      <c r="AG76">
        <f t="shared" si="102"/>
        <v>-23411974.584854435</v>
      </c>
      <c r="AH76">
        <f t="shared" si="102"/>
        <v>-23411974.584854435</v>
      </c>
      <c r="AK76" t="s">
        <v>209</v>
      </c>
      <c r="AN76">
        <v>0</v>
      </c>
      <c r="AU76" t="s">
        <v>941</v>
      </c>
      <c r="AV76">
        <v>5</v>
      </c>
      <c r="AW76">
        <f t="shared" si="105" ref="AW76:AW82">BA12</f>
        <v>0.074809</v>
      </c>
      <c r="AX76">
        <v>4.5</v>
      </c>
      <c r="BJ76" t="s">
        <v>757</v>
      </c>
      <c r="BK76">
        <v>30</v>
      </c>
      <c r="BL76">
        <v>0</v>
      </c>
      <c r="BM76">
        <v>0</v>
      </c>
      <c r="BN76">
        <v>30</v>
      </c>
      <c r="BO76">
        <v>0</v>
      </c>
      <c r="BP76">
        <v>0</v>
      </c>
    </row>
    <row r="77" ht="15" customHeight="1">
      <c r="D77" t="s">
        <v>942</v>
      </c>
      <c r="E77">
        <f t="shared" si="103" ref="E77:P77">E74*$B$42</f>
        <v>-22625250.06</v>
      </c>
      <c r="F77">
        <f t="shared" si="103"/>
        <v>-22625250.06</v>
      </c>
      <c r="G77">
        <f t="shared" si="103"/>
        <v>-22625250.06</v>
      </c>
      <c r="H77">
        <f t="shared" si="103"/>
        <v>-22625250.06</v>
      </c>
      <c r="I77">
        <f t="shared" si="103"/>
        <v>-22625250.06</v>
      </c>
      <c r="J77">
        <f t="shared" si="103"/>
        <v>-22625250.06</v>
      </c>
      <c r="K77">
        <f t="shared" si="103"/>
        <v>-22625250.06</v>
      </c>
      <c r="L77">
        <f t="shared" si="103"/>
        <v>-22625250.06</v>
      </c>
      <c r="M77">
        <f t="shared" si="103"/>
        <v>-22625250.06</v>
      </c>
      <c r="N77">
        <f t="shared" si="103"/>
        <v>-22625250.06</v>
      </c>
      <c r="O77">
        <f t="shared" si="103"/>
        <v>-22625250.06</v>
      </c>
      <c r="P77">
        <f t="shared" si="103"/>
        <v>-22625250.06</v>
      </c>
      <c r="R77">
        <f t="shared" si="104" ref="R77:AH77">R74*$B$45</f>
        <v>-27535235.36</v>
      </c>
      <c r="S77">
        <f t="shared" si="104"/>
        <v>-27535235.36</v>
      </c>
      <c r="T77">
        <f t="shared" si="104"/>
        <v>-27535235.36</v>
      </c>
      <c r="U77">
        <f t="shared" si="104"/>
        <v>-22372378.729999997</v>
      </c>
      <c r="V77">
        <f t="shared" si="104"/>
        <v>-18930474.31</v>
      </c>
      <c r="W77">
        <f t="shared" si="104"/>
        <v>-22372378.729999997</v>
      </c>
      <c r="X77">
        <f t="shared" si="104"/>
        <v>-18930474.31</v>
      </c>
      <c r="Y77">
        <f t="shared" si="104"/>
        <v>-27535235.36</v>
      </c>
      <c r="AA77">
        <f t="shared" si="104"/>
        <v>-24093330.939999994</v>
      </c>
      <c r="AB77">
        <f t="shared" si="104"/>
        <v>-24093330.939999994</v>
      </c>
      <c r="AC77">
        <f t="shared" si="104"/>
        <v>-24093330.939999994</v>
      </c>
      <c r="AD77">
        <f t="shared" si="104"/>
        <v>-24093330.939999994</v>
      </c>
      <c r="AE77">
        <f t="shared" si="104"/>
        <v>-24093330.939999994</v>
      </c>
      <c r="AF77">
        <f t="shared" si="104"/>
        <v>-24093330.939999994</v>
      </c>
      <c r="AG77">
        <f t="shared" si="104"/>
        <v>-24093330.939999994</v>
      </c>
      <c r="AH77">
        <f t="shared" si="104"/>
        <v>-24093330.939999994</v>
      </c>
      <c r="AU77" t="s">
        <v>943</v>
      </c>
      <c r="AV77">
        <v>7</v>
      </c>
      <c r="AW77">
        <f t="shared" si="105"/>
        <v>0.07166499999999999</v>
      </c>
      <c r="AX77">
        <v>6.5</v>
      </c>
      <c r="BJ77" t="s">
        <v>944</v>
      </c>
      <c r="BK77">
        <v>25</v>
      </c>
      <c r="BL77">
        <v>25</v>
      </c>
      <c r="BM77">
        <v>25</v>
      </c>
      <c r="BN77">
        <v>25</v>
      </c>
      <c r="BO77">
        <v>25</v>
      </c>
      <c r="BP77">
        <v>25</v>
      </c>
    </row>
    <row r="78" ht="15" customHeight="1">
      <c r="D78" t="s">
        <v>945</v>
      </c>
      <c r="R78">
        <f t="shared" si="106" ref="R78:Y78">_xlfn.LET(_xlpm.floor_rate,R$79,_xlpm.yrs_of_amortization,R$46,_xlpm.requested_min_dscr,R$73,IF(ISNUMBER(_xlpm.floor_rate),-PV(_xlpm.floor_rate/12,_xlpm.yrs_of_amortization*12,SBL_FannieNOI/IF(SBL_DelegatedLevel="Performance Differentiation",1.1,_xlpm.requested_min_dscr)/12,0),""))</f>
        <v>-21372117.369187858</v>
      </c>
      <c r="S78">
        <f t="shared" si="106"/>
      </c>
      <c r="T78">
        <f t="shared" si="106"/>
      </c>
      <c r="U78">
        <f t="shared" si="106"/>
      </c>
      <c r="V78">
        <f t="shared" si="106"/>
      </c>
      <c r="W78">
        <f t="shared" si="106"/>
      </c>
      <c r="X78">
        <f t="shared" si="106"/>
      </c>
      <c r="Y78">
        <f t="shared" si="106"/>
        <v>-21372117.369187858</v>
      </c>
      <c r="AA78">
        <f t="shared" si="107" ref="AA78:AH78">_xlfn.IFERROR(SBL_FannieNOI/AA$80,0)</f>
        <v>-23737271.862068966</v>
      </c>
      <c r="AB78">
        <f t="shared" si="107"/>
        <v>-23737271.862068966</v>
      </c>
      <c r="AC78">
        <f t="shared" si="107"/>
        <v>-23737271.862068966</v>
      </c>
      <c r="AD78">
        <f t="shared" si="107"/>
        <v>-23737271.862068966</v>
      </c>
      <c r="AE78">
        <f t="shared" si="107"/>
        <v>-23737271.862068966</v>
      </c>
      <c r="AF78">
        <f t="shared" si="107"/>
        <v>-23737271.862068966</v>
      </c>
      <c r="AG78">
        <f t="shared" si="107"/>
        <v>-23737271.862068966</v>
      </c>
      <c r="AH78">
        <f t="shared" si="107"/>
        <v>-23737271.862068966</v>
      </c>
      <c r="AJ78" t="s">
        <v>946</v>
      </c>
      <c r="AK78" t="str">
        <f>IF(AK77="No","No","Select")</f>
        <v>Select</v>
      </c>
      <c r="AM78" t="s">
        <v>947</v>
      </c>
      <c r="AN78">
        <v>1</v>
      </c>
      <c r="AU78" t="s">
        <v>948</v>
      </c>
      <c r="AV78">
        <v>10</v>
      </c>
      <c r="AW78">
        <f t="shared" si="105"/>
        <v>0.069644</v>
      </c>
      <c r="AX78">
        <v>9.5</v>
      </c>
      <c r="BJ78" t="s">
        <v>949</v>
      </c>
      <c r="BK78">
        <v>25</v>
      </c>
      <c r="BL78">
        <v>25</v>
      </c>
      <c r="BM78">
        <v>25</v>
      </c>
      <c r="BN78">
        <v>25</v>
      </c>
      <c r="BO78">
        <v>25</v>
      </c>
      <c r="BP78">
        <v>25</v>
      </c>
    </row>
    <row r="79" ht="15" customHeight="1">
      <c r="D79" t="s">
        <v>950</v>
      </c>
      <c r="R79">
        <f t="shared" si="108" ref="R79:Y79">_xlfn.IFERROR(VLOOKUP(R$101,FNM_TierTbl,2,FALSE),"N/A")</f>
        <v>0.05</v>
      </c>
      <c r="S79" t="str">
        <f t="shared" si="108"/>
        <v>N/A</v>
      </c>
      <c r="T79" t="str">
        <f t="shared" si="108"/>
        <v>N/A</v>
      </c>
      <c r="U79" t="str">
        <f t="shared" si="108"/>
        <v>No Floor</v>
      </c>
      <c r="V79" t="str">
        <f t="shared" si="108"/>
        <v>No Floor</v>
      </c>
      <c r="W79" t="str">
        <f t="shared" si="108"/>
        <v>No Floor</v>
      </c>
      <c r="X79" t="str">
        <f t="shared" si="108"/>
        <v>No Floor</v>
      </c>
      <c r="Y79">
        <f t="shared" si="108"/>
        <v>0.05</v>
      </c>
      <c r="AJ79" t="s">
        <v>951</v>
      </c>
      <c r="AK79" t="str">
        <f>IF(AK77="No","No","Select")</f>
        <v>Select</v>
      </c>
      <c r="AM79" t="s">
        <v>952</v>
      </c>
      <c r="AN79" t="s">
        <v>209</v>
      </c>
      <c r="AU79" t="s">
        <v>953</v>
      </c>
      <c r="AV79">
        <v>12</v>
      </c>
      <c r="AW79">
        <f t="shared" si="105"/>
        <v>0.071044</v>
      </c>
      <c r="AX79">
        <v>11.5</v>
      </c>
    </row>
    <row r="80" ht="15.75" customHeight="1">
      <c r="D80" t="s">
        <v>954</v>
      </c>
      <c r="AA80">
        <v>0.0725</v>
      </c>
      <c r="AB80">
        <v>0.0725</v>
      </c>
      <c r="AC80">
        <v>0.0725</v>
      </c>
      <c r="AD80">
        <v>0.0725</v>
      </c>
      <c r="AE80">
        <v>0.0725</v>
      </c>
      <c r="AF80">
        <v>0.0725</v>
      </c>
      <c r="AG80">
        <v>0.0725</v>
      </c>
      <c r="AH80">
        <v>0.0725</v>
      </c>
      <c r="AJ80" t="s">
        <v>955</v>
      </c>
      <c r="AK80" t="s">
        <v>209</v>
      </c>
      <c r="AM80" t="s">
        <v>956</v>
      </c>
      <c r="AN80" t="s">
        <v>209</v>
      </c>
      <c r="AU80" t="s">
        <v>957</v>
      </c>
      <c r="AV80">
        <v>15</v>
      </c>
      <c r="AW80">
        <f t="shared" si="105"/>
        <v>0.072844</v>
      </c>
      <c r="AX80">
        <v>14.5</v>
      </c>
      <c r="BJ80" t="s">
        <v>958</v>
      </c>
      <c r="BK80">
        <v>25</v>
      </c>
      <c r="BL80">
        <v>25</v>
      </c>
      <c r="BM80">
        <v>25</v>
      </c>
      <c r="BN80">
        <v>25</v>
      </c>
      <c r="BO80">
        <v>25</v>
      </c>
      <c r="BP80">
        <v>25</v>
      </c>
    </row>
    <row r="81" ht="15.75" customHeight="1">
      <c r="D81" t="s">
        <v>959</v>
      </c>
      <c r="AJ81" t="s">
        <v>960</v>
      </c>
      <c r="AK81" t="s">
        <v>209</v>
      </c>
      <c r="AM81" t="s">
        <v>961</v>
      </c>
      <c r="AN81" t="s">
        <v>209</v>
      </c>
      <c r="AU81" t="s">
        <v>962</v>
      </c>
      <c r="AV81">
        <v>18</v>
      </c>
      <c r="AW81">
        <f t="shared" si="105"/>
        <v>0.074444</v>
      </c>
      <c r="AX81">
        <v>15</v>
      </c>
      <c r="BJ81" t="s">
        <v>963</v>
      </c>
      <c r="BK81">
        <v>25</v>
      </c>
      <c r="BL81">
        <v>25</v>
      </c>
      <c r="BM81">
        <v>25</v>
      </c>
      <c r="BN81">
        <v>25</v>
      </c>
      <c r="BO81">
        <v>25</v>
      </c>
      <c r="BP81">
        <v>25</v>
      </c>
    </row>
    <row r="82" ht="15" customHeight="1">
      <c r="D82" t="s">
        <v>964</v>
      </c>
      <c r="R82" t="str">
        <f>PD!AH$2</f>
        <v>NA</v>
      </c>
      <c r="S82" t="str">
        <f>PD!AI$2</f>
        <v>NA</v>
      </c>
      <c r="T82" t="str">
        <f>PD!AJ$2</f>
        <v>NA</v>
      </c>
      <c r="U82" t="str">
        <f>PD!AK$2</f>
        <v>NA</v>
      </c>
      <c r="V82" t="str">
        <f>PD!AL$2</f>
        <v>NA</v>
      </c>
      <c r="W82" t="str">
        <f>PD!AM$2</f>
        <v>NA</v>
      </c>
      <c r="X82" t="str">
        <f>PD!AN$2</f>
        <v>NA</v>
      </c>
      <c r="Y82" t="str">
        <f>PD!AO$2</f>
        <v>NA</v>
      </c>
      <c r="AJ82" t="s">
        <v>965</v>
      </c>
      <c r="AK82" t="s">
        <v>209</v>
      </c>
      <c r="AM82" t="s">
        <v>966</v>
      </c>
      <c r="AN82" t="s">
        <v>209</v>
      </c>
      <c r="AU82" t="s">
        <v>967</v>
      </c>
      <c r="AV82">
        <v>30</v>
      </c>
      <c r="AW82">
        <f t="shared" si="105"/>
        <v>0.076157</v>
      </c>
      <c r="AX82">
        <v>15</v>
      </c>
    </row>
    <row r="83" ht="15" customHeight="1">
      <c r="D83" t="s">
        <v>968</v>
      </c>
      <c r="E83">
        <f t="shared" si="109" ref="E83:P83">MIN(E76:E77,IF(AND(E$73&gt;=1.25,number_units&lt;=300),7500000,6000000))</f>
        <v>-22625250.06</v>
      </c>
      <c r="F83">
        <f t="shared" si="109"/>
        <v>-22625250.06</v>
      </c>
      <c r="G83">
        <f t="shared" si="109"/>
        <v>-22625250.06</v>
      </c>
      <c r="H83">
        <f t="shared" si="109"/>
        <v>-22625250.06</v>
      </c>
      <c r="I83">
        <f t="shared" si="109"/>
        <v>-22625250.06</v>
      </c>
      <c r="J83">
        <f t="shared" si="109"/>
        <v>-22625250.06</v>
      </c>
      <c r="K83">
        <f t="shared" si="109"/>
        <v>-22625250.06</v>
      </c>
      <c r="L83">
        <f t="shared" si="109"/>
        <v>-22625250.06</v>
      </c>
      <c r="M83">
        <f t="shared" si="109"/>
        <v>-22625250.06</v>
      </c>
      <c r="N83">
        <f t="shared" si="109"/>
        <v>-22625250.06</v>
      </c>
      <c r="O83">
        <f t="shared" si="109"/>
        <v>-22625250.06</v>
      </c>
      <c r="P83">
        <f t="shared" si="109"/>
        <v>-22625250.06</v>
      </c>
      <c r="R83">
        <f t="shared" si="110" ref="R83:Y83">MIN(R76:R78,9000000)</f>
        <v>-27535235.36</v>
      </c>
      <c r="S83">
        <f t="shared" si="110"/>
        <v>-27535235.36</v>
      </c>
      <c r="T83">
        <f t="shared" si="110"/>
        <v>-27535235.36</v>
      </c>
      <c r="U83">
        <f t="shared" si="110"/>
        <v>-22372378.729999997</v>
      </c>
      <c r="V83">
        <f t="shared" si="110"/>
        <v>-18930474.31</v>
      </c>
      <c r="W83">
        <f t="shared" si="110"/>
        <v>-22372378.729999997</v>
      </c>
      <c r="X83">
        <f t="shared" si="110"/>
        <v>-18930474.31</v>
      </c>
      <c r="Y83">
        <f t="shared" si="110"/>
        <v>-27535235.36</v>
      </c>
      <c r="AA83">
        <f t="shared" si="111" ref="AA83:AH83">MIN(AA76:AA78,15000000)</f>
        <v>-24093330.939999994</v>
      </c>
      <c r="AB83">
        <f t="shared" si="111"/>
        <v>-24093330.939999994</v>
      </c>
      <c r="AC83">
        <f t="shared" si="111"/>
        <v>-24093330.939999994</v>
      </c>
      <c r="AD83">
        <f t="shared" si="111"/>
        <v>-24093330.939999994</v>
      </c>
      <c r="AE83">
        <f t="shared" si="111"/>
        <v>-24093330.939999994</v>
      </c>
      <c r="AF83">
        <f t="shared" si="111"/>
        <v>-24093330.939999994</v>
      </c>
      <c r="AG83">
        <f t="shared" si="111"/>
        <v>-24093330.939999994</v>
      </c>
      <c r="AH83">
        <f t="shared" si="111"/>
        <v>-24093330.939999994</v>
      </c>
      <c r="AJ83" t="s">
        <v>969</v>
      </c>
      <c r="AK83" t="s">
        <v>209</v>
      </c>
      <c r="AM83" t="s">
        <v>970</v>
      </c>
      <c r="AN83" t="s">
        <v>209</v>
      </c>
      <c r="AU83" t="s">
        <v>635</v>
      </c>
      <c r="BJ83" t="s">
        <v>971</v>
      </c>
      <c r="BK83" t="s">
        <v>812</v>
      </c>
      <c r="BL83" t="s">
        <v>812</v>
      </c>
      <c r="BM83" t="s">
        <v>812</v>
      </c>
      <c r="BN83" t="s">
        <v>812</v>
      </c>
      <c r="BO83" t="s">
        <v>812</v>
      </c>
      <c r="BP83" t="s">
        <v>812</v>
      </c>
    </row>
    <row r="84" ht="15" customHeight="1">
      <c r="D84" t="s">
        <v>736</v>
      </c>
      <c r="E84">
        <f t="shared" si="112" ref="E84:AH84">E25</f>
        <v>0</v>
      </c>
      <c r="F84">
        <f t="shared" si="112"/>
        <v>0</v>
      </c>
      <c r="G84">
        <f t="shared" si="112"/>
        <v>0</v>
      </c>
      <c r="H84">
        <f t="shared" si="112"/>
        <v>0</v>
      </c>
      <c r="I84">
        <f t="shared" si="112"/>
        <v>0</v>
      </c>
      <c r="J84">
        <f t="shared" si="112"/>
        <v>0</v>
      </c>
      <c r="K84">
        <f t="shared" si="112"/>
        <v>0</v>
      </c>
      <c r="L84">
        <f t="shared" si="112"/>
        <v>0</v>
      </c>
      <c r="M84">
        <f t="shared" si="112"/>
        <v>0</v>
      </c>
      <c r="N84">
        <f t="shared" si="112"/>
        <v>0</v>
      </c>
      <c r="O84">
        <f t="shared" si="112"/>
        <v>0</v>
      </c>
      <c r="P84">
        <f t="shared" si="112"/>
        <v>0</v>
      </c>
      <c r="R84">
        <f t="shared" si="112"/>
        <v>0</v>
      </c>
      <c r="S84">
        <f t="shared" si="112"/>
        <v>0</v>
      </c>
      <c r="T84">
        <f t="shared" si="112"/>
        <v>0</v>
      </c>
      <c r="U84">
        <f t="shared" si="112"/>
        <v>0</v>
      </c>
      <c r="V84">
        <f t="shared" si="112"/>
        <v>0</v>
      </c>
      <c r="W84">
        <f t="shared" si="112"/>
        <v>0</v>
      </c>
      <c r="X84">
        <f t="shared" si="112"/>
        <v>0</v>
      </c>
      <c r="Y84">
        <f t="shared" si="112"/>
        <v>0</v>
      </c>
      <c r="AA84">
        <f t="shared" si="112"/>
        <v>0</v>
      </c>
      <c r="AB84">
        <f t="shared" si="112"/>
        <v>0</v>
      </c>
      <c r="AC84">
        <f t="shared" si="112"/>
        <v>0</v>
      </c>
      <c r="AD84">
        <f t="shared" si="112"/>
        <v>0</v>
      </c>
      <c r="AE84">
        <f t="shared" si="112"/>
        <v>0</v>
      </c>
      <c r="AF84">
        <f t="shared" si="112"/>
        <v>0</v>
      </c>
      <c r="AG84">
        <f t="shared" si="112"/>
        <v>0</v>
      </c>
      <c r="AH84">
        <f t="shared" si="112"/>
        <v>0</v>
      </c>
      <c r="AJ84" t="s">
        <v>972</v>
      </c>
      <c r="AK84" t="s">
        <v>209</v>
      </c>
      <c r="AU84" t="s">
        <v>973</v>
      </c>
      <c r="AV84">
        <v>5</v>
      </c>
      <c r="BJ84" t="s">
        <v>974</v>
      </c>
      <c r="BK84" t="s">
        <v>812</v>
      </c>
      <c r="BL84" t="s">
        <v>812</v>
      </c>
      <c r="BM84" t="s">
        <v>812</v>
      </c>
      <c r="BN84" t="s">
        <v>812</v>
      </c>
      <c r="BO84" t="s">
        <v>812</v>
      </c>
      <c r="BP84" t="s">
        <v>812</v>
      </c>
    </row>
    <row r="85" ht="15" customHeight="1">
      <c r="D85" t="s">
        <v>975</v>
      </c>
      <c r="E85">
        <f t="shared" si="113" ref="E85:P85">+E83-E84</f>
        <v>-22625250.06</v>
      </c>
      <c r="F85">
        <f t="shared" si="113"/>
        <v>-22625250.06</v>
      </c>
      <c r="G85">
        <f t="shared" si="113"/>
        <v>-22625250.06</v>
      </c>
      <c r="H85">
        <f t="shared" si="113"/>
        <v>-22625250.06</v>
      </c>
      <c r="I85">
        <f t="shared" si="113"/>
        <v>-22625250.06</v>
      </c>
      <c r="J85">
        <f t="shared" si="113"/>
        <v>-22625250.06</v>
      </c>
      <c r="K85">
        <f t="shared" si="113"/>
        <v>-22625250.06</v>
      </c>
      <c r="L85">
        <f t="shared" si="113"/>
        <v>-22625250.06</v>
      </c>
      <c r="M85">
        <f t="shared" si="113"/>
        <v>-22625250.06</v>
      </c>
      <c r="N85">
        <f t="shared" si="113"/>
        <v>-22625250.06</v>
      </c>
      <c r="O85">
        <f t="shared" si="113"/>
        <v>-22625250.06</v>
      </c>
      <c r="P85">
        <f t="shared" si="113"/>
        <v>-22625250.06</v>
      </c>
      <c r="R85">
        <f t="shared" si="114" ref="R85:AH85">R83-R84</f>
        <v>-27535235.36</v>
      </c>
      <c r="S85">
        <f t="shared" si="114"/>
        <v>-27535235.36</v>
      </c>
      <c r="T85">
        <f t="shared" si="114"/>
        <v>-27535235.36</v>
      </c>
      <c r="U85">
        <f t="shared" si="114"/>
        <v>-22372378.729999997</v>
      </c>
      <c r="V85">
        <f t="shared" si="114"/>
        <v>-18930474.31</v>
      </c>
      <c r="W85">
        <f t="shared" si="114"/>
        <v>-22372378.729999997</v>
      </c>
      <c r="X85">
        <f t="shared" si="114"/>
        <v>-18930474.31</v>
      </c>
      <c r="Y85">
        <f t="shared" si="114"/>
        <v>-27535235.36</v>
      </c>
      <c r="AA85">
        <f t="shared" si="114"/>
        <v>-24093330.939999994</v>
      </c>
      <c r="AB85">
        <f t="shared" si="114"/>
        <v>-24093330.939999994</v>
      </c>
      <c r="AC85">
        <f t="shared" si="114"/>
        <v>-24093330.939999994</v>
      </c>
      <c r="AD85">
        <f t="shared" si="114"/>
        <v>-24093330.939999994</v>
      </c>
      <c r="AE85">
        <f t="shared" si="114"/>
        <v>-24093330.939999994</v>
      </c>
      <c r="AF85">
        <f t="shared" si="114"/>
        <v>-24093330.939999994</v>
      </c>
      <c r="AG85">
        <f t="shared" si="114"/>
        <v>-24093330.939999994</v>
      </c>
      <c r="AH85">
        <f t="shared" si="114"/>
        <v>-24093330.939999994</v>
      </c>
      <c r="AU85" t="s">
        <v>976</v>
      </c>
      <c r="AV85">
        <v>7</v>
      </c>
    </row>
    <row r="86" ht="15" customHeight="1">
      <c r="D86" t="str">
        <f>IF(COUNTBLANK('FNM Exit Strategy'!E7:I7)=0,"Base Exit NCF at Maturity +1 Yr from Exit Strategy tab","Est. Base Exit NCF at Maturity +1 Yr @"&amp;Q86*100&amp;"% Rent Growth")</f>
        <v>Est. Base Exit NCF at Maturity +1 Yr @3.2% Rent Growth</v>
      </c>
      <c r="Q86">
        <v>0.032</v>
      </c>
      <c r="R86" cm="1">
        <f t="array" ref="R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Strategy'!$D$29:$AH$29,_xlpm.term,R$98,_xlpm.term_plus_1,_xlpm.term+1,_xlpm.estimated_rent_growth_factor,(1+$Q$86)^_xlpm.term,_xlpm.expense_growth_factor,1.03^_xlpm.term,_xlpm.egi,'Fannie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-2277314.0883136215</v>
      </c>
      <c r="S86" cm="1">
        <f t="array" ref="S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Strategy'!$D$29:$AH$29,_xlpm.term,S$98,_xlpm.term_plus_1,_xlpm.term+1,_xlpm.estimated_rent_growth_factor,(1+$Q$86)^_xlpm.term,_xlpm.expense_growth_factor,1.03^_xlpm.term,_xlpm.egi,'Fannie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-2408656.340927534</v>
      </c>
      <c r="T86" cm="1">
        <f t="array" ref="T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Strategy'!$D$29:$AH$29,_xlpm.term,T$98,_xlpm.term_plus_1,_xlpm.term+1,_xlpm.estimated_rent_growth_factor,(1+$Q$86)^_xlpm.term,_xlpm.expense_growth_factor,1.03^_xlpm.term,_xlpm.egi,'Fannie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-2620065.277827656</v>
      </c>
      <c r="U86" cm="1">
        <f t="array" ref="U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Strategy'!$D$29:$AH$29,_xlpm.term,U$98,_xlpm.term_plus_1,_xlpm.term+1,_xlpm.estimated_rent_growth_factor,(1+$Q$86)^_xlpm.term,_xlpm.expense_growth_factor,1.03^_xlpm.term,_xlpm.egi,'Fannie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-2277314.0883136215</v>
      </c>
      <c r="V86" cm="1">
        <f t="array" ref="V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Strategy'!$D$29:$AH$29,_xlpm.term,V$98,_xlpm.term_plus_1,_xlpm.term+1,_xlpm.estimated_rent_growth_factor,(1+$Q$86)^_xlpm.term,_xlpm.expense_growth_factor,1.03^_xlpm.term,_xlpm.egi,'Fannie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-2277314.0883136215</v>
      </c>
      <c r="W86" cm="1">
        <f t="array" ref="W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Strategy'!$D$29:$AH$29,_xlpm.term,W$98,_xlpm.term_plus_1,_xlpm.term+1,_xlpm.estimated_rent_growth_factor,(1+$Q$86)^_xlpm.term,_xlpm.expense_growth_factor,1.03^_xlpm.term,_xlpm.egi,'Fannie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-1979569.6748393609</v>
      </c>
      <c r="X86" cm="1">
        <f t="array" ref="X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Strategy'!$D$29:$AH$29,_xlpm.term,X$98,_xlpm.term_plus_1,_xlpm.term+1,_xlpm.estimated_rent_growth_factor,(1+$Q$86)^_xlpm.term,_xlpm.expense_growth_factor,1.03^_xlpm.term,_xlpm.egi,'Fannie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-1979569.6748393609</v>
      </c>
      <c r="Y86" cm="1">
        <f t="array" ref="Y86">_xlfn.LET(_xlpm.comment,"Uses FNM Exit Strategy NCF if DUS Gateway Rent Growth Rate data has been entered, otherwise this equation estimates the NCF.",_xlpm.comment1,"Estimates BASE exit, not ALT exit; because Base Exit has Yr1 Rent Growth of '0', use 'term' instead of 'term + 1'",_xlpm.comment2,"Expense Growth also uses 'term' instead of 'term + 1' because for both Base and Alt exit, Yr1 growth is already part of Hist Ops expense data",_xlpm.use_NCF_from_FNM_exit_tab,COUNTBLANK('FNM Exit Strategy'!$E$7:$I$7)=0,_xlpm.yearly_NCFs_from_FNM_exit_tab,'FNM Exit Strategy'!$D$29:$AH$29,_xlpm.term,Y$98,_xlpm.term_plus_1,_xlpm.term+1,_xlpm.estimated_rent_growth_factor,(1+$Q$86)^_xlpm.term,_xlpm.expense_growth_factor,1.03^_xlpm.term,_xlpm.egi,'Fannie Historical Ops'!$AK$30,_xlpm.management_fee_pcnt,'Fannie Historical Ops'!$AL$51,_xlpm.management_fee,'Fannie Historical Ops'!$AK$51,_xlpm.capital_expenditures,'Fannie Historical Ops'!$AK$73,_xlpm.total_expenses,'Fannie Historical Ops'!$AK$71,IF(_xlpm.use_NCF_from_FNM_exit_tab,INDEX(_xlpm.yearly_NCFs_from_FNM_exit_tab,1,_xlpm.term_plus_1),_xlpm.egi*(1-_xlpm.management_fee_pcnt)*_xlpm.estimated_rent_growth_factor-_xlpm.capital_expenditures-(_xlpm.total_expenses-_xlpm.management_fee)*_xlpm.expense_growth_factor))</f>
        <v>-2277314.0883136215</v>
      </c>
      <c r="AA86">
        <f>'Fannie Historical Ops'!$AK$30*1.02^AA$98-'Fannie Historical Ops'!$AL$51*('Fannie Historical Ops'!$AK$30*1.02^AA$98)-'Fannie Historical Ops'!$AK$73-('Fannie Historical Ops'!$AK$71-'Fannie Historical Ops'!$AK$51)*1.03^AA$98</f>
        <v>-1912317.1463114</v>
      </c>
      <c r="AB86">
        <f>'Fannie Historical Ops'!$AK$30*1.02^AB$98-'Fannie Historical Ops'!$AL$51*('Fannie Historical Ops'!$AK$30*1.02^AB$98)-'Fannie Historical Ops'!$AK$73-('Fannie Historical Ops'!$AK$71-'Fannie Historical Ops'!$AK$51)*1.03^AB$98</f>
        <v>-2050782.3500581076</v>
      </c>
      <c r="AC86">
        <f>'Fannie Historical Ops'!$AK$30*1.02^AC$98-'Fannie Historical Ops'!$AL$51*('Fannie Historical Ops'!$AK$30*1.02^AC$98)-'Fannie Historical Ops'!$AK$73-('Fannie Historical Ops'!$AK$71-'Fannie Historical Ops'!$AK$51)*1.03^AC$98</f>
        <v>-2198621.3729802594</v>
      </c>
      <c r="AD86">
        <f>'Fannie Historical Ops'!$AK$30*1.02^AD$98-'Fannie Historical Ops'!$AL$51*('Fannie Historical Ops'!$AK$30*1.02^AD$98)-'Fannie Historical Ops'!$AK$73-('Fannie Historical Ops'!$AK$71-'Fannie Historical Ops'!$AK$51)*1.03^AD$98</f>
        <v>-1912317.1463114</v>
      </c>
      <c r="AE86">
        <f>'Fannie Historical Ops'!$AK$30*1.02^AE$98-'Fannie Historical Ops'!$AL$51*('Fannie Historical Ops'!$AK$30*1.02^AE$98)-'Fannie Historical Ops'!$AK$73-('Fannie Historical Ops'!$AK$71-'Fannie Historical Ops'!$AK$51)*1.03^AE$98</f>
        <v>-2050782.3500581076</v>
      </c>
      <c r="AF86">
        <f>'Fannie Historical Ops'!$AK$30*1.02^AF$98-'Fannie Historical Ops'!$AL$51*('Fannie Historical Ops'!$AK$30*1.02^AF$98)-'Fannie Historical Ops'!$AK$73-('Fannie Historical Ops'!$AK$71-'Fannie Historical Ops'!$AK$51)*1.03^AF$98</f>
        <v>-2198621.3729802594</v>
      </c>
      <c r="AG86">
        <f>'Fannie Historical Ops'!$AK$30*1.02^AG$98-'Fannie Historical Ops'!$AL$51*('Fannie Historical Ops'!$AK$30*1.02^AG$98)-'Fannie Historical Ops'!$AK$73-('Fannie Historical Ops'!$AK$71-'Fannie Historical Ops'!$AK$51)*1.03^AG$98</f>
        <v>-1912317.1463114</v>
      </c>
      <c r="AH86">
        <f>'Fannie Historical Ops'!$AK$30*1.02^AH$98-'Fannie Historical Ops'!$AL$51*('Fannie Historical Ops'!$AK$30*1.02^AH$98)-'Fannie Historical Ops'!$AK$73-('Fannie Historical Ops'!$AK$71-'Fannie Historical Ops'!$AK$51)*1.03^AH$98</f>
        <v>-2050782.3500581076</v>
      </c>
      <c r="AU86" t="s">
        <v>978</v>
      </c>
      <c r="AV86">
        <v>10</v>
      </c>
      <c r="BJ86" t="s">
        <v>979</v>
      </c>
    </row>
    <row r="87" ht="15" customHeight="1">
      <c r="D87" t="s">
        <v>980</v>
      </c>
      <c r="R87" cm="1" t="e">
        <f t="array" ref="R87">_xlfn.LET(_xlpm.term_yrs,R$98,_xlpm.yrs_of_io,R$43,_xlpm.amortization_basis,R$9*12,_xlpm.amortization_months,(_xlpm.term_yrs-_xlpm.yrs_of_io)*12,_xlpm.loan_amount,R$30,_xlpm.note_rate,R$68,_xlpm.loan_start_date,TODAY()+60,IF(_xlpm.amortization_months&lt;=0,_xlpm.loan_amount,ACTUAL360UPB(_xlpm.note_rate,_xlpm.loan_amount,_xlpm.loan_start_date,_xlpm.amortization_months,_xlpm.amortization_basis)))</f>
        <v>#NAME?</v>
      </c>
      <c r="S87" cm="1" t="e">
        <f t="array" ref="S87">_xlfn.LET(_xlpm.term_yrs,S$98,_xlpm.yrs_of_io,S$43,_xlpm.amortization_basis,S$9*12,_xlpm.amortization_months,(_xlpm.term_yrs-_xlpm.yrs_of_io)*12,_xlpm.loan_amount,S$30,_xlpm.note_rate,S$68,_xlpm.loan_start_date,TODAY()+60,IF(_xlpm.amortization_months&lt;=0,_xlpm.loan_amount,ACTUAL360UPB(_xlpm.note_rate,_xlpm.loan_amount,_xlpm.loan_start_date,_xlpm.amortization_months,_xlpm.amortization_basis)))</f>
        <v>#NAME?</v>
      </c>
      <c r="T87" cm="1" t="e">
        <f t="array" ref="T87">_xlfn.LET(_xlpm.term_yrs,T$98,_xlpm.yrs_of_io,T$43,_xlpm.amortization_basis,T$9*12,_xlpm.amortization_months,(_xlpm.term_yrs-_xlpm.yrs_of_io)*12,_xlpm.loan_amount,T$30,_xlpm.note_rate,T$68,_xlpm.loan_start_date,TODAY()+60,IF(_xlpm.amortization_months&lt;=0,_xlpm.loan_amount,ACTUAL360UPB(_xlpm.note_rate,_xlpm.loan_amount,_xlpm.loan_start_date,_xlpm.amortization_months,_xlpm.amortization_basis)))</f>
        <v>#NAME?</v>
      </c>
      <c r="U87" cm="1" t="e">
        <f t="array" ref="U87">_xlfn.LET(_xlpm.term_yrs,U$98,_xlpm.yrs_of_io,U$43,_xlpm.amortization_basis,U$9*12,_xlpm.amortization_months,(_xlpm.term_yrs-_xlpm.yrs_of_io)*12,_xlpm.loan_amount,U$30,_xlpm.note_rate,U$68,_xlpm.loan_start_date,TODAY()+60,IF(_xlpm.amortization_months&lt;=0,_xlpm.loan_amount,ACTUAL360UPB(_xlpm.note_rate,_xlpm.loan_amount,_xlpm.loan_start_date,_xlpm.amortization_months,_xlpm.amortization_basis)))</f>
        <v>#NAME?</v>
      </c>
      <c r="V87" cm="1">
        <f t="array" ref="V87">_xlfn.LET(_xlpm.term_yrs,V$98,_xlpm.yrs_of_io,V$43,_xlpm.amortization_basis,V$9*12,_xlpm.amortization_months,(_xlpm.term_yrs-_xlpm.yrs_of_io)*12,_xlpm.loan_amount,V$30,_xlpm.note_rate,V$68,_xlpm.loan_start_date,TODAY()+60,IF(_xlpm.amortization_months&lt;=0,_xlpm.loan_amount,ACTUAL360UPB(_xlpm.note_rate,_xlpm.loan_amount,_xlpm.loan_start_date,_xlpm.amortization_months,_xlpm.amortization_basis)))</f>
        <v>0</v>
      </c>
      <c r="W87" cm="1" t="e">
        <f t="array" ref="W87">_xlfn.LET(_xlpm.term_yrs,W$98,_xlpm.yrs_of_io,W$43,_xlpm.amortization_basis,W$9*12,_xlpm.amortization_months,(_xlpm.term_yrs-_xlpm.yrs_of_io)*12,_xlpm.loan_amount,W$30,_xlpm.note_rate,W$68,_xlpm.loan_start_date,TODAY()+60,IF(_xlpm.amortization_months&lt;=0,_xlpm.loan_amount,ACTUAL360UPB(_xlpm.note_rate,_xlpm.loan_amount,_xlpm.loan_start_date,_xlpm.amortization_months,_xlpm.amortization_basis)))</f>
        <v>#NAME?</v>
      </c>
      <c r="X87" cm="1">
        <f t="array" ref="X87">_xlfn.LET(_xlpm.term_yrs,X$98,_xlpm.yrs_of_io,X$43,_xlpm.amortization_basis,X$9*12,_xlpm.amortization_months,(_xlpm.term_yrs-_xlpm.yrs_of_io)*12,_xlpm.loan_amount,X$30,_xlpm.note_rate,X$68,_xlpm.loan_start_date,TODAY()+60,IF(_xlpm.amortization_months&lt;=0,_xlpm.loan_amount,ACTUAL360UPB(_xlpm.note_rate,_xlpm.loan_amount,_xlpm.loan_start_date,_xlpm.amortization_months,_xlpm.amortization_basis)))</f>
        <v>0</v>
      </c>
      <c r="Y87" cm="1" t="e">
        <f t="array" ref="Y87">_xlfn.LET(_xlpm.term_yrs,Y$98,_xlpm.yrs_of_io,Y$43,_xlpm.amortization_basis,Y$9*12,_xlpm.amortization_months,(_xlpm.term_yrs-_xlpm.yrs_of_io)*12,_xlpm.loan_amount,Y$30,_xlpm.note_rate,Y$68,_xlpm.loan_start_date,TODAY()+60,IF(_xlpm.amortization_months&lt;=0,_xlpm.loan_amount,ACTUAL360UPB(_xlpm.note_rate,_xlpm.loan_amount,_xlpm.loan_start_date,_xlpm.amortization_months,_xlpm.amortization_basis)))</f>
        <v>#NAME?</v>
      </c>
      <c r="AA87">
        <f t="shared" si="115" ref="AA87:AH87">AA$30</f>
        <v>0</v>
      </c>
      <c r="AB87">
        <f t="shared" si="115"/>
        <v>0</v>
      </c>
      <c r="AC87">
        <f t="shared" si="115"/>
        <v>0</v>
      </c>
      <c r="AD87">
        <f t="shared" si="115"/>
        <v>0</v>
      </c>
      <c r="AE87">
        <f t="shared" si="115"/>
        <v>0</v>
      </c>
      <c r="AF87">
        <f t="shared" si="115"/>
        <v>0</v>
      </c>
      <c r="AG87">
        <f t="shared" si="115"/>
        <v>0</v>
      </c>
      <c r="AH87">
        <f t="shared" si="115"/>
        <v>0</v>
      </c>
      <c r="AJ87" cm="1" t="e">
        <f t="array" ref="AJ87">_xlfn.LET(_xlpm.term,AJ98,_xlpm.yrs_of_io,AJ43,_xlpm.amortization_basis,AJ9*12,_xlpm.amortization_months,(_xlpm.term-_xlpm.yrs_of_io)*12,_xlpm.loan_amount,AJ30,_xlpm.note_rate,AJ68,_xlpm.loan_start_date,TODAY()+60,_xlpm.loan_option_nmbr,RIGHT(AJ5,1)+8,IF(_xlpm.amortization_months&lt;=0,_xlpm.loan_amount,ACTUAL360UPB(_xlpm.note_rate,_xlpm.loan_amount,_xlpm.amortization_basis,_xlpm.loan_start_date,_xlpm.amortization_months,_xlpm.loan_option_nmbr)))</f>
        <v>#VALUE!</v>
      </c>
      <c r="AK87" cm="1">
        <f t="array" ref="AK87">_xlfn.LET(_xlpm.term,AK98,_xlpm.yrs_of_io,AK43,_xlpm.amortization_basis,AK9*12,_xlpm.amortization_months,(_xlpm.term-_xlpm.yrs_of_io)*12,_xlpm.loan_amount,AK30,_xlpm.note_rate,AK68,_xlpm.loan_start_date,TODAY()+60,_xlpm.loan_option_nmbr,RIGHT(AK5,1)+8,IF(_xlpm.amortization_months&lt;=0,_xlpm.loan_amount,ACTUAL360UPB(_xlpm.note_rate,_xlpm.loan_amount,_xlpm.amortization_basis,_xlpm.loan_start_date,_xlpm.amortization_months,_xlpm.loan_option_nmbr)))</f>
        <v>0</v>
      </c>
      <c r="AL87" cm="1">
        <f t="array" ref="AL87">_xlfn.LET(_xlpm.term,AL98,_xlpm.yrs_of_io,AL43,_xlpm.amortization_basis,AL9*12,_xlpm.amortization_months,(_xlpm.term-_xlpm.yrs_of_io)*12,_xlpm.loan_amount,AL30,_xlpm.note_rate,AL68,_xlpm.loan_start_date,TODAY()+60,_xlpm.loan_option_nmbr,RIGHT(AL5,1)+8,IF(_xlpm.amortization_months&lt;=0,_xlpm.loan_amount,ACTUAL360UPB(_xlpm.note_rate,_xlpm.loan_amount,_xlpm.amortization_basis,_xlpm.loan_start_date,_xlpm.amortization_months,_xlpm.loan_option_nmbr)))</f>
        <v>0</v>
      </c>
      <c r="AM87" cm="1" t="e">
        <f t="array" ref="AM87">_xlfn.LET(_xlpm.term,AM98,_xlpm.yrs_of_io,AM43,_xlpm.amortization_basis,AM9*12,_xlpm.amortization_months,(_xlpm.term-_xlpm.yrs_of_io)*12,_xlpm.loan_amount,AM30,_xlpm.note_rate,AM68,_xlpm.loan_start_date,TODAY()+60,_xlpm.loan_option_nmbr,RIGHT(AM5,1)+8,IF(_xlpm.amortization_months&lt;=0,_xlpm.loan_amount,ACTUAL360UPB(_xlpm.note_rate,_xlpm.loan_amount,_xlpm.amortization_basis,_xlpm.loan_start_date,_xlpm.amortization_months,_xlpm.loan_option_nmbr)))</f>
        <v>#VALUE!</v>
      </c>
      <c r="AN87" cm="1" t="e">
        <f t="array" ref="AN87">_xlfn.LET(_xlpm.term,AN98,_xlpm.yrs_of_io,AN43,_xlpm.amortization_basis,AN9*12,_xlpm.amortization_months,(_xlpm.term-_xlpm.yrs_of_io)*12,_xlpm.loan_amount,AN30,_xlpm.note_rate,AN68,_xlpm.loan_start_date,TODAY()+60,_xlpm.loan_option_nmbr,RIGHT(AN5,1)+8,IF(_xlpm.amortization_months&lt;=0,_xlpm.loan_amount,ACTUAL360UPB(_xlpm.note_rate,_xlpm.loan_amount,_xlpm.amortization_basis,_xlpm.loan_start_date,_xlpm.amortization_months,_xlpm.loan_option_nmbr)))</f>
        <v>#VALUE!</v>
      </c>
      <c r="BJ87" t="s">
        <v>981</v>
      </c>
    </row>
    <row r="88" ht="15" customHeight="1">
      <c r="D88" t="s">
        <v>982</v>
      </c>
      <c r="R88">
        <f>_xlfn.LET(_xlpm.base_exit_ncf,R$86,_xlpm.base_terminal_cap_rate,'FNM Exit Strategy'!$AL$20,_xlpm.base_exit_ncf/_xlpm.base_terminal_cap_rate)</f>
        <v>-32533058.404480305</v>
      </c>
      <c r="S88">
        <f>_xlfn.LET(_xlpm.base_exit_ncf,S$86,_xlpm.base_terminal_cap_rate,'FNM Exit Strategy'!$AL$20,_xlpm.base_exit_ncf/_xlpm.base_terminal_cap_rate)</f>
        <v>-34409376.29896477</v>
      </c>
      <c r="T88">
        <f>_xlfn.LET(_xlpm.base_exit_ncf,T$86,_xlpm.base_terminal_cap_rate,'FNM Exit Strategy'!$AL$20,_xlpm.base_exit_ncf/_xlpm.base_terminal_cap_rate)</f>
        <v>-37429503.96896651</v>
      </c>
      <c r="U88">
        <f>_xlfn.LET(_xlpm.base_exit_ncf,U$86,_xlpm.base_terminal_cap_rate,'FNM Exit Strategy'!$AL$20,_xlpm.base_exit_ncf/_xlpm.base_terminal_cap_rate)</f>
        <v>-32533058.404480305</v>
      </c>
      <c r="V88">
        <f>_xlfn.LET(_xlpm.base_exit_ncf,V$86,_xlpm.base_terminal_cap_rate,'FNM Exit Strategy'!$AL$20,_xlpm.base_exit_ncf/_xlpm.base_terminal_cap_rate)</f>
        <v>-32533058.404480305</v>
      </c>
      <c r="W88">
        <f>_xlfn.LET(_xlpm.base_exit_ncf,W$86,_xlpm.base_terminal_cap_rate,'FNM Exit Strategy'!$AL$20,_xlpm.base_exit_ncf/_xlpm.base_terminal_cap_rate)</f>
        <v>-28279566.783419438</v>
      </c>
      <c r="X88">
        <f>_xlfn.LET(_xlpm.base_exit_ncf,X$86,_xlpm.base_terminal_cap_rate,'FNM Exit Strategy'!$AL$20,_xlpm.base_exit_ncf/_xlpm.base_terminal_cap_rate)</f>
        <v>-28279566.783419438</v>
      </c>
      <c r="Y88">
        <f>_xlfn.LET(_xlpm.base_exit_ncf,Y$86,_xlpm.base_terminal_cap_rate,'FNM Exit Strategy'!$AL$20,_xlpm.base_exit_ncf/_xlpm.base_terminal_cap_rate)</f>
        <v>-32533058.404480305</v>
      </c>
      <c r="AA88">
        <f t="shared" si="116" ref="AA88:AH88">AA86/7.5%</f>
        <v>-25497561.95081867</v>
      </c>
      <c r="AB88">
        <f t="shared" si="116"/>
        <v>-27343764.667441435</v>
      </c>
      <c r="AC88">
        <f t="shared" si="116"/>
        <v>-29314951.639736794</v>
      </c>
      <c r="AD88">
        <f t="shared" si="116"/>
        <v>-25497561.95081867</v>
      </c>
      <c r="AE88">
        <f t="shared" si="116"/>
        <v>-27343764.667441435</v>
      </c>
      <c r="AF88">
        <f t="shared" si="116"/>
        <v>-29314951.639736794</v>
      </c>
      <c r="AG88">
        <f t="shared" si="116"/>
        <v>-25497561.95081867</v>
      </c>
      <c r="AH88">
        <f t="shared" si="116"/>
        <v>-27343764.667441435</v>
      </c>
      <c r="AU88" t="s">
        <v>983</v>
      </c>
      <c r="BJ88" t="s">
        <v>984</v>
      </c>
      <c r="BK88" t="s">
        <v>822</v>
      </c>
      <c r="BL88" t="s">
        <v>822</v>
      </c>
      <c r="BM88" t="s">
        <v>822</v>
      </c>
      <c r="BN88" t="s">
        <v>822</v>
      </c>
      <c r="BO88" t="s">
        <v>822</v>
      </c>
      <c r="BP88" t="s">
        <v>822</v>
      </c>
    </row>
    <row r="89" ht="15" customHeight="1">
      <c r="D89" t="s">
        <v>985</v>
      </c>
      <c r="R89">
        <f t="shared" si="117" ref="R89:Y89">_xlfn.LET(_xlpm.yr1_noi,-SBL_FannieNOI,_xlpm.term_yrs,R$98,_xlpm.base_exit_noi,R$86,_xlfn.IFERROR(RATE(_xlpm.term_yrs,0,_xlpm.yr1_noi,_xlpm.base_exit_noi,1),0))</f>
        <v>0.028407919214384413</v>
      </c>
      <c r="S89">
        <f t="shared" si="117"/>
        <v>0.028412079667409208</v>
      </c>
      <c r="T89">
        <f t="shared" si="117"/>
        <v>0.028417725546511872</v>
      </c>
      <c r="U89">
        <f t="shared" si="117"/>
        <v>0.028407919214384413</v>
      </c>
      <c r="V89">
        <f t="shared" si="117"/>
        <v>0.028407919214384413</v>
      </c>
      <c r="W89">
        <f t="shared" si="117"/>
        <v>0.02839604169460341</v>
      </c>
      <c r="X89">
        <f t="shared" si="117"/>
        <v>0.02839604169460341</v>
      </c>
      <c r="Y89">
        <f t="shared" si="117"/>
        <v>0.028407919214384413</v>
      </c>
      <c r="AA89">
        <f>_xlfn.IFERROR(RATE(AA$98,0,-'Fannie Historical Ops'!$AK$77,AA86,1),0)</f>
        <v>0.03577089416934716</v>
      </c>
      <c r="AB89">
        <f>_xlfn.IFERROR(RATE(AB$98,0,-'Fannie Historical Ops'!$AK$77,AB86,1),0)</f>
        <v>0.035690880360488016</v>
      </c>
      <c r="AC89">
        <f>_xlfn.IFERROR(RATE(AC$98,0,-'Fannie Historical Ops'!$AK$77,AC86,1),0)</f>
        <v>0.035612720933035136</v>
      </c>
      <c r="AD89">
        <f>_xlfn.IFERROR(RATE(AD$98,0,-'Fannie Historical Ops'!$AK$77,AD86,1),0)</f>
        <v>0.03577089416934716</v>
      </c>
      <c r="AE89">
        <f>_xlfn.IFERROR(RATE(AE$98,0,-'Fannie Historical Ops'!$AK$77,AE86,1),0)</f>
        <v>0.035690880360488016</v>
      </c>
      <c r="AF89">
        <f>_xlfn.IFERROR(RATE(AF$98,0,-'Fannie Historical Ops'!$AK$77,AF86,1),0)</f>
        <v>0.035612720933035136</v>
      </c>
      <c r="AG89">
        <f>_xlfn.IFERROR(RATE(AG$98,0,-'Fannie Historical Ops'!$AK$77,AG86,1),0)</f>
        <v>0.03577089416934716</v>
      </c>
      <c r="AH89">
        <f>_xlfn.IFERROR(RATE(AH$98,0,-'Fannie Historical Ops'!$AK$77,AH86,1),0)</f>
        <v>0.035690880360488016</v>
      </c>
      <c r="AU89" t="s">
        <v>901</v>
      </c>
      <c r="AV89">
        <v>7</v>
      </c>
      <c r="BJ89" t="s">
        <v>986</v>
      </c>
    </row>
    <row r="90" ht="15" customHeight="1">
      <c r="D90" t="s">
        <v>417</v>
      </c>
      <c r="R90">
        <f t="shared" si="118" ref="R90:Y90">_xlfn.LET(_xlpm.base_exit_ncf,R$86,_xlpm.upb_at_maturity,R$87,_xlfn.IFERROR(_xlpm.base_exit_ncf/_xlpm.upb_at_maturity,0))</f>
        <v>0</v>
      </c>
      <c r="S90">
        <f t="shared" si="118"/>
        <v>0</v>
      </c>
      <c r="T90">
        <f t="shared" si="118"/>
        <v>0</v>
      </c>
      <c r="U90">
        <f t="shared" si="118"/>
        <v>0</v>
      </c>
      <c r="V90">
        <f t="shared" si="118"/>
        <v>0</v>
      </c>
      <c r="W90">
        <f t="shared" si="118"/>
        <v>0</v>
      </c>
      <c r="X90">
        <f t="shared" si="118"/>
        <v>0</v>
      </c>
      <c r="Y90">
        <f t="shared" si="118"/>
        <v>0</v>
      </c>
      <c r="AA90">
        <f t="shared" si="119" ref="AA90:AH90">_xlfn.IFERROR(AA86/AA87,0)</f>
        <v>0</v>
      </c>
      <c r="AB90">
        <f t="shared" si="119"/>
        <v>0</v>
      </c>
      <c r="AC90">
        <f t="shared" si="119"/>
        <v>0</v>
      </c>
      <c r="AD90">
        <f t="shared" si="119"/>
        <v>0</v>
      </c>
      <c r="AE90">
        <f t="shared" si="119"/>
        <v>0</v>
      </c>
      <c r="AF90">
        <f t="shared" si="119"/>
        <v>0</v>
      </c>
      <c r="AG90">
        <f t="shared" si="119"/>
        <v>0</v>
      </c>
      <c r="AH90">
        <f t="shared" si="119"/>
        <v>0</v>
      </c>
      <c r="AU90" t="s">
        <v>903</v>
      </c>
      <c r="BJ90" t="s">
        <v>987</v>
      </c>
      <c r="BK90" t="s">
        <v>822</v>
      </c>
      <c r="BL90" t="s">
        <v>822</v>
      </c>
      <c r="BM90" t="s">
        <v>822</v>
      </c>
      <c r="BN90" t="s">
        <v>822</v>
      </c>
      <c r="BO90" t="s">
        <v>822</v>
      </c>
      <c r="BP90" t="s">
        <v>822</v>
      </c>
    </row>
    <row r="91" ht="15" customHeight="1">
      <c r="D91" t="s">
        <v>988</v>
      </c>
      <c r="R91">
        <f t="shared" si="120" ref="R91:Y91">_xlfn.LET(_xlpm.exit_value,R$88,_xlpm.refi_loan_amount,R$87,_xlfn.IFERROR(_xlpm.refi_loan_amount/_xlpm.exit_value,0))</f>
        <v>0</v>
      </c>
      <c r="S91">
        <f t="shared" si="120"/>
        <v>0</v>
      </c>
      <c r="T91">
        <f t="shared" si="120"/>
        <v>0</v>
      </c>
      <c r="U91">
        <f t="shared" si="120"/>
        <v>0</v>
      </c>
      <c r="V91">
        <f t="shared" si="120"/>
        <v>0</v>
      </c>
      <c r="W91">
        <f t="shared" si="120"/>
        <v>0</v>
      </c>
      <c r="X91">
        <f t="shared" si="120"/>
        <v>0</v>
      </c>
      <c r="Y91">
        <f t="shared" si="120"/>
        <v>0</v>
      </c>
      <c r="AA91">
        <f t="shared" si="121" ref="AA91:AH91">_xlfn.IFERROR(AA87/(AA86/7.5%),0)</f>
        <v>0</v>
      </c>
      <c r="AB91">
        <f t="shared" si="121"/>
        <v>0</v>
      </c>
      <c r="AC91">
        <f t="shared" si="121"/>
        <v>0</v>
      </c>
      <c r="AD91">
        <f t="shared" si="121"/>
        <v>0</v>
      </c>
      <c r="AE91">
        <f t="shared" si="121"/>
        <v>0</v>
      </c>
      <c r="AF91">
        <f t="shared" si="121"/>
        <v>0</v>
      </c>
      <c r="AG91">
        <f t="shared" si="121"/>
        <v>0</v>
      </c>
      <c r="AH91">
        <f t="shared" si="121"/>
        <v>0</v>
      </c>
      <c r="AJ91" t="s">
        <v>989</v>
      </c>
      <c r="AU91" t="s">
        <v>909</v>
      </c>
      <c r="BJ91" t="s">
        <v>827</v>
      </c>
    </row>
    <row r="92" ht="15" customHeight="1">
      <c r="D92" t="s">
        <v>990</v>
      </c>
      <c r="R92">
        <f t="shared" si="122" ref="R92:Y92">_xlfn.LET(_xlpm.base_exit_ncf,R$86,_xlpm.refi_loan_amount,R$87,_xlfn.IFERROR(_xlpm.base_exit_ncf/(_xlpm.refi_loan_amount/80%),0))</f>
        <v>0</v>
      </c>
      <c r="S92">
        <f t="shared" si="122"/>
        <v>0</v>
      </c>
      <c r="T92">
        <f t="shared" si="122"/>
        <v>0</v>
      </c>
      <c r="U92">
        <f t="shared" si="122"/>
        <v>0</v>
      </c>
      <c r="V92">
        <f t="shared" si="122"/>
        <v>0</v>
      </c>
      <c r="W92">
        <f t="shared" si="122"/>
        <v>0</v>
      </c>
      <c r="X92">
        <f t="shared" si="122"/>
        <v>0</v>
      </c>
      <c r="Y92">
        <f t="shared" si="122"/>
        <v>0</v>
      </c>
      <c r="AA92">
        <f t="shared" si="123" ref="AA92:AH92">_xlfn.IFERROR(AA86/(AA87/80%),0)</f>
        <v>0</v>
      </c>
      <c r="AB92">
        <f t="shared" si="123"/>
        <v>0</v>
      </c>
      <c r="AC92">
        <f t="shared" si="123"/>
        <v>0</v>
      </c>
      <c r="AD92">
        <f t="shared" si="123"/>
        <v>0</v>
      </c>
      <c r="AE92">
        <f t="shared" si="123"/>
        <v>0</v>
      </c>
      <c r="AF92">
        <f t="shared" si="123"/>
        <v>0</v>
      </c>
      <c r="AG92">
        <f t="shared" si="123"/>
        <v>0</v>
      </c>
      <c r="AH92">
        <f t="shared" si="123"/>
        <v>0</v>
      </c>
      <c r="AJ92" t="s">
        <v>991</v>
      </c>
      <c r="AM92" t="s">
        <v>992</v>
      </c>
      <c r="AU92" t="s">
        <v>912</v>
      </c>
      <c r="AV92">
        <v>10</v>
      </c>
      <c r="BJ92" t="s">
        <v>830</v>
      </c>
      <c r="BK92">
        <v>25</v>
      </c>
      <c r="BL92">
        <v>20</v>
      </c>
      <c r="BM92">
        <v>15</v>
      </c>
      <c r="BN92">
        <v>25</v>
      </c>
      <c r="BO92">
        <v>20</v>
      </c>
      <c r="BP92">
        <v>15</v>
      </c>
    </row>
    <row r="93" ht="15" customHeight="1">
      <c r="D93" t="s">
        <v>993</v>
      </c>
      <c r="R93">
        <f t="shared" si="124" ref="R93:Y93">_xlfn.LET(_xlpm.base_exit_ncf,R$86,_xlpm.refi_loan_amount,R$87,_xlfn.IFERROR(RATE(360,-_xlpm.base_exit_ncf/1.25/12,_xlpm.refi_loan_amount)*12,0))</f>
        <v>0</v>
      </c>
      <c r="S93">
        <f t="shared" si="124"/>
        <v>0</v>
      </c>
      <c r="T93">
        <f t="shared" si="124"/>
        <v>0</v>
      </c>
      <c r="U93">
        <f t="shared" si="124"/>
        <v>0</v>
      </c>
      <c r="V93">
        <f t="shared" si="124"/>
        <v>0</v>
      </c>
      <c r="W93">
        <f t="shared" si="124"/>
        <v>0</v>
      </c>
      <c r="X93">
        <f t="shared" si="124"/>
        <v>0</v>
      </c>
      <c r="Y93">
        <f t="shared" si="124"/>
        <v>0</v>
      </c>
      <c r="AA93">
        <f t="shared" si="125" ref="AA93:AH93">_xlfn.IFERROR(RATE(360,-AA86/1.25/12,AA87)*12,0)</f>
        <v>0</v>
      </c>
      <c r="AB93">
        <f t="shared" si="125"/>
        <v>0</v>
      </c>
      <c r="AC93">
        <f t="shared" si="125"/>
        <v>0</v>
      </c>
      <c r="AD93">
        <f t="shared" si="125"/>
        <v>0</v>
      </c>
      <c r="AE93">
        <f t="shared" si="125"/>
        <v>0</v>
      </c>
      <c r="AF93">
        <f t="shared" si="125"/>
        <v>0</v>
      </c>
      <c r="AG93">
        <f t="shared" si="125"/>
        <v>0</v>
      </c>
      <c r="AH93">
        <f t="shared" si="125"/>
        <v>0</v>
      </c>
      <c r="AU93" t="s">
        <v>914</v>
      </c>
      <c r="AV93">
        <v>10</v>
      </c>
    </row>
    <row r="94" ht="15" customHeight="1">
      <c r="D94" t="s">
        <v>994</v>
      </c>
      <c r="Q94">
        <v>0.075</v>
      </c>
      <c r="R94">
        <f t="shared" si="126" ref="R94:Y94">_xlfn.LET(_xlpm.base_exit_noi,R$86,_xlpm.refi_loan_amount,R$87,_xlpm.interest_rate_at_refi,$Q$94,_xlfn.IFERROR(_xlpm.base_exit_noi/(_xlpm.refi_loan_amount*PMT(_xlpm.interest_rate_at_refi/12,360,-1)*12),0))</f>
        <v>0</v>
      </c>
      <c r="S94">
        <f t="shared" si="126"/>
        <v>0</v>
      </c>
      <c r="T94">
        <f t="shared" si="126"/>
        <v>0</v>
      </c>
      <c r="U94">
        <f t="shared" si="126"/>
        <v>0</v>
      </c>
      <c r="V94">
        <f t="shared" si="126"/>
        <v>0</v>
      </c>
      <c r="W94">
        <f t="shared" si="126"/>
        <v>0</v>
      </c>
      <c r="X94">
        <f t="shared" si="126"/>
        <v>0</v>
      </c>
      <c r="Y94">
        <f t="shared" si="126"/>
        <v>0</v>
      </c>
      <c r="AA94">
        <f t="shared" si="127" ref="AA94:AH94">_xlfn.LET(_xlpm.Term,AA$98,_xlpm.Rate,IF(_xlpm.Term=10,6%,5.5%),_xlfn.IFERROR(AA86/(AA87*PMT(_xlpm.Rate/12,360,-1)*12),0))</f>
        <v>0</v>
      </c>
      <c r="AB94">
        <f t="shared" si="127"/>
        <v>0</v>
      </c>
      <c r="AC94">
        <f t="shared" si="127"/>
        <v>0</v>
      </c>
      <c r="AD94">
        <f t="shared" si="127"/>
        <v>0</v>
      </c>
      <c r="AE94">
        <f t="shared" si="127"/>
        <v>0</v>
      </c>
      <c r="AF94">
        <f t="shared" si="127"/>
        <v>0</v>
      </c>
      <c r="AG94">
        <f t="shared" si="127"/>
        <v>0</v>
      </c>
      <c r="AH94">
        <f t="shared" si="127"/>
        <v>0</v>
      </c>
      <c r="AU94" t="s">
        <v>915</v>
      </c>
      <c r="AV94">
        <v>10</v>
      </c>
    </row>
    <row r="95" ht="12.75" customHeight="1">
      <c r="D95" t="s">
        <v>995</v>
      </c>
      <c r="Q95">
        <v>0.02</v>
      </c>
      <c r="R95">
        <f t="shared" si="128" ref="R95:Y95">_xlfn.LET(_xlpm.base_exit_ncf,R$86,_xlpm.refi_loan_amount,R$87,_xlfn.IFERROR(_xlpm.refi_loan_amount/(_xlpm.base_exit_ncf/2%),0))</f>
        <v>0</v>
      </c>
      <c r="S95">
        <f t="shared" si="128"/>
        <v>0</v>
      </c>
      <c r="T95">
        <f t="shared" si="128"/>
        <v>0</v>
      </c>
      <c r="U95">
        <f t="shared" si="128"/>
        <v>0</v>
      </c>
      <c r="V95">
        <f t="shared" si="128"/>
        <v>0</v>
      </c>
      <c r="W95">
        <f t="shared" si="128"/>
        <v>0</v>
      </c>
      <c r="X95">
        <f t="shared" si="128"/>
        <v>0</v>
      </c>
      <c r="Y95">
        <f t="shared" si="128"/>
        <v>0</v>
      </c>
      <c r="AA95">
        <f t="shared" si="129" ref="AA95:AH95">_xlfn.IFERROR(AA87/(AA86/2%),0)</f>
        <v>0</v>
      </c>
      <c r="AB95">
        <f t="shared" si="129"/>
        <v>0</v>
      </c>
      <c r="AC95">
        <f t="shared" si="129"/>
        <v>0</v>
      </c>
      <c r="AD95">
        <f t="shared" si="129"/>
        <v>0</v>
      </c>
      <c r="AE95">
        <f t="shared" si="129"/>
        <v>0</v>
      </c>
      <c r="AF95">
        <f t="shared" si="129"/>
        <v>0</v>
      </c>
      <c r="AG95">
        <f t="shared" si="129"/>
        <v>0</v>
      </c>
      <c r="AH95">
        <f t="shared" si="129"/>
        <v>0</v>
      </c>
      <c r="AU95" t="s">
        <v>916</v>
      </c>
      <c r="AV95">
        <v>5</v>
      </c>
    </row>
    <row r="96" ht="15" customHeight="1">
      <c r="AJ96" t="s">
        <v>991</v>
      </c>
      <c r="AM96" t="s">
        <v>992</v>
      </c>
      <c r="AU96" t="s">
        <v>919</v>
      </c>
      <c r="AV96">
        <v>5</v>
      </c>
    </row>
    <row r="97" ht="15" customHeight="1">
      <c r="D97" t="s">
        <v>996</v>
      </c>
      <c r="AU97" t="s">
        <v>920</v>
      </c>
      <c r="AV97">
        <v>5</v>
      </c>
    </row>
    <row r="98" ht="15" customHeight="1">
      <c r="D98" t="s">
        <v>997</v>
      </c>
      <c r="E98">
        <f t="shared" si="130" ref="E98:AH98">VALUE(TRIM(LEFT(E$26,2)))</f>
        <v>5</v>
      </c>
      <c r="F98">
        <f t="shared" si="130"/>
        <v>7</v>
      </c>
      <c r="G98">
        <f t="shared" si="130"/>
        <v>10</v>
      </c>
      <c r="H98">
        <f t="shared" si="130"/>
        <v>5</v>
      </c>
      <c r="I98">
        <f t="shared" si="130"/>
        <v>7</v>
      </c>
      <c r="J98">
        <f t="shared" si="130"/>
        <v>10</v>
      </c>
      <c r="K98">
        <f t="shared" si="130"/>
        <v>5</v>
      </c>
      <c r="L98">
        <f t="shared" si="130"/>
        <v>7</v>
      </c>
      <c r="M98">
        <f t="shared" si="130"/>
        <v>10</v>
      </c>
      <c r="N98">
        <f t="shared" si="130"/>
        <v>5</v>
      </c>
      <c r="O98">
        <f t="shared" si="130"/>
        <v>7</v>
      </c>
      <c r="P98">
        <f t="shared" si="130"/>
        <v>10</v>
      </c>
      <c r="R98">
        <f t="shared" si="130"/>
        <v>10</v>
      </c>
      <c r="S98">
        <f t="shared" si="130"/>
        <v>12</v>
      </c>
      <c r="T98">
        <f t="shared" si="130"/>
        <v>15</v>
      </c>
      <c r="U98">
        <f t="shared" si="130"/>
        <v>10</v>
      </c>
      <c r="V98">
        <f t="shared" si="130"/>
        <v>10</v>
      </c>
      <c r="W98">
        <f t="shared" si="130"/>
        <v>5</v>
      </c>
      <c r="X98">
        <f t="shared" si="130"/>
        <v>5</v>
      </c>
      <c r="Y98">
        <f t="shared" si="130"/>
        <v>10</v>
      </c>
      <c r="AA98">
        <f t="shared" si="130"/>
        <v>3</v>
      </c>
      <c r="AB98">
        <f t="shared" si="130"/>
        <v>5</v>
      </c>
      <c r="AC98">
        <f t="shared" si="130"/>
        <v>7</v>
      </c>
      <c r="AD98">
        <f t="shared" si="130"/>
        <v>3</v>
      </c>
      <c r="AE98">
        <f t="shared" si="130"/>
        <v>5</v>
      </c>
      <c r="AF98">
        <f t="shared" si="130"/>
        <v>7</v>
      </c>
      <c r="AG98">
        <f t="shared" si="130"/>
        <v>3</v>
      </c>
      <c r="AH98">
        <f t="shared" si="130"/>
        <v>5</v>
      </c>
      <c r="AU98" t="s">
        <v>922</v>
      </c>
      <c r="AV98">
        <v>7</v>
      </c>
    </row>
    <row r="99" ht="15" customHeight="1">
      <c r="D99" t="s">
        <v>998</v>
      </c>
      <c r="R99" t="str">
        <f t="shared" si="131" ref="R99:Y99">IF(R$98&lt;7,"1-83mo",IF(R$98&lt;10,"84-119mo",IF(R$98&lt;12,"120-143mo","144+mo")))</f>
        <v>120-143mo</v>
      </c>
      <c r="S99" t="str">
        <f t="shared" si="131"/>
        <v>144+mo</v>
      </c>
      <c r="T99" t="str">
        <f t="shared" si="131"/>
        <v>144+mo</v>
      </c>
      <c r="U99" t="str">
        <f t="shared" si="131"/>
        <v>120-143mo</v>
      </c>
      <c r="V99" t="str">
        <f t="shared" si="131"/>
        <v>120-143mo</v>
      </c>
      <c r="W99" t="str">
        <f t="shared" si="131"/>
        <v>1-83mo</v>
      </c>
      <c r="X99" t="str">
        <f t="shared" si="131"/>
        <v>1-83mo</v>
      </c>
      <c r="Y99" t="str">
        <f t="shared" si="131"/>
        <v>120-143mo</v>
      </c>
      <c r="AU99" t="s">
        <v>926</v>
      </c>
      <c r="AV99">
        <v>7</v>
      </c>
    </row>
    <row r="100" ht="17.25" customHeight="1">
      <c r="D100" t="s">
        <v>1002</v>
      </c>
      <c r="R100" t="b">
        <f t="shared" si="132" ref="R100:Y100">AND(R$39=2,$B$50="No",$B$51="Yes",IsFannieStrongOrSelectEligibleMkt)</f>
        <v>0</v>
      </c>
      <c r="S100" t="b">
        <f t="shared" si="132"/>
        <v>0</v>
      </c>
      <c r="T100" t="b">
        <f t="shared" si="132"/>
        <v>0</v>
      </c>
      <c r="U100" t="b">
        <f t="shared" si="132"/>
        <v>0</v>
      </c>
      <c r="V100" t="b">
        <f t="shared" si="132"/>
        <v>0</v>
      </c>
      <c r="W100" t="b">
        <f t="shared" si="132"/>
        <v>0</v>
      </c>
      <c r="X100" t="b">
        <f t="shared" si="132"/>
        <v>0</v>
      </c>
      <c r="Y100" t="b">
        <f t="shared" si="132"/>
        <v>0</v>
      </c>
      <c r="AJ100" t="s">
        <v>991</v>
      </c>
      <c r="AM100" t="s">
        <v>992</v>
      </c>
      <c r="AU100" t="s">
        <v>931</v>
      </c>
      <c r="AV100">
        <v>7</v>
      </c>
    </row>
    <row r="101" ht="15" customHeight="1">
      <c r="D101" t="s">
        <v>1003</v>
      </c>
      <c r="R101" t="str">
        <f t="shared" si="133" ref="R101:Y101">IF(R100,"Tier 21","Tier "&amp;R39)&amp;IF(R39&lt;&gt;2,"",", "&amp;R99)</f>
        <v>Tier 2, 120-143mo</v>
      </c>
      <c r="S101" t="str">
        <f t="shared" si="133"/>
        <v>Tier 2, 144+mo</v>
      </c>
      <c r="T101" t="str">
        <f t="shared" si="133"/>
        <v>Tier 2, 144+mo</v>
      </c>
      <c r="U101" t="str">
        <f t="shared" si="133"/>
        <v>Tier 3</v>
      </c>
      <c r="V101" t="str">
        <f t="shared" si="133"/>
        <v>Tier 4</v>
      </c>
      <c r="W101" t="str">
        <f t="shared" si="133"/>
        <v>Tier 3</v>
      </c>
      <c r="X101" t="str">
        <f t="shared" si="133"/>
        <v>Tier 4</v>
      </c>
      <c r="Y101" t="str">
        <f t="shared" si="133"/>
        <v>Tier 2, 120-143mo</v>
      </c>
    </row>
    <row r="102" ht="15" customHeight="1">
      <c r="D102" t="s">
        <v>1005</v>
      </c>
      <c r="E102" t="b">
        <v>1</v>
      </c>
      <c r="F102" t="b">
        <v>1</v>
      </c>
      <c r="G102" t="b">
        <v>1</v>
      </c>
      <c r="H102" t="b">
        <v>1</v>
      </c>
      <c r="I102" t="b">
        <v>1</v>
      </c>
      <c r="J102" t="b">
        <v>1</v>
      </c>
      <c r="K102" t="b">
        <v>1</v>
      </c>
      <c r="L102" t="b">
        <v>1</v>
      </c>
      <c r="M102" t="b">
        <v>1</v>
      </c>
      <c r="N102" t="b">
        <v>1</v>
      </c>
      <c r="O102" t="b">
        <v>1</v>
      </c>
      <c r="P102" t="b">
        <v>1</v>
      </c>
      <c r="R102" t="b">
        <v>1</v>
      </c>
      <c r="S102" t="b">
        <v>1</v>
      </c>
      <c r="T102" t="b">
        <v>1</v>
      </c>
      <c r="U102" t="b">
        <v>1</v>
      </c>
      <c r="V102" t="b">
        <v>1</v>
      </c>
      <c r="W102" t="b">
        <v>1</v>
      </c>
      <c r="X102" t="b">
        <v>1</v>
      </c>
      <c r="Y102" t="b">
        <v>1</v>
      </c>
      <c r="AA102" t="b">
        <v>1</v>
      </c>
      <c r="AB102" t="b">
        <v>1</v>
      </c>
      <c r="AC102" t="b">
        <v>1</v>
      </c>
      <c r="AD102" t="b">
        <v>1</v>
      </c>
      <c r="AE102" t="b">
        <v>1</v>
      </c>
      <c r="AF102" t="b">
        <v>1</v>
      </c>
      <c r="AG102" t="b">
        <v>1</v>
      </c>
      <c r="AH102" t="b">
        <v>1</v>
      </c>
    </row>
    <row r="103" ht="15" customHeight="1">
      <c r="D103" t="s">
        <v>1006</v>
      </c>
      <c r="R103">
        <f t="shared" si="134" ref="R103:Y103">R39-1</f>
        <v>1</v>
      </c>
      <c r="S103">
        <f t="shared" si="134"/>
        <v>1</v>
      </c>
      <c r="T103">
        <f t="shared" si="134"/>
        <v>1</v>
      </c>
      <c r="U103">
        <f t="shared" si="134"/>
        <v>2</v>
      </c>
      <c r="V103">
        <f t="shared" si="134"/>
        <v>3</v>
      </c>
      <c r="W103">
        <f t="shared" si="134"/>
        <v>2</v>
      </c>
      <c r="X103">
        <f t="shared" si="134"/>
        <v>3</v>
      </c>
      <c r="Y103">
        <f t="shared" si="134"/>
        <v>1</v>
      </c>
    </row>
    <row r="104" ht="15" customHeight="1">
      <c r="D104" t="s">
        <v>1007</v>
      </c>
      <c r="E104">
        <f t="shared" si="135" ref="E104:P104">_xlfn.LET(_xlpm.term_yrs,E$98,_xlpm.is_top_mkt_tier,SblQuotes_FreddieMktTier="Top",IF(AND(_xlpm.is_top_mkt_tier,_xlpm.term_yrs=5),0.25%,0.47%))</f>
        <v>0.004699999999999999</v>
      </c>
      <c r="F104">
        <f t="shared" si="135"/>
        <v>0.004699999999999999</v>
      </c>
      <c r="G104">
        <f t="shared" si="135"/>
        <v>0.004699999999999999</v>
      </c>
      <c r="H104">
        <f t="shared" si="135"/>
        <v>0.004699999999999999</v>
      </c>
      <c r="I104">
        <f t="shared" si="135"/>
        <v>0.004699999999999999</v>
      </c>
      <c r="J104">
        <f t="shared" si="135"/>
        <v>0.004699999999999999</v>
      </c>
      <c r="K104">
        <f t="shared" si="135"/>
        <v>0.004699999999999999</v>
      </c>
      <c r="L104">
        <f t="shared" si="135"/>
        <v>0.004699999999999999</v>
      </c>
      <c r="M104">
        <f t="shared" si="135"/>
        <v>0.004699999999999999</v>
      </c>
      <c r="N104">
        <f t="shared" si="135"/>
        <v>0.004699999999999999</v>
      </c>
      <c r="O104">
        <f t="shared" si="135"/>
        <v>0.004699999999999999</v>
      </c>
      <c r="P104">
        <f t="shared" si="135"/>
        <v>0.004699999999999999</v>
      </c>
      <c r="R104">
        <f t="shared" si="136" ref="R104:Y104">_xlfn.LET(_xlpm.fnm_credit_fees,R$52,_xlpm.affordability_adjustment,R$57,_xlpm.small_loan_le_2million_adjustment,R$63,_xlpm.g_and_s_adjustment,R$65,(_xlpm.fnm_credit_fees+_xlpm.affordability_adjustment+_xlpm.small_loan_le_2million_adjustment+_xlpm.g_and_s_adjustment)*40%)</f>
        <v>0.007679999999999999</v>
      </c>
      <c r="S104">
        <f t="shared" si="136"/>
        <v>0.007679999999999999</v>
      </c>
      <c r="T104">
        <f t="shared" si="136"/>
        <v>0.007679999999999999</v>
      </c>
      <c r="U104">
        <f t="shared" si="136"/>
        <v>0.006880000000000001</v>
      </c>
      <c r="V104">
        <f t="shared" si="136"/>
        <v>0.00608</v>
      </c>
      <c r="W104">
        <f t="shared" si="136"/>
        <v>0.0072</v>
      </c>
      <c r="X104">
        <f t="shared" si="136"/>
        <v>0.0064</v>
      </c>
      <c r="Y104">
        <f t="shared" si="136"/>
        <v>0.007679999999999999</v>
      </c>
      <c r="AA104">
        <f t="shared" si="137" ref="AA104:AH104">_xlfn.LET(_xlpm.LoanAmt,AA30,_xlpm.LoanAsMM,_xlpm.LoanAmt/1000000,IF(_xlpm.LoanAsMM&lt;2.5,0.35%,0)+IF(AND(_xlpm.LoanAsMM&gt;=2.5,_xlpm.LoanAsMM&lt;5),0.3%,0)+IF(AND(_xlpm.LoanAsMM&gt;=5,_xlpm.LoanAsMM&lt;7.5),0.25%,0)+IF(_xlpm.LoanAsMM&gt;=7.5,0.2%,0))</f>
        <v>0.0034999999999999996</v>
      </c>
      <c r="AB104">
        <f t="shared" si="137"/>
        <v>0.0034999999999999996</v>
      </c>
      <c r="AC104">
        <f t="shared" si="137"/>
        <v>0.0034999999999999996</v>
      </c>
      <c r="AD104">
        <f t="shared" si="137"/>
        <v>0.0034999999999999996</v>
      </c>
      <c r="AE104">
        <f t="shared" si="137"/>
        <v>0.0034999999999999996</v>
      </c>
      <c r="AF104">
        <f t="shared" si="137"/>
        <v>0.0034999999999999996</v>
      </c>
      <c r="AG104">
        <f t="shared" si="137"/>
        <v>0.0034999999999999996</v>
      </c>
      <c r="AH104">
        <f t="shared" si="137"/>
        <v>0.0034999999999999996</v>
      </c>
      <c r="AJ104" t="s">
        <v>991</v>
      </c>
      <c r="AM104" t="s">
        <v>992</v>
      </c>
    </row>
    <row r="105" ht="12.75" customHeight="1">
      <c r="D105" t="s">
        <v>1008</v>
      </c>
      <c r="AA105">
        <v>0</v>
      </c>
      <c r="AB105">
        <v>0</v>
      </c>
      <c r="AC105">
        <v>0</v>
      </c>
      <c r="AD105">
        <v>0</v>
      </c>
      <c r="AE105">
        <v>0</v>
      </c>
      <c r="AF105">
        <v>0</v>
      </c>
      <c r="AG105">
        <v>0</v>
      </c>
      <c r="AH105">
        <v>0</v>
      </c>
    </row>
    <row r="106" ht="15" customHeight="1"/>
    <row r="107" ht="14.25" customHeight="1"/>
    <row r="108" ht="14.25" customHeight="1"/>
    <row r="109" ht="12.75" customHeight="1">
      <c r="AJ109" t="s">
        <v>1009</v>
      </c>
    </row>
    <row r="110" ht="12.75" customHeight="1">
      <c r="AJ110" t="s">
        <v>1010</v>
      </c>
    </row>
    <row r="111" ht="15" customHeight="1"/>
    <row r="112" ht="14.25" customHeight="1"/>
    <row r="113" ht="14.25" customHeight="1"/>
    <row r="114" ht="12.75" customHeight="1">
      <c r="AJ114" t="str">
        <f>IF(OR(AK9=1,AK9=2,AK9=3),"Tertiary or poor performing market - N/A","Tertiary or poor performing market: Please provide a current description of the Subject's apartment housing market including current and future projections for employment, rent growth, vacancy, construction, and absorbtion.")</f>
        <v>Tertiary or poor performing market: Please provide a current description of the Subject's apartment housing market including current and future projections for employment, rent growth, vacancy, construction, and absorbtion.</v>
      </c>
    </row>
    <row r="115" ht="12.75" customHeight="1"/>
    <row r="116" ht="14.25" customHeight="1"/>
    <row r="117" ht="14.25" customHeight="1"/>
    <row r="118" ht="12.75" customHeight="1">
      <c r="AJ118" t="str">
        <f>IF(AN20="New Construction w/ Lease Up over T12","New Competition: Please describe the construction / delivery pipeline for new multifamily assets in the submarket.  Describe recent lease-ups of recently delivered similar assets.","New Competition - N/A")</f>
        <v>New Competition - N/A</v>
      </c>
    </row>
    <row r="119" ht="12.75" customHeight="1"/>
    <row r="120" ht="14.25" customHeight="1"/>
    <row r="121" ht="14.25" customHeight="1"/>
    <row r="122" ht="14.25" customHeight="1">
      <c r="AJ122" t="s">
        <v>1013</v>
      </c>
    </row>
    <row r="123" ht="14.25" customHeight="1">
      <c r="AJ123" t="s">
        <v>1014</v>
      </c>
    </row>
    <row r="124" ht="14.25" customHeight="1"/>
    <row r="125" ht="14.25" customHeight="1"/>
    <row r="126" ht="14.25" customHeight="1"/>
    <row r="127" ht="15" customHeight="1"/>
    <row r="128" ht="12.75" customHeight="1">
      <c r="AJ128" t="s">
        <v>1015</v>
      </c>
      <c r="AK128" t="s">
        <v>209</v>
      </c>
      <c r="AM128" t="s">
        <v>1016</v>
      </c>
      <c r="AN128">
        <v>1000000</v>
      </c>
    </row>
    <row r="129" ht="14.25" customHeight="1">
      <c r="AJ129" t="s">
        <v>1017</v>
      </c>
      <c r="AK129" t="s">
        <v>209</v>
      </c>
      <c r="AM129" t="s">
        <v>1018</v>
      </c>
      <c r="AN129">
        <v>0</v>
      </c>
    </row>
    <row r="130" ht="14.25" customHeight="1">
      <c r="AJ130" t="s">
        <v>1019</v>
      </c>
      <c r="AK130" t="s">
        <v>209</v>
      </c>
      <c r="AM130" t="s">
        <v>1020</v>
      </c>
      <c r="AN130">
        <v>1000000</v>
      </c>
    </row>
    <row r="131" ht="14.25" customHeight="1">
      <c r="AJ131" t="s">
        <v>850</v>
      </c>
      <c r="AK131">
        <v>1</v>
      </c>
      <c r="AM131" t="s">
        <v>1021</v>
      </c>
      <c r="AN131">
        <v>1</v>
      </c>
    </row>
    <row r="132" ht="14.25" customHeight="1">
      <c r="AJ132" t="s">
        <v>1022</v>
      </c>
      <c r="AK132">
        <v>1</v>
      </c>
      <c r="AM132" t="s">
        <v>1023</v>
      </c>
      <c r="AN132" t="s">
        <v>209</v>
      </c>
    </row>
    <row r="133" ht="14.25" customHeight="1">
      <c r="AJ133" t="s">
        <v>1024</v>
      </c>
      <c r="AK133">
        <v>1</v>
      </c>
      <c r="AM133" t="s">
        <v>1025</v>
      </c>
      <c r="AN133" t="s">
        <v>209</v>
      </c>
    </row>
    <row r="134" ht="12.75" customHeight="1">
      <c r="AJ134" t="s">
        <v>1026</v>
      </c>
      <c r="AK134">
        <v>1</v>
      </c>
      <c r="AM134" t="s">
        <v>1027</v>
      </c>
      <c r="AN134" t="s">
        <v>209</v>
      </c>
    </row>
    <row r="135" ht="14.25" customHeight="1">
      <c r="AJ135" t="str">
        <f>IF(AK134&gt;0,"Does at least one Foreign Guarantor Reside in US?","N/A")</f>
        <v>Does at least one Foreign Guarantor Reside in US?</v>
      </c>
      <c r="AK135" t="s">
        <v>209</v>
      </c>
      <c r="AM135" t="s">
        <v>1029</v>
      </c>
      <c r="AN135" t="s">
        <v>209</v>
      </c>
    </row>
    <row r="136" ht="14.25" customHeight="1">
      <c r="AJ136" t="str">
        <f>IF(AK134&gt;0,"Does Foreign Guarantor have US MF Experience?","N/A")</f>
        <v>Does Foreign Guarantor have US MF Experience?</v>
      </c>
      <c r="AK136" t="s">
        <v>209</v>
      </c>
      <c r="AM136" t="s">
        <v>1031</v>
      </c>
      <c r="AN136" t="s">
        <v>209</v>
      </c>
    </row>
    <row r="137" ht="14.25" customHeight="1">
      <c r="AJ137" t="s">
        <v>1032</v>
      </c>
      <c r="AK137">
        <v>0</v>
      </c>
    </row>
    <row r="138" ht="14.25" customHeight="1"/>
    <row r="139" ht="14.25" customHeight="1">
      <c r="AJ139" t="s">
        <v>1033</v>
      </c>
    </row>
    <row r="140" ht="14.25" customHeight="1"/>
    <row r="141" ht="12.75" customHeight="1"/>
    <row r="142" ht="14.25" customHeight="1"/>
    <row r="143" ht="12.75" customHeight="1"/>
    <row r="144" ht="12.75" customHeight="1"/>
    <row r="145" ht="12.75" customHeight="1">
      <c r="AJ145" t="s">
        <v>1034</v>
      </c>
    </row>
    <row r="146" ht="14.25" customHeight="1">
      <c r="AJ146" t="s">
        <v>1035</v>
      </c>
    </row>
    <row r="147" ht="14.25" customHeight="1"/>
    <row r="148" ht="14.25" customHeight="1"/>
    <row r="149" ht="14.25" customHeight="1"/>
    <row r="150" ht="12.75" customHeight="1">
      <c r="AJ150" t="s">
        <v>1036</v>
      </c>
    </row>
    <row r="151" ht="12.75" customHeight="1"/>
    <row r="152" ht="14.25" customHeight="1"/>
    <row r="153" ht="14.25" customHeight="1">
      <c r="AJ153" t="s">
        <v>1037</v>
      </c>
    </row>
    <row r="154" ht="14.25" customHeight="1"/>
    <row r="155" ht="14.25" customHeight="1"/>
    <row r="156" ht="14.25" customHeight="1">
      <c r="AJ156" t="s">
        <v>1038</v>
      </c>
    </row>
    <row r="157" ht="14.25" customHeight="1"/>
    <row r="158" ht="14.25" customHeight="1"/>
    <row r="159" ht="14.25" customHeight="1">
      <c r="AJ159" t="s">
        <v>1039</v>
      </c>
    </row>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row r="1141" ht="14.25" customHeight="1"/>
    <row r="1142" ht="14.25" customHeight="1"/>
    <row r="1143" ht="14.25" customHeight="1"/>
    <row r="1144" ht="14.25" customHeight="1"/>
    <row r="1145" ht="14.25" customHeight="1"/>
    <row r="1146" ht="14.25" customHeight="1"/>
    <row r="1147" ht="14.25" customHeight="1"/>
    <row r="1148" ht="14.25" customHeight="1"/>
    <row r="1149" ht="14.25" customHeight="1"/>
    <row r="1150" ht="14.25" customHeight="1"/>
    <row r="1151" ht="14.25" customHeight="1"/>
    <row r="1152" ht="14.25" customHeight="1"/>
    <row r="1153" ht="14.25" customHeight="1"/>
    <row r="1154" ht="14.25" customHeight="1"/>
    <row r="1155" ht="14.25" customHeight="1"/>
    <row r="1156" ht="14.25" customHeight="1"/>
    <row r="1157" ht="14.25" customHeight="1"/>
    <row r="1158" ht="14.25" customHeight="1"/>
    <row r="1159" ht="14.25" customHeight="1"/>
    <row r="1160" ht="14.25" customHeight="1"/>
    <row r="1161" ht="14.25" customHeight="1"/>
    <row r="1162" ht="14.25" customHeight="1"/>
    <row r="1163" ht="14.25" customHeight="1"/>
    <row r="1164" ht="14.25" customHeight="1"/>
    <row r="1165" ht="14.25" customHeight="1"/>
    <row r="1166" ht="14.25" customHeight="1"/>
    <row r="1167" ht="14.25" customHeight="1"/>
    <row r="1168" ht="14.25" customHeight="1"/>
    <row r="1169" ht="14.25" customHeight="1"/>
    <row r="1170" ht="14.25" customHeight="1"/>
    <row r="1171" ht="14.25" customHeight="1"/>
    <row r="1172" ht="14.25" customHeight="1"/>
    <row r="1173" ht="14.25" customHeight="1"/>
    <row r="1174" ht="14.25" customHeight="1"/>
    <row r="1175" ht="14.25" customHeight="1"/>
    <row r="1176" ht="14.25" customHeight="1"/>
    <row r="1177" ht="14.25" customHeight="1"/>
    <row r="1178" ht="14.25" customHeight="1"/>
    <row r="1179" ht="14.25" customHeight="1"/>
    <row r="1180" ht="14.25" customHeight="1"/>
    <row r="1181" ht="14.25" customHeight="1"/>
    <row r="1182" ht="14.25" customHeight="1"/>
    <row r="1183" ht="14.25" customHeight="1"/>
    <row r="1184" ht="14.25" customHeight="1"/>
    <row r="1185" ht="14.25" customHeight="1"/>
    <row r="1186" ht="14.25" customHeight="1"/>
    <row r="1187" ht="14.25" customHeight="1"/>
    <row r="1188" ht="14.25" customHeight="1"/>
    <row r="1189" ht="14.25" customHeight="1"/>
    <row r="1190" ht="14.25" customHeight="1"/>
    <row r="1191" ht="14.25" customHeight="1"/>
    <row r="1192" ht="14.25" customHeight="1"/>
    <row r="1193" ht="14.25" customHeight="1"/>
    <row r="1194" ht="14.25" customHeight="1"/>
    <row r="1195" ht="14.25" customHeight="1"/>
    <row r="1196" ht="14.25" customHeight="1"/>
    <row r="1197" ht="14.25" customHeight="1"/>
    <row r="1198" ht="14.25" customHeight="1"/>
    <row r="1199" ht="14.25" customHeight="1"/>
    <row r="1200" ht="14.25" customHeight="1"/>
    <row r="1201" ht="14.25" customHeight="1"/>
    <row r="1202" ht="14.25" customHeight="1"/>
    <row r="1203" ht="14.25" customHeight="1"/>
    <row r="1204" ht="14.25" customHeight="1"/>
    <row r="1205" ht="14.25" customHeight="1"/>
    <row r="1206" ht="14.25" customHeight="1"/>
    <row r="1207" ht="14.25" customHeight="1"/>
    <row r="1208" ht="14.25" customHeight="1"/>
    <row r="1209" ht="14.25" customHeight="1"/>
    <row r="1210" ht="14.25" customHeight="1"/>
    <row r="1211" ht="14.25" customHeight="1"/>
    <row r="1212" ht="14.25" customHeight="1"/>
    <row r="1213" ht="14.25" customHeight="1"/>
    <row r="1214" ht="14.25" customHeight="1"/>
    <row r="1215" ht="14.25" customHeight="1"/>
    <row r="1216" ht="14.25" customHeight="1"/>
    <row r="1217" ht="14.25" customHeight="1"/>
    <row r="1218" ht="14.25" customHeight="1"/>
    <row r="1219" ht="14.25" customHeight="1"/>
    <row r="1220" ht="14.25" customHeight="1"/>
    <row r="1221" ht="14.25" customHeight="1"/>
    <row r="1222" ht="14.25" customHeight="1"/>
    <row r="1223" ht="14.25" customHeight="1"/>
    <row r="1224" ht="14.25" customHeight="1"/>
    <row r="1225" ht="14.25" customHeight="1"/>
    <row r="1226" ht="14.25" customHeight="1"/>
    <row r="1227" ht="14.25" customHeight="1"/>
    <row r="1228" ht="14.25" customHeight="1"/>
    <row r="1229" ht="14.25" customHeight="1"/>
    <row r="1230" ht="14.25" customHeight="1"/>
    <row r="1231" ht="14.25" customHeight="1"/>
    <row r="1232" ht="14.25" customHeight="1"/>
    <row r="1233" ht="14.25" customHeight="1"/>
    <row r="1234" ht="14.25" customHeight="1"/>
    <row r="1235" ht="14.25" customHeight="1"/>
    <row r="1236" ht="14.25" customHeight="1"/>
    <row r="1237" ht="14.25" customHeight="1"/>
    <row r="1238" ht="14.25" customHeight="1"/>
    <row r="1239" ht="14.25" customHeight="1"/>
    <row r="1240" ht="14.25" customHeight="1"/>
    <row r="1241" ht="14.25" customHeight="1"/>
    <row r="1242" ht="14.25" customHeight="1"/>
    <row r="1243" ht="14.25" customHeight="1"/>
    <row r="1244" ht="14.25" customHeight="1"/>
    <row r="1245" ht="14.25" customHeight="1"/>
    <row r="1246" ht="14.25" customHeight="1"/>
    <row r="1247" ht="14.25" customHeight="1"/>
    <row r="1248" ht="14.25" customHeight="1"/>
    <row r="1249" ht="14.25" customHeight="1"/>
    <row r="1250" ht="14.25" customHeight="1"/>
    <row r="1251" ht="14.25" customHeight="1"/>
    <row r="1252" ht="14.25" customHeight="1"/>
    <row r="1253" ht="14.25" customHeight="1"/>
    <row r="1254" ht="14.25" customHeight="1"/>
    <row r="1255" ht="14.25" customHeight="1"/>
    <row r="1256" ht="14.25" customHeight="1"/>
    <row r="1257" ht="14.25" customHeight="1"/>
    <row r="1258" ht="14.25" customHeight="1"/>
    <row r="1259" ht="14.25" customHeight="1"/>
    <row r="1260" ht="14.25" customHeight="1"/>
    <row r="1261" ht="14.25" customHeight="1"/>
    <row r="1262" ht="14.25" customHeight="1"/>
    <row r="1263" ht="14.25" customHeight="1"/>
    <row r="1264" ht="14.25" customHeight="1"/>
    <row r="1265" ht="14.25" customHeight="1"/>
    <row r="1266" ht="14.25" customHeight="1"/>
    <row r="1267" ht="14.25" customHeight="1"/>
    <row r="1268" ht="14.25" customHeight="1"/>
    <row r="1269" ht="14.25" customHeight="1"/>
    <row r="1270" ht="14.25" customHeight="1"/>
    <row r="1271" ht="14.25" customHeight="1"/>
    <row r="1272" ht="14.25" customHeight="1"/>
    <row r="1273" ht="14.25" customHeight="1"/>
    <row r="1274" ht="14.25" customHeight="1"/>
    <row r="1275" ht="14.25" customHeight="1"/>
    <row r="1276" ht="14.25" customHeight="1"/>
    <row r="1277" ht="14.25" customHeight="1"/>
    <row r="1278" ht="14.25" customHeight="1"/>
    <row r="1279" ht="14.25" customHeight="1"/>
    <row r="1280" ht="14.25" customHeight="1"/>
    <row r="1281" ht="14.25" customHeight="1"/>
    <row r="1282" ht="14.25" customHeight="1"/>
    <row r="1283" ht="14.25" customHeight="1"/>
    <row r="1284" ht="14.25" customHeight="1"/>
    <row r="1285" ht="14.25" customHeight="1"/>
    <row r="1286" ht="14.25" customHeight="1"/>
    <row r="1287" ht="14.25" customHeight="1"/>
    <row r="1288" ht="14.25" customHeight="1"/>
    <row r="1289" ht="14.25" customHeight="1"/>
    <row r="1290" ht="14.25" customHeight="1"/>
    <row r="1291" ht="14.25" customHeight="1"/>
    <row r="1292" ht="14.25" customHeight="1"/>
    <row r="1293" ht="14.25" customHeight="1"/>
    <row r="1294" ht="14.25" customHeight="1"/>
    <row r="1295" ht="14.25" customHeight="1"/>
    <row r="1296" ht="14.25" customHeight="1"/>
    <row r="1297" ht="14.25" customHeight="1"/>
    <row r="1298" ht="14.25" customHeight="1"/>
    <row r="1299" ht="14.25" customHeight="1"/>
    <row r="1300" ht="14.25" customHeight="1"/>
    <row r="1301" ht="14.25" customHeight="1"/>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row r="1567" ht="14.25" customHeight="1"/>
    <row r="1568" ht="14.25" customHeight="1"/>
    <row r="1569" ht="14.25" customHeight="1"/>
    <row r="1570" ht="14.25" customHeight="1"/>
    <row r="1571" ht="14.25" customHeight="1"/>
    <row r="1572" ht="14.25" customHeight="1"/>
    <row r="1573" ht="14.25" customHeight="1"/>
    <row r="1574" ht="14.25" customHeight="1"/>
    <row r="1575" ht="14.25" customHeight="1"/>
    <row r="1576" ht="14.25" customHeight="1"/>
    <row r="1577" ht="14.25" customHeight="1"/>
    <row r="1578" ht="14.25" customHeight="1"/>
    <row r="1579" ht="14.25" customHeight="1"/>
    <row r="1580" ht="14.25" customHeight="1"/>
    <row r="1581" ht="14.25" customHeight="1"/>
    <row r="1582" ht="14.25" customHeight="1"/>
    <row r="1583" ht="14.25" customHeight="1"/>
    <row r="1584" ht="14.25" customHeight="1"/>
    <row r="1585" ht="14.25" customHeight="1"/>
    <row r="1586" ht="14.25" customHeight="1"/>
    <row r="1587" ht="14.25" customHeight="1"/>
    <row r="1588" ht="14.25" customHeight="1"/>
    <row r="1589" ht="14.25" customHeight="1"/>
    <row r="1590" ht="14.25" customHeight="1"/>
    <row r="1591" ht="14.25" customHeight="1"/>
    <row r="1592" ht="14.25" customHeight="1"/>
    <row r="1593" ht="14.25" customHeight="1"/>
    <row r="1594" ht="14.25" customHeight="1"/>
    <row r="1595" ht="14.25" customHeight="1"/>
    <row r="1596" ht="14.25" customHeight="1"/>
    <row r="1597" ht="14.25" customHeight="1"/>
    <row r="1598" ht="14.25" customHeight="1"/>
    <row r="1599" ht="14.25" customHeight="1"/>
    <row r="1600" ht="14.25" customHeight="1"/>
    <row r="1601" ht="14.25" customHeight="1"/>
    <row r="1602" ht="14.25" customHeight="1"/>
    <row r="1603" ht="14.25" customHeight="1"/>
    <row r="1604" ht="14.25" customHeight="1"/>
    <row r="1605" ht="14.25" customHeight="1"/>
    <row r="1606" ht="14.25" customHeight="1"/>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row r="1656" ht="14.25" customHeight="1"/>
    <row r="1657" ht="14.25" customHeight="1"/>
    <row r="1658" ht="14.25" customHeight="1"/>
    <row r="1659" ht="14.25" customHeight="1"/>
    <row r="1660" ht="14.25" customHeight="1"/>
    <row r="1661" ht="14.25" customHeight="1"/>
    <row r="1662" ht="14.25" customHeight="1"/>
    <row r="1663" ht="14.25" customHeight="1"/>
    <row r="1664" ht="14.25" customHeight="1"/>
    <row r="1665" ht="14.25" customHeight="1"/>
    <row r="1666" ht="14.25" customHeight="1"/>
    <row r="1667" ht="14.25" customHeight="1"/>
    <row r="1668" ht="14.25" customHeight="1"/>
    <row r="1669" ht="14.25" customHeight="1"/>
    <row r="1670" ht="14.25" customHeight="1"/>
    <row r="1671" ht="14.25" customHeight="1"/>
    <row r="1672" ht="14.25" customHeight="1"/>
    <row r="1673" ht="14.25" customHeight="1"/>
    <row r="1674" ht="14.25" customHeight="1"/>
    <row r="1675" ht="14.25" customHeight="1"/>
    <row r="1676" ht="14.25" customHeight="1"/>
    <row r="1677" ht="14.25" customHeight="1"/>
    <row r="1678" ht="14.25" customHeight="1"/>
    <row r="1679" ht="14.25" customHeight="1"/>
    <row r="1680" ht="14.25" customHeight="1"/>
    <row r="1681" ht="14.25" customHeight="1"/>
    <row r="1682" ht="14.25" customHeight="1"/>
    <row r="1683" ht="14.25" customHeight="1"/>
    <row r="1684" ht="14.25" customHeight="1"/>
    <row r="1685" ht="14.25" customHeight="1"/>
    <row r="1686" ht="14.25" customHeight="1"/>
    <row r="1687" ht="14.25" customHeight="1"/>
    <row r="1688" ht="14.25" customHeight="1"/>
    <row r="1689" ht="14.25" customHeight="1"/>
    <row r="1690" ht="14.25" customHeight="1"/>
    <row r="1691" ht="14.25" customHeight="1"/>
    <row r="1692" ht="14.25" customHeight="1"/>
    <row r="1693" ht="14.25" customHeight="1"/>
    <row r="1694" ht="14.25" customHeight="1"/>
    <row r="1695" ht="14.25" customHeight="1"/>
    <row r="1696" ht="14.25" customHeight="1"/>
    <row r="1697" ht="14.25" customHeight="1"/>
    <row r="1698" ht="14.25" customHeight="1"/>
    <row r="1699" ht="14.25" customHeight="1"/>
    <row r="1700" ht="14.25" customHeight="1"/>
    <row r="1701" ht="14.25" customHeight="1"/>
    <row r="1702" ht="14.25" customHeight="1"/>
    <row r="1703" ht="14.25" customHeight="1"/>
    <row r="1704" ht="14.25" customHeight="1"/>
    <row r="1705" ht="14.25" customHeight="1"/>
    <row r="1706" ht="14.25" customHeight="1"/>
    <row r="1707" ht="14.25" customHeight="1"/>
    <row r="1708" ht="14.25" customHeight="1"/>
    <row r="1709" ht="14.25" customHeight="1"/>
    <row r="1710" ht="14.25" customHeight="1"/>
    <row r="1711" ht="14.25" customHeight="1"/>
    <row r="1712" ht="14.25" customHeight="1"/>
    <row r="1713" ht="14.25" customHeight="1"/>
    <row r="1714" ht="14.25" customHeight="1"/>
    <row r="1715" ht="14.25" customHeight="1"/>
    <row r="1716" ht="14.25" customHeight="1"/>
    <row r="1717" ht="14.25" customHeight="1"/>
    <row r="1718" ht="14.25" customHeight="1"/>
    <row r="1719" ht="14.25" customHeight="1"/>
    <row r="1720" ht="14.25" customHeight="1"/>
    <row r="1721" ht="14.25" customHeight="1"/>
    <row r="1722" ht="14.25" customHeight="1"/>
    <row r="1723" ht="14.25" customHeight="1"/>
    <row r="1724" ht="14.25" customHeight="1"/>
    <row r="1725" ht="14.25" customHeight="1"/>
    <row r="1726" ht="14.25" customHeight="1"/>
    <row r="1727" ht="14.25" customHeight="1"/>
    <row r="1728" ht="14.25" customHeight="1"/>
    <row r="1729" ht="14.25" customHeight="1"/>
    <row r="1730" ht="14.25" customHeight="1"/>
    <row r="1731" ht="14.25" customHeight="1"/>
    <row r="1732" ht="14.25" customHeight="1"/>
    <row r="1733" ht="14.25" customHeight="1"/>
    <row r="1734" ht="14.25" customHeight="1"/>
    <row r="1735" ht="14.25" customHeight="1"/>
    <row r="1736" ht="14.25" customHeight="1"/>
    <row r="1737" ht="14.25" customHeight="1"/>
    <row r="1738" ht="14.25" customHeight="1"/>
    <row r="1739" ht="14.25" customHeight="1"/>
    <row r="1740" ht="14.25" customHeight="1"/>
    <row r="1741" ht="14.25" customHeight="1"/>
    <row r="1742" ht="14.25" customHeight="1"/>
    <row r="1743" ht="14.25" customHeight="1"/>
    <row r="1744" ht="14.25" customHeight="1"/>
    <row r="1745" ht="14.25" customHeight="1"/>
    <row r="1746" ht="14.25" customHeight="1"/>
    <row r="1747" ht="14.25" customHeight="1"/>
    <row r="1748" ht="14.25" customHeight="1"/>
    <row r="1749" ht="14.25" customHeight="1"/>
    <row r="1750" ht="14.25" customHeight="1"/>
    <row r="1751" ht="14.25" customHeight="1"/>
    <row r="1752" ht="14.25" customHeight="1"/>
    <row r="1753" ht="14.25" customHeight="1"/>
    <row r="1754" ht="14.25" customHeight="1"/>
    <row r="1755" ht="14.25" customHeight="1"/>
    <row r="1756" ht="14.25" customHeight="1"/>
    <row r="1757" ht="14.25" customHeight="1"/>
    <row r="1758" ht="14.25" customHeight="1"/>
    <row r="1759" ht="14.25" customHeight="1"/>
    <row r="1760" ht="14.25" customHeight="1"/>
    <row r="1761" ht="14.25" customHeight="1"/>
    <row r="1762" ht="14.25" customHeight="1"/>
    <row r="1763" ht="14.25" customHeight="1"/>
    <row r="1764" ht="14.25" customHeight="1"/>
    <row r="1765" ht="14.25" customHeight="1"/>
    <row r="1766" ht="14.25" customHeight="1"/>
    <row r="1767" ht="14.25" customHeight="1"/>
    <row r="1768" ht="14.25" customHeight="1"/>
    <row r="1769" ht="14.25" customHeight="1"/>
    <row r="1770" ht="14.25" customHeight="1"/>
    <row r="1771" ht="14.25" customHeight="1"/>
    <row r="1772" ht="14.25" customHeight="1"/>
    <row r="1773" ht="14.25" customHeight="1"/>
    <row r="1774" ht="14.25" customHeight="1"/>
    <row r="1775" ht="14.25" customHeight="1"/>
    <row r="1776" ht="14.25" customHeight="1"/>
    <row r="1777" ht="14.25" customHeight="1"/>
    <row r="1778" ht="14.25" customHeight="1"/>
    <row r="1779" ht="14.25" customHeight="1"/>
    <row r="1780" ht="14.25" customHeight="1"/>
    <row r="1781" ht="14.25" customHeight="1"/>
    <row r="1782" ht="14.25" customHeight="1"/>
    <row r="1783" ht="14.25" customHeight="1"/>
    <row r="1784" ht="14.25" customHeight="1"/>
    <row r="1785" ht="14.25" customHeight="1"/>
    <row r="1786" ht="14.25" customHeight="1"/>
    <row r="1787" ht="14.25" customHeight="1"/>
    <row r="1788" ht="14.25" customHeight="1"/>
    <row r="1789" ht="14.25" customHeight="1"/>
    <row r="1790" ht="14.25" customHeight="1"/>
    <row r="1791" ht="14.25" customHeight="1"/>
    <row r="1792" ht="14.25" customHeight="1"/>
    <row r="1793" ht="14.25" customHeight="1"/>
    <row r="1794" ht="14.25" customHeight="1"/>
    <row r="1795" ht="14.25" customHeight="1"/>
    <row r="1796" ht="14.25" customHeight="1"/>
    <row r="1797" ht="14.25" customHeight="1"/>
    <row r="1798" ht="14.25" customHeight="1"/>
    <row r="1799" ht="14.25" customHeight="1"/>
    <row r="1800" ht="14.25" customHeight="1"/>
    <row r="1801" ht="14.25" customHeight="1"/>
    <row r="1802" ht="14.25" customHeight="1"/>
    <row r="1803" ht="14.25" customHeight="1"/>
    <row r="1804" ht="14.25" customHeight="1"/>
    <row r="1805" ht="14.25" customHeight="1"/>
    <row r="1806" ht="14.25" customHeight="1"/>
    <row r="1807" ht="14.25" customHeight="1"/>
    <row r="1808" ht="14.25" customHeight="1"/>
    <row r="1809" ht="14.25" customHeight="1"/>
    <row r="1810" ht="14.25" customHeight="1"/>
    <row r="1811" ht="14.25" customHeight="1"/>
    <row r="1812" ht="14.25" customHeight="1"/>
    <row r="1813" ht="14.25" customHeight="1"/>
    <row r="1814" ht="14.25" customHeight="1"/>
    <row r="1815" ht="14.25" customHeight="1"/>
    <row r="1816" ht="14.25" customHeight="1"/>
    <row r="1817" ht="14.25" customHeight="1"/>
    <row r="1818" ht="14.25" customHeight="1"/>
    <row r="1819" ht="14.25" customHeight="1"/>
    <row r="1820" ht="14.25" customHeight="1"/>
    <row r="1821" ht="14.25" customHeight="1"/>
    <row r="1822" ht="14.25" customHeight="1"/>
    <row r="1823" ht="14.25" customHeight="1"/>
    <row r="1824" ht="14.25" customHeight="1"/>
    <row r="1825" ht="14.25" customHeight="1"/>
    <row r="1826" ht="14.25" customHeight="1"/>
    <row r="1827" ht="14.25" customHeight="1"/>
    <row r="1828" ht="14.25" customHeight="1"/>
    <row r="1829" ht="14.25" customHeight="1"/>
    <row r="1830" ht="14.25" customHeight="1"/>
    <row r="1831" ht="14.25" customHeight="1"/>
    <row r="1832" ht="14.25" customHeight="1"/>
    <row r="1833" ht="14.25" customHeight="1"/>
    <row r="1834" ht="14.25" customHeight="1"/>
    <row r="1835" ht="14.25" customHeight="1"/>
    <row r="1836" ht="14.25" customHeight="1"/>
    <row r="1837" ht="14.25" customHeight="1"/>
    <row r="1838" ht="14.25" customHeight="1"/>
    <row r="1839" ht="14.25" customHeight="1"/>
    <row r="1840" ht="14.25" customHeight="1"/>
    <row r="1841" ht="14.25" customHeight="1"/>
    <row r="1842" ht="14.25" customHeight="1"/>
    <row r="1843" ht="14.25" customHeight="1"/>
    <row r="1844" ht="14.25" customHeight="1"/>
    <row r="1845" ht="14.25" customHeight="1"/>
    <row r="1846" ht="14.25" customHeight="1"/>
    <row r="1847" ht="14.25" customHeight="1"/>
    <row r="1848" ht="14.25" customHeight="1"/>
    <row r="1849" ht="14.25" customHeight="1"/>
    <row r="1850" ht="14.25" customHeight="1"/>
    <row r="1851" ht="14.25" customHeight="1"/>
    <row r="1852" ht="14.25" customHeight="1"/>
    <row r="1853" ht="14.25" customHeight="1"/>
    <row r="1854" ht="14.25" customHeight="1"/>
    <row r="1855" ht="14.25" customHeight="1"/>
    <row r="1856" ht="14.25" customHeight="1"/>
    <row r="1857" ht="14.25" customHeight="1"/>
    <row r="1858" ht="14.25" customHeight="1"/>
    <row r="1859" ht="14.25" customHeight="1"/>
    <row r="1860" ht="14.25" customHeight="1"/>
    <row r="1861" ht="14.25" customHeight="1"/>
    <row r="1862" ht="14.25" customHeight="1"/>
    <row r="1863" ht="14.25" customHeight="1"/>
    <row r="1864" ht="14.25" customHeight="1"/>
    <row r="1865" ht="14.25" customHeight="1"/>
    <row r="1866" ht="14.25" customHeight="1"/>
    <row r="1867" ht="14.25" customHeight="1"/>
    <row r="1868" ht="14.25" customHeight="1"/>
    <row r="1869" ht="14.25" customHeight="1"/>
    <row r="1870" ht="14.25" customHeight="1"/>
    <row r="1871" ht="14.25" customHeight="1"/>
    <row r="1872" ht="14.25" customHeight="1"/>
    <row r="1873" ht="14.25" customHeight="1"/>
    <row r="1874" ht="14.25" customHeight="1"/>
    <row r="1875" ht="14.25" customHeight="1"/>
    <row r="1876" ht="14.25" customHeight="1"/>
    <row r="1877" ht="14.25" customHeight="1"/>
    <row r="1878" ht="14.25" customHeight="1"/>
    <row r="1879" ht="14.25" customHeight="1"/>
    <row r="1880" ht="14.25" customHeight="1"/>
    <row r="1881" ht="14.25" customHeight="1"/>
    <row r="1882" ht="14.25" customHeight="1"/>
    <row r="1883" ht="14.25" customHeight="1"/>
    <row r="1884" ht="14.25" customHeight="1"/>
    <row r="1885" ht="14.25" customHeight="1"/>
    <row r="1886" ht="14.25" customHeight="1"/>
    <row r="1887" ht="14.25" customHeight="1"/>
    <row r="1888" ht="14.25" customHeight="1"/>
    <row r="1889" ht="14.25" customHeight="1"/>
    <row r="1890" ht="14.25" customHeight="1"/>
    <row r="1891" ht="14.25" customHeight="1"/>
    <row r="1892" ht="14.25" customHeight="1"/>
    <row r="1893" ht="14.25" customHeight="1"/>
    <row r="1894" ht="14.25" customHeight="1"/>
    <row r="1895" ht="14.25" customHeight="1"/>
    <row r="1896" ht="14.25" customHeight="1"/>
    <row r="1897" ht="14.25" customHeight="1"/>
    <row r="1898" ht="14.25" customHeight="1"/>
    <row r="1899" ht="14.25" customHeight="1"/>
    <row r="1900" ht="14.25" customHeight="1"/>
    <row r="1901" ht="14.25" customHeight="1"/>
    <row r="1902" ht="14.25" customHeight="1"/>
    <row r="1903" ht="14.25" customHeight="1"/>
    <row r="1904" ht="14.25" customHeight="1"/>
    <row r="1905" ht="14.25" customHeight="1"/>
    <row r="1906" ht="14.25" customHeight="1"/>
    <row r="1907" ht="14.25" customHeight="1"/>
    <row r="1908" ht="14.25" customHeight="1"/>
    <row r="1909" ht="14.25" customHeight="1"/>
    <row r="1910" ht="14.25" customHeight="1"/>
    <row r="1911" ht="14.25" customHeight="1"/>
    <row r="1912" ht="14.25" customHeight="1"/>
    <row r="1913" ht="14.25" customHeight="1"/>
    <row r="1914" ht="14.25" customHeight="1"/>
    <row r="1915" ht="14.25" customHeight="1"/>
    <row r="1916" ht="14.25" customHeight="1"/>
    <row r="1917" ht="14.25" customHeight="1"/>
    <row r="1918" ht="14.25" customHeight="1"/>
    <row r="1919" ht="14.25" customHeight="1"/>
    <row r="1920" ht="14.25" customHeight="1"/>
    <row r="1921" ht="14.25" customHeight="1"/>
    <row r="1922" ht="14.25" customHeight="1"/>
    <row r="1923" ht="14.25" customHeight="1"/>
    <row r="1924" ht="14.25" customHeight="1"/>
    <row r="1925" ht="14.25" customHeight="1"/>
    <row r="1926" ht="14.25" customHeight="1"/>
    <row r="1927" ht="14.25" customHeight="1"/>
    <row r="1928" ht="14.25" customHeight="1"/>
    <row r="1929" ht="14.25" customHeight="1"/>
    <row r="1930" ht="14.25" customHeight="1"/>
    <row r="1931" ht="14.25" customHeight="1"/>
    <row r="1932" ht="14.25" customHeight="1"/>
    <row r="1933" ht="14.25" customHeight="1"/>
    <row r="1934" ht="14.25" customHeight="1"/>
    <row r="1935" ht="14.25" customHeight="1"/>
    <row r="1936" ht="14.25" customHeight="1"/>
    <row r="1937" ht="14.25" customHeight="1"/>
    <row r="1938" ht="14.25" customHeight="1"/>
    <row r="1939" ht="14.25" customHeight="1"/>
    <row r="1940" ht="14.25" customHeight="1"/>
    <row r="1941" ht="14.25" customHeight="1"/>
    <row r="1942" ht="14.25" customHeight="1"/>
    <row r="1943" ht="14.25" customHeight="1"/>
    <row r="1944" ht="14.25" customHeight="1"/>
    <row r="1945" ht="14.25" customHeight="1"/>
    <row r="1946" ht="14.25" customHeight="1"/>
    <row r="1947" ht="14.25" customHeight="1"/>
    <row r="1948" ht="14.25" customHeight="1"/>
    <row r="1949" ht="14.25" customHeight="1"/>
    <row r="1950" ht="14.25" customHeight="1"/>
    <row r="1951" ht="14.25" customHeight="1"/>
    <row r="1952" ht="14.25" customHeight="1"/>
    <row r="1953" ht="14.25" customHeight="1"/>
    <row r="1954" ht="14.25" customHeight="1"/>
    <row r="1955" ht="14.25" customHeight="1"/>
    <row r="1956" ht="14.25" customHeight="1"/>
    <row r="1957" ht="14.25" customHeight="1"/>
    <row r="1958" ht="14.25" customHeight="1"/>
    <row r="1959" ht="14.25" customHeight="1"/>
    <row r="1960" ht="14.25" customHeight="1"/>
    <row r="1961" ht="14.25" customHeight="1"/>
    <row r="1962" ht="14.25" customHeight="1"/>
    <row r="1963" ht="14.25" customHeight="1"/>
    <row r="1964" ht="14.25" customHeight="1"/>
    <row r="1965" ht="14.25" customHeight="1"/>
    <row r="1966" ht="14.25" customHeight="1"/>
    <row r="1967" ht="14.25" customHeight="1"/>
    <row r="1968" ht="14.25" customHeight="1"/>
    <row r="1969" ht="14.25" customHeight="1"/>
    <row r="1970" ht="14.25" customHeight="1"/>
    <row r="1971" ht="14.25" customHeight="1"/>
    <row r="1972" ht="14.25" customHeight="1"/>
    <row r="1973" ht="14.25" customHeight="1"/>
    <row r="1974" ht="14.25" customHeight="1"/>
    <row r="1975" ht="14.25" customHeight="1"/>
    <row r="1976" ht="14.25" customHeight="1"/>
    <row r="1977" ht="14.25" customHeight="1"/>
    <row r="1978" ht="14.25" customHeight="1"/>
    <row r="1979" ht="14.25" customHeight="1"/>
    <row r="1980" ht="14.25" customHeight="1"/>
    <row r="1981" ht="14.25" customHeight="1"/>
    <row r="1982" ht="14.25" customHeight="1"/>
    <row r="1983" ht="14.25" customHeight="1"/>
    <row r="1984" ht="14.25" customHeight="1"/>
    <row r="1985" ht="14.25" customHeight="1"/>
    <row r="1986" ht="14.25" customHeight="1"/>
    <row r="1987" ht="14.25" customHeight="1"/>
    <row r="1988" ht="14.25" customHeight="1"/>
    <row r="1989" ht="14.25" customHeight="1"/>
    <row r="1990" ht="14.25" customHeight="1"/>
    <row r="1991" ht="14.25" customHeight="1"/>
    <row r="1992" ht="14.25" customHeight="1"/>
    <row r="1993" ht="14.25" customHeight="1"/>
    <row r="1994" ht="14.25" customHeight="1"/>
    <row r="1995" ht="14.25" customHeight="1"/>
    <row r="1996" ht="14.25" customHeight="1"/>
    <row r="1997" ht="14.25" customHeight="1"/>
    <row r="1998" ht="14.25" customHeight="1"/>
    <row r="1999" ht="14.25" customHeight="1"/>
    <row r="2000" ht="14.25" customHeight="1"/>
    <row r="2001" ht="14.25" customHeight="1"/>
    <row r="2002" ht="14.25" customHeight="1"/>
    <row r="2003" ht="14.25" customHeight="1"/>
    <row r="2004" ht="14.25" customHeight="1"/>
    <row r="2005" ht="14.25" customHeight="1"/>
    <row r="2006" ht="14.25" customHeight="1"/>
    <row r="2007" ht="14.25" customHeight="1"/>
    <row r="2008" ht="14.25" customHeight="1"/>
    <row r="2009" ht="14.25" customHeight="1"/>
    <row r="2010" ht="14.25" customHeight="1"/>
    <row r="2011" ht="14.25" customHeight="1"/>
    <row r="2012" ht="14.25" customHeight="1"/>
    <row r="2013" ht="14.25" customHeight="1"/>
    <row r="2014" ht="14.25" customHeight="1"/>
    <row r="2015" ht="14.25" customHeight="1"/>
    <row r="2016" ht="14.25" customHeight="1"/>
    <row r="2017" ht="14.25" customHeight="1"/>
    <row r="2018" ht="14.25" customHeight="1"/>
    <row r="2019" ht="14.25" customHeight="1"/>
    <row r="2020" ht="14.25" customHeight="1"/>
    <row r="2021" ht="14.25" customHeight="1"/>
    <row r="2022" ht="14.25" customHeight="1"/>
    <row r="2023" ht="14.25" customHeight="1"/>
    <row r="2024" ht="14.25" customHeight="1"/>
    <row r="2025" ht="14.25" customHeight="1"/>
    <row r="2026" ht="14.25" customHeight="1"/>
    <row r="2027" ht="14.25" customHeight="1"/>
    <row r="2028" ht="14.25" customHeight="1"/>
    <row r="2029" ht="14.25" customHeight="1"/>
    <row r="2030" ht="14.25" customHeight="1"/>
    <row r="2031" ht="14.25" customHeight="1"/>
    <row r="2032" ht="14.25" customHeight="1"/>
    <row r="2033" ht="14.25" customHeight="1"/>
    <row r="2034" ht="14.25" customHeight="1"/>
    <row r="2035" ht="14.25" customHeight="1"/>
    <row r="2036" ht="14.25" customHeight="1"/>
    <row r="2037" ht="14.25" customHeight="1"/>
    <row r="2038" ht="14.25" customHeight="1"/>
    <row r="2039" ht="14.25" customHeight="1"/>
    <row r="2040" ht="14.25" customHeight="1"/>
    <row r="2041" ht="14.25" customHeight="1"/>
    <row r="2042" ht="14.25" customHeight="1"/>
    <row r="2043" ht="14.25" customHeight="1"/>
    <row r="2044" ht="14.25" customHeight="1"/>
    <row r="2045" ht="14.25" customHeight="1"/>
    <row r="2046" ht="14.25" customHeight="1"/>
    <row r="2047" ht="14.25" customHeight="1"/>
    <row r="2048" ht="14.25" customHeight="1"/>
    <row r="2049" ht="14.25" customHeight="1"/>
    <row r="2050" ht="14.25" customHeight="1"/>
    <row r="2051" ht="14.25" customHeight="1"/>
    <row r="2052" ht="14.25" customHeight="1"/>
    <row r="2053" ht="14.25" customHeight="1"/>
    <row r="2054" ht="14.25" customHeight="1"/>
    <row r="2055" ht="14.25" customHeight="1"/>
    <row r="2056" ht="14.25" customHeight="1"/>
    <row r="2057" ht="14.25" customHeight="1"/>
    <row r="2058" ht="14.25" customHeight="1"/>
    <row r="2059" ht="14.25" customHeight="1"/>
    <row r="2060" ht="14.25" customHeight="1"/>
    <row r="2061" ht="14.25" customHeight="1"/>
    <row r="2062" ht="14.25" customHeight="1"/>
    <row r="2063" ht="14.25" customHeight="1"/>
    <row r="2064" ht="14.25" customHeight="1"/>
    <row r="2065" ht="14.25" customHeight="1"/>
    <row r="2066" ht="14.25" customHeight="1"/>
    <row r="2067" ht="14.25" customHeight="1"/>
    <row r="2068" ht="14.25" customHeight="1"/>
    <row r="2069" ht="14.25" customHeight="1"/>
    <row r="2070" ht="14.25" customHeight="1"/>
    <row r="2071" ht="14.25" customHeight="1"/>
    <row r="2072" ht="14.25" customHeight="1"/>
    <row r="2073" ht="14.25" customHeight="1"/>
    <row r="2074" ht="14.25" customHeight="1"/>
    <row r="2075" ht="14.25" customHeight="1"/>
    <row r="2076" ht="14.25" customHeight="1"/>
    <row r="2077" ht="14.25" customHeight="1"/>
    <row r="2078" ht="14.25" customHeight="1"/>
    <row r="2079" ht="14.25" customHeight="1"/>
    <row r="2080" ht="14.25" customHeight="1"/>
    <row r="2081" ht="14.25" customHeight="1"/>
    <row r="2082" ht="14.25" customHeight="1"/>
    <row r="2083" ht="14.25" customHeight="1"/>
    <row r="2084" ht="14.25" customHeight="1"/>
    <row r="2085" ht="14.25" customHeight="1"/>
    <row r="2086" ht="14.25" customHeight="1"/>
    <row r="2087" ht="14.25" customHeight="1"/>
    <row r="2088" ht="14.25" customHeight="1"/>
    <row r="2089" ht="14.25" customHeight="1"/>
    <row r="2090" ht="14.25" customHeight="1"/>
    <row r="2091" ht="14.25" customHeight="1"/>
    <row r="2092" ht="14.25" customHeight="1"/>
    <row r="2093" ht="14.25" customHeight="1"/>
    <row r="2094" ht="14.25" customHeight="1"/>
    <row r="2095" ht="14.25" customHeight="1"/>
    <row r="2096" ht="14.25" customHeight="1"/>
    <row r="2097" ht="14.25" customHeight="1"/>
    <row r="2098" ht="14.25" customHeight="1"/>
    <row r="2099" ht="14.25" customHeight="1"/>
    <row r="2100" ht="14.25" customHeight="1"/>
    <row r="2101" ht="14.25" customHeight="1"/>
    <row r="2102" ht="14.25" customHeight="1"/>
    <row r="2103" ht="14.25" customHeight="1"/>
    <row r="2104" ht="14.25" customHeight="1"/>
    <row r="2105" ht="14.25" customHeight="1"/>
    <row r="2106" ht="14.25" customHeight="1"/>
    <row r="2107" ht="14.25" customHeight="1"/>
    <row r="2108" ht="14.25" customHeight="1"/>
    <row r="2109" ht="14.25" customHeight="1"/>
    <row r="2110" ht="14.25" customHeight="1"/>
    <row r="2111" ht="14.25" customHeight="1"/>
    <row r="2112" ht="14.25" customHeight="1"/>
    <row r="2113" ht="14.25" customHeight="1"/>
    <row r="2114" ht="14.25" customHeight="1"/>
    <row r="2115" ht="14.25" customHeight="1"/>
    <row r="2116" ht="14.25" customHeight="1"/>
    <row r="2117" ht="14.25" customHeight="1"/>
    <row r="2118" ht="14.25" customHeight="1"/>
    <row r="2119" ht="14.25" customHeight="1"/>
    <row r="2120" ht="14.25" customHeight="1"/>
    <row r="2121" ht="14.25" customHeight="1"/>
    <row r="2122" ht="14.25" customHeight="1"/>
    <row r="2123" ht="14.25" customHeight="1"/>
    <row r="2124" ht="14.25" customHeight="1"/>
    <row r="2125" ht="14.25" customHeight="1"/>
    <row r="2126" ht="14.25" customHeight="1"/>
    <row r="2127" ht="14.25" customHeight="1"/>
    <row r="2128" ht="14.25" customHeight="1"/>
    <row r="2129" ht="14.25" customHeight="1"/>
    <row r="2130" ht="14.25" customHeight="1"/>
    <row r="2131" ht="14.25" customHeight="1"/>
    <row r="2132" ht="14.25" customHeight="1"/>
    <row r="2133" ht="14.25" customHeight="1"/>
    <row r="2134" ht="14.25" customHeight="1"/>
    <row r="2135" ht="14.25" customHeight="1"/>
    <row r="2136" ht="14.25" customHeight="1"/>
    <row r="2137" ht="14.25" customHeight="1"/>
    <row r="2138" ht="14.25" customHeight="1"/>
    <row r="2139" ht="14.25" customHeight="1"/>
    <row r="2140" ht="14.25" customHeight="1"/>
    <row r="2141" ht="14.25" customHeight="1"/>
    <row r="2142" ht="14.25" customHeight="1"/>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58" ht="14.25" customHeight="1"/>
    <row r="2159" ht="14.25" customHeight="1"/>
    <row r="2160" ht="14.25" customHeight="1"/>
    <row r="2161"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7" ht="14.25" customHeight="1"/>
    <row r="2178"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8" ht="14.25" customHeight="1"/>
    <row r="2189" ht="14.25" customHeight="1"/>
    <row r="2190" ht="14.25" customHeight="1"/>
    <row r="2191" ht="14.25" customHeight="1"/>
    <row r="2192" ht="14.25" customHeight="1"/>
    <row r="2193" ht="14.25" customHeight="1"/>
    <row r="2194" ht="14.25" customHeight="1"/>
    <row r="2195" ht="14.25" customHeight="1"/>
    <row r="2196" ht="14.25" customHeight="1"/>
    <row r="2197" ht="14.25" customHeight="1"/>
    <row r="2198" ht="14.25" customHeight="1"/>
    <row r="2199" ht="14.25" customHeight="1"/>
    <row r="2200" ht="14.25" customHeight="1"/>
    <row r="2201" ht="14.25" customHeight="1"/>
    <row r="2202" ht="14.25" customHeight="1"/>
    <row r="2203" ht="14.25" customHeight="1"/>
    <row r="2204" ht="14.25" customHeight="1"/>
    <row r="2205" ht="14.25" customHeight="1"/>
    <row r="2206" ht="14.25" customHeight="1"/>
    <row r="2207" ht="14.25" customHeight="1"/>
    <row r="2208" ht="14.25" customHeight="1"/>
    <row r="2209" ht="14.25" customHeight="1"/>
    <row r="2210" ht="14.25" customHeight="1"/>
    <row r="2211" ht="14.25" customHeight="1"/>
    <row r="2212" ht="14.25" customHeight="1"/>
    <row r="2213" ht="14.25" customHeight="1"/>
    <row r="2214" ht="14.25" customHeight="1"/>
    <row r="2215" ht="14.25" customHeight="1"/>
    <row r="2216" ht="14.25" customHeight="1"/>
    <row r="2217" ht="14.25" customHeight="1"/>
    <row r="2218" ht="14.25" customHeight="1"/>
    <row r="2219" ht="14.25" customHeight="1"/>
    <row r="2220" ht="14.25" customHeight="1"/>
    <row r="2221" ht="14.25" customHeight="1"/>
    <row r="2222" ht="14.25" customHeight="1"/>
    <row r="2223" ht="14.25" customHeight="1"/>
    <row r="2224" ht="14.25" customHeight="1"/>
    <row r="2225" ht="14.25" customHeight="1"/>
    <row r="2226" ht="14.25" customHeight="1"/>
    <row r="2227" ht="14.25" customHeight="1"/>
    <row r="2228" ht="14.25" customHeight="1"/>
    <row r="2229" ht="14.25" customHeight="1"/>
    <row r="2230" ht="14.25" customHeight="1"/>
    <row r="2231" ht="14.25" customHeight="1"/>
    <row r="2232" ht="14.25" customHeight="1"/>
    <row r="2233" ht="14.25" customHeight="1"/>
    <row r="2234" ht="14.25" customHeight="1"/>
    <row r="2235" ht="14.25" customHeight="1"/>
    <row r="2236" ht="14.25" customHeight="1"/>
    <row r="2237" ht="14.25" customHeight="1"/>
    <row r="2238" ht="14.25" customHeight="1"/>
    <row r="2239" ht="14.25" customHeight="1"/>
    <row r="2240" ht="14.25" customHeight="1"/>
    <row r="2241" ht="14.25" customHeight="1"/>
    <row r="2242" ht="14.25" customHeight="1"/>
    <row r="2243" ht="14.25" customHeight="1"/>
    <row r="2244" ht="14.25" customHeight="1"/>
    <row r="2245" ht="14.25" customHeight="1"/>
    <row r="2246" ht="14.25" customHeight="1"/>
    <row r="2247" ht="14.25" customHeight="1"/>
    <row r="2248" ht="14.25" customHeight="1"/>
    <row r="2249" ht="14.25" customHeight="1"/>
    <row r="2250" ht="14.25" customHeight="1"/>
    <row r="2251" ht="14.25" customHeight="1"/>
    <row r="2252" ht="14.25" customHeight="1"/>
    <row r="2253" ht="14.25" customHeight="1"/>
    <row r="2254" ht="14.25" customHeight="1"/>
    <row r="2255" ht="14.25" customHeight="1"/>
    <row r="2256" ht="14.25" customHeight="1"/>
    <row r="2257" ht="14.25" customHeight="1"/>
    <row r="2258" ht="14.25" customHeight="1"/>
    <row r="2259" ht="14.25" customHeight="1"/>
    <row r="2260" ht="14.25" customHeight="1"/>
    <row r="2261" ht="14.25" customHeight="1"/>
    <row r="2262" ht="14.25" customHeight="1"/>
    <row r="2263" ht="14.25" customHeight="1"/>
    <row r="2264" ht="14.25" customHeight="1"/>
    <row r="2265" ht="14.25" customHeight="1"/>
    <row r="2266" ht="14.25" customHeight="1"/>
    <row r="2267" ht="14.25" customHeight="1"/>
    <row r="2268" ht="14.25" customHeight="1"/>
    <row r="2269" ht="14.25" customHeight="1"/>
    <row r="2270" ht="14.25" customHeight="1"/>
    <row r="2271"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6" ht="14.25" customHeight="1"/>
    <row r="2287"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row r="2302" ht="14.25" customHeight="1"/>
    <row r="2303" ht="14.25" customHeight="1"/>
    <row r="2304" ht="14.25" customHeight="1"/>
    <row r="2305" ht="14.25" customHeight="1"/>
    <row r="2306" ht="14.25" customHeight="1"/>
    <row r="2307" ht="14.25" customHeight="1"/>
    <row r="2308" ht="14.25" customHeight="1"/>
    <row r="2309" ht="14.25" customHeight="1"/>
    <row r="2310" ht="14.25" customHeight="1"/>
    <row r="2311" ht="14.25" customHeight="1"/>
    <row r="2312" ht="14.25" customHeight="1"/>
    <row r="2313" ht="14.25" customHeight="1"/>
    <row r="2314" ht="14.25" customHeight="1"/>
    <row r="2315" ht="14.25" customHeight="1"/>
    <row r="2316" ht="14.25" customHeight="1"/>
    <row r="2317" ht="14.25" customHeight="1"/>
    <row r="2318" ht="14.25" customHeight="1"/>
    <row r="2319" ht="14.25" customHeight="1"/>
    <row r="2320" ht="14.25" customHeight="1"/>
    <row r="2321" ht="14.25" customHeight="1"/>
    <row r="2322" ht="14.25" customHeight="1"/>
    <row r="2323" ht="14.25" customHeight="1"/>
    <row r="2324" ht="14.25" customHeight="1"/>
    <row r="2325" ht="14.25" customHeight="1"/>
    <row r="2326" ht="14.25" customHeight="1"/>
    <row r="2327" ht="14.25" customHeight="1"/>
    <row r="2328" ht="14.25" customHeight="1"/>
    <row r="2329" ht="14.25" customHeight="1"/>
    <row r="2330" ht="14.25" customHeight="1"/>
    <row r="2331" ht="14.25" customHeight="1"/>
    <row r="2332" ht="14.25" customHeight="1"/>
    <row r="2333" ht="14.25" customHeight="1"/>
    <row r="2334" ht="14.25" customHeight="1"/>
    <row r="2335" ht="14.25" customHeight="1"/>
    <row r="2336" ht="14.25" customHeight="1"/>
    <row r="2337" ht="14.25" customHeight="1"/>
    <row r="2338" ht="14.25" customHeight="1"/>
    <row r="2339" ht="14.25" customHeight="1"/>
    <row r="2340" ht="14.25" customHeight="1"/>
    <row r="2341" ht="14.25" customHeight="1"/>
    <row r="2342" ht="14.25" customHeight="1"/>
    <row r="2343" ht="14.25" customHeight="1"/>
    <row r="2344" ht="14.25" customHeight="1"/>
    <row r="2345" ht="14.25" customHeight="1"/>
    <row r="2346" ht="14.25" customHeight="1"/>
    <row r="2347" ht="14.25" customHeight="1"/>
    <row r="2348" ht="14.25" customHeight="1"/>
    <row r="2349" ht="14.25" customHeight="1"/>
    <row r="2350" ht="14.25" customHeight="1"/>
    <row r="2351" ht="14.25" customHeight="1"/>
    <row r="2352" ht="14.25" customHeight="1"/>
    <row r="2353" ht="14.25" customHeight="1"/>
    <row r="2354" ht="14.25" customHeight="1"/>
    <row r="2355" ht="14.25" customHeight="1"/>
    <row r="2356" ht="14.25" customHeight="1"/>
    <row r="2357" ht="14.25" customHeight="1"/>
    <row r="2358" ht="14.25" customHeight="1"/>
    <row r="2359" ht="14.25" customHeight="1"/>
    <row r="2360" ht="14.25" customHeight="1"/>
    <row r="2361" ht="14.25" customHeight="1"/>
    <row r="2362" ht="14.25" customHeight="1"/>
    <row r="2363" ht="14.25" customHeight="1"/>
    <row r="2364" ht="14.25" customHeight="1"/>
    <row r="2365" ht="14.25" customHeight="1"/>
    <row r="2366" ht="14.25" customHeight="1"/>
    <row r="2367" ht="14.25" customHeight="1"/>
    <row r="2368" ht="14.25" customHeight="1"/>
    <row r="2369" ht="14.25" customHeight="1"/>
    <row r="2370" ht="14.25" customHeight="1"/>
    <row r="2371" ht="14.25" customHeight="1"/>
    <row r="2372" ht="14.25" customHeight="1"/>
    <row r="2373" ht="14.25" customHeight="1"/>
    <row r="2374" ht="14.25" customHeight="1"/>
    <row r="2375" ht="14.25" customHeight="1"/>
    <row r="2376" ht="14.25" customHeight="1"/>
    <row r="2377" ht="14.25" customHeight="1"/>
    <row r="2378" ht="14.25" customHeight="1"/>
    <row r="2379" ht="14.25" customHeight="1"/>
    <row r="2380" ht="14.25" customHeight="1"/>
    <row r="2381" ht="14.25" customHeight="1"/>
    <row r="2382" ht="14.25" customHeight="1"/>
    <row r="2383" ht="14.25" customHeight="1"/>
    <row r="2384" ht="14.25" customHeight="1"/>
    <row r="2385" ht="14.25" customHeight="1"/>
    <row r="2386" ht="14.25" customHeight="1"/>
    <row r="2387" ht="14.25" customHeight="1"/>
    <row r="2388" ht="14.25" customHeight="1"/>
    <row r="2389" ht="14.25" customHeight="1"/>
    <row r="2390" ht="14.25" customHeight="1"/>
    <row r="2391" ht="14.25" customHeight="1"/>
    <row r="2392" ht="14.25" customHeight="1"/>
    <row r="2393" ht="14.25" customHeight="1"/>
    <row r="2394" ht="14.25" customHeight="1"/>
    <row r="2395" ht="14.25" customHeight="1"/>
    <row r="2396" ht="14.25" customHeight="1"/>
    <row r="2397" ht="14.25" customHeight="1"/>
    <row r="2398" ht="14.25" customHeight="1"/>
    <row r="2399" ht="14.25" customHeight="1"/>
    <row r="2400" ht="14.25" customHeight="1"/>
    <row r="2401" ht="14.25" customHeight="1"/>
    <row r="2402" ht="14.25" customHeight="1"/>
    <row r="2403" ht="14.25" customHeight="1"/>
    <row r="2404" ht="14.25" customHeight="1"/>
    <row r="2405" ht="14.25" customHeight="1"/>
    <row r="2406" ht="14.25" customHeight="1"/>
    <row r="2407" ht="14.25" customHeight="1"/>
    <row r="2408" ht="14.25" customHeight="1"/>
    <row r="2409" ht="14.25" customHeight="1"/>
    <row r="2410" ht="14.25" customHeight="1"/>
    <row r="2411" ht="14.25" customHeight="1"/>
    <row r="2412" ht="14.25" customHeight="1"/>
    <row r="2413" ht="14.25" customHeight="1"/>
    <row r="2414" ht="14.25" customHeight="1"/>
    <row r="2415" ht="14.25" customHeight="1"/>
    <row r="2416" ht="14.25" customHeight="1"/>
    <row r="2417" ht="14.25" customHeight="1"/>
    <row r="2418" ht="14.25" customHeight="1"/>
    <row r="2419" ht="14.25" customHeight="1"/>
    <row r="2420" ht="14.25" customHeight="1"/>
    <row r="2421" ht="14.25" customHeight="1"/>
    <row r="2422" ht="14.25" customHeight="1"/>
    <row r="2423" ht="14.25" customHeight="1"/>
    <row r="2424" ht="14.25" customHeight="1"/>
    <row r="2425" ht="14.25" customHeight="1"/>
    <row r="2426" ht="14.25" customHeight="1"/>
    <row r="2427" ht="14.25" customHeight="1"/>
    <row r="2428" ht="14.25" customHeight="1"/>
    <row r="2429" ht="14.25" customHeight="1"/>
    <row r="2430" ht="14.25" customHeight="1"/>
    <row r="2431" ht="14.25" customHeight="1"/>
    <row r="2432" ht="14.25" customHeight="1"/>
    <row r="2433" ht="14.25" customHeight="1"/>
    <row r="2434" ht="14.25" customHeight="1"/>
    <row r="2435" ht="14.25" customHeight="1"/>
    <row r="2436" ht="14.25" customHeight="1"/>
    <row r="2437" ht="14.25" customHeight="1"/>
    <row r="2438" ht="14.25" customHeight="1"/>
    <row r="2439" ht="14.25" customHeight="1"/>
    <row r="2440" ht="14.25" customHeight="1"/>
    <row r="2441" ht="14.25" customHeight="1"/>
    <row r="2442" ht="14.25" customHeight="1"/>
    <row r="2443" ht="14.25" customHeight="1"/>
    <row r="2444" ht="14.25" customHeight="1"/>
    <row r="2445" ht="14.25" customHeight="1"/>
    <row r="2446" ht="14.25" customHeight="1"/>
    <row r="2447" ht="14.25" customHeight="1"/>
    <row r="2448" ht="14.25" customHeight="1"/>
    <row r="2449" ht="14.25" customHeight="1"/>
    <row r="2450" ht="14.25" customHeight="1"/>
    <row r="2451" ht="14.25" customHeight="1"/>
    <row r="2452" ht="14.25" customHeight="1"/>
    <row r="2453" ht="14.25" customHeight="1"/>
    <row r="2454" ht="14.25" customHeight="1"/>
    <row r="2455" ht="14.25" customHeight="1"/>
    <row r="2456" ht="14.25" customHeight="1"/>
    <row r="2457" ht="14.25" customHeight="1"/>
    <row r="2458" ht="14.25" customHeight="1"/>
    <row r="2459" ht="14.25" customHeight="1"/>
    <row r="2460" ht="14.25" customHeight="1"/>
    <row r="2461" ht="14.25" customHeight="1"/>
    <row r="2462" ht="14.25" customHeight="1"/>
    <row r="2463" ht="14.25" customHeight="1"/>
    <row r="2464" ht="14.25" customHeight="1"/>
    <row r="2465" ht="14.25" customHeight="1"/>
    <row r="2466" ht="14.25" customHeight="1"/>
    <row r="2467" ht="14.25" customHeight="1"/>
    <row r="2468" ht="14.25" customHeight="1"/>
    <row r="2469" ht="14.25" customHeight="1"/>
    <row r="2470" ht="14.25" customHeight="1"/>
    <row r="2471" ht="14.25" customHeight="1"/>
    <row r="2472" ht="14.25" customHeight="1"/>
    <row r="2473" ht="14.25" customHeight="1"/>
    <row r="2474" ht="14.25" customHeight="1"/>
    <row r="2475" ht="14.25" customHeight="1"/>
    <row r="2476" ht="14.25" customHeight="1"/>
    <row r="2477" ht="14.25" customHeight="1"/>
    <row r="2478" ht="14.25" customHeight="1"/>
    <row r="2479" ht="14.25" customHeight="1"/>
    <row r="2480" ht="14.25" customHeight="1"/>
    <row r="2481" ht="14.25" customHeight="1"/>
    <row r="2482" ht="14.25" customHeight="1"/>
    <row r="2483" ht="14.25" customHeight="1"/>
    <row r="2484" ht="14.25" customHeight="1"/>
    <row r="2485" ht="14.25" customHeight="1"/>
    <row r="2486" ht="14.25" customHeight="1"/>
    <row r="2487" ht="14.25" customHeight="1"/>
    <row r="2488" ht="14.25" customHeight="1"/>
    <row r="2489" ht="14.25" customHeight="1"/>
    <row r="2490" ht="14.25" customHeight="1"/>
    <row r="2491" ht="14.25" customHeight="1"/>
    <row r="2492" ht="14.25" customHeight="1"/>
    <row r="2493" ht="14.25" customHeight="1"/>
    <row r="2494" ht="14.25" customHeight="1"/>
    <row r="2495" ht="14.25" customHeight="1"/>
    <row r="2496" ht="14.25" customHeight="1"/>
    <row r="2497" ht="14.25" customHeight="1"/>
    <row r="2498" ht="14.25" customHeight="1"/>
    <row r="2499" ht="14.25" customHeight="1"/>
    <row r="2500" ht="14.25" customHeight="1"/>
    <row r="2501" ht="14.25" customHeight="1"/>
    <row r="2502" ht="14.25" customHeight="1"/>
    <row r="2503" ht="14.25" customHeight="1"/>
    <row r="2504" ht="14.25" customHeight="1"/>
    <row r="2505" ht="14.25" customHeight="1"/>
    <row r="2506" ht="14.25" customHeight="1"/>
    <row r="2507" ht="14.25" customHeight="1"/>
    <row r="2508" ht="14.25" customHeight="1"/>
    <row r="2509" ht="14.25" customHeight="1"/>
    <row r="2510" ht="14.25" customHeight="1"/>
    <row r="2511" ht="14.25" customHeight="1"/>
    <row r="2512" ht="14.25" customHeight="1"/>
    <row r="2513" ht="14.25" customHeight="1"/>
    <row r="2514" ht="14.25" customHeight="1"/>
    <row r="2515" ht="14.25" customHeight="1"/>
    <row r="2516" ht="14.25" customHeight="1"/>
    <row r="2517" ht="14.25" customHeight="1"/>
    <row r="2518" ht="14.25" customHeight="1"/>
    <row r="2519" ht="14.25" customHeight="1"/>
    <row r="2520" ht="14.25" customHeight="1"/>
    <row r="2521" ht="14.25" customHeight="1"/>
    <row r="2522" ht="14.25" customHeight="1"/>
    <row r="2523" ht="14.25" customHeight="1"/>
    <row r="2524" ht="14.25" customHeight="1"/>
    <row r="2525" ht="14.25" customHeight="1"/>
    <row r="2526" ht="14.25" customHeight="1"/>
    <row r="2527" ht="14.25" customHeight="1"/>
    <row r="2528" ht="14.25" customHeight="1"/>
    <row r="2529" ht="14.25" customHeight="1"/>
    <row r="2530" ht="14.25" customHeight="1"/>
    <row r="2531" ht="14.25" customHeight="1"/>
    <row r="2532" ht="14.25" customHeight="1"/>
    <row r="2533" ht="14.25" customHeight="1"/>
    <row r="2534" ht="14.25" customHeight="1"/>
    <row r="2535" ht="14.25" customHeight="1"/>
    <row r="2536" ht="14.25" customHeight="1"/>
    <row r="2537" ht="14.25" customHeight="1"/>
    <row r="2538" ht="14.25" customHeight="1"/>
    <row r="2539" ht="14.25" customHeight="1"/>
    <row r="2540" ht="14.25" customHeight="1"/>
    <row r="2541" ht="14.25" customHeight="1"/>
    <row r="2542" ht="14.25" customHeight="1"/>
    <row r="2543" ht="14.25" customHeight="1"/>
    <row r="2544" ht="14.25" customHeight="1"/>
    <row r="2545" ht="14.25" customHeight="1"/>
    <row r="2546" ht="14.25" customHeight="1"/>
    <row r="2547" ht="14.25" customHeight="1"/>
    <row r="2548" ht="14.25" customHeight="1"/>
    <row r="2549" ht="14.25" customHeight="1"/>
    <row r="2550" ht="14.25" customHeight="1"/>
    <row r="2551" ht="14.25" customHeight="1"/>
    <row r="2552" ht="14.25" customHeight="1"/>
    <row r="2553" ht="14.25" customHeight="1"/>
    <row r="2554" ht="14.25" customHeight="1"/>
    <row r="2555" ht="14.25" customHeight="1"/>
    <row r="2556" ht="14.25" customHeight="1"/>
    <row r="2557" ht="14.25" customHeight="1"/>
    <row r="2558" ht="14.25" customHeight="1"/>
    <row r="2559" ht="14.25" customHeight="1"/>
    <row r="2560" ht="14.25" customHeight="1"/>
    <row r="2561" ht="14.25" customHeight="1"/>
    <row r="2562" ht="14.25" customHeight="1"/>
    <row r="2563" ht="14.25" customHeight="1"/>
    <row r="2564" ht="14.25" customHeight="1"/>
    <row r="2565" ht="14.25" customHeight="1"/>
    <row r="2566" ht="14.25" customHeight="1"/>
    <row r="2567" ht="14.25" customHeight="1"/>
    <row r="2568" ht="14.25" customHeight="1"/>
    <row r="2569" ht="14.25" customHeight="1"/>
    <row r="2570" ht="14.25" customHeight="1"/>
    <row r="2571" ht="14.25" customHeight="1"/>
    <row r="2572" ht="14.25" customHeight="1"/>
    <row r="2573" ht="14.25" customHeight="1"/>
    <row r="2574" ht="14.25" customHeight="1"/>
    <row r="2575" ht="14.25" customHeight="1"/>
    <row r="2576" ht="14.25" customHeight="1"/>
    <row r="2577" ht="14.25" customHeight="1"/>
    <row r="2578" ht="14.25" customHeight="1"/>
    <row r="2579" ht="14.25" customHeight="1"/>
    <row r="2580" ht="14.25" customHeight="1"/>
    <row r="2581" ht="14.25" customHeight="1"/>
    <row r="2582" ht="14.25" customHeight="1"/>
    <row r="2583" ht="14.25" customHeight="1"/>
    <row r="2584" ht="14.25" customHeight="1"/>
    <row r="2585" ht="14.25" customHeight="1"/>
    <row r="2586" ht="14.25" customHeight="1"/>
    <row r="2587" ht="14.25" customHeight="1"/>
    <row r="2588" ht="14.25" customHeight="1"/>
    <row r="2589" ht="14.25" customHeight="1"/>
    <row r="2590" ht="14.25" customHeight="1"/>
    <row r="2591" ht="14.25" customHeight="1"/>
    <row r="2592" ht="14.25" customHeight="1"/>
    <row r="2593" ht="14.25" customHeight="1"/>
    <row r="2594" ht="14.25" customHeight="1"/>
    <row r="2595" ht="14.25" customHeight="1"/>
    <row r="2596" ht="14.25" customHeight="1"/>
    <row r="2597" ht="14.25" customHeight="1"/>
    <row r="2598" ht="14.25" customHeight="1"/>
    <row r="2599" ht="14.25" customHeight="1"/>
    <row r="2600" ht="14.25" customHeight="1"/>
    <row r="2601" ht="14.25" customHeight="1"/>
    <row r="2602" ht="14.25" customHeight="1"/>
    <row r="2603" ht="14.25" customHeight="1"/>
    <row r="2604" ht="14.25" customHeight="1"/>
    <row r="2605" ht="14.25" customHeight="1"/>
    <row r="2606" ht="14.25" customHeight="1"/>
    <row r="2607" ht="14.25" customHeight="1"/>
    <row r="2608" ht="14.25" customHeight="1"/>
    <row r="2609" ht="14.25" customHeight="1"/>
    <row r="2610" ht="14.25" customHeight="1"/>
    <row r="2611" ht="14.25" customHeight="1"/>
    <row r="2612" ht="14.25" customHeight="1"/>
    <row r="2613" ht="14.25" customHeight="1"/>
    <row r="2614" ht="14.25" customHeight="1"/>
    <row r="2615" ht="14.25" customHeight="1"/>
    <row r="2616" ht="14.25" customHeight="1"/>
    <row r="2617" ht="14.25" customHeight="1"/>
    <row r="2618" ht="14.25" customHeight="1"/>
    <row r="2619" ht="14.25" customHeight="1"/>
    <row r="2620" ht="14.25" customHeight="1"/>
    <row r="2621" ht="14.25" customHeight="1"/>
    <row r="2622" ht="14.25" customHeight="1"/>
    <row r="2623" ht="14.25" customHeight="1"/>
    <row r="2624" ht="14.25" customHeight="1"/>
    <row r="2625" ht="14.25" customHeight="1"/>
    <row r="2626" ht="14.25" customHeight="1"/>
    <row r="2627" ht="14.25" customHeight="1"/>
    <row r="2628" ht="14.25" customHeight="1"/>
    <row r="2629" ht="14.25" customHeight="1"/>
    <row r="2630" ht="14.25" customHeight="1"/>
    <row r="2631" ht="14.25" customHeight="1"/>
    <row r="2632" ht="14.25" customHeight="1"/>
    <row r="2633" ht="14.25" customHeight="1"/>
    <row r="2634" ht="14.25" customHeight="1"/>
    <row r="2635" ht="14.25" customHeight="1"/>
    <row r="2636" ht="14.25" customHeight="1"/>
    <row r="2637" ht="14.25" customHeight="1"/>
    <row r="2638" ht="14.25" customHeight="1"/>
    <row r="2639" ht="14.25" customHeight="1"/>
    <row r="2640" ht="14.25" customHeight="1"/>
    <row r="2641" ht="14.25" customHeight="1"/>
    <row r="2642" ht="14.25" customHeight="1"/>
    <row r="2643" ht="14.25" customHeight="1"/>
    <row r="2644" ht="14.25" customHeight="1"/>
    <row r="2645" ht="14.25" customHeight="1"/>
    <row r="2646" ht="14.25" customHeight="1"/>
    <row r="2647" ht="14.25" customHeight="1"/>
    <row r="2648" ht="14.25" customHeight="1"/>
    <row r="2649" ht="14.25" customHeight="1"/>
    <row r="2650" ht="14.25" customHeight="1"/>
    <row r="2651" ht="14.25" customHeight="1"/>
    <row r="2652" ht="14.25" customHeight="1"/>
    <row r="2653" ht="14.25" customHeight="1"/>
    <row r="2654" ht="14.25" customHeight="1"/>
    <row r="2655" ht="14.25" customHeight="1"/>
    <row r="2656" ht="14.25" customHeight="1"/>
    <row r="2657" ht="14.25" customHeight="1"/>
    <row r="2658" ht="14.25" customHeight="1"/>
    <row r="2659" ht="14.25" customHeight="1"/>
    <row r="2660" ht="14.25" customHeight="1"/>
    <row r="2661" ht="14.25" customHeight="1"/>
    <row r="2662" ht="14.25" customHeight="1"/>
    <row r="2663" ht="14.25" customHeight="1"/>
    <row r="2664" ht="14.25" customHeight="1"/>
    <row r="2665" ht="14.25" customHeight="1"/>
    <row r="2666" ht="14.25" customHeight="1"/>
    <row r="2667" ht="14.25" customHeight="1"/>
    <row r="2668" ht="14.25" customHeight="1"/>
    <row r="2669" ht="14.25" customHeight="1"/>
    <row r="2670" ht="14.25" customHeight="1"/>
    <row r="2671" ht="14.25" customHeight="1"/>
    <row r="2672" ht="14.25" customHeight="1"/>
    <row r="2673" ht="14.25" customHeight="1"/>
    <row r="2674" ht="14.25" customHeight="1"/>
    <row r="2675" ht="14.25" customHeight="1"/>
    <row r="2676" ht="14.25" customHeight="1"/>
    <row r="2677" ht="14.25" customHeight="1"/>
    <row r="2678" ht="14.25" customHeight="1"/>
    <row r="2679" ht="14.25" customHeight="1"/>
    <row r="2680" ht="14.25" customHeight="1"/>
    <row r="2681" ht="14.25" customHeight="1"/>
    <row r="2682" ht="14.25" customHeight="1"/>
    <row r="2683" ht="14.25" customHeight="1"/>
    <row r="2684" ht="14.25" customHeight="1"/>
    <row r="2685" ht="14.25" customHeight="1"/>
    <row r="2686" ht="14.25" customHeight="1"/>
    <row r="2687" ht="14.25" customHeight="1"/>
    <row r="2688" ht="14.25" customHeight="1"/>
    <row r="2689" ht="14.25" customHeight="1"/>
    <row r="2690" ht="14.25" customHeight="1"/>
    <row r="2691" ht="14.25" customHeight="1"/>
    <row r="2692" ht="14.25" customHeight="1"/>
    <row r="2693" ht="14.25" customHeight="1"/>
    <row r="2694" ht="14.25" customHeight="1"/>
    <row r="2695" ht="14.25" customHeight="1"/>
    <row r="2696" ht="14.25" customHeight="1"/>
    <row r="2697" ht="14.25" customHeight="1"/>
    <row r="2698" ht="14.25" customHeight="1"/>
    <row r="2699" ht="14.25" customHeight="1"/>
    <row r="2700" ht="14.25" customHeight="1"/>
    <row r="2701" ht="14.25" customHeight="1"/>
    <row r="2702" ht="14.25" customHeight="1"/>
    <row r="2703" ht="14.25" customHeight="1"/>
    <row r="2704" ht="14.25" customHeight="1"/>
    <row r="2705" ht="14.25" customHeight="1"/>
    <row r="2706" ht="14.25" customHeight="1"/>
    <row r="2707" ht="14.25" customHeight="1"/>
    <row r="2708" ht="14.25" customHeight="1"/>
    <row r="2709" ht="14.25" customHeight="1"/>
    <row r="2710" ht="14.25" customHeight="1"/>
    <row r="2711" ht="14.25" customHeight="1"/>
    <row r="2712" ht="14.25" customHeight="1"/>
    <row r="2713" ht="14.25" customHeight="1"/>
    <row r="2714" ht="14.25" customHeight="1"/>
    <row r="2715" ht="14.25" customHeight="1"/>
    <row r="2716" ht="14.25" customHeight="1"/>
    <row r="2717" ht="14.25" customHeight="1"/>
    <row r="2718" ht="14.25" customHeight="1"/>
    <row r="2719" ht="14.25" customHeight="1"/>
    <row r="2720" ht="14.25" customHeight="1"/>
    <row r="2721" ht="14.25" customHeight="1"/>
    <row r="2722" ht="14.25" customHeight="1"/>
    <row r="2723" ht="14.25" customHeight="1"/>
    <row r="2724" ht="14.25" customHeight="1"/>
    <row r="2725" ht="14.25" customHeight="1"/>
    <row r="2726" ht="14.25" customHeight="1"/>
    <row r="2727" ht="14.25" customHeight="1"/>
    <row r="2728" ht="14.25" customHeight="1"/>
    <row r="2729" ht="14.25" customHeight="1"/>
    <row r="2730" ht="14.25" customHeight="1"/>
    <row r="2731" ht="14.25" customHeight="1"/>
    <row r="2732" ht="14.25" customHeight="1"/>
    <row r="2733" ht="14.25" customHeight="1"/>
    <row r="2734" ht="14.25" customHeight="1"/>
    <row r="2735" ht="14.25" customHeight="1"/>
    <row r="2736" ht="14.25" customHeight="1"/>
    <row r="2737" ht="14.25" customHeight="1"/>
    <row r="2738" ht="14.25" customHeight="1"/>
    <row r="2739" ht="14.25" customHeight="1"/>
    <row r="2740" ht="14.25" customHeight="1"/>
    <row r="2741" ht="14.25" customHeight="1"/>
    <row r="2742" ht="14.25" customHeight="1"/>
    <row r="2743" ht="14.25" customHeight="1"/>
    <row r="2744" ht="14.25" customHeight="1"/>
    <row r="2745" ht="14.25" customHeight="1"/>
    <row r="2746" ht="14.25" customHeight="1"/>
    <row r="2747" ht="14.25" customHeight="1"/>
    <row r="2748" ht="14.25" customHeight="1"/>
    <row r="2749" ht="14.25" customHeight="1"/>
    <row r="2750" ht="14.25" customHeight="1"/>
    <row r="2751" ht="14.25" customHeight="1"/>
    <row r="2752" ht="14.25" customHeight="1"/>
    <row r="2753" ht="14.25" customHeight="1"/>
    <row r="2754" ht="14.25" customHeight="1"/>
    <row r="2755" ht="14.25" customHeight="1"/>
    <row r="2756" ht="14.25" customHeight="1"/>
    <row r="2757" ht="14.25" customHeight="1"/>
    <row r="2758" ht="14.25" customHeight="1"/>
    <row r="2759" ht="14.25" customHeight="1"/>
    <row r="2760" ht="14.25" customHeight="1"/>
    <row r="2761" ht="14.25" customHeight="1"/>
    <row r="2762" ht="14.25" customHeight="1"/>
    <row r="2763" ht="14.25" customHeight="1"/>
    <row r="2764" ht="14.25" customHeight="1"/>
    <row r="2765" ht="14.25" customHeight="1"/>
    <row r="2766" ht="14.25" customHeight="1"/>
    <row r="2767" ht="14.25" customHeight="1"/>
    <row r="2768" ht="14.25" customHeight="1"/>
    <row r="2769" ht="14.25" customHeight="1"/>
    <row r="2770" ht="14.25" customHeight="1"/>
    <row r="2771" ht="14.25" customHeight="1"/>
    <row r="2772" ht="14.25" customHeight="1"/>
    <row r="2773" ht="14.25" customHeight="1"/>
    <row r="2774" ht="14.25" customHeight="1"/>
    <row r="2775" ht="14.25" customHeight="1"/>
    <row r="2776" ht="14.25" customHeight="1"/>
    <row r="2777" ht="14.25" customHeight="1"/>
    <row r="2778" ht="14.25" customHeight="1"/>
    <row r="2779" ht="14.25" customHeight="1"/>
    <row r="2780" ht="14.25" customHeight="1"/>
    <row r="2781" ht="14.25" customHeight="1"/>
    <row r="2782" ht="14.25" customHeight="1"/>
    <row r="2783" ht="14.25" customHeight="1"/>
    <row r="2784" ht="14.25" customHeight="1"/>
    <row r="2785" ht="14.25" customHeight="1"/>
    <row r="2786" ht="14.25" customHeight="1"/>
    <row r="2787" ht="14.25" customHeight="1"/>
    <row r="2788" ht="14.25" customHeight="1"/>
    <row r="2789" ht="14.25" customHeight="1"/>
    <row r="2790" ht="14.25" customHeight="1"/>
    <row r="2791" ht="14.25" customHeight="1"/>
    <row r="2792" ht="14.25" customHeight="1"/>
    <row r="2793" ht="14.25" customHeight="1"/>
    <row r="2794" ht="14.25" customHeight="1"/>
    <row r="2795" ht="14.25" customHeight="1"/>
    <row r="2796" ht="14.25" customHeight="1"/>
    <row r="2797" ht="14.25" customHeight="1"/>
    <row r="2798" ht="14.25" customHeight="1"/>
    <row r="2799" ht="14.25" customHeight="1"/>
    <row r="2800" ht="14.25" customHeight="1"/>
    <row r="2801" ht="14.25" customHeight="1"/>
    <row r="2802" ht="14.25" customHeight="1"/>
    <row r="2803" ht="14.25" customHeight="1"/>
    <row r="2804" ht="14.25" customHeight="1"/>
    <row r="2805" ht="14.25" customHeight="1"/>
    <row r="2806" ht="14.25" customHeight="1"/>
    <row r="2807" ht="14.25" customHeight="1"/>
    <row r="2808" ht="14.25" customHeight="1"/>
    <row r="2809" ht="14.25" customHeight="1"/>
    <row r="2810" ht="14.25" customHeight="1"/>
    <row r="2811" ht="14.25" customHeight="1"/>
    <row r="2812" ht="14.25" customHeight="1"/>
    <row r="2813" ht="14.25" customHeight="1"/>
    <row r="2814" ht="14.25" customHeight="1"/>
    <row r="2815" ht="14.25" customHeight="1"/>
    <row r="2816" ht="14.25" customHeight="1"/>
    <row r="2817" ht="14.25" customHeight="1"/>
    <row r="2818" ht="14.25" customHeight="1"/>
    <row r="2819" ht="14.25" customHeight="1"/>
    <row r="2820" ht="14.25" customHeight="1"/>
    <row r="2821" ht="14.25" customHeight="1"/>
    <row r="2822" ht="14.25" customHeight="1"/>
    <row r="2823" ht="14.25" customHeight="1"/>
    <row r="2824" ht="14.25" customHeight="1"/>
    <row r="2825" ht="14.25" customHeight="1"/>
    <row r="2826" ht="14.25" customHeight="1"/>
    <row r="2827" ht="14.25" customHeight="1"/>
    <row r="2828" ht="14.25" customHeight="1"/>
    <row r="2829" ht="14.25" customHeight="1"/>
    <row r="2830" ht="14.25" customHeight="1"/>
    <row r="2831" ht="14.25" customHeight="1"/>
    <row r="2832" ht="14.25" customHeight="1"/>
    <row r="2833" ht="14.25" customHeight="1"/>
    <row r="2834" ht="14.25" customHeight="1"/>
    <row r="2835" ht="14.25" customHeight="1"/>
    <row r="2836" ht="14.25" customHeight="1"/>
    <row r="2837" ht="14.25" customHeight="1"/>
    <row r="2838" ht="14.25" customHeight="1"/>
    <row r="2839" ht="14.25" customHeight="1"/>
    <row r="2840" ht="14.25" customHeight="1"/>
    <row r="2841" ht="14.25" customHeight="1"/>
    <row r="2842" ht="14.25" customHeight="1"/>
    <row r="2843" ht="14.25" customHeight="1"/>
    <row r="2844" ht="14.25" customHeight="1"/>
    <row r="2845" ht="14.25" customHeight="1"/>
    <row r="2846" ht="14.25" customHeight="1"/>
    <row r="2847" ht="14.25" customHeight="1"/>
    <row r="2848" ht="14.25" customHeight="1"/>
    <row r="2849" ht="14.25" customHeight="1"/>
    <row r="2850" ht="14.25" customHeight="1"/>
    <row r="2851" ht="14.25" customHeight="1"/>
    <row r="2852" ht="14.25" customHeight="1"/>
    <row r="2853" ht="14.25" customHeight="1"/>
    <row r="2854" ht="14.25" customHeight="1"/>
    <row r="2855" ht="14.25" customHeight="1"/>
    <row r="2856" ht="14.25" customHeight="1"/>
    <row r="2857" ht="14.25" customHeight="1"/>
    <row r="2858" ht="14.25" customHeight="1"/>
    <row r="2859" ht="14.25" customHeight="1"/>
    <row r="2860" ht="14.25" customHeight="1"/>
    <row r="2861" ht="14.25" customHeight="1"/>
    <row r="2862" ht="14.25" customHeight="1"/>
    <row r="2863" ht="14.25" customHeight="1"/>
    <row r="2864" ht="14.25" customHeight="1"/>
    <row r="2865" ht="14.25" customHeight="1"/>
    <row r="2866" ht="14.25" customHeight="1"/>
    <row r="2867" ht="14.25" customHeight="1"/>
    <row r="2868" ht="14.25" customHeight="1"/>
    <row r="2869" ht="14.25" customHeight="1"/>
    <row r="2870" ht="14.25" customHeight="1"/>
    <row r="2871" ht="14.25" customHeight="1"/>
    <row r="2872" ht="14.25" customHeight="1"/>
    <row r="2873" ht="14.25" customHeight="1"/>
    <row r="2874" ht="14.25" customHeight="1"/>
    <row r="2875" ht="14.25" customHeight="1"/>
    <row r="2876" ht="14.25" customHeight="1"/>
    <row r="2877" ht="14.25" customHeight="1"/>
    <row r="2878" ht="14.25" customHeight="1"/>
    <row r="2879" ht="14.25" customHeight="1"/>
    <row r="2880" ht="14.25" customHeight="1"/>
    <row r="2881" ht="14.25" customHeight="1"/>
    <row r="2882" ht="14.25" customHeight="1"/>
    <row r="2883" ht="14.25" customHeight="1"/>
    <row r="2884" ht="14.25" customHeight="1"/>
    <row r="2885" ht="14.25" customHeight="1"/>
    <row r="2886" ht="14.25" customHeight="1"/>
    <row r="2887" ht="14.25" customHeight="1"/>
    <row r="2888" ht="14.25" customHeight="1"/>
    <row r="2889" ht="14.25" customHeight="1"/>
    <row r="2890" ht="14.25" customHeight="1"/>
    <row r="2891" ht="14.25" customHeight="1"/>
    <row r="2892" ht="14.25" customHeight="1"/>
    <row r="2893" ht="14.25" customHeight="1"/>
    <row r="2894" ht="14.25" customHeight="1"/>
    <row r="2895" ht="14.25" customHeight="1"/>
    <row r="2896" ht="14.25" customHeight="1"/>
    <row r="2897" ht="14.25" customHeight="1"/>
    <row r="2898" ht="14.25" customHeight="1"/>
    <row r="2899" ht="14.25" customHeight="1"/>
    <row r="2900" ht="14.25" customHeight="1"/>
    <row r="2901" ht="14.25" customHeight="1"/>
    <row r="2902" ht="14.25" customHeight="1"/>
    <row r="2903" ht="14.25" customHeight="1"/>
    <row r="2904" ht="14.25" customHeight="1"/>
    <row r="2905" ht="14.25" customHeight="1"/>
    <row r="2906" ht="14.25" customHeight="1"/>
    <row r="2907" ht="14.25" customHeight="1"/>
    <row r="2908" ht="14.25" customHeight="1"/>
    <row r="2909" ht="14.25" customHeight="1"/>
    <row r="2910" ht="14.25" customHeight="1"/>
    <row r="2911" ht="14.25" customHeight="1"/>
    <row r="2912" ht="14.25" customHeight="1"/>
    <row r="2913" ht="14.25" customHeight="1"/>
    <row r="2914" ht="14.25" customHeight="1"/>
    <row r="2915" ht="14.25" customHeight="1"/>
    <row r="2916" ht="14.25" customHeight="1"/>
    <row r="2917" ht="14.25" customHeight="1"/>
    <row r="2918" ht="14.25" customHeight="1"/>
    <row r="2919" ht="14.25" customHeight="1"/>
    <row r="2920" ht="14.25" customHeight="1"/>
    <row r="2921" ht="14.25" customHeight="1"/>
    <row r="2922" ht="14.25" customHeight="1"/>
    <row r="2923" ht="14.25" customHeight="1"/>
    <row r="2924" ht="14.25" customHeight="1"/>
    <row r="2925" ht="14.25" customHeight="1"/>
    <row r="2926" ht="14.25" customHeight="1"/>
    <row r="2927" ht="14.25" customHeight="1"/>
    <row r="2928" ht="14.25" customHeight="1"/>
    <row r="2929" ht="14.25" customHeight="1"/>
    <row r="2930" ht="14.25" customHeight="1"/>
    <row r="2931" ht="14.25" customHeight="1"/>
    <row r="2932" ht="14.25" customHeight="1"/>
    <row r="2933" ht="14.25" customHeight="1"/>
    <row r="2934" ht="14.25" customHeight="1"/>
    <row r="2935" ht="14.25" customHeight="1"/>
    <row r="2936" ht="14.25" customHeight="1"/>
    <row r="2937" ht="14.25" customHeight="1"/>
    <row r="2938" ht="14.25" customHeight="1"/>
    <row r="2939" ht="14.25" customHeight="1"/>
    <row r="2940" ht="14.25" customHeight="1"/>
    <row r="2941" ht="14.25" customHeight="1"/>
    <row r="2942" ht="14.25" customHeight="1"/>
    <row r="2943" ht="14.25" customHeight="1"/>
    <row r="2944" ht="14.25" customHeight="1"/>
    <row r="2945" ht="14.25" customHeight="1"/>
    <row r="2946" ht="14.25" customHeight="1"/>
    <row r="2947" ht="14.25" customHeight="1"/>
    <row r="2948" ht="14.25" customHeight="1"/>
    <row r="2949" ht="14.25" customHeight="1"/>
    <row r="2950" ht="14.25" customHeight="1"/>
    <row r="2951" ht="14.25" customHeight="1"/>
    <row r="2952" ht="14.25" customHeight="1"/>
    <row r="2953" ht="14.25" customHeight="1"/>
    <row r="2954" ht="14.25" customHeight="1"/>
    <row r="2955" ht="14.25" customHeight="1"/>
    <row r="2956" ht="14.25" customHeight="1"/>
    <row r="2957" ht="14.25" customHeight="1"/>
    <row r="2958" ht="14.25" customHeight="1"/>
    <row r="2959" ht="14.25" customHeight="1"/>
    <row r="2960" ht="14.25" customHeight="1"/>
    <row r="2961" ht="14.25" customHeight="1"/>
    <row r="2962" ht="14.25" customHeight="1"/>
    <row r="2963" ht="14.25" customHeight="1"/>
    <row r="2964" ht="14.25" customHeight="1"/>
    <row r="2965" ht="14.25" customHeight="1"/>
    <row r="2966" ht="14.25" customHeight="1"/>
    <row r="2967" ht="14.25" customHeight="1"/>
    <row r="2968" ht="14.25" customHeight="1"/>
    <row r="2969" ht="14.25" customHeight="1"/>
    <row r="2970" ht="14.25" customHeight="1"/>
    <row r="2971" ht="14.25" customHeight="1"/>
    <row r="2972" ht="14.25" customHeight="1"/>
    <row r="2973" ht="14.25" customHeight="1"/>
    <row r="2974" ht="14.25" customHeight="1"/>
    <row r="2975" ht="14.25" customHeight="1"/>
    <row r="2976" ht="14.25" customHeight="1"/>
    <row r="2977" ht="14.25" customHeight="1"/>
    <row r="2978" ht="14.25" customHeight="1"/>
    <row r="2979" ht="14.25" customHeight="1"/>
    <row r="2980" ht="14.25" customHeight="1"/>
    <row r="2981" ht="14.25" customHeight="1"/>
    <row r="2982" ht="14.25" customHeight="1"/>
    <row r="2983" ht="14.25" customHeight="1"/>
    <row r="2984" ht="14.25" customHeight="1"/>
    <row r="2985" ht="14.25" customHeight="1"/>
    <row r="2986" ht="14.25" customHeight="1"/>
    <row r="2987" ht="14.25" customHeight="1"/>
    <row r="2988" ht="14.25" customHeight="1"/>
    <row r="2989" ht="14.25" customHeight="1"/>
    <row r="2990" ht="14.25" customHeight="1"/>
    <row r="2991" ht="14.25" customHeight="1"/>
    <row r="2992" ht="14.25" customHeight="1"/>
    <row r="2993" ht="14.25" customHeight="1"/>
    <row r="2994" ht="14.25" customHeight="1"/>
    <row r="2995" ht="14.25" customHeight="1"/>
    <row r="2996" ht="14.25" customHeight="1"/>
    <row r="2997" ht="14.25" customHeight="1"/>
    <row r="2998" ht="14.25" customHeight="1"/>
    <row r="2999" ht="14.25" customHeight="1"/>
    <row r="3000" ht="14.25" customHeight="1"/>
    <row r="3001" ht="14.25" customHeight="1"/>
    <row r="3002" ht="14.25" customHeight="1"/>
    <row r="3003" ht="14.25" customHeight="1"/>
    <row r="3004" ht="14.25" customHeight="1"/>
    <row r="3005" ht="14.25" customHeight="1"/>
    <row r="3006" ht="14.25" customHeight="1"/>
    <row r="3007" ht="14.25" customHeight="1"/>
    <row r="3008" ht="14.25" customHeight="1"/>
    <row r="3009" ht="14.25" customHeight="1"/>
    <row r="3010" ht="14.25" customHeight="1"/>
    <row r="3011" ht="14.25" customHeight="1"/>
    <row r="3012" ht="14.25" customHeight="1"/>
    <row r="3013" ht="14.25" customHeight="1"/>
    <row r="3014" ht="14.25" customHeight="1"/>
    <row r="3015" ht="14.25" customHeight="1"/>
    <row r="3016" ht="14.25" customHeight="1"/>
    <row r="3017" ht="14.25" customHeight="1"/>
    <row r="3018" ht="14.25" customHeight="1"/>
    <row r="3019" ht="14.25" customHeight="1"/>
    <row r="3020" ht="14.25" customHeight="1"/>
    <row r="3021" ht="14.25" customHeight="1"/>
    <row r="3022" ht="14.25" customHeight="1"/>
    <row r="3023" ht="14.25" customHeight="1"/>
    <row r="3024" ht="14.25" customHeight="1"/>
    <row r="3025" ht="14.25" customHeight="1"/>
    <row r="3026" ht="14.25" customHeight="1"/>
    <row r="3027" ht="14.25" customHeight="1"/>
    <row r="3028" ht="14.25" customHeight="1"/>
    <row r="3029" ht="14.25" customHeight="1"/>
    <row r="3030" ht="14.25" customHeight="1"/>
    <row r="3031" ht="14.25" customHeight="1"/>
    <row r="3032" ht="14.25" customHeight="1"/>
    <row r="3033" ht="14.25" customHeight="1"/>
    <row r="3034" ht="14.25" customHeight="1"/>
    <row r="3035" ht="14.25" customHeight="1"/>
    <row r="3036" ht="14.25" customHeight="1"/>
    <row r="3037" ht="14.25" customHeight="1"/>
    <row r="3038" ht="14.25" customHeight="1"/>
    <row r="3039" ht="14.25" customHeight="1"/>
    <row r="3040" ht="14.25" customHeight="1"/>
    <row r="3041" ht="14.25" customHeight="1"/>
    <row r="3042" ht="14.25" customHeight="1"/>
    <row r="3043" ht="14.25" customHeight="1"/>
    <row r="3044" ht="14.25" customHeight="1"/>
    <row r="3045" ht="14.25" customHeight="1"/>
    <row r="3046" ht="14.25" customHeight="1"/>
    <row r="3047" ht="14.25" customHeight="1"/>
    <row r="3048" ht="14.25" customHeight="1"/>
    <row r="3049" ht="14.25" customHeight="1"/>
    <row r="3050" ht="14.25" customHeight="1"/>
    <row r="3051" ht="14.25" customHeight="1"/>
    <row r="3052" ht="14.25" customHeight="1"/>
    <row r="3053" ht="14.25" customHeight="1"/>
    <row r="3054" ht="14.25" customHeight="1"/>
    <row r="3055" ht="14.25" customHeight="1"/>
    <row r="3056" ht="14.25" customHeight="1"/>
    <row r="3057" ht="14.25" customHeight="1"/>
    <row r="3058" ht="14.25" customHeight="1"/>
    <row r="3059" ht="14.25" customHeight="1"/>
    <row r="3060" ht="14.25" customHeight="1"/>
    <row r="3061" ht="14.25" customHeight="1"/>
    <row r="3062" ht="14.25" customHeight="1"/>
    <row r="3063" ht="14.25" customHeight="1"/>
    <row r="3064" ht="14.25" customHeight="1"/>
    <row r="3065" ht="14.25" customHeight="1"/>
    <row r="3066" ht="14.25" customHeight="1"/>
    <row r="3067" ht="14.25" customHeight="1"/>
    <row r="3068" ht="14.25" customHeight="1"/>
    <row r="3069" ht="14.25" customHeight="1"/>
    <row r="3070" ht="14.25" customHeight="1"/>
    <row r="3071" ht="14.25" customHeight="1"/>
    <row r="3072" ht="14.25" customHeight="1"/>
    <row r="3073" ht="14.25" customHeight="1"/>
    <row r="3074" ht="14.25" customHeight="1"/>
    <row r="3075" ht="14.25" customHeight="1"/>
    <row r="3076" ht="14.25" customHeight="1"/>
    <row r="3077" ht="14.25" customHeight="1"/>
    <row r="3078" ht="14.25" customHeight="1"/>
    <row r="3079" ht="14.25" customHeight="1"/>
    <row r="3080" ht="14.25" customHeight="1"/>
    <row r="3081" ht="14.25" customHeight="1"/>
    <row r="3082" ht="14.25" customHeight="1"/>
    <row r="3083" ht="14.25" customHeight="1"/>
    <row r="3084" ht="14.25" customHeight="1"/>
    <row r="3085" ht="14.25" customHeight="1"/>
    <row r="3086" ht="14.25" customHeight="1"/>
    <row r="3087" ht="14.25" customHeight="1"/>
    <row r="3088" ht="14.25" customHeight="1"/>
    <row r="3089" ht="14.25" customHeight="1"/>
    <row r="3090" ht="14.25" customHeight="1"/>
    <row r="3091" ht="14.25" customHeight="1"/>
    <row r="3092" ht="14.25" customHeight="1"/>
    <row r="3093" ht="14.25" customHeight="1"/>
    <row r="3094" ht="14.25" customHeight="1"/>
    <row r="3095" ht="14.25" customHeight="1"/>
    <row r="3096" ht="14.25" customHeight="1"/>
    <row r="3097" ht="14.25" customHeight="1"/>
    <row r="3098" ht="14.25" customHeight="1"/>
    <row r="3099" ht="14.25" customHeight="1"/>
    <row r="3100" ht="14.25" customHeight="1"/>
    <row r="3101" ht="14.25" customHeight="1"/>
    <row r="3102" ht="14.25" customHeight="1"/>
    <row r="3103" ht="14.25" customHeight="1"/>
    <row r="3104" ht="14.25" customHeight="1"/>
    <row r="3105" ht="14.25" customHeight="1"/>
    <row r="3106" ht="14.25" customHeight="1"/>
    <row r="3107" ht="14.25" customHeight="1"/>
    <row r="3108" ht="14.25" customHeight="1"/>
    <row r="3109" ht="14.25" customHeight="1"/>
    <row r="3110" ht="14.25" customHeight="1"/>
    <row r="3111" ht="14.25" customHeight="1"/>
    <row r="3112" ht="14.25" customHeight="1"/>
    <row r="3113" ht="14.25" customHeight="1"/>
    <row r="3114" ht="14.25" customHeight="1"/>
    <row r="3115" ht="14.25" customHeight="1"/>
    <row r="3116" ht="14.25" customHeight="1"/>
    <row r="3117" ht="14.25" customHeight="1"/>
    <row r="3118" ht="14.25" customHeight="1"/>
    <row r="3119" ht="14.25" customHeight="1"/>
    <row r="3120" ht="14.25" customHeight="1"/>
    <row r="3121" ht="14.25" customHeight="1"/>
    <row r="3122" ht="14.25" customHeight="1"/>
    <row r="3123" ht="14.25" customHeight="1"/>
    <row r="3124" ht="14.25" customHeight="1"/>
    <row r="3125" ht="14.25" customHeight="1"/>
    <row r="3126" ht="14.25" customHeight="1"/>
    <row r="3127" ht="14.25" customHeight="1"/>
    <row r="3128" ht="14.25" customHeight="1"/>
    <row r="3129" ht="14.25" customHeight="1"/>
    <row r="3130" ht="14.25" customHeight="1"/>
    <row r="3131" ht="14.25" customHeight="1"/>
    <row r="3132" ht="14.25" customHeight="1"/>
    <row r="3133" ht="14.25" customHeight="1"/>
    <row r="3134" ht="14.25" customHeight="1"/>
    <row r="3135" ht="14.25" customHeight="1"/>
    <row r="3136" ht="14.25" customHeight="1"/>
    <row r="3137" ht="14.25" customHeight="1"/>
    <row r="3138" ht="14.25" customHeight="1"/>
    <row r="3139" ht="14.25" customHeight="1"/>
    <row r="3140" ht="14.25" customHeight="1"/>
    <row r="3141" ht="14.25" customHeight="1"/>
    <row r="3142" ht="14.25" customHeight="1"/>
    <row r="3143" ht="14.25" customHeight="1"/>
    <row r="3144" ht="14.25" customHeight="1"/>
    <row r="3145" ht="14.25" customHeight="1"/>
    <row r="3146" ht="14.25" customHeight="1"/>
    <row r="3147" ht="14.25" customHeight="1"/>
    <row r="3148" ht="14.25" customHeight="1"/>
    <row r="3149" ht="14.25" customHeight="1"/>
    <row r="3150" ht="14.25" customHeight="1"/>
    <row r="3151" ht="14.25" customHeight="1"/>
    <row r="3152" ht="14.25" customHeight="1"/>
    <row r="3153" ht="14.25" customHeight="1"/>
    <row r="3154" ht="14.25" customHeight="1"/>
    <row r="3155" ht="14.25" customHeight="1"/>
    <row r="3156" ht="14.25" customHeight="1"/>
    <row r="3157" ht="14.25" customHeight="1"/>
    <row r="3158" ht="14.25" customHeight="1"/>
    <row r="3159" ht="14.25" customHeight="1"/>
    <row r="3160" ht="14.25" customHeight="1"/>
    <row r="3161" ht="14.25" customHeight="1"/>
    <row r="3162" ht="14.25" customHeight="1"/>
    <row r="3163" ht="14.25" customHeight="1"/>
    <row r="3164" ht="14.25" customHeight="1"/>
    <row r="3165" ht="14.25" customHeight="1"/>
    <row r="3166" ht="14.25" customHeight="1"/>
    <row r="3167" ht="14.25" customHeight="1"/>
    <row r="3168" ht="14.25" customHeight="1"/>
    <row r="3169" ht="14.25" customHeight="1"/>
    <row r="3170" ht="14.25" customHeight="1"/>
    <row r="3171" ht="14.25" customHeight="1"/>
    <row r="3172" ht="14.25" customHeight="1"/>
    <row r="3173" ht="14.25" customHeight="1"/>
    <row r="3174" ht="14.25" customHeight="1"/>
    <row r="3175" ht="14.25" customHeight="1"/>
    <row r="3176" ht="14.25" customHeight="1"/>
    <row r="3177" ht="14.25" customHeight="1"/>
    <row r="3178" ht="14.25" customHeight="1"/>
    <row r="3179" ht="14.25" customHeight="1"/>
    <row r="3180" ht="14.25" customHeight="1"/>
    <row r="3181" ht="14.25" customHeight="1"/>
    <row r="3182" ht="14.25" customHeight="1"/>
    <row r="3183" ht="14.25" customHeight="1"/>
    <row r="3184" ht="14.25" customHeight="1"/>
    <row r="3185" ht="14.25" customHeight="1"/>
    <row r="3186" ht="14.25" customHeight="1"/>
    <row r="3187" ht="14.25" customHeight="1"/>
    <row r="3188" ht="14.25" customHeight="1"/>
    <row r="3189" ht="14.25" customHeight="1"/>
    <row r="3190" ht="14.25" customHeight="1"/>
    <row r="3191" ht="14.25" customHeight="1"/>
    <row r="3192" ht="14.25" customHeight="1"/>
    <row r="3193" ht="14.25" customHeight="1"/>
    <row r="3194" ht="14.25" customHeight="1"/>
    <row r="3195" ht="14.25" customHeight="1"/>
    <row r="3196" ht="14.25" customHeight="1"/>
    <row r="3197" ht="14.25" customHeight="1"/>
    <row r="3198" ht="14.25" customHeight="1"/>
    <row r="3199" ht="14.25" customHeight="1"/>
    <row r="3200" ht="14.25" customHeight="1"/>
    <row r="3201" ht="14.25" customHeight="1"/>
    <row r="3202" ht="14.25" customHeight="1"/>
    <row r="3203" ht="14.25" customHeight="1"/>
    <row r="3204" ht="14.25" customHeight="1"/>
    <row r="3205" ht="14.25" customHeight="1"/>
    <row r="3206" ht="14.25" customHeight="1"/>
    <row r="3207" ht="14.25" customHeight="1"/>
    <row r="3208" ht="14.25" customHeight="1"/>
    <row r="3209" ht="14.25" customHeight="1"/>
    <row r="3210" ht="14.25" customHeight="1"/>
    <row r="3211" ht="14.25" customHeight="1"/>
    <row r="3212" ht="14.25" customHeight="1"/>
    <row r="3213" ht="14.25" customHeight="1"/>
    <row r="3214" ht="14.25" customHeight="1"/>
    <row r="3215" ht="14.25" customHeight="1"/>
    <row r="3216" ht="14.25" customHeight="1"/>
    <row r="3217" ht="14.25" customHeight="1"/>
    <row r="3218" ht="14.25" customHeight="1"/>
    <row r="3219" ht="14.25" customHeight="1"/>
    <row r="3220" ht="14.25" customHeight="1"/>
    <row r="3221" ht="14.25" customHeight="1"/>
    <row r="3222" ht="14.25" customHeight="1"/>
    <row r="3223" ht="14.25" customHeight="1"/>
    <row r="3224" ht="14.25" customHeight="1"/>
    <row r="3225" ht="14.25" customHeight="1"/>
    <row r="3226" ht="14.25" customHeight="1"/>
    <row r="3227" ht="14.25" customHeight="1"/>
    <row r="3228" ht="14.25" customHeight="1"/>
    <row r="3229" ht="14.25" customHeight="1"/>
    <row r="3230" ht="14.25" customHeight="1"/>
    <row r="3231" ht="14.25" customHeight="1"/>
    <row r="3232" ht="14.25" customHeight="1"/>
    <row r="3233" ht="14.25" customHeight="1"/>
    <row r="3234" ht="14.25" customHeight="1"/>
    <row r="3235" ht="14.25" customHeight="1"/>
    <row r="3236" ht="14.25" customHeight="1"/>
    <row r="3237" ht="14.25" customHeight="1"/>
    <row r="3238" ht="14.25" customHeight="1"/>
    <row r="3239" ht="14.25" customHeight="1"/>
    <row r="3240" ht="14.25" customHeight="1"/>
    <row r="3241" ht="14.25" customHeight="1"/>
    <row r="3242" ht="14.25" customHeight="1"/>
    <row r="3243" ht="14.25" customHeight="1"/>
    <row r="3244" ht="14.25" customHeight="1"/>
    <row r="3245" ht="14.25" customHeight="1"/>
    <row r="3246" ht="14.25" customHeight="1"/>
    <row r="3247" ht="14.25" customHeight="1"/>
    <row r="3248" ht="14.25" customHeight="1"/>
    <row r="3249" ht="14.25" customHeight="1"/>
    <row r="3250" ht="14.25" customHeight="1"/>
    <row r="3251" ht="14.25" customHeight="1"/>
    <row r="3252" ht="14.25" customHeight="1"/>
    <row r="3253" ht="14.25" customHeight="1"/>
    <row r="3254" ht="14.25" customHeight="1"/>
    <row r="3255" ht="14.25" customHeight="1"/>
    <row r="3256" ht="14.25" customHeight="1"/>
    <row r="3257" ht="14.25" customHeight="1"/>
    <row r="3258" ht="14.25" customHeight="1"/>
    <row r="3259" ht="14.25" customHeight="1"/>
    <row r="3260" ht="14.25" customHeight="1"/>
    <row r="3261" ht="14.25" customHeight="1"/>
    <row r="3262" ht="14.25" customHeight="1"/>
    <row r="3263" ht="14.25" customHeight="1"/>
    <row r="3264" ht="14.25" customHeight="1"/>
    <row r="3265" ht="14.25" customHeight="1"/>
    <row r="3266" ht="14.25" customHeight="1"/>
    <row r="3267" ht="14.25" customHeight="1"/>
    <row r="3268" ht="14.25" customHeight="1"/>
    <row r="3269" ht="14.25" customHeight="1"/>
    <row r="3270" ht="14.25" customHeight="1"/>
    <row r="3271" ht="14.25" customHeight="1"/>
    <row r="3272" ht="14.25" customHeight="1"/>
    <row r="3273" ht="14.25" customHeight="1"/>
    <row r="3274" ht="14.25" customHeight="1"/>
    <row r="3275" ht="14.25" customHeight="1"/>
    <row r="3276" ht="14.25" customHeight="1"/>
    <row r="3277" ht="14.25" customHeight="1"/>
    <row r="3278" ht="14.25" customHeight="1"/>
    <row r="3279" ht="14.25" customHeight="1"/>
    <row r="3280" ht="14.25" customHeight="1"/>
    <row r="3281" ht="14.25" customHeight="1"/>
    <row r="3282" ht="14.25" customHeight="1"/>
    <row r="3283" ht="14.25" customHeight="1"/>
    <row r="3284" ht="14.25" customHeight="1"/>
    <row r="3285" ht="14.25" customHeight="1"/>
    <row r="3286" ht="14.25" customHeight="1"/>
    <row r="3287" ht="14.25" customHeight="1"/>
    <row r="3288" ht="14.25" customHeight="1"/>
    <row r="3289" ht="14.25" customHeight="1"/>
    <row r="3290" ht="14.25" customHeight="1"/>
    <row r="3291" ht="14.25" customHeight="1"/>
    <row r="3292" ht="14.25" customHeight="1"/>
    <row r="3293" ht="14.25" customHeight="1"/>
    <row r="3294" ht="14.25" customHeight="1"/>
    <row r="3295" ht="14.25" customHeight="1"/>
    <row r="3296" ht="14.25" customHeight="1"/>
    <row r="3297" ht="14.25" customHeight="1"/>
    <row r="3298" ht="14.25" customHeight="1"/>
    <row r="3299" ht="14.25" customHeight="1"/>
    <row r="3300" ht="14.25" customHeight="1"/>
    <row r="3301" ht="14.25" customHeight="1"/>
    <row r="3302" ht="14.25" customHeight="1"/>
    <row r="3303" ht="14.25" customHeight="1"/>
    <row r="3304" ht="14.25" customHeight="1"/>
    <row r="3305" ht="14.25" customHeight="1"/>
    <row r="3306" ht="14.25" customHeight="1"/>
    <row r="3307" ht="14.25" customHeight="1"/>
    <row r="3308" ht="14.25" customHeight="1"/>
    <row r="3309" ht="14.25" customHeight="1"/>
    <row r="3310" ht="14.25" customHeight="1"/>
    <row r="3311" ht="14.25" customHeight="1"/>
    <row r="3312" ht="14.25" customHeight="1"/>
    <row r="3313" ht="14.25" customHeight="1"/>
    <row r="3314" ht="14.25" customHeight="1"/>
    <row r="3315" ht="14.25" customHeight="1"/>
    <row r="3316" ht="14.25" customHeight="1"/>
    <row r="3317" ht="14.25" customHeight="1"/>
    <row r="3318" ht="14.25" customHeight="1"/>
    <row r="3319" ht="14.25" customHeight="1"/>
    <row r="3320" ht="14.25" customHeight="1"/>
    <row r="3321" ht="14.25" customHeight="1"/>
    <row r="3322" ht="14.25" customHeight="1"/>
    <row r="3323" ht="14.25" customHeight="1"/>
    <row r="3324" ht="14.25" customHeight="1"/>
    <row r="3325" ht="14.25" customHeight="1"/>
    <row r="3326" ht="14.25" customHeight="1"/>
    <row r="3327" ht="14.25" customHeight="1"/>
    <row r="3328" ht="14.25" customHeight="1"/>
    <row r="3329" ht="14.25" customHeight="1"/>
    <row r="3330" ht="14.25" customHeight="1"/>
    <row r="3331" ht="14.25" customHeight="1"/>
    <row r="3332" ht="14.25" customHeight="1"/>
    <row r="3333" ht="14.25" customHeight="1"/>
    <row r="3334" ht="14.25" customHeight="1"/>
    <row r="3335" ht="14.25" customHeight="1"/>
    <row r="3336" ht="14.25" customHeight="1"/>
    <row r="3337" ht="14.25" customHeight="1"/>
    <row r="3338" ht="14.25" customHeight="1"/>
    <row r="3339" ht="14.25" customHeight="1"/>
    <row r="3340" ht="14.25" customHeight="1"/>
    <row r="3341" ht="14.25" customHeight="1"/>
    <row r="3342" ht="14.25" customHeight="1"/>
    <row r="3343" ht="14.25" customHeight="1"/>
    <row r="3344" ht="14.25" customHeight="1"/>
    <row r="3345" ht="14.25" customHeight="1"/>
    <row r="3346" ht="14.25" customHeight="1"/>
    <row r="3347" ht="14.25" customHeight="1"/>
    <row r="3348" ht="14.25" customHeight="1"/>
    <row r="3349" ht="14.25" customHeight="1"/>
    <row r="3350" ht="14.25" customHeight="1"/>
    <row r="3351" ht="14.25" customHeight="1"/>
    <row r="3352" ht="14.25" customHeight="1"/>
    <row r="3353" ht="14.25" customHeight="1"/>
    <row r="3354" ht="14.25" customHeight="1"/>
    <row r="3355" ht="14.25" customHeight="1"/>
    <row r="3356" ht="14.25" customHeight="1"/>
    <row r="3357" ht="14.25" customHeight="1"/>
    <row r="3358" ht="14.25" customHeight="1"/>
    <row r="3359" ht="14.25" customHeight="1"/>
    <row r="3360" ht="14.25" customHeight="1"/>
    <row r="3361" ht="14.25" customHeight="1"/>
    <row r="3362" ht="14.25" customHeight="1"/>
    <row r="3363" ht="14.25" customHeight="1"/>
    <row r="3364" ht="14.25" customHeight="1"/>
    <row r="3365" ht="14.25" customHeight="1"/>
    <row r="3366" ht="14.25" customHeight="1"/>
    <row r="3367" ht="14.25" customHeight="1"/>
    <row r="3368" ht="14.25" customHeight="1"/>
    <row r="3369" ht="14.25" customHeight="1"/>
    <row r="3370" ht="14.25" customHeight="1"/>
    <row r="3371" ht="14.25" customHeight="1"/>
    <row r="3372" ht="14.25" customHeight="1"/>
    <row r="3373" ht="14.25" customHeight="1"/>
    <row r="3374" ht="14.25" customHeight="1"/>
    <row r="3375" ht="14.25" customHeight="1"/>
    <row r="3376" ht="14.25" customHeight="1"/>
    <row r="3377" ht="14.25" customHeight="1"/>
    <row r="3378" ht="14.25" customHeight="1"/>
    <row r="3379" ht="14.25" customHeight="1"/>
    <row r="3380" ht="14.25" customHeight="1"/>
    <row r="3381" ht="14.25" customHeight="1"/>
    <row r="3382" ht="14.25" customHeight="1"/>
    <row r="3383" ht="14.25" customHeight="1"/>
    <row r="3384" ht="14.25" customHeight="1"/>
    <row r="3385" ht="14.25" customHeight="1"/>
    <row r="3386" ht="14.25" customHeight="1"/>
    <row r="3387" ht="14.25" customHeight="1"/>
    <row r="3388" ht="14.25" customHeight="1"/>
    <row r="3389" ht="14.25" customHeight="1"/>
    <row r="3390" ht="14.25" customHeight="1"/>
    <row r="3391" ht="14.25" customHeight="1"/>
    <row r="3392" ht="14.25" customHeight="1"/>
    <row r="3393" ht="14.25" customHeight="1"/>
    <row r="3394" ht="14.25" customHeight="1"/>
    <row r="3395" ht="14.25" customHeight="1"/>
    <row r="3396" ht="14.25" customHeight="1"/>
    <row r="3397" ht="14.25" customHeight="1"/>
    <row r="3398" ht="14.25" customHeight="1"/>
    <row r="3399" ht="14.25" customHeight="1"/>
    <row r="3400" ht="14.25" customHeight="1"/>
    <row r="3401" ht="14.25" customHeight="1"/>
    <row r="3402" ht="14.25" customHeight="1"/>
    <row r="3403" ht="14.25" customHeight="1"/>
    <row r="3404" ht="14.25" customHeight="1"/>
    <row r="3405" ht="14.25" customHeight="1"/>
    <row r="3406" ht="14.25" customHeight="1"/>
    <row r="3407" ht="14.25" customHeight="1"/>
    <row r="3408" ht="14.25" customHeight="1"/>
    <row r="3409" ht="14.25" customHeight="1"/>
    <row r="3410" ht="14.25" customHeight="1"/>
    <row r="3411" ht="14.25" customHeight="1"/>
    <row r="3412" ht="14.25" customHeight="1"/>
    <row r="3413" ht="14.25" customHeight="1"/>
    <row r="3414" ht="14.25" customHeight="1"/>
    <row r="3415" ht="14.25" customHeight="1"/>
    <row r="3416" ht="14.25" customHeight="1"/>
    <row r="3417" ht="14.25" customHeight="1"/>
    <row r="3418" ht="14.25" customHeight="1"/>
    <row r="3419" ht="14.25" customHeight="1"/>
    <row r="3420" ht="14.25" customHeight="1"/>
    <row r="3421" ht="14.25" customHeight="1"/>
    <row r="3422" ht="14.25" customHeight="1"/>
    <row r="3423" ht="14.25" customHeight="1"/>
    <row r="3424" ht="14.25" customHeight="1"/>
    <row r="3425" ht="14.25" customHeight="1"/>
    <row r="3426" ht="14.25" customHeight="1"/>
    <row r="3427" ht="14.25" customHeight="1"/>
    <row r="3428" ht="14.25" customHeight="1"/>
    <row r="3429" ht="14.25" customHeight="1"/>
    <row r="3430" ht="14.25" customHeight="1"/>
    <row r="3431" ht="14.25" customHeight="1"/>
    <row r="3432" ht="14.25" customHeight="1"/>
    <row r="3433" ht="14.25" customHeight="1"/>
    <row r="3434" ht="14.25" customHeight="1"/>
    <row r="3435" ht="14.25" customHeight="1"/>
    <row r="3436" ht="14.25" customHeight="1"/>
    <row r="3437" ht="14.25" customHeight="1"/>
    <row r="3438" ht="14.25" customHeight="1"/>
    <row r="3439" ht="14.25" customHeight="1"/>
    <row r="3440" ht="14.25" customHeight="1"/>
    <row r="3441" ht="14.25" customHeight="1"/>
    <row r="3442" ht="14.25" customHeight="1"/>
    <row r="3443" ht="14.25" customHeight="1"/>
    <row r="3444" ht="14.25" customHeight="1"/>
    <row r="3445" ht="14.25" customHeight="1"/>
    <row r="3446" ht="14.25" customHeight="1"/>
    <row r="3447" ht="14.25" customHeight="1"/>
    <row r="3448" ht="14.25" customHeight="1"/>
    <row r="3449" ht="14.25" customHeight="1"/>
    <row r="3450" ht="14.25" customHeight="1"/>
    <row r="3451" ht="14.25" customHeight="1"/>
    <row r="3452" ht="14.25" customHeight="1"/>
    <row r="3453" ht="14.25" customHeight="1"/>
    <row r="3454" ht="14.25" customHeight="1"/>
    <row r="3455" ht="14.25" customHeight="1"/>
    <row r="3456" ht="14.25" customHeight="1"/>
    <row r="3457" ht="14.25" customHeight="1"/>
    <row r="3458" ht="14.25" customHeight="1"/>
    <row r="3459" ht="14.25" customHeight="1"/>
    <row r="3460" ht="14.25" customHeight="1"/>
    <row r="3461" ht="14.25" customHeight="1"/>
    <row r="3462" ht="14.25" customHeight="1"/>
    <row r="3463" ht="14.25" customHeight="1"/>
    <row r="3464" ht="14.25" customHeight="1"/>
    <row r="3465" ht="14.25" customHeight="1"/>
    <row r="3466" ht="14.25" customHeight="1"/>
    <row r="3467" ht="14.25" customHeight="1"/>
    <row r="3468" ht="14.25" customHeight="1"/>
    <row r="3469" ht="14.25" customHeight="1"/>
    <row r="3470" ht="14.25" customHeight="1"/>
    <row r="3471" ht="14.25" customHeight="1"/>
    <row r="3472" ht="14.25" customHeight="1"/>
    <row r="3473" ht="14.25" customHeight="1"/>
    <row r="3474" ht="14.25" customHeight="1"/>
    <row r="3475" ht="14.25" customHeight="1"/>
    <row r="3476" ht="14.25" customHeight="1"/>
    <row r="3477" ht="14.25" customHeight="1"/>
    <row r="3478" ht="14.25" customHeight="1"/>
    <row r="3479" ht="14.25" customHeight="1"/>
    <row r="3480" ht="14.25" customHeight="1"/>
    <row r="3481" ht="14.25" customHeight="1"/>
    <row r="3482" ht="14.25" customHeight="1"/>
    <row r="3483" ht="14.25" customHeight="1"/>
    <row r="3484" ht="14.25" customHeight="1"/>
    <row r="3485" ht="14.25" customHeight="1"/>
    <row r="3486" ht="14.25" customHeight="1"/>
    <row r="3487" ht="14.25" customHeight="1"/>
    <row r="3488" ht="14.25" customHeight="1"/>
    <row r="3489" ht="14.25" customHeight="1"/>
    <row r="3490" ht="14.25" customHeight="1"/>
    <row r="3491" ht="14.25" customHeight="1"/>
    <row r="3492" ht="14.25" customHeight="1"/>
    <row r="3493" ht="14.25" customHeight="1"/>
    <row r="3494" ht="14.25" customHeight="1"/>
    <row r="3495" ht="14.25" customHeight="1"/>
    <row r="3496" ht="14.25" customHeight="1"/>
    <row r="3497" ht="14.25" customHeight="1"/>
    <row r="3498" ht="14.25" customHeight="1"/>
    <row r="3499" ht="14.25" customHeight="1"/>
    <row r="3500" ht="14.25" customHeight="1"/>
    <row r="3501" ht="14.25" customHeight="1"/>
    <row r="3502" ht="14.25" customHeight="1"/>
    <row r="3503" ht="14.25" customHeight="1"/>
    <row r="3504" ht="14.25" customHeight="1"/>
    <row r="3505" ht="14.25" customHeight="1"/>
    <row r="3506" ht="14.25" customHeight="1"/>
    <row r="3507" ht="14.25" customHeight="1"/>
    <row r="3508" ht="14.25" customHeight="1"/>
    <row r="3509" ht="14.25" customHeight="1"/>
    <row r="3510" ht="14.25" customHeight="1"/>
    <row r="3511" ht="14.25" customHeight="1"/>
    <row r="3512" ht="14.25" customHeight="1"/>
    <row r="3513" ht="14.25" customHeight="1"/>
    <row r="3514" ht="14.25" customHeight="1"/>
    <row r="3515" ht="14.25" customHeight="1"/>
    <row r="3516" ht="14.25" customHeight="1"/>
    <row r="3517" ht="14.25" customHeight="1"/>
    <row r="3518" ht="14.25" customHeight="1"/>
    <row r="3519" ht="14.25" customHeight="1"/>
    <row r="3520" ht="14.25" customHeight="1"/>
    <row r="3521" ht="14.25" customHeight="1"/>
    <row r="3522" ht="14.25" customHeight="1"/>
    <row r="3523" ht="14.25" customHeight="1"/>
    <row r="3524" ht="14.25" customHeight="1"/>
    <row r="3525" ht="14.25" customHeight="1"/>
    <row r="3526" ht="14.25" customHeight="1"/>
    <row r="3527" ht="14.25" customHeight="1"/>
    <row r="3528" ht="14.25" customHeight="1"/>
    <row r="3529" ht="14.25" customHeight="1"/>
    <row r="3530" ht="14.25" customHeight="1"/>
    <row r="3531" ht="14.25" customHeight="1"/>
    <row r="3532" ht="14.25" customHeight="1"/>
    <row r="3533" ht="14.25" customHeight="1"/>
    <row r="3534" ht="14.25" customHeight="1"/>
    <row r="3535" ht="14.25" customHeight="1"/>
    <row r="3536" ht="14.25" customHeight="1"/>
    <row r="3537" ht="14.25" customHeight="1"/>
    <row r="3538" ht="14.25" customHeight="1"/>
    <row r="3539" ht="14.25" customHeight="1"/>
    <row r="3540" ht="14.25" customHeight="1"/>
    <row r="3541" ht="14.25" customHeight="1"/>
    <row r="3542" ht="14.25" customHeight="1"/>
    <row r="3543" ht="14.25" customHeight="1"/>
    <row r="3544" ht="14.25" customHeight="1"/>
    <row r="3545" ht="14.25" customHeight="1"/>
    <row r="3546" ht="14.25" customHeight="1"/>
    <row r="3547" ht="14.25" customHeight="1"/>
    <row r="3548" ht="14.25" customHeight="1"/>
    <row r="3549" ht="14.25" customHeight="1"/>
    <row r="3550" ht="14.25" customHeight="1"/>
    <row r="3551" ht="14.25" customHeight="1"/>
    <row r="3552" ht="14.25" customHeight="1"/>
    <row r="3553" ht="14.25" customHeight="1"/>
    <row r="3554" ht="14.25" customHeight="1"/>
    <row r="3555" ht="14.25" customHeight="1"/>
    <row r="3556" ht="14.25" customHeight="1"/>
    <row r="3557" ht="14.25" customHeight="1"/>
    <row r="3558" ht="14.25" customHeight="1"/>
    <row r="3559" ht="14.25" customHeight="1"/>
    <row r="3560" ht="14.25" customHeight="1"/>
    <row r="3561" ht="14.25" customHeight="1"/>
    <row r="3562" ht="14.25" customHeight="1"/>
    <row r="3563" ht="14.25" customHeight="1"/>
    <row r="3564" ht="14.25" customHeight="1"/>
    <row r="3565" ht="14.25" customHeight="1"/>
    <row r="3566" ht="14.25" customHeight="1"/>
    <row r="3567" ht="14.25" customHeight="1"/>
    <row r="3568" ht="14.25" customHeight="1"/>
    <row r="3569" ht="14.25" customHeight="1"/>
    <row r="3570" ht="14.25" customHeight="1"/>
    <row r="3571" ht="14.25" customHeight="1"/>
    <row r="3572" ht="14.25" customHeight="1"/>
    <row r="3573" ht="14.25" customHeight="1"/>
    <row r="3574" ht="14.25" customHeight="1"/>
    <row r="3575" ht="14.25" customHeight="1"/>
    <row r="3576" ht="14.25" customHeight="1"/>
    <row r="3577" ht="14.25" customHeight="1"/>
    <row r="3578" ht="14.25" customHeight="1"/>
    <row r="3579" ht="14.25" customHeight="1"/>
    <row r="3580" ht="14.25" customHeight="1"/>
    <row r="3581" ht="14.25" customHeight="1"/>
    <row r="3582" ht="14.25" customHeight="1"/>
    <row r="3583" ht="14.25" customHeight="1"/>
    <row r="3584" ht="14.25" customHeight="1"/>
    <row r="3585" ht="14.25" customHeight="1"/>
    <row r="3586" ht="14.25" customHeight="1"/>
    <row r="3587" ht="14.25" customHeight="1"/>
    <row r="3588" ht="14.25" customHeight="1"/>
    <row r="3589" ht="14.25" customHeight="1"/>
    <row r="3590" ht="14.25" customHeight="1"/>
    <row r="3591" ht="14.25" customHeight="1"/>
    <row r="3592" ht="14.25" customHeight="1"/>
    <row r="3593" ht="14.25" customHeight="1"/>
    <row r="3594" ht="14.25" customHeight="1"/>
    <row r="3595" ht="14.25" customHeight="1"/>
    <row r="3596" ht="14.25" customHeight="1"/>
    <row r="3597" ht="14.25" customHeight="1"/>
    <row r="3598" ht="14.25" customHeight="1"/>
    <row r="3599" ht="14.25" customHeight="1"/>
    <row r="3600" ht="14.25" customHeight="1"/>
    <row r="3601" ht="14.25" customHeight="1"/>
    <row r="3602" ht="14.25" customHeight="1"/>
    <row r="3603" ht="14.25" customHeight="1"/>
    <row r="3604" ht="14.25" customHeight="1"/>
    <row r="3605" ht="14.25" customHeight="1"/>
    <row r="3606" ht="14.25" customHeight="1"/>
    <row r="3607" ht="14.25" customHeight="1"/>
    <row r="3608" ht="14.25" customHeight="1"/>
    <row r="3609" ht="14.25" customHeight="1"/>
    <row r="3610" ht="14.25" customHeight="1"/>
    <row r="3611" ht="14.25" customHeight="1"/>
    <row r="3612" ht="14.25" customHeight="1"/>
    <row r="3613" ht="14.25" customHeight="1"/>
    <row r="3614" ht="14.25" customHeight="1"/>
    <row r="3615" ht="14.25" customHeight="1"/>
    <row r="3616" ht="14.25" customHeight="1"/>
    <row r="3617" ht="14.25" customHeight="1"/>
    <row r="3618" ht="14.25" customHeight="1"/>
    <row r="3619" ht="14.25" customHeight="1"/>
    <row r="3620" ht="14.25" customHeight="1"/>
    <row r="3621" ht="14.25" customHeight="1"/>
    <row r="3622" ht="14.25" customHeight="1"/>
    <row r="3623" ht="14.25" customHeight="1"/>
    <row r="3624" ht="14.25" customHeight="1"/>
    <row r="3625" ht="14.25" customHeight="1"/>
    <row r="3626" ht="14.25" customHeight="1"/>
    <row r="3627" ht="14.25" customHeight="1"/>
    <row r="3628" ht="14.25" customHeight="1"/>
    <row r="3629" ht="14.25" customHeight="1"/>
    <row r="3630" ht="14.25" customHeight="1"/>
    <row r="3631" ht="14.25" customHeight="1"/>
    <row r="3632" ht="14.25" customHeight="1"/>
    <row r="3633" ht="14.25" customHeight="1"/>
    <row r="3634" ht="14.25" customHeight="1"/>
    <row r="3635" ht="14.25" customHeight="1"/>
    <row r="3636" ht="14.25" customHeight="1"/>
    <row r="3637" ht="14.25" customHeight="1"/>
    <row r="3638" ht="14.25" customHeight="1"/>
    <row r="3639" ht="14.25" customHeight="1"/>
    <row r="3640" ht="14.25" customHeight="1"/>
    <row r="3641" ht="14.25" customHeight="1"/>
    <row r="3642" ht="14.25" customHeight="1"/>
    <row r="3643" ht="14.25" customHeight="1"/>
    <row r="3644" ht="14.25" customHeight="1"/>
    <row r="3645" ht="14.25" customHeight="1"/>
    <row r="3646" ht="14.25" customHeight="1"/>
    <row r="3647" ht="14.25" customHeight="1"/>
    <row r="3648" ht="14.25" customHeight="1"/>
    <row r="3649" ht="14.25" customHeight="1"/>
    <row r="3650" ht="14.25" customHeight="1"/>
    <row r="3651" ht="14.25" customHeight="1"/>
    <row r="3652" ht="14.25" customHeight="1"/>
    <row r="3653" ht="14.25" customHeight="1"/>
    <row r="3654" ht="14.25" customHeight="1"/>
    <row r="3655" ht="14.25" customHeight="1"/>
    <row r="3656" ht="14.25" customHeight="1"/>
    <row r="3657" ht="14.25" customHeight="1"/>
    <row r="3658" ht="14.25" customHeight="1"/>
    <row r="3659" ht="14.25" customHeight="1"/>
    <row r="3660" ht="14.25" customHeight="1"/>
    <row r="3661" ht="14.25" customHeight="1"/>
    <row r="3662" ht="14.25" customHeight="1"/>
    <row r="3663" ht="14.25" customHeight="1"/>
    <row r="3664" ht="14.25" customHeight="1"/>
    <row r="3665" ht="14.25" customHeight="1"/>
    <row r="3666" ht="14.25" customHeight="1"/>
    <row r="3667" ht="14.25" customHeight="1"/>
    <row r="3668" ht="14.25" customHeight="1"/>
    <row r="3669" ht="14.25" customHeight="1"/>
    <row r="3670" ht="14.25" customHeight="1"/>
    <row r="3671" ht="14.25" customHeight="1"/>
    <row r="3672" ht="14.25" customHeight="1"/>
    <row r="3673" ht="14.25" customHeight="1"/>
    <row r="3674" ht="14.25" customHeight="1"/>
    <row r="3675" ht="14.25" customHeight="1"/>
    <row r="3676" ht="14.25" customHeight="1"/>
    <row r="3677" ht="14.25" customHeight="1"/>
    <row r="3678" ht="14.25" customHeight="1"/>
    <row r="3679" ht="14.25" customHeight="1"/>
    <row r="3680" ht="14.25" customHeight="1"/>
    <row r="3681" ht="14.25" customHeight="1"/>
    <row r="3682" ht="14.25" customHeight="1"/>
    <row r="3683" ht="14.25" customHeight="1"/>
    <row r="3684" ht="14.25" customHeight="1"/>
    <row r="3685" ht="14.25" customHeight="1"/>
    <row r="3686" ht="14.25" customHeight="1"/>
    <row r="3687" ht="14.25" customHeight="1"/>
    <row r="3688" ht="14.25" customHeight="1"/>
    <row r="3689" ht="14.25" customHeight="1"/>
    <row r="3690" ht="14.25" customHeight="1"/>
    <row r="3691" ht="14.25" customHeight="1"/>
    <row r="3692" ht="14.25" customHeight="1"/>
    <row r="3693" ht="14.25" customHeight="1"/>
    <row r="3694" ht="14.25" customHeight="1"/>
    <row r="3695" ht="14.25" customHeight="1"/>
    <row r="3696" ht="14.25" customHeight="1"/>
    <row r="3697" ht="14.25" customHeight="1"/>
    <row r="3698" ht="14.25" customHeight="1"/>
    <row r="3699" ht="14.25" customHeight="1"/>
    <row r="3700" ht="14.25" customHeight="1"/>
    <row r="3701" ht="14.25" customHeight="1"/>
    <row r="3702" ht="14.25" customHeight="1"/>
    <row r="3703" ht="14.25" customHeight="1"/>
    <row r="3704" ht="14.25" customHeight="1"/>
    <row r="3705" ht="14.25" customHeight="1"/>
    <row r="3706" ht="14.25" customHeight="1"/>
    <row r="3707" ht="14.25" customHeight="1"/>
    <row r="3708" ht="14.25" customHeight="1"/>
    <row r="3709" ht="14.25" customHeight="1"/>
    <row r="3710" ht="14.25" customHeight="1"/>
    <row r="3711" ht="14.25" customHeight="1"/>
    <row r="3712" ht="14.25" customHeight="1"/>
    <row r="3713" ht="14.25" customHeight="1"/>
    <row r="3714" ht="14.25" customHeight="1"/>
    <row r="3715" ht="14.25" customHeight="1"/>
    <row r="3716" ht="14.25" customHeight="1"/>
    <row r="3717" ht="14.25" customHeight="1"/>
    <row r="3718" ht="14.25" customHeight="1"/>
    <row r="3719" ht="14.25" customHeight="1"/>
    <row r="3720" ht="14.25" customHeight="1"/>
    <row r="3721" ht="14.25" customHeight="1"/>
    <row r="3722" ht="14.25" customHeight="1"/>
    <row r="3723" ht="14.25" customHeight="1"/>
    <row r="3724" ht="14.25" customHeight="1"/>
    <row r="3725" ht="14.25" customHeight="1"/>
    <row r="3726" ht="14.25" customHeight="1"/>
    <row r="3727" ht="14.25" customHeight="1"/>
    <row r="3728" ht="14.25" customHeight="1"/>
    <row r="3729" ht="14.25" customHeight="1"/>
    <row r="3730" ht="14.25" customHeight="1"/>
    <row r="3731" ht="14.25" customHeight="1"/>
    <row r="3732" ht="14.25" customHeight="1"/>
    <row r="3733" ht="14.25" customHeight="1"/>
    <row r="3734" ht="14.25" customHeight="1"/>
    <row r="3735" ht="14.25" customHeight="1"/>
    <row r="3736" ht="14.25" customHeight="1"/>
    <row r="3737" ht="14.25" customHeight="1"/>
    <row r="3738" ht="14.25" customHeight="1"/>
    <row r="3739" ht="14.25" customHeight="1"/>
    <row r="3740" ht="14.25" customHeight="1"/>
    <row r="3741" ht="14.25" customHeight="1"/>
    <row r="3742" ht="14.25" customHeight="1"/>
    <row r="3743" ht="14.25" customHeight="1"/>
    <row r="3744" ht="14.25" customHeight="1"/>
    <row r="3745" ht="14.25" customHeight="1"/>
    <row r="3746" ht="14.25" customHeight="1"/>
    <row r="3747" ht="14.25" customHeight="1"/>
    <row r="3748" ht="14.25" customHeight="1"/>
    <row r="3749" ht="14.25" customHeight="1"/>
    <row r="3750" ht="14.25" customHeight="1"/>
    <row r="3751" ht="14.25" customHeight="1"/>
    <row r="3752" ht="14.25" customHeight="1"/>
    <row r="3753" ht="14.25" customHeight="1"/>
    <row r="3754" ht="14.25" customHeight="1"/>
    <row r="3755" ht="14.25" customHeight="1"/>
    <row r="3756" ht="14.25" customHeight="1"/>
    <row r="3757" ht="14.25" customHeight="1"/>
    <row r="3758" ht="14.25" customHeight="1"/>
    <row r="3759" ht="14.25" customHeight="1"/>
    <row r="3760" ht="14.25" customHeight="1"/>
    <row r="3761" ht="14.25" customHeight="1"/>
    <row r="3762" ht="14.25" customHeight="1"/>
    <row r="3763" ht="14.25" customHeight="1"/>
    <row r="3764" ht="14.25" customHeight="1"/>
    <row r="3765" ht="14.25" customHeight="1"/>
    <row r="3766" ht="14.25" customHeight="1"/>
    <row r="3767" ht="14.25" customHeight="1"/>
    <row r="3768" ht="14.25" customHeight="1"/>
    <row r="3769" ht="14.25" customHeight="1"/>
    <row r="3770" ht="14.25" customHeight="1"/>
    <row r="3771" ht="14.25" customHeight="1"/>
    <row r="3772" ht="14.25" customHeight="1"/>
    <row r="3773" ht="14.25" customHeight="1"/>
    <row r="3774" ht="14.25" customHeight="1"/>
    <row r="3775" ht="14.25" customHeight="1"/>
    <row r="3776" ht="14.25" customHeight="1"/>
    <row r="3777" ht="14.25" customHeight="1"/>
    <row r="3778" ht="14.25" customHeight="1"/>
    <row r="3779" ht="14.25" customHeight="1"/>
    <row r="3780" ht="14.25" customHeight="1"/>
    <row r="3781" ht="14.25" customHeight="1"/>
    <row r="3782" ht="14.25" customHeight="1"/>
    <row r="3783" ht="14.25" customHeight="1"/>
    <row r="3784" ht="14.25" customHeight="1"/>
    <row r="3785" ht="14.25" customHeight="1"/>
    <row r="3786" ht="14.25" customHeight="1"/>
    <row r="3787" ht="14.25" customHeight="1"/>
    <row r="3788" ht="14.25" customHeight="1"/>
    <row r="3789" ht="14.25" customHeight="1"/>
    <row r="3790" ht="14.25" customHeight="1"/>
    <row r="3791" ht="14.25" customHeight="1"/>
    <row r="3792" ht="14.25" customHeight="1"/>
    <row r="3793" ht="14.25" customHeight="1"/>
    <row r="3794" ht="14.25" customHeight="1"/>
    <row r="3795" ht="14.25" customHeight="1"/>
    <row r="3796" ht="14.25" customHeight="1"/>
    <row r="3797" ht="14.25" customHeight="1"/>
    <row r="3798" ht="14.25" customHeight="1"/>
    <row r="3799" ht="14.25" customHeight="1"/>
    <row r="3800" ht="14.25" customHeight="1"/>
    <row r="3801" ht="14.25" customHeight="1"/>
    <row r="3802" ht="14.25" customHeight="1"/>
    <row r="3803" ht="14.25" customHeight="1"/>
    <row r="3804" ht="14.25" customHeight="1"/>
    <row r="3805" ht="14.25" customHeight="1"/>
    <row r="3806" ht="14.25" customHeight="1"/>
    <row r="3807" ht="14.25" customHeight="1"/>
    <row r="3808" ht="14.25" customHeight="1"/>
    <row r="3809" ht="14.25" customHeight="1"/>
    <row r="3810" ht="14.25" customHeight="1"/>
    <row r="3811" ht="14.25" customHeight="1"/>
    <row r="3812" ht="14.25" customHeight="1"/>
    <row r="3813" ht="14.25" customHeight="1"/>
    <row r="3814" ht="14.25" customHeight="1"/>
    <row r="3815" ht="14.25" customHeight="1"/>
    <row r="3816" ht="14.25" customHeight="1"/>
    <row r="3817" ht="14.25" customHeight="1"/>
    <row r="3818" ht="14.25" customHeight="1"/>
    <row r="3819" ht="14.25" customHeight="1"/>
    <row r="3820" ht="14.25" customHeight="1"/>
    <row r="3821" ht="14.25" customHeight="1"/>
    <row r="3822" ht="14.25" customHeight="1"/>
    <row r="3823" ht="14.25" customHeight="1"/>
    <row r="3824" ht="14.25" customHeight="1"/>
    <row r="3825" ht="14.25" customHeight="1"/>
    <row r="3826" ht="14.25" customHeight="1"/>
    <row r="3827" ht="14.25" customHeight="1"/>
    <row r="3828" ht="14.25" customHeight="1"/>
    <row r="3829" ht="14.25" customHeight="1"/>
    <row r="3830" ht="14.25" customHeight="1"/>
    <row r="3831" ht="14.25" customHeight="1"/>
    <row r="3832" ht="14.25" customHeight="1"/>
    <row r="3833" ht="14.25" customHeight="1"/>
    <row r="3834" ht="14.25" customHeight="1"/>
    <row r="3835" ht="14.25" customHeight="1"/>
    <row r="3836" ht="14.25" customHeight="1"/>
    <row r="3837" ht="14.25" customHeight="1"/>
    <row r="3838" ht="14.25" customHeight="1"/>
    <row r="3839" ht="14.25" customHeight="1"/>
    <row r="3840" ht="14.25" customHeight="1"/>
    <row r="3841" ht="14.25" customHeight="1"/>
    <row r="3842" ht="14.25" customHeight="1"/>
    <row r="3843" ht="14.25" customHeight="1"/>
    <row r="3844" ht="14.25" customHeight="1"/>
    <row r="3845" ht="14.25" customHeight="1"/>
    <row r="3846" ht="14.25" customHeight="1"/>
    <row r="3847" ht="14.25" customHeight="1"/>
    <row r="3848" ht="14.25" customHeight="1"/>
    <row r="3849" ht="14.25" customHeight="1"/>
    <row r="3850" ht="14.25" customHeight="1"/>
    <row r="3851" ht="14.25" customHeight="1"/>
    <row r="3852" ht="14.25" customHeight="1"/>
    <row r="3853" ht="14.25" customHeight="1"/>
    <row r="3854" ht="14.25" customHeight="1"/>
    <row r="3855" ht="14.25" customHeight="1"/>
    <row r="3856" ht="14.25" customHeight="1"/>
    <row r="3857" ht="14.25" customHeight="1"/>
    <row r="3858" ht="14.25" customHeight="1"/>
    <row r="3859" ht="14.25" customHeight="1"/>
    <row r="3860" ht="14.25" customHeight="1"/>
    <row r="3861" ht="14.25" customHeight="1"/>
    <row r="3862" ht="14.25" customHeight="1"/>
    <row r="3863" ht="14.25" customHeight="1"/>
    <row r="3864" ht="14.25" customHeight="1"/>
    <row r="3865" ht="14.25" customHeight="1"/>
    <row r="3866" ht="14.25" customHeight="1"/>
    <row r="3867" ht="14.25" customHeight="1"/>
    <row r="3868" ht="14.25" customHeight="1"/>
    <row r="3869" ht="14.25" customHeight="1"/>
    <row r="3870" ht="14.25" customHeight="1"/>
    <row r="3871" ht="14.25" customHeight="1"/>
    <row r="3872" ht="14.25" customHeight="1"/>
    <row r="3873" ht="14.25" customHeight="1"/>
    <row r="3874" ht="14.25" customHeight="1"/>
    <row r="3875" ht="14.25" customHeight="1"/>
    <row r="3876" ht="14.25" customHeight="1"/>
    <row r="3877" ht="14.25" customHeight="1"/>
    <row r="3878" ht="14.25" customHeight="1"/>
    <row r="3879" ht="14.25" customHeight="1"/>
    <row r="3880" ht="14.25" customHeight="1"/>
    <row r="3881" ht="14.25" customHeight="1"/>
    <row r="3882" ht="14.25" customHeight="1"/>
    <row r="3883" ht="14.25" customHeight="1"/>
    <row r="3884" ht="14.25" customHeight="1"/>
    <row r="3885" ht="14.25" customHeight="1"/>
    <row r="3886" ht="14.25" customHeight="1"/>
    <row r="3887" ht="14.25" customHeight="1"/>
    <row r="3888" ht="14.25" customHeight="1"/>
    <row r="3889" ht="14.25" customHeight="1"/>
    <row r="3890" ht="14.25" customHeight="1"/>
    <row r="3891" ht="14.25" customHeight="1"/>
    <row r="3892" ht="14.25" customHeight="1"/>
    <row r="3893" ht="14.25" customHeight="1"/>
    <row r="3894" ht="14.25" customHeight="1"/>
    <row r="3895" ht="14.25" customHeight="1"/>
    <row r="3896" ht="14.25" customHeight="1"/>
    <row r="3897" ht="14.25" customHeight="1"/>
    <row r="3898" ht="14.25" customHeight="1"/>
    <row r="3899" ht="14.25" customHeight="1"/>
    <row r="3900" ht="14.25" customHeight="1"/>
    <row r="3901" ht="14.25" customHeight="1"/>
    <row r="3902" ht="14.25" customHeight="1"/>
    <row r="3903" ht="14.25" customHeight="1"/>
    <row r="3904" ht="14.25" customHeight="1"/>
    <row r="3905" ht="14.25" customHeight="1"/>
    <row r="3906" ht="14.25" customHeight="1"/>
    <row r="3907" ht="14.25" customHeight="1"/>
    <row r="3908" ht="14.25" customHeight="1"/>
    <row r="3909" ht="14.25" customHeight="1"/>
    <row r="3910" ht="14.25" customHeight="1"/>
    <row r="3911" ht="14.25" customHeight="1"/>
    <row r="3912" ht="14.25" customHeight="1"/>
    <row r="3913" ht="14.25" customHeight="1"/>
    <row r="3914" ht="14.25" customHeight="1"/>
    <row r="3915" ht="14.25" customHeight="1"/>
    <row r="3916" ht="14.25" customHeight="1"/>
    <row r="3917" ht="14.25" customHeight="1"/>
    <row r="3918" ht="14.25" customHeight="1"/>
    <row r="3919" ht="14.25" customHeight="1"/>
    <row r="3920" ht="14.25" customHeight="1"/>
    <row r="3921" ht="14.25" customHeight="1"/>
    <row r="3922" ht="14.25" customHeight="1"/>
    <row r="3923" ht="14.25" customHeight="1"/>
    <row r="3924" ht="14.25" customHeight="1"/>
    <row r="3925" ht="14.25" customHeight="1"/>
    <row r="3926" ht="14.25" customHeight="1"/>
    <row r="3927" ht="14.25" customHeight="1"/>
    <row r="3928" ht="14.25" customHeight="1"/>
    <row r="3929" ht="14.25" customHeight="1"/>
    <row r="3930" ht="14.25" customHeight="1"/>
    <row r="3931" ht="14.25" customHeight="1"/>
    <row r="3932" ht="14.25" customHeight="1"/>
    <row r="3933" ht="14.25" customHeight="1"/>
    <row r="3934" ht="14.25" customHeight="1"/>
    <row r="3935" ht="14.25" customHeight="1"/>
    <row r="3936" ht="14.25" customHeight="1"/>
    <row r="3937" ht="14.25" customHeight="1"/>
    <row r="3938" ht="14.25" customHeight="1"/>
    <row r="3939" ht="14.25" customHeight="1"/>
    <row r="3940" ht="14.25" customHeight="1"/>
    <row r="3941" ht="14.25" customHeight="1"/>
    <row r="3942" ht="14.25" customHeight="1"/>
    <row r="3943" ht="14.25" customHeight="1"/>
    <row r="3944" ht="14.25" customHeight="1"/>
    <row r="3945" ht="14.25" customHeight="1"/>
    <row r="3946" ht="14.25" customHeight="1"/>
    <row r="3947" ht="14.25" customHeight="1"/>
    <row r="3948" ht="14.25" customHeight="1"/>
    <row r="3949" ht="14.25" customHeight="1"/>
    <row r="3950" ht="14.25" customHeight="1"/>
    <row r="3951" ht="14.25" customHeight="1"/>
    <row r="3952" ht="14.25" customHeight="1"/>
    <row r="3953" ht="14.25" customHeight="1"/>
    <row r="3954" ht="14.25" customHeight="1"/>
    <row r="3955" ht="14.25" customHeight="1"/>
    <row r="3956" ht="14.25" customHeight="1"/>
    <row r="3957" ht="14.25" customHeight="1"/>
    <row r="3958" ht="14.25" customHeight="1"/>
    <row r="3959" ht="14.25" customHeight="1"/>
    <row r="3960" ht="14.25" customHeight="1"/>
    <row r="3961" ht="14.25" customHeight="1"/>
    <row r="3962" ht="14.25" customHeight="1"/>
    <row r="3963" ht="14.25" customHeight="1"/>
    <row r="3964" ht="14.25" customHeight="1"/>
    <row r="3965" ht="14.25" customHeight="1"/>
    <row r="3966" ht="14.25" customHeight="1"/>
    <row r="3967" ht="14.25" customHeight="1"/>
    <row r="3968" ht="14.25" customHeight="1"/>
    <row r="3969" ht="14.25" customHeight="1"/>
    <row r="3970" ht="14.25" customHeight="1"/>
    <row r="3971" ht="14.25" customHeight="1"/>
    <row r="3972" ht="14.25" customHeight="1"/>
    <row r="3973" ht="14.25" customHeight="1"/>
    <row r="3974" ht="14.25" customHeight="1"/>
    <row r="3975" ht="14.25" customHeight="1"/>
    <row r="3976" ht="14.25" customHeight="1"/>
    <row r="3977" ht="14.25" customHeight="1"/>
    <row r="3978" ht="14.25" customHeight="1"/>
    <row r="3979" ht="14.25" customHeight="1"/>
    <row r="3980" ht="14.25" customHeight="1"/>
    <row r="3981" ht="14.25" customHeight="1"/>
    <row r="3982" ht="14.25" customHeight="1"/>
    <row r="3983" ht="14.25" customHeight="1"/>
    <row r="3984" ht="14.25" customHeight="1"/>
    <row r="3985" ht="14.25" customHeight="1"/>
    <row r="3986" ht="14.25" customHeight="1"/>
    <row r="3987" ht="14.25" customHeight="1"/>
    <row r="3988" ht="14.25" customHeight="1"/>
    <row r="3989" ht="14.25" customHeight="1"/>
    <row r="3990" ht="14.25" customHeight="1"/>
    <row r="3991" ht="14.25" customHeight="1"/>
    <row r="3992" ht="14.25" customHeight="1"/>
    <row r="3993" ht="14.25" customHeight="1"/>
    <row r="3994" ht="14.25" customHeight="1"/>
    <row r="3995" ht="14.25" customHeight="1"/>
    <row r="3996" ht="14.25" customHeight="1"/>
    <row r="3997" ht="14.25" customHeight="1"/>
    <row r="3998" ht="14.25" customHeight="1"/>
    <row r="3999" ht="14.25" customHeight="1"/>
    <row r="4000" ht="14.25" customHeight="1"/>
    <row r="4001" ht="14.25" customHeight="1"/>
    <row r="4002" ht="14.25" customHeight="1"/>
    <row r="4003" ht="14.25" customHeight="1"/>
    <row r="4004" ht="14.25" customHeight="1"/>
    <row r="4005" ht="14.25" customHeight="1"/>
    <row r="4006" ht="14.25" customHeight="1"/>
    <row r="4007" ht="14.25" customHeight="1"/>
    <row r="4008" ht="14.25" customHeight="1"/>
    <row r="4009" ht="14.25" customHeight="1"/>
    <row r="4010" ht="14.25" customHeight="1"/>
    <row r="4011" ht="14.25" customHeight="1"/>
    <row r="4012" ht="14.25" customHeight="1"/>
    <row r="4013" ht="14.25" customHeight="1"/>
    <row r="4014" ht="14.25" customHeight="1"/>
    <row r="4015" ht="14.25" customHeight="1"/>
    <row r="4016" ht="14.25" customHeight="1"/>
    <row r="4017" ht="14.25" customHeight="1"/>
    <row r="4018" ht="14.25" customHeight="1"/>
    <row r="4019" ht="14.25" customHeight="1"/>
    <row r="4020" ht="14.25" customHeight="1"/>
    <row r="4021" ht="14.25" customHeight="1"/>
    <row r="4022" ht="14.25" customHeight="1"/>
    <row r="4023" ht="14.25" customHeight="1"/>
    <row r="4024" ht="14.25" customHeight="1"/>
    <row r="4025" ht="14.25" customHeight="1"/>
    <row r="4026" ht="14.25" customHeight="1"/>
    <row r="4027" ht="14.25" customHeight="1"/>
    <row r="4028" ht="14.25" customHeight="1"/>
    <row r="4029" ht="14.25" customHeight="1"/>
    <row r="4030" ht="14.25" customHeight="1"/>
    <row r="4031" ht="14.25" customHeight="1"/>
    <row r="4032" ht="14.25" customHeight="1"/>
    <row r="4033" ht="14.25" customHeight="1"/>
    <row r="4034" ht="14.25" customHeight="1"/>
    <row r="4035" ht="14.25" customHeight="1"/>
    <row r="4036" ht="14.25" customHeight="1"/>
    <row r="4037" ht="14.25" customHeight="1"/>
    <row r="4038" ht="14.25" customHeight="1"/>
    <row r="4039" ht="14.25" customHeight="1"/>
    <row r="4040" ht="14.25" customHeight="1"/>
    <row r="4041" ht="14.25" customHeight="1"/>
    <row r="4042" ht="14.25" customHeight="1"/>
    <row r="4043" ht="14.25" customHeight="1"/>
    <row r="4044" ht="14.25" customHeight="1"/>
    <row r="4045" ht="14.25" customHeight="1"/>
    <row r="4046" ht="14.25" customHeight="1"/>
    <row r="4047" ht="14.25" customHeight="1"/>
    <row r="4048" ht="14.25" customHeight="1"/>
    <row r="4049" ht="14.25" customHeight="1"/>
    <row r="4050" ht="14.25" customHeight="1"/>
    <row r="4051" ht="14.25" customHeight="1"/>
    <row r="4052" ht="14.25" customHeight="1"/>
    <row r="4053" ht="14.25" customHeight="1"/>
    <row r="4054" ht="14.25" customHeight="1"/>
    <row r="4055" ht="14.25" customHeight="1"/>
    <row r="4056" ht="14.25" customHeight="1"/>
    <row r="4057" ht="14.25" customHeight="1"/>
    <row r="4058" ht="14.25" customHeight="1"/>
    <row r="4059" ht="14.25" customHeight="1"/>
    <row r="4060" ht="14.25" customHeight="1"/>
    <row r="4061" ht="14.25" customHeight="1"/>
    <row r="4062" ht="14.25" customHeight="1"/>
    <row r="4063" ht="14.25" customHeight="1"/>
    <row r="4064" ht="14.25" customHeight="1"/>
    <row r="4065" ht="14.25" customHeight="1"/>
    <row r="4066" ht="14.25" customHeight="1"/>
    <row r="4067" ht="14.25" customHeight="1"/>
    <row r="4068" ht="14.25" customHeight="1"/>
    <row r="4069" ht="14.25" customHeight="1"/>
    <row r="4070" ht="14.25" customHeight="1"/>
    <row r="4071" ht="14.25" customHeight="1"/>
    <row r="4072" ht="14.25" customHeight="1"/>
    <row r="4073" ht="14.25" customHeight="1"/>
    <row r="4074" ht="14.25" customHeight="1"/>
    <row r="4075" ht="14.25" customHeight="1"/>
    <row r="4076" ht="14.25" customHeight="1"/>
    <row r="4077" ht="14.25" customHeight="1"/>
    <row r="4078" ht="14.25" customHeight="1"/>
    <row r="4079" ht="14.25" customHeight="1"/>
    <row r="4080" ht="14.25" customHeight="1"/>
    <row r="4081" ht="14.25" customHeight="1"/>
    <row r="4082" ht="14.25" customHeight="1"/>
    <row r="4083" ht="14.25" customHeight="1"/>
    <row r="4084" ht="14.25" customHeight="1"/>
    <row r="4085" ht="14.25" customHeight="1"/>
    <row r="4086" ht="14.25" customHeight="1"/>
    <row r="4087" ht="14.25" customHeight="1"/>
    <row r="4088" ht="14.25" customHeight="1"/>
    <row r="4089" ht="14.25" customHeight="1"/>
    <row r="4090" ht="14.25" customHeight="1"/>
    <row r="4091" ht="14.25" customHeight="1"/>
    <row r="4092" ht="14.25" customHeight="1"/>
    <row r="4093" ht="14.25" customHeight="1"/>
    <row r="4094" ht="14.25" customHeight="1"/>
    <row r="4095" ht="14.25" customHeight="1"/>
    <row r="4096"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ht="14.25" customHeight="1"/>
    <row r="4178" ht="14.25" customHeight="1"/>
    <row r="4179" ht="14.25" customHeight="1"/>
    <row r="4180" ht="14.25" customHeight="1"/>
    <row r="4181" ht="14.25" customHeight="1"/>
    <row r="4182" ht="14.25" customHeight="1"/>
    <row r="4183" ht="14.25" customHeight="1"/>
    <row r="4184" ht="14.25" customHeight="1"/>
    <row r="4185" ht="14.25" customHeight="1"/>
    <row r="4186" ht="14.25" customHeight="1"/>
    <row r="4187" ht="14.25" customHeight="1"/>
    <row r="4188" ht="14.25" customHeight="1"/>
    <row r="4189" ht="14.25" customHeight="1"/>
    <row r="4190" ht="14.25" customHeight="1"/>
    <row r="4191" ht="14.25" customHeight="1"/>
    <row r="4192" ht="14.25" customHeight="1"/>
    <row r="4193" ht="14.25" customHeight="1"/>
    <row r="4194" ht="14.25" customHeight="1"/>
    <row r="4195" ht="14.25" customHeight="1"/>
    <row r="4196" ht="14.25" customHeight="1"/>
    <row r="4197" ht="14.25" customHeight="1"/>
    <row r="4198" ht="14.25" customHeight="1"/>
    <row r="4199" ht="14.25" customHeight="1"/>
    <row r="4200" ht="14.25" customHeight="1"/>
    <row r="4201" ht="14.25" customHeight="1"/>
    <row r="4202" ht="14.25" customHeight="1"/>
    <row r="4203" ht="14.25" customHeight="1"/>
    <row r="4204" ht="14.25" customHeight="1"/>
    <row r="4205" ht="14.25" customHeight="1"/>
    <row r="4206" ht="14.25" customHeight="1"/>
    <row r="4207" ht="14.25" customHeight="1"/>
    <row r="4208" ht="14.25" customHeight="1"/>
    <row r="4209" ht="14.25" customHeight="1"/>
    <row r="4210" ht="14.25" customHeight="1"/>
    <row r="4211" ht="14.25" customHeight="1"/>
    <row r="4212" ht="14.25" customHeight="1"/>
    <row r="4213" ht="14.25" customHeight="1"/>
    <row r="4214" ht="14.25" customHeight="1"/>
    <row r="4215" ht="14.25" customHeight="1"/>
    <row r="4216" ht="14.25" customHeight="1"/>
    <row r="4217" ht="14.25" customHeight="1"/>
    <row r="4218" ht="14.25" customHeight="1"/>
    <row r="4219" ht="14.25" customHeight="1"/>
    <row r="4220" ht="14.25" customHeight="1"/>
    <row r="4221" ht="14.25" customHeight="1"/>
    <row r="4222" ht="14.25" customHeight="1"/>
    <row r="4223" ht="14.25" customHeight="1"/>
    <row r="4224" ht="14.25" customHeight="1"/>
    <row r="4225" ht="14.25" customHeight="1"/>
    <row r="4226" ht="14.25" customHeight="1"/>
    <row r="4227" ht="14.25" customHeight="1"/>
    <row r="4228" ht="14.25" customHeight="1"/>
    <row r="4229" ht="14.25" customHeight="1"/>
    <row r="4230" ht="14.25" customHeight="1"/>
    <row r="4231" ht="14.25" customHeight="1"/>
    <row r="4232" ht="14.25" customHeight="1"/>
    <row r="4233" ht="14.25" customHeight="1"/>
    <row r="4234" ht="14.25" customHeight="1"/>
    <row r="4235" ht="14.25" customHeight="1"/>
    <row r="4236" ht="14.25" customHeight="1"/>
    <row r="4237" ht="14.25" customHeight="1"/>
    <row r="4238" ht="14.25" customHeight="1"/>
    <row r="4239" ht="14.25" customHeight="1"/>
    <row r="4240" ht="14.25" customHeight="1"/>
    <row r="4241" ht="14.25" customHeight="1"/>
    <row r="4242" ht="14.25" customHeight="1"/>
    <row r="4243" ht="14.25" customHeight="1"/>
    <row r="4244" ht="14.25" customHeight="1"/>
    <row r="4245" ht="14.25" customHeight="1"/>
    <row r="4246" ht="14.25" customHeight="1"/>
    <row r="4247" ht="14.25" customHeight="1"/>
    <row r="4248" ht="14.25" customHeight="1"/>
    <row r="4249" ht="14.25" customHeight="1"/>
    <row r="4250" ht="14.25" customHeight="1"/>
    <row r="4251" ht="14.25" customHeight="1"/>
    <row r="4252" ht="14.25" customHeight="1"/>
    <row r="4253" ht="14.25" customHeight="1"/>
    <row r="4254" ht="14.25" customHeight="1"/>
    <row r="4255" ht="14.25" customHeight="1"/>
    <row r="4256" ht="14.25" customHeight="1"/>
    <row r="4257" ht="14.25" customHeight="1"/>
    <row r="4258" ht="14.25" customHeight="1"/>
    <row r="4259" ht="14.25" customHeight="1"/>
    <row r="4260" ht="14.25" customHeight="1"/>
    <row r="4261" ht="14.25" customHeight="1"/>
    <row r="4262" ht="14.25" customHeight="1"/>
    <row r="4263" ht="14.25" customHeight="1"/>
    <row r="4264" ht="14.25" customHeight="1"/>
    <row r="4265" ht="14.25" customHeight="1"/>
    <row r="4266" ht="14.25" customHeight="1"/>
    <row r="4267" ht="14.25" customHeight="1"/>
    <row r="4268" ht="14.25" customHeight="1"/>
    <row r="4269" ht="14.25" customHeight="1"/>
    <row r="4270" ht="14.25" customHeight="1"/>
    <row r="4271" ht="14.25" customHeight="1"/>
    <row r="4272" ht="14.25" customHeight="1"/>
    <row r="4273" ht="14.25" customHeight="1"/>
    <row r="4274" ht="14.25" customHeight="1"/>
    <row r="4275" ht="14.25" customHeight="1"/>
    <row r="4276" ht="14.25" customHeight="1"/>
    <row r="4277" ht="14.25" customHeight="1"/>
    <row r="4278" ht="14.25" customHeight="1"/>
    <row r="4279" ht="14.25" customHeight="1"/>
    <row r="4280" ht="14.25" customHeight="1"/>
    <row r="4281" ht="14.25" customHeight="1"/>
    <row r="4282" ht="14.25" customHeight="1"/>
    <row r="4283" ht="14.25" customHeight="1"/>
    <row r="4284" ht="14.25" customHeight="1"/>
    <row r="4285" ht="14.25" customHeight="1"/>
    <row r="4286" ht="14.25" customHeight="1"/>
    <row r="4287" ht="14.25" customHeight="1"/>
    <row r="4288" ht="14.25" customHeight="1"/>
    <row r="4289" ht="14.25" customHeight="1"/>
    <row r="4290" ht="14.25" customHeight="1"/>
    <row r="4291" ht="14.25" customHeight="1"/>
    <row r="4292" ht="14.25" customHeight="1"/>
    <row r="4293" ht="14.25" customHeight="1"/>
    <row r="4294" ht="14.25" customHeight="1"/>
    <row r="4295" ht="14.25" customHeight="1"/>
    <row r="4296" ht="14.25" customHeight="1"/>
    <row r="4297" ht="14.25" customHeight="1"/>
    <row r="4298" ht="14.25" customHeight="1"/>
    <row r="4299" ht="14.25" customHeight="1"/>
    <row r="4300" ht="14.25" customHeight="1"/>
    <row r="4301" ht="14.25" customHeight="1"/>
    <row r="4302" ht="14.25" customHeight="1"/>
    <row r="4303" ht="14.25" customHeight="1"/>
    <row r="4304" ht="14.25" customHeight="1"/>
    <row r="4305" ht="14.25" customHeight="1"/>
    <row r="4306" ht="14.25" customHeight="1"/>
    <row r="4307" ht="14.25" customHeight="1"/>
    <row r="4308" ht="14.25" customHeight="1"/>
    <row r="4309" ht="14.25" customHeight="1"/>
    <row r="4310" ht="14.25" customHeight="1"/>
    <row r="4311" ht="14.25" customHeight="1"/>
    <row r="4312" ht="14.25" customHeight="1"/>
    <row r="4313" ht="14.25" customHeight="1"/>
    <row r="4314" ht="14.25" customHeight="1"/>
    <row r="4315" ht="14.25" customHeight="1"/>
    <row r="4316" ht="14.25" customHeight="1"/>
    <row r="4317" ht="14.25" customHeight="1"/>
    <row r="4318" ht="14.25" customHeight="1"/>
    <row r="4319" ht="14.25" customHeight="1"/>
    <row r="4320" ht="14.25" customHeight="1"/>
    <row r="4321" ht="14.25" customHeight="1"/>
    <row r="4322" ht="14.25" customHeight="1"/>
    <row r="4323" ht="14.25" customHeight="1"/>
    <row r="4324" ht="14.25" customHeight="1"/>
    <row r="4325" ht="14.25" customHeight="1"/>
    <row r="4326" ht="14.25" customHeight="1"/>
    <row r="4327" ht="14.25" customHeight="1"/>
    <row r="4328" ht="14.25" customHeight="1"/>
    <row r="4329" ht="14.25" customHeight="1"/>
    <row r="4330" ht="14.25" customHeight="1"/>
    <row r="4331" ht="14.25" customHeight="1"/>
    <row r="4332" ht="14.25" customHeight="1"/>
    <row r="4333" ht="14.25" customHeight="1"/>
    <row r="4334" ht="14.25" customHeight="1"/>
    <row r="4335" ht="14.25" customHeight="1"/>
    <row r="4336" ht="14.25" customHeight="1"/>
    <row r="4337" ht="14.25" customHeight="1"/>
    <row r="4338" ht="14.25" customHeight="1"/>
    <row r="4339" ht="14.25" customHeight="1"/>
    <row r="4340" ht="14.25" customHeight="1"/>
    <row r="4341" ht="14.25" customHeight="1"/>
    <row r="4342" ht="14.25" customHeight="1"/>
    <row r="4343" ht="14.25" customHeight="1"/>
    <row r="4344" ht="14.25" customHeight="1"/>
    <row r="4345" ht="14.25" customHeight="1"/>
    <row r="4346" ht="14.25" customHeight="1"/>
    <row r="4347" ht="14.25" customHeight="1"/>
    <row r="4348" ht="14.25" customHeight="1"/>
    <row r="4349" ht="14.25" customHeight="1"/>
    <row r="4350" ht="14.25" customHeight="1"/>
    <row r="4351" ht="14.25" customHeight="1"/>
    <row r="4352" ht="14.25" customHeight="1"/>
    <row r="4353" ht="14.25" customHeight="1"/>
    <row r="4354" ht="14.25" customHeight="1"/>
    <row r="4355" ht="14.25" customHeight="1"/>
    <row r="4356" ht="14.25" customHeight="1"/>
    <row r="4357" ht="14.25" customHeight="1"/>
    <row r="4358" ht="14.25" customHeight="1"/>
    <row r="4359" ht="14.25" customHeight="1"/>
    <row r="4360" ht="14.25" customHeight="1"/>
    <row r="4361" ht="14.25" customHeight="1"/>
    <row r="4362" ht="14.25" customHeight="1"/>
    <row r="4363" ht="14.25" customHeight="1"/>
    <row r="4364" ht="14.25" customHeight="1"/>
    <row r="4365" ht="14.25" customHeight="1"/>
    <row r="4366" ht="14.25" customHeight="1"/>
    <row r="4367" ht="14.25" customHeight="1"/>
    <row r="4368" ht="14.25" customHeight="1"/>
    <row r="4369" ht="14.25" customHeight="1"/>
    <row r="4370" ht="14.25" customHeight="1"/>
    <row r="4371" ht="14.25" customHeight="1"/>
    <row r="4372" ht="14.25" customHeight="1"/>
    <row r="4373" ht="14.25" customHeight="1"/>
    <row r="4374" ht="14.25" customHeight="1"/>
    <row r="4375" ht="14.25" customHeight="1"/>
    <row r="4376" ht="14.25" customHeight="1"/>
    <row r="4377" ht="14.25" customHeight="1"/>
    <row r="4378" ht="14.25" customHeight="1"/>
    <row r="4379" ht="14.25" customHeight="1"/>
    <row r="4380" ht="14.25" customHeight="1"/>
    <row r="4381" ht="14.25" customHeight="1"/>
    <row r="4382" ht="14.25" customHeight="1"/>
    <row r="4383" ht="14.25" customHeight="1"/>
    <row r="4384" ht="14.25" customHeight="1"/>
    <row r="4385" ht="14.25" customHeight="1"/>
    <row r="4386" ht="14.25" customHeight="1"/>
    <row r="4387" ht="14.25" customHeight="1"/>
    <row r="4388" ht="14.25" customHeight="1"/>
    <row r="4389" ht="14.25" customHeight="1"/>
    <row r="4390" ht="14.25" customHeight="1"/>
    <row r="4391" ht="14.25" customHeight="1"/>
    <row r="4392" ht="14.25" customHeight="1"/>
    <row r="4393" ht="14.25" customHeight="1"/>
    <row r="4394" ht="14.25" customHeight="1"/>
    <row r="4395" ht="14.25" customHeight="1"/>
    <row r="4396" ht="14.25" customHeight="1"/>
    <row r="4397" ht="14.25" customHeight="1"/>
    <row r="4398" ht="14.25" customHeight="1"/>
    <row r="4399" ht="14.25" customHeight="1"/>
    <row r="4400" ht="14.25" customHeight="1"/>
    <row r="4401" ht="14.25" customHeight="1"/>
    <row r="4402" ht="14.25" customHeight="1"/>
    <row r="4403" ht="14.25" customHeight="1"/>
    <row r="4404" ht="14.25" customHeight="1"/>
    <row r="4405" ht="14.25" customHeight="1"/>
    <row r="4406" ht="14.25" customHeight="1"/>
    <row r="4407" ht="14.25" customHeight="1"/>
    <row r="4408" ht="14.25" customHeight="1"/>
    <row r="4409" ht="14.25" customHeight="1"/>
    <row r="4410" ht="14.25" customHeight="1"/>
    <row r="4411" ht="14.25" customHeight="1"/>
    <row r="4412" ht="14.25" customHeight="1"/>
    <row r="4413" ht="14.25" customHeight="1"/>
    <row r="4414" ht="14.25" customHeight="1"/>
    <row r="4415" ht="14.25" customHeight="1"/>
    <row r="4416" ht="14.25" customHeight="1"/>
    <row r="4417" ht="14.25" customHeight="1"/>
    <row r="4418" ht="14.25" customHeight="1"/>
    <row r="4419" ht="14.25" customHeight="1"/>
    <row r="4420" ht="14.25" customHeight="1"/>
    <row r="4421" ht="14.25" customHeight="1"/>
    <row r="4422" ht="14.25" customHeight="1"/>
    <row r="4423" ht="14.25" customHeight="1"/>
    <row r="4424" ht="14.25" customHeight="1"/>
    <row r="4425" ht="14.25" customHeight="1"/>
    <row r="4426" ht="14.25" customHeight="1"/>
    <row r="4427" ht="14.25" customHeight="1"/>
    <row r="4428" ht="14.25" customHeight="1"/>
    <row r="4429" ht="14.25" customHeight="1"/>
    <row r="4430" ht="14.25" customHeight="1"/>
    <row r="4431" ht="14.25" customHeight="1"/>
    <row r="4432" ht="14.25" customHeight="1"/>
    <row r="4433" ht="14.25" customHeight="1"/>
    <row r="4434" ht="14.25" customHeight="1"/>
    <row r="4435" ht="14.25" customHeight="1"/>
    <row r="4436" ht="14.25" customHeight="1"/>
    <row r="4437" ht="14.25" customHeight="1"/>
    <row r="4438" ht="14.25" customHeight="1"/>
    <row r="4439" ht="14.25" customHeight="1"/>
    <row r="4440" ht="14.25" customHeight="1"/>
    <row r="4441" ht="14.25" customHeight="1"/>
    <row r="4442" ht="14.25" customHeight="1"/>
    <row r="4443" ht="14.25" customHeight="1"/>
    <row r="4444" ht="14.25" customHeight="1"/>
    <row r="4445" ht="14.25" customHeight="1"/>
    <row r="4446" ht="14.25" customHeight="1"/>
    <row r="4447" ht="14.25" customHeight="1"/>
    <row r="4448" ht="14.25" customHeight="1"/>
    <row r="4449" ht="14.25" customHeight="1"/>
    <row r="4450" ht="14.25" customHeight="1"/>
    <row r="4451" ht="14.25" customHeight="1"/>
    <row r="4452" ht="14.25" customHeight="1"/>
    <row r="4453" ht="14.25" customHeight="1"/>
    <row r="4454" ht="14.25" customHeight="1"/>
    <row r="4455" ht="14.25" customHeight="1"/>
    <row r="4456" ht="14.25" customHeight="1"/>
    <row r="4457" ht="14.25" customHeight="1"/>
    <row r="4458" ht="14.25" customHeight="1"/>
    <row r="4459" ht="14.25" customHeight="1"/>
    <row r="4460" ht="14.25" customHeight="1"/>
    <row r="4461" ht="14.25" customHeight="1"/>
    <row r="4462" ht="14.25" customHeight="1"/>
    <row r="4463" ht="14.25" customHeight="1"/>
    <row r="4464" ht="14.25" customHeight="1"/>
    <row r="4465" ht="14.25" customHeight="1"/>
    <row r="4466" ht="14.25" customHeight="1"/>
    <row r="4467" ht="14.25" customHeight="1"/>
    <row r="4468" ht="14.25" customHeight="1"/>
    <row r="4469" ht="14.25" customHeight="1"/>
    <row r="4470" ht="14.25" customHeight="1"/>
    <row r="4471" ht="14.25" customHeight="1"/>
    <row r="4472" ht="14.25" customHeight="1"/>
    <row r="4473" ht="14.25" customHeight="1"/>
    <row r="4474" ht="14.25" customHeight="1"/>
    <row r="4475" ht="14.25" customHeight="1"/>
    <row r="4476" ht="14.25" customHeight="1"/>
    <row r="4477" ht="14.25" customHeight="1"/>
    <row r="4478" ht="14.25" customHeight="1"/>
    <row r="4479" ht="14.25" customHeight="1"/>
    <row r="4480" ht="14.25" customHeight="1"/>
    <row r="4481" ht="14.25" customHeight="1"/>
    <row r="4482" ht="14.25" customHeight="1"/>
    <row r="4483" ht="14.25" customHeight="1"/>
    <row r="4484" ht="14.25" customHeight="1"/>
    <row r="4485" ht="14.25" customHeight="1"/>
    <row r="4486" ht="14.25" customHeight="1"/>
    <row r="4487" ht="14.25" customHeight="1"/>
    <row r="4488" ht="14.25" customHeight="1"/>
    <row r="4489" ht="14.25" customHeight="1"/>
    <row r="4490" ht="14.25" customHeight="1"/>
    <row r="4491" ht="14.25" customHeight="1"/>
    <row r="4492" ht="14.25" customHeight="1"/>
    <row r="4493" ht="14.25" customHeight="1"/>
    <row r="4494" ht="14.25" customHeight="1"/>
    <row r="4495" ht="14.25" customHeight="1"/>
    <row r="4496" ht="14.25" customHeight="1"/>
    <row r="4497" ht="14.25" customHeight="1"/>
    <row r="4498" ht="14.25" customHeight="1"/>
    <row r="4499" ht="14.25" customHeight="1"/>
    <row r="4500" ht="14.25" customHeight="1"/>
    <row r="4501" ht="14.25" customHeight="1"/>
    <row r="4502" ht="14.25" customHeight="1"/>
    <row r="4503" ht="14.25" customHeight="1"/>
    <row r="4504" ht="14.25" customHeight="1"/>
    <row r="4505" ht="14.25" customHeight="1"/>
    <row r="4506" ht="14.25" customHeight="1"/>
    <row r="4507" ht="14.25" customHeight="1"/>
    <row r="4508" ht="14.25" customHeight="1"/>
    <row r="4509" ht="14.25" customHeight="1"/>
    <row r="4510" ht="14.25" customHeight="1"/>
    <row r="4511" ht="14.25" customHeight="1"/>
    <row r="4512" ht="14.25" customHeight="1"/>
    <row r="4513" ht="14.25" customHeight="1"/>
    <row r="4514" ht="14.25" customHeight="1"/>
    <row r="4515" ht="14.25" customHeight="1"/>
    <row r="4516" ht="14.25" customHeight="1"/>
    <row r="4517" ht="14.25" customHeight="1"/>
    <row r="4518" ht="14.25" customHeight="1"/>
    <row r="4519" ht="14.25" customHeight="1"/>
    <row r="4520" ht="14.25" customHeight="1"/>
    <row r="4521" ht="14.25" customHeight="1"/>
    <row r="4522" ht="14.25" customHeight="1"/>
    <row r="4523" ht="14.25" customHeight="1"/>
    <row r="4524" ht="14.25" customHeight="1"/>
    <row r="4525" ht="14.25" customHeight="1"/>
    <row r="4526" ht="14.25" customHeight="1"/>
    <row r="4527" ht="14.25" customHeight="1"/>
    <row r="4528" ht="14.25" customHeight="1"/>
    <row r="4529" ht="14.25" customHeight="1"/>
    <row r="4530" ht="14.25" customHeight="1"/>
    <row r="4531" ht="14.25" customHeight="1"/>
    <row r="4532" ht="14.25" customHeight="1"/>
    <row r="4533" ht="14.25" customHeight="1"/>
    <row r="4534" ht="14.25" customHeight="1"/>
    <row r="4535" ht="14.25" customHeight="1"/>
    <row r="4536" ht="14.25" customHeight="1"/>
    <row r="4537" ht="14.25" customHeight="1"/>
    <row r="4538" ht="14.25" customHeight="1"/>
    <row r="4539" ht="14.25" customHeight="1"/>
    <row r="4540" ht="14.25" customHeight="1"/>
    <row r="4541" ht="14.25" customHeight="1"/>
    <row r="4542" ht="14.25" customHeight="1"/>
    <row r="4543" ht="14.25" customHeight="1"/>
    <row r="4544" ht="14.25" customHeight="1"/>
    <row r="4545" ht="14.25" customHeight="1"/>
    <row r="4546" ht="14.25" customHeight="1"/>
    <row r="4547" ht="14.25" customHeight="1"/>
    <row r="4548" ht="14.25" customHeight="1"/>
    <row r="4549" ht="14.25" customHeight="1"/>
    <row r="4550" ht="14.25" customHeight="1"/>
    <row r="4551" ht="14.25" customHeight="1"/>
    <row r="4552" ht="14.25" customHeight="1"/>
    <row r="4553" ht="14.25" customHeight="1"/>
    <row r="4554" ht="14.25" customHeight="1"/>
    <row r="4555" ht="14.25" customHeight="1"/>
    <row r="4556" ht="14.25" customHeight="1"/>
    <row r="4557" ht="14.25" customHeight="1"/>
    <row r="4558" ht="14.25" customHeight="1"/>
    <row r="4559" ht="14.25" customHeight="1"/>
    <row r="4560" ht="14.25" customHeight="1"/>
    <row r="4561" ht="14.25" customHeight="1"/>
    <row r="4562" ht="14.25" customHeight="1"/>
    <row r="4563" ht="14.25" customHeight="1"/>
    <row r="4564" ht="14.25" customHeight="1"/>
    <row r="4565" ht="14.25" customHeight="1"/>
    <row r="4566" ht="14.25" customHeight="1"/>
    <row r="4567" ht="14.25" customHeight="1"/>
    <row r="4568" ht="14.25" customHeight="1"/>
    <row r="4569" ht="14.25" customHeight="1"/>
    <row r="4570" ht="14.25" customHeight="1"/>
    <row r="4571" ht="14.25" customHeight="1"/>
    <row r="4572" ht="14.25" customHeight="1"/>
    <row r="4573" ht="14.25" customHeight="1"/>
    <row r="4574" ht="14.25" customHeight="1"/>
    <row r="4575" ht="14.25" customHeight="1"/>
    <row r="4576" ht="14.25" customHeight="1"/>
    <row r="4577" ht="14.25" customHeight="1"/>
    <row r="4578" ht="14.25" customHeight="1"/>
    <row r="4579" ht="14.25" customHeight="1"/>
    <row r="4580" ht="14.25" customHeight="1"/>
    <row r="4581" ht="14.25" customHeight="1"/>
    <row r="4582" ht="14.25" customHeight="1"/>
    <row r="4583" ht="14.25" customHeight="1"/>
    <row r="4584" ht="14.25" customHeight="1"/>
    <row r="4585" ht="14.25" customHeight="1"/>
    <row r="4586" ht="14.25" customHeight="1"/>
    <row r="4587" ht="14.25" customHeight="1"/>
    <row r="4588" ht="14.25" customHeight="1"/>
    <row r="4589" ht="14.25" customHeight="1"/>
    <row r="4590" ht="14.25" customHeight="1"/>
    <row r="4591" ht="14.25" customHeight="1"/>
    <row r="4592" ht="14.25" customHeight="1"/>
    <row r="4593" ht="14.25" customHeight="1"/>
    <row r="4594" ht="14.25" customHeight="1"/>
    <row r="4595" ht="14.25" customHeight="1"/>
    <row r="4596" ht="14.25" customHeight="1"/>
    <row r="4597" ht="14.25" customHeight="1"/>
    <row r="4598" ht="14.25" customHeight="1"/>
    <row r="4599" ht="14.25" customHeight="1"/>
    <row r="4600" ht="14.25" customHeight="1"/>
    <row r="4601" ht="14.25" customHeight="1"/>
    <row r="4602" ht="14.25" customHeight="1"/>
    <row r="4603" ht="14.25" customHeight="1"/>
    <row r="4604" ht="14.25" customHeight="1"/>
    <row r="4605" ht="14.25" customHeight="1"/>
    <row r="4606" ht="14.25" customHeight="1"/>
    <row r="4607" ht="14.25" customHeight="1"/>
    <row r="4608" ht="14.25" customHeight="1"/>
    <row r="4609" ht="14.25" customHeight="1"/>
    <row r="4610" ht="14.25" customHeight="1"/>
    <row r="4611" ht="14.25" customHeight="1"/>
    <row r="4612" ht="14.25" customHeight="1"/>
    <row r="4613" ht="14.25" customHeight="1"/>
    <row r="4614" ht="14.25" customHeight="1"/>
    <row r="4615" ht="14.25" customHeight="1"/>
    <row r="4616" ht="14.25" customHeight="1"/>
    <row r="4617" ht="14.25" customHeight="1"/>
    <row r="4618" ht="14.25" customHeight="1"/>
    <row r="4619" ht="14.25" customHeight="1"/>
    <row r="4620" ht="14.25" customHeight="1"/>
    <row r="4621" ht="14.25" customHeight="1"/>
    <row r="4622" ht="14.25" customHeight="1"/>
    <row r="4623" ht="14.25" customHeight="1"/>
    <row r="4624" ht="14.25" customHeight="1"/>
    <row r="4625" ht="14.25" customHeight="1"/>
    <row r="4626" ht="14.25" customHeight="1"/>
    <row r="4627" ht="14.25" customHeight="1"/>
    <row r="4628" ht="14.25" customHeight="1"/>
    <row r="4629" ht="14.25" customHeight="1"/>
    <row r="4630" ht="14.25" customHeight="1"/>
    <row r="4631" ht="14.25" customHeight="1"/>
    <row r="4632" ht="14.25" customHeight="1"/>
    <row r="4633" ht="14.25" customHeight="1"/>
    <row r="4634" ht="14.25" customHeight="1"/>
    <row r="4635" ht="14.25" customHeight="1"/>
    <row r="4636" ht="14.25" customHeight="1"/>
    <row r="4637" ht="14.25" customHeight="1"/>
    <row r="4638" ht="14.25" customHeight="1"/>
    <row r="4639" ht="14.25" customHeight="1"/>
    <row r="4640" ht="14.25" customHeight="1"/>
    <row r="4641" ht="14.25" customHeight="1"/>
    <row r="4642" ht="14.25" customHeight="1"/>
    <row r="4643" ht="14.25" customHeight="1"/>
    <row r="4644" ht="14.25" customHeight="1"/>
    <row r="4645" ht="14.25" customHeight="1"/>
    <row r="4646" ht="14.25" customHeight="1"/>
    <row r="4647" ht="14.25" customHeight="1"/>
    <row r="4648" ht="14.25" customHeight="1"/>
    <row r="4649" ht="14.25" customHeight="1"/>
    <row r="4650" ht="14.25" customHeight="1"/>
    <row r="4651" ht="14.25" customHeight="1"/>
    <row r="4652" ht="14.25" customHeight="1"/>
    <row r="4653" ht="14.25" customHeight="1"/>
    <row r="4654" ht="14.25" customHeight="1"/>
    <row r="4655" ht="14.25" customHeight="1"/>
    <row r="4656" ht="14.25" customHeight="1"/>
    <row r="4657" ht="14.25" customHeight="1"/>
    <row r="4658" ht="14.25" customHeight="1"/>
    <row r="4659" ht="14.25" customHeight="1"/>
    <row r="4660" ht="14.25" customHeight="1"/>
    <row r="4661" ht="14.25" customHeight="1"/>
    <row r="4662" ht="14.25" customHeight="1"/>
    <row r="4663" ht="14.25" customHeight="1"/>
    <row r="4664" ht="14.25" customHeight="1"/>
    <row r="4665" ht="14.25" customHeight="1"/>
    <row r="4666" ht="14.25" customHeight="1"/>
    <row r="4667" ht="14.25" customHeight="1"/>
    <row r="4668" ht="14.25" customHeight="1"/>
    <row r="4669" ht="14.25" customHeight="1"/>
    <row r="4670" ht="14.25" customHeight="1"/>
    <row r="4671" ht="14.25" customHeight="1"/>
    <row r="4672" ht="14.25" customHeight="1"/>
    <row r="4673" ht="14.25" customHeight="1"/>
    <row r="4674" ht="14.25" customHeight="1"/>
    <row r="4675" ht="14.25" customHeight="1"/>
    <row r="4676" ht="14.25" customHeight="1"/>
    <row r="4677" ht="14.25" customHeight="1"/>
    <row r="4678" ht="14.25" customHeight="1"/>
    <row r="4679" ht="14.25" customHeight="1"/>
    <row r="4680" ht="14.25" customHeight="1"/>
    <row r="4681" ht="14.25" customHeight="1"/>
    <row r="4682" ht="14.25" customHeight="1"/>
    <row r="4683" ht="14.25" customHeight="1"/>
    <row r="4684" ht="14.25" customHeight="1"/>
    <row r="4685" ht="14.25" customHeight="1"/>
    <row r="4686" ht="14.25" customHeight="1"/>
    <row r="4687" ht="14.25" customHeight="1"/>
    <row r="4688" ht="14.25" customHeight="1"/>
    <row r="4689" ht="14.25" customHeight="1"/>
    <row r="4690" ht="14.25" customHeight="1"/>
    <row r="4691" ht="14.25" customHeight="1"/>
    <row r="4692" ht="14.25" customHeight="1"/>
    <row r="4693" ht="14.25" customHeight="1"/>
    <row r="4694" ht="14.25" customHeight="1"/>
    <row r="4695" ht="14.25" customHeight="1"/>
    <row r="4696" ht="14.25" customHeight="1"/>
    <row r="4697" ht="14.25" customHeight="1"/>
    <row r="4698" ht="14.25" customHeight="1"/>
    <row r="4699" ht="14.25" customHeight="1"/>
    <row r="4700" ht="14.25" customHeight="1"/>
    <row r="4701" ht="14.25" customHeight="1"/>
    <row r="4702" ht="14.25" customHeight="1"/>
    <row r="4703" ht="14.25" customHeight="1"/>
    <row r="4704" ht="14.25" customHeight="1"/>
    <row r="4705" ht="14.25" customHeight="1"/>
    <row r="4706" ht="14.25" customHeight="1"/>
    <row r="4707" ht="14.25" customHeight="1"/>
    <row r="4708" ht="14.25" customHeight="1"/>
    <row r="4709" ht="14.25" customHeight="1"/>
    <row r="4710" ht="14.25" customHeight="1"/>
    <row r="4711" ht="14.25" customHeight="1"/>
    <row r="4712" ht="14.25" customHeight="1"/>
    <row r="4713" ht="14.25" customHeight="1"/>
    <row r="4714" ht="14.25" customHeight="1"/>
    <row r="4715" ht="14.25" customHeight="1"/>
    <row r="4716" ht="14.25" customHeight="1"/>
    <row r="4717" ht="14.25" customHeight="1"/>
    <row r="4718" ht="14.25" customHeight="1"/>
    <row r="4719" ht="14.25" customHeight="1"/>
    <row r="4720" ht="14.25" customHeight="1"/>
    <row r="4721" ht="14.25" customHeight="1"/>
    <row r="4722" ht="14.25" customHeight="1"/>
    <row r="4723" ht="14.25" customHeight="1"/>
    <row r="4724" ht="14.25" customHeight="1"/>
    <row r="4725" ht="14.25" customHeight="1"/>
    <row r="4726" ht="14.25" customHeight="1"/>
    <row r="4727" ht="14.25" customHeight="1"/>
    <row r="4728" ht="14.25" customHeight="1"/>
    <row r="4729" ht="14.25" customHeight="1"/>
    <row r="4730" ht="14.25" customHeight="1"/>
    <row r="4731" ht="14.25" customHeight="1"/>
    <row r="4732" ht="14.25" customHeight="1"/>
    <row r="4733" ht="14.25" customHeight="1"/>
    <row r="4734" ht="14.25" customHeight="1"/>
    <row r="4735" ht="14.25" customHeight="1"/>
    <row r="4736" ht="14.25" customHeight="1"/>
    <row r="4737" ht="14.25" customHeight="1"/>
    <row r="4738" ht="14.25" customHeight="1"/>
    <row r="4739" ht="14.25" customHeight="1"/>
    <row r="4740" ht="14.25" customHeight="1"/>
    <row r="4741" ht="14.25" customHeight="1"/>
    <row r="4742" ht="14.25" customHeight="1"/>
    <row r="4743" ht="14.25" customHeight="1"/>
    <row r="4744" ht="14.25" customHeight="1"/>
    <row r="4745" ht="14.25" customHeight="1"/>
    <row r="4746" ht="14.25" customHeight="1"/>
    <row r="4747" ht="14.25" customHeight="1"/>
    <row r="4748" ht="14.25" customHeight="1"/>
    <row r="4749" ht="14.25" customHeight="1"/>
    <row r="4750" ht="14.25" customHeight="1"/>
    <row r="4751" ht="14.25" customHeight="1"/>
    <row r="4752" ht="14.25" customHeight="1"/>
    <row r="4753" ht="14.25" customHeight="1"/>
    <row r="4754" ht="14.25" customHeight="1"/>
    <row r="4755" ht="14.25" customHeight="1"/>
    <row r="4756" ht="14.25" customHeight="1"/>
    <row r="4757" ht="14.25" customHeight="1"/>
    <row r="4758" ht="14.25" customHeight="1"/>
    <row r="4759" ht="14.25" customHeight="1"/>
    <row r="4760" ht="14.25" customHeight="1"/>
    <row r="4761" ht="14.25" customHeight="1"/>
    <row r="4762" ht="14.25" customHeight="1"/>
    <row r="4763" ht="14.25" customHeight="1"/>
    <row r="4764" ht="14.25" customHeight="1"/>
    <row r="4765" ht="14.25" customHeight="1"/>
    <row r="4766" ht="14.25" customHeight="1"/>
    <row r="4767" ht="14.25" customHeight="1"/>
    <row r="4768" ht="14.25" customHeight="1"/>
    <row r="4769" ht="14.25" customHeight="1"/>
    <row r="4770" ht="14.25" customHeight="1"/>
    <row r="4771" ht="14.25" customHeight="1"/>
    <row r="4772" ht="14.25" customHeight="1"/>
    <row r="4773" ht="14.25" customHeight="1"/>
    <row r="4774" ht="14.25" customHeight="1"/>
    <row r="4775" ht="14.25" customHeight="1"/>
    <row r="4776" ht="14.25" customHeight="1"/>
    <row r="4777" ht="14.25" customHeight="1"/>
    <row r="4778" ht="14.25" customHeight="1"/>
    <row r="4779" ht="14.25" customHeight="1"/>
    <row r="4780" ht="14.25" customHeight="1"/>
    <row r="4781" ht="14.25" customHeight="1"/>
    <row r="4782" ht="14.25" customHeight="1"/>
    <row r="4783" ht="14.25" customHeight="1"/>
    <row r="4784" ht="14.25" customHeight="1"/>
    <row r="4785" ht="14.25" customHeight="1"/>
    <row r="4786" ht="14.25" customHeight="1"/>
    <row r="4787" ht="14.25" customHeight="1"/>
    <row r="4788" ht="14.25" customHeight="1"/>
    <row r="4789" ht="14.25" customHeight="1"/>
    <row r="4790" ht="14.25" customHeight="1"/>
    <row r="4791" ht="14.25" customHeight="1"/>
    <row r="4792" ht="14.25" customHeight="1"/>
    <row r="4793" ht="14.25" customHeight="1"/>
    <row r="4794" ht="14.25" customHeight="1"/>
    <row r="4795" ht="14.25" customHeight="1"/>
    <row r="4796" ht="14.25" customHeight="1"/>
    <row r="4797" ht="14.25" customHeight="1"/>
    <row r="4798" ht="14.25" customHeight="1"/>
    <row r="4799" ht="14.25" customHeight="1"/>
    <row r="4800" ht="14.25" customHeight="1"/>
    <row r="4801" ht="14.25" customHeight="1"/>
    <row r="4802" ht="14.25" customHeight="1"/>
    <row r="4803" ht="14.25" customHeight="1"/>
    <row r="4804" ht="14.25" customHeight="1"/>
    <row r="4805" ht="14.25" customHeight="1"/>
    <row r="4806" ht="14.25" customHeight="1"/>
    <row r="4807" ht="14.25" customHeight="1"/>
    <row r="4808" ht="14.25" customHeight="1"/>
    <row r="4809" ht="14.25" customHeight="1"/>
    <row r="4810" ht="14.25" customHeight="1"/>
    <row r="4811" ht="14.25" customHeight="1"/>
    <row r="4812" ht="14.25" customHeight="1"/>
    <row r="4813" ht="14.25" customHeight="1"/>
    <row r="4814" ht="14.25" customHeight="1"/>
    <row r="4815" ht="14.25" customHeight="1"/>
    <row r="4816" ht="14.25" customHeight="1"/>
    <row r="4817" ht="14.25" customHeight="1"/>
    <row r="4818" ht="14.25" customHeight="1"/>
    <row r="4819" ht="14.25" customHeight="1"/>
    <row r="4820" ht="14.25" customHeight="1"/>
    <row r="4821" ht="14.25" customHeight="1"/>
    <row r="4822" ht="14.25" customHeight="1"/>
    <row r="4823" ht="14.25" customHeight="1"/>
    <row r="4824" ht="14.25" customHeight="1"/>
    <row r="4825" ht="14.25" customHeight="1"/>
    <row r="4826" ht="14.25" customHeight="1"/>
    <row r="4827" ht="14.25" customHeight="1"/>
    <row r="4828" ht="14.25" customHeight="1"/>
    <row r="4829" ht="14.25" customHeight="1"/>
    <row r="4830" ht="14.25" customHeight="1"/>
    <row r="4831" ht="14.25" customHeight="1"/>
    <row r="4832" ht="14.25" customHeight="1"/>
    <row r="4833" ht="14.25" customHeight="1"/>
    <row r="4834" ht="14.25" customHeight="1"/>
    <row r="4835" ht="14.25" customHeight="1"/>
    <row r="4836" ht="14.25" customHeight="1"/>
    <row r="4837" ht="14.25" customHeight="1"/>
    <row r="4838" ht="14.25" customHeight="1"/>
    <row r="4839" ht="14.25" customHeight="1"/>
    <row r="4840" ht="14.25" customHeight="1"/>
    <row r="4841" ht="14.25" customHeight="1"/>
    <row r="4842" ht="14.25" customHeight="1"/>
    <row r="4843" ht="14.25" customHeight="1"/>
    <row r="4844" ht="14.25" customHeight="1"/>
    <row r="4845" ht="14.25" customHeight="1"/>
    <row r="4846" ht="14.25" customHeight="1"/>
    <row r="4847" ht="14.25" customHeight="1"/>
    <row r="4848" ht="14.25" customHeight="1"/>
    <row r="4849" ht="14.25" customHeight="1"/>
    <row r="4850" ht="14.25" customHeight="1"/>
    <row r="4851" ht="14.25" customHeight="1"/>
    <row r="4852" ht="14.25" customHeight="1"/>
    <row r="4853" ht="14.25" customHeight="1"/>
    <row r="4854" ht="14.25" customHeight="1"/>
    <row r="4855" ht="14.25" customHeight="1"/>
    <row r="4856" ht="14.25" customHeight="1"/>
    <row r="4857" ht="14.25" customHeight="1"/>
    <row r="4858" ht="14.25" customHeight="1"/>
    <row r="4859" ht="14.25" customHeight="1"/>
    <row r="4860" ht="14.25" customHeight="1"/>
    <row r="4861" ht="14.25" customHeight="1"/>
    <row r="4862" ht="14.25" customHeight="1"/>
    <row r="4863" ht="14.25" customHeight="1"/>
    <row r="4864" ht="14.25" customHeight="1"/>
    <row r="4865" ht="14.25" customHeight="1"/>
    <row r="4866" ht="14.25" customHeight="1"/>
    <row r="4867" ht="14.25" customHeight="1"/>
    <row r="4868" ht="14.25" customHeight="1"/>
    <row r="4869" ht="14.25" customHeight="1"/>
    <row r="4870" ht="14.25" customHeight="1"/>
    <row r="4871" ht="14.25" customHeight="1"/>
    <row r="4872" ht="14.25" customHeight="1"/>
    <row r="4873" ht="14.25" customHeight="1"/>
    <row r="4874" ht="14.25" customHeight="1"/>
    <row r="4875" ht="14.25" customHeight="1"/>
    <row r="4876" ht="14.25" customHeight="1"/>
    <row r="4877" ht="14.25" customHeight="1"/>
    <row r="4878" ht="14.25" customHeight="1"/>
    <row r="4879" ht="14.25" customHeight="1"/>
    <row r="4880" ht="14.25" customHeight="1"/>
    <row r="4881" ht="14.25" customHeight="1"/>
    <row r="4882" ht="14.25" customHeight="1"/>
    <row r="4883" ht="14.25" customHeight="1"/>
    <row r="4884" ht="14.25" customHeight="1"/>
    <row r="4885" ht="14.25" customHeight="1"/>
    <row r="4886" ht="14.25" customHeight="1"/>
    <row r="4887" ht="14.25" customHeight="1"/>
    <row r="4888" ht="14.25" customHeight="1"/>
    <row r="4889" ht="14.25" customHeight="1"/>
    <row r="4890" ht="14.25" customHeight="1"/>
    <row r="4891" ht="14.25" customHeight="1"/>
    <row r="4892" ht="14.25" customHeight="1"/>
    <row r="4893" ht="14.25" customHeight="1"/>
    <row r="4894" ht="14.25" customHeight="1"/>
    <row r="4895" ht="14.25" customHeight="1"/>
    <row r="4896" ht="14.25" customHeight="1"/>
    <row r="4897" ht="14.25" customHeight="1"/>
    <row r="4898" ht="14.25" customHeight="1"/>
    <row r="4899" ht="14.25" customHeight="1"/>
    <row r="4900" ht="14.25" customHeight="1"/>
    <row r="4901" ht="14.25" customHeight="1"/>
    <row r="4902" ht="14.25" customHeight="1"/>
    <row r="4903" ht="14.25" customHeight="1"/>
    <row r="4904" ht="14.25" customHeight="1"/>
    <row r="4905" ht="14.25" customHeight="1"/>
    <row r="4906" ht="14.25" customHeight="1"/>
    <row r="4907" ht="14.25" customHeight="1"/>
    <row r="4908" ht="14.25" customHeight="1"/>
    <row r="4909" ht="14.25" customHeight="1"/>
    <row r="4910" ht="14.25" customHeight="1"/>
    <row r="4911" ht="14.25" customHeight="1"/>
    <row r="4912" ht="14.25" customHeight="1"/>
    <row r="4913" ht="14.25" customHeight="1"/>
    <row r="4914" ht="14.25" customHeight="1"/>
    <row r="4915" ht="14.25" customHeight="1"/>
    <row r="4916" ht="14.25" customHeight="1"/>
    <row r="4917" ht="14.25" customHeight="1"/>
    <row r="4918" ht="14.25" customHeight="1"/>
    <row r="4919" ht="14.25" customHeight="1"/>
    <row r="4920" ht="14.25" customHeight="1"/>
    <row r="4921" ht="14.25" customHeight="1"/>
    <row r="4922" ht="14.25" customHeight="1"/>
    <row r="4923" ht="14.25" customHeight="1"/>
    <row r="4924" ht="14.25" customHeight="1"/>
    <row r="4925" ht="14.25" customHeight="1"/>
    <row r="4926" ht="14.25" customHeight="1"/>
    <row r="4927" ht="14.25" customHeight="1"/>
    <row r="4928" ht="14.25" customHeight="1"/>
    <row r="4929" ht="14.25" customHeight="1"/>
    <row r="4930" ht="14.25" customHeight="1"/>
    <row r="4931" ht="14.25" customHeight="1"/>
    <row r="4932" ht="14.25" customHeight="1"/>
    <row r="4933" ht="14.25" customHeight="1"/>
    <row r="4934" ht="14.25" customHeight="1"/>
    <row r="4935" ht="14.25" customHeight="1"/>
    <row r="4936" ht="14.25" customHeight="1"/>
    <row r="4937" ht="14.25" customHeight="1"/>
    <row r="4938" ht="14.25" customHeight="1"/>
    <row r="4939" ht="14.25" customHeight="1"/>
    <row r="4940" ht="14.25" customHeight="1"/>
    <row r="4941" ht="14.25" customHeight="1"/>
    <row r="4942" ht="14.25" customHeight="1"/>
    <row r="4943" ht="14.25" customHeight="1"/>
    <row r="4944" ht="14.25" customHeight="1"/>
    <row r="4945" ht="14.25" customHeight="1"/>
    <row r="4946" ht="14.25" customHeight="1"/>
    <row r="4947" ht="14.25" customHeight="1"/>
    <row r="4948" ht="14.25" customHeight="1"/>
    <row r="4949" ht="14.25" customHeight="1"/>
    <row r="4950" ht="14.25" customHeight="1"/>
    <row r="4951" ht="14.25" customHeight="1"/>
    <row r="4952" ht="14.25" customHeight="1"/>
    <row r="4953" ht="14.25" customHeight="1"/>
    <row r="4954" ht="14.25" customHeight="1"/>
    <row r="4955" ht="14.25" customHeight="1"/>
    <row r="4956" ht="14.25" customHeight="1"/>
    <row r="4957" ht="14.25" customHeight="1"/>
    <row r="4958" ht="14.25" customHeight="1"/>
    <row r="4959" ht="14.25" customHeight="1"/>
    <row r="4960" ht="14.25" customHeight="1"/>
    <row r="4961" ht="14.25" customHeight="1"/>
    <row r="4962" ht="14.25" customHeight="1"/>
    <row r="4963" ht="14.25" customHeight="1"/>
    <row r="4964" ht="14.25" customHeight="1"/>
    <row r="4965" ht="14.25" customHeight="1"/>
    <row r="4966" ht="14.25" customHeight="1"/>
    <row r="4967" ht="14.25" customHeight="1"/>
    <row r="4968" ht="14.25" customHeight="1"/>
    <row r="4969" ht="14.25" customHeight="1"/>
    <row r="4970" ht="14.25" customHeight="1"/>
    <row r="4971" ht="14.25" customHeight="1"/>
    <row r="4972" ht="14.25" customHeight="1"/>
    <row r="4973" ht="14.25" customHeight="1"/>
    <row r="4974" ht="14.25" customHeight="1"/>
    <row r="4975" ht="14.25" customHeight="1"/>
    <row r="4976" ht="14.25" customHeight="1"/>
    <row r="4977" ht="14.25" customHeight="1"/>
    <row r="4978" ht="14.25" customHeight="1"/>
    <row r="4979" ht="14.25" customHeight="1"/>
    <row r="4980" ht="14.25" customHeight="1"/>
    <row r="4981" ht="14.25" customHeight="1"/>
    <row r="4982" ht="14.25" customHeight="1"/>
    <row r="4983" ht="14.25" customHeight="1"/>
    <row r="4984" ht="14.25" customHeight="1"/>
    <row r="4985" ht="14.25" customHeight="1"/>
    <row r="4986" ht="14.25" customHeight="1"/>
    <row r="4987" ht="14.25" customHeight="1"/>
    <row r="4988" ht="14.25" customHeight="1"/>
    <row r="4989" ht="14.25" customHeight="1"/>
    <row r="4990" ht="14.25" customHeight="1"/>
    <row r="4991" ht="14.25" customHeight="1"/>
    <row r="4992" ht="14.25" customHeight="1"/>
    <row r="4993" ht="14.25" customHeight="1"/>
    <row r="4994" ht="14.25" customHeight="1"/>
    <row r="4995" ht="14.25" customHeight="1"/>
    <row r="4996" ht="14.25" customHeight="1"/>
    <row r="4997" ht="14.25" customHeight="1"/>
    <row r="4998" ht="14.25" customHeight="1"/>
    <row r="4999" ht="14.25" customHeight="1"/>
    <row r="5000" ht="14.25" customHeight="1"/>
    <row r="5001" ht="14.25" customHeight="1"/>
    <row r="5002" ht="14.25" customHeight="1"/>
    <row r="5003" ht="14.25" customHeight="1"/>
    <row r="5004" ht="14.25" customHeight="1"/>
    <row r="5005" ht="14.25" customHeight="1"/>
    <row r="5006" ht="14.25" customHeight="1"/>
    <row r="5007" ht="14.25" customHeight="1"/>
    <row r="5008" ht="14.25" customHeight="1"/>
    <row r="5009" ht="14.25" customHeight="1"/>
    <row r="5010" ht="14.25" customHeight="1"/>
    <row r="5011" ht="14.25" customHeight="1"/>
    <row r="5012" ht="14.25" customHeight="1"/>
    <row r="5013" ht="14.25" customHeight="1"/>
    <row r="5014" ht="14.25" customHeight="1"/>
    <row r="5015" ht="14.25" customHeight="1"/>
    <row r="5016" ht="14.25" customHeight="1"/>
    <row r="5017" ht="14.25" customHeight="1"/>
    <row r="5018" ht="14.25" customHeight="1"/>
    <row r="5019" ht="14.25" customHeight="1"/>
    <row r="5020" ht="14.25" customHeight="1"/>
    <row r="5021" ht="14.25" customHeight="1"/>
    <row r="5022" ht="14.25" customHeight="1"/>
    <row r="5023" ht="14.25" customHeight="1"/>
    <row r="5024" ht="14.25" customHeight="1"/>
    <row r="5025" ht="14.25" customHeight="1"/>
    <row r="5026" ht="14.25" customHeight="1"/>
    <row r="5027" ht="14.25" customHeight="1"/>
    <row r="5028" ht="14.25" customHeight="1"/>
    <row r="5029" ht="14.25" customHeight="1"/>
    <row r="5030" ht="14.25" customHeight="1"/>
    <row r="5031" ht="14.25" customHeight="1"/>
    <row r="5032" ht="14.25" customHeight="1"/>
    <row r="5033" ht="14.25" customHeight="1"/>
    <row r="5034" ht="14.25" customHeight="1"/>
    <row r="5035" ht="14.25" customHeight="1"/>
    <row r="5036" ht="14.25" customHeight="1"/>
    <row r="5037" ht="14.25" customHeight="1"/>
    <row r="5038" ht="14.25" customHeight="1"/>
    <row r="5039" ht="14.25" customHeight="1"/>
    <row r="5040" ht="14.25" customHeight="1"/>
    <row r="5041" ht="14.25" customHeight="1"/>
    <row r="5042" ht="14.25" customHeight="1"/>
    <row r="5043" ht="14.25" customHeight="1"/>
    <row r="5044" ht="14.25" customHeight="1"/>
    <row r="5045" ht="14.25" customHeight="1"/>
    <row r="5046" ht="14.25" customHeight="1"/>
    <row r="5047" ht="14.25" customHeight="1"/>
    <row r="5048" ht="14.25" customHeight="1"/>
    <row r="5049" ht="14.25" customHeight="1"/>
    <row r="5050" ht="14.25" customHeight="1"/>
    <row r="5051" ht="14.25" customHeight="1"/>
    <row r="5052" ht="14.25" customHeight="1"/>
    <row r="5053" ht="14.25" customHeight="1"/>
    <row r="5054" ht="14.25" customHeight="1"/>
    <row r="5055" ht="14.25" customHeight="1"/>
    <row r="5056" ht="14.25" customHeight="1"/>
    <row r="5057" ht="14.25" customHeight="1"/>
    <row r="5058" ht="14.25" customHeight="1"/>
    <row r="5059" ht="14.25" customHeight="1"/>
    <row r="5060" ht="14.25" customHeight="1"/>
    <row r="5061" ht="14.25" customHeight="1"/>
    <row r="5062" ht="14.25" customHeight="1"/>
    <row r="5063" ht="14.25" customHeight="1"/>
    <row r="5064" ht="14.25" customHeight="1"/>
    <row r="5065" ht="14.25" customHeight="1"/>
    <row r="5066" ht="14.25" customHeight="1"/>
    <row r="5067" ht="14.25" customHeight="1"/>
    <row r="5068" ht="14.25" customHeight="1"/>
    <row r="5069" ht="14.25" customHeight="1"/>
    <row r="5070" ht="14.25" customHeight="1"/>
    <row r="5071" ht="14.25" customHeight="1"/>
    <row r="5072" ht="14.25" customHeight="1"/>
    <row r="5073" ht="14.25" customHeight="1"/>
    <row r="5074" ht="14.25" customHeight="1"/>
    <row r="5075" ht="14.25" customHeight="1"/>
    <row r="5076" ht="14.25" customHeight="1"/>
    <row r="5077" ht="14.25" customHeight="1"/>
    <row r="5078" ht="14.25" customHeight="1"/>
    <row r="5079" ht="14.25" customHeight="1"/>
    <row r="5080" ht="14.25" customHeight="1"/>
    <row r="5081" ht="14.25" customHeight="1"/>
    <row r="5082" ht="14.25" customHeight="1"/>
    <row r="5083" ht="14.25" customHeight="1"/>
    <row r="5084" ht="14.25" customHeight="1"/>
    <row r="5085" ht="14.25" customHeight="1"/>
    <row r="5086" ht="14.25" customHeight="1"/>
    <row r="5087" ht="14.25" customHeight="1"/>
    <row r="5088" ht="14.25" customHeight="1"/>
    <row r="5089" ht="14.25" customHeight="1"/>
    <row r="5090" ht="14.25" customHeight="1"/>
    <row r="5091" ht="14.25" customHeight="1"/>
    <row r="5092" ht="14.25" customHeight="1"/>
    <row r="5093" ht="14.25" customHeight="1"/>
    <row r="5094" ht="14.25" customHeight="1"/>
    <row r="5095" ht="14.25" customHeight="1"/>
    <row r="5096" ht="14.25" customHeight="1"/>
    <row r="5097" ht="14.25" customHeight="1"/>
    <row r="5098" ht="14.25" customHeight="1"/>
    <row r="5099" ht="14.25" customHeight="1"/>
    <row r="5100" ht="14.25" customHeight="1"/>
    <row r="5101" ht="14.25" customHeight="1"/>
    <row r="5102" ht="14.25" customHeight="1"/>
    <row r="5103" ht="14.25" customHeight="1"/>
    <row r="5104" ht="14.25" customHeight="1"/>
    <row r="5105" ht="14.25" customHeight="1"/>
    <row r="5106" ht="14.25" customHeight="1"/>
    <row r="5107" ht="14.25" customHeight="1"/>
    <row r="5108" ht="14.25" customHeight="1"/>
    <row r="5109" ht="14.25" customHeight="1"/>
    <row r="5110" ht="14.25" customHeight="1"/>
    <row r="5111" ht="14.25" customHeight="1"/>
    <row r="5112" ht="14.25" customHeight="1"/>
    <row r="5113" ht="14.25" customHeight="1"/>
    <row r="5114" ht="14.25" customHeight="1"/>
    <row r="5115" ht="14.25" customHeight="1"/>
    <row r="5116" ht="14.25" customHeight="1"/>
    <row r="5117" ht="14.25" customHeight="1"/>
    <row r="5118" ht="14.25" customHeight="1"/>
    <row r="5119" ht="14.25" customHeight="1"/>
    <row r="5120" ht="14.25" customHeight="1"/>
    <row r="5121" ht="14.25" customHeight="1"/>
    <row r="5122" ht="14.25" customHeight="1"/>
    <row r="5123" ht="14.25" customHeight="1"/>
    <row r="5124" ht="14.25" customHeight="1"/>
    <row r="5125" ht="14.25" customHeight="1"/>
    <row r="5126" ht="14.25" customHeight="1"/>
    <row r="5127" ht="14.25" customHeight="1"/>
    <row r="5128" ht="14.25" customHeight="1"/>
    <row r="5129" ht="14.25" customHeight="1"/>
    <row r="5130" ht="14.25" customHeight="1"/>
    <row r="5131" ht="14.25" customHeight="1"/>
    <row r="5132" ht="14.25" customHeight="1"/>
    <row r="5133" ht="14.25" customHeight="1"/>
    <row r="5134" ht="14.25" customHeight="1"/>
    <row r="5135" ht="14.25" customHeight="1"/>
    <row r="5136" ht="14.25" customHeight="1"/>
    <row r="5137" ht="14.25" customHeight="1"/>
    <row r="5138" ht="14.25" customHeight="1"/>
    <row r="5139" ht="14.25" customHeight="1"/>
    <row r="5140" ht="14.25" customHeight="1"/>
    <row r="5141" ht="14.25" customHeight="1"/>
    <row r="5142" ht="14.25" customHeight="1"/>
    <row r="5143" ht="14.25" customHeight="1"/>
    <row r="5144" ht="14.25" customHeight="1"/>
    <row r="5145" ht="14.25" customHeight="1"/>
    <row r="5146" ht="14.25" customHeight="1"/>
    <row r="5147" ht="14.25" customHeight="1"/>
    <row r="5148" ht="14.25" customHeight="1"/>
    <row r="5149" ht="14.25" customHeight="1"/>
    <row r="5150" ht="14.25" customHeight="1"/>
    <row r="5151" ht="14.25" customHeight="1"/>
    <row r="5152" ht="14.25" customHeight="1"/>
    <row r="5153" ht="14.25" customHeight="1"/>
    <row r="5154" ht="14.25" customHeight="1"/>
    <row r="5155" ht="14.25" customHeight="1"/>
    <row r="5156" ht="14.25" customHeight="1"/>
    <row r="5157" ht="14.25" customHeight="1"/>
    <row r="5158" ht="14.25" customHeight="1"/>
    <row r="5159" ht="14.25" customHeight="1"/>
    <row r="5160" ht="14.25" customHeight="1"/>
    <row r="5161" ht="14.25" customHeight="1"/>
    <row r="5162" ht="14.25" customHeight="1"/>
    <row r="5163" ht="14.25" customHeight="1"/>
    <row r="5164" ht="14.25" customHeight="1"/>
    <row r="5165" ht="14.25" customHeight="1"/>
    <row r="5166" ht="14.25" customHeight="1"/>
    <row r="5167" ht="14.25" customHeight="1"/>
    <row r="5168" ht="14.25" customHeight="1"/>
    <row r="5169" ht="14.25" customHeight="1"/>
    <row r="5170" ht="14.25" customHeight="1"/>
    <row r="5171" ht="14.25" customHeight="1"/>
    <row r="5172" ht="14.25" customHeight="1"/>
    <row r="5173" ht="14.25" customHeight="1"/>
    <row r="5174" ht="14.25" customHeight="1"/>
    <row r="5175" ht="14.25" customHeight="1"/>
    <row r="5176" ht="14.25" customHeight="1"/>
    <row r="5177" ht="14.25" customHeight="1"/>
    <row r="5178" ht="14.25" customHeight="1"/>
    <row r="5179" ht="14.25" customHeight="1"/>
    <row r="5180" ht="14.25" customHeight="1"/>
    <row r="5181" ht="14.25" customHeight="1"/>
    <row r="5182" ht="14.25" customHeight="1"/>
    <row r="5183" ht="14.25" customHeight="1"/>
    <row r="5184" ht="14.25" customHeight="1"/>
    <row r="5185" ht="14.25" customHeight="1"/>
    <row r="5186" ht="14.25" customHeight="1"/>
    <row r="5187" ht="14.25" customHeight="1"/>
    <row r="5188" ht="14.25" customHeight="1"/>
    <row r="5189" ht="14.25" customHeight="1"/>
    <row r="5190" ht="14.25" customHeight="1"/>
    <row r="5191" ht="14.25" customHeight="1"/>
    <row r="5192" ht="14.25" customHeight="1"/>
    <row r="5193" ht="14.25" customHeight="1"/>
    <row r="5194" ht="14.25" customHeight="1"/>
    <row r="5195" ht="14.25" customHeight="1"/>
    <row r="5196" ht="14.25" customHeight="1"/>
    <row r="5197" ht="14.25" customHeight="1"/>
    <row r="5198" ht="14.25" customHeight="1"/>
    <row r="5199" ht="14.25" customHeight="1"/>
    <row r="5200" ht="14.25" customHeight="1"/>
    <row r="5201" ht="14.25" customHeight="1"/>
    <row r="5202" ht="14.25" customHeight="1"/>
    <row r="5203" ht="14.25" customHeight="1"/>
    <row r="5204" ht="14.25" customHeight="1"/>
    <row r="5205" ht="14.25" customHeight="1"/>
    <row r="5206" ht="14.25" customHeight="1"/>
    <row r="5207" ht="14.25" customHeight="1"/>
    <row r="5208" ht="14.25" customHeight="1"/>
    <row r="5209" ht="14.25" customHeight="1"/>
    <row r="5210" ht="14.25" customHeight="1"/>
    <row r="5211" ht="14.25" customHeight="1"/>
    <row r="5212" ht="14.25" customHeight="1"/>
    <row r="5213" ht="14.25" customHeight="1"/>
    <row r="5214" ht="14.25" customHeight="1"/>
    <row r="5215" ht="14.25" customHeight="1"/>
    <row r="5216" ht="14.25" customHeight="1"/>
    <row r="5217" ht="14.25" customHeight="1"/>
    <row r="5218" ht="14.25" customHeight="1"/>
    <row r="5219" ht="14.25" customHeight="1"/>
    <row r="5220" ht="14.25" customHeight="1"/>
    <row r="5221" ht="14.25" customHeight="1"/>
    <row r="5222" ht="14.25" customHeight="1"/>
    <row r="5223" ht="14.25" customHeight="1"/>
    <row r="5224" ht="14.25" customHeight="1"/>
    <row r="5225" ht="14.25" customHeight="1"/>
    <row r="5226" ht="14.25" customHeight="1"/>
    <row r="5227" ht="14.25" customHeight="1"/>
    <row r="5228" ht="14.25" customHeight="1"/>
    <row r="5229" ht="14.25" customHeight="1"/>
    <row r="5230" ht="14.25" customHeight="1"/>
    <row r="5231" ht="14.25" customHeight="1"/>
    <row r="5232" ht="14.25" customHeight="1"/>
    <row r="5233" ht="14.25" customHeight="1"/>
    <row r="5234" ht="14.25" customHeight="1"/>
    <row r="5235" ht="14.25" customHeight="1"/>
    <row r="5236" ht="14.25" customHeight="1"/>
    <row r="5237" ht="14.25" customHeight="1"/>
    <row r="5238" ht="14.25" customHeight="1"/>
    <row r="5239" ht="14.25" customHeight="1"/>
    <row r="5240" ht="14.25" customHeight="1"/>
    <row r="5241" ht="14.25" customHeight="1"/>
    <row r="5242" ht="14.25" customHeight="1"/>
    <row r="5243" ht="14.25" customHeight="1"/>
    <row r="5244" ht="14.25" customHeight="1"/>
    <row r="5245" ht="14.25" customHeight="1"/>
    <row r="5246" ht="14.25" customHeight="1"/>
    <row r="5247" ht="14.25" customHeight="1"/>
    <row r="5248" ht="14.25" customHeight="1"/>
    <row r="5249" ht="14.25" customHeight="1"/>
    <row r="5250" ht="14.25" customHeight="1"/>
    <row r="5251" ht="14.25" customHeight="1"/>
    <row r="5252" ht="14.25" customHeight="1"/>
    <row r="5253" ht="14.25" customHeight="1"/>
    <row r="5254" ht="14.25" customHeight="1"/>
    <row r="5255" ht="14.25" customHeight="1"/>
    <row r="5256" ht="14.25" customHeight="1"/>
    <row r="5257" ht="14.25" customHeight="1"/>
    <row r="5258" ht="14.25" customHeight="1"/>
    <row r="5259" ht="14.25" customHeight="1"/>
    <row r="5260" ht="14.25" customHeight="1"/>
    <row r="5261" ht="14.25" customHeight="1"/>
    <row r="5262" ht="14.25" customHeight="1"/>
    <row r="5263" ht="14.25" customHeight="1"/>
    <row r="5264" ht="14.25" customHeight="1"/>
    <row r="5265" ht="14.25" customHeight="1"/>
    <row r="5266" ht="14.25" customHeight="1"/>
    <row r="5267" ht="14.25" customHeight="1"/>
    <row r="5268" ht="14.25" customHeight="1"/>
    <row r="5269" ht="14.25" customHeight="1"/>
    <row r="5270" ht="14.25" customHeight="1"/>
    <row r="5271" ht="14.25" customHeight="1"/>
    <row r="5272" ht="14.25" customHeight="1"/>
    <row r="5273" ht="14.25" customHeight="1"/>
    <row r="5274" ht="14.25" customHeight="1"/>
    <row r="5275" ht="14.25" customHeight="1"/>
    <row r="5276" ht="14.25" customHeight="1"/>
    <row r="5277" ht="14.25" customHeight="1"/>
    <row r="5278" ht="14.25" customHeight="1"/>
    <row r="5279" ht="14.25" customHeight="1"/>
    <row r="5280" ht="14.25" customHeight="1"/>
    <row r="5281" ht="14.25" customHeight="1"/>
    <row r="5282" ht="14.25" customHeight="1"/>
    <row r="5283" ht="14.25" customHeight="1"/>
    <row r="5284" ht="14.25" customHeight="1"/>
    <row r="5285" ht="14.25" customHeight="1"/>
    <row r="5286" ht="14.25" customHeight="1"/>
    <row r="5287" ht="14.25" customHeight="1"/>
    <row r="5288" ht="14.25" customHeight="1"/>
    <row r="5289" ht="14.25" customHeight="1"/>
    <row r="5290" ht="14.25" customHeight="1"/>
    <row r="5291" ht="14.25" customHeight="1"/>
    <row r="5292" ht="14.25" customHeight="1"/>
    <row r="5293" ht="14.25" customHeight="1"/>
    <row r="5294" ht="14.25" customHeight="1"/>
    <row r="5295" ht="14.25" customHeight="1"/>
    <row r="5296" ht="14.25" customHeight="1"/>
    <row r="5297" ht="14.25" customHeight="1"/>
    <row r="5298" ht="14.25" customHeight="1"/>
    <row r="5299" ht="14.25" customHeight="1"/>
    <row r="5300" ht="14.25" customHeight="1"/>
    <row r="5301" ht="14.25" customHeight="1"/>
    <row r="5302" ht="14.25" customHeight="1"/>
    <row r="5303" ht="14.25" customHeight="1"/>
    <row r="5304" ht="14.25" customHeight="1"/>
    <row r="5305" ht="14.25" customHeight="1"/>
    <row r="5306" ht="14.25" customHeight="1"/>
    <row r="5307" ht="14.25" customHeight="1"/>
    <row r="5308" ht="14.25" customHeight="1"/>
    <row r="5309" ht="14.25" customHeight="1"/>
    <row r="5310" ht="14.25" customHeight="1"/>
    <row r="5311" ht="14.25" customHeight="1"/>
    <row r="5312" ht="14.25" customHeight="1"/>
    <row r="5313" ht="14.25" customHeight="1"/>
    <row r="5314" ht="14.25" customHeight="1"/>
    <row r="5315" ht="14.25" customHeight="1"/>
    <row r="5316" ht="14.25" customHeight="1"/>
    <row r="5317" ht="14.25" customHeight="1"/>
    <row r="5318" ht="14.25" customHeight="1"/>
    <row r="5319" ht="14.25" customHeight="1"/>
    <row r="5320" ht="14.25" customHeight="1"/>
    <row r="5321" ht="14.25" customHeight="1"/>
    <row r="5322" ht="14.25" customHeight="1"/>
    <row r="5323" ht="14.25" customHeight="1"/>
    <row r="5324" ht="14.25" customHeight="1"/>
    <row r="5325" ht="14.25" customHeight="1"/>
    <row r="5326" ht="14.25" customHeight="1"/>
    <row r="5327" ht="14.25" customHeight="1"/>
    <row r="5328" ht="14.25" customHeight="1"/>
    <row r="5329" ht="14.25" customHeight="1"/>
    <row r="5330" ht="14.25" customHeight="1"/>
    <row r="5331" ht="14.25" customHeight="1"/>
    <row r="5332" ht="14.25" customHeight="1"/>
    <row r="5333" ht="14.25" customHeight="1"/>
    <row r="5334" ht="14.25" customHeight="1"/>
    <row r="5335" ht="14.25" customHeight="1"/>
    <row r="5336" ht="14.25" customHeight="1"/>
    <row r="5337" ht="14.25" customHeight="1"/>
    <row r="5338" ht="14.25" customHeight="1"/>
    <row r="5339" ht="14.25" customHeight="1"/>
    <row r="5340" ht="14.25" customHeight="1"/>
    <row r="5341" ht="14.25" customHeight="1"/>
    <row r="5342" ht="14.25" customHeight="1"/>
    <row r="5343" ht="14.25" customHeight="1"/>
    <row r="5344" ht="14.25" customHeight="1"/>
    <row r="5345" ht="14.25" customHeight="1"/>
    <row r="5346" ht="14.25" customHeight="1"/>
    <row r="5347" ht="14.25" customHeight="1"/>
    <row r="5348" ht="14.25" customHeight="1"/>
    <row r="5349" ht="14.25" customHeight="1"/>
    <row r="5350" ht="14.25" customHeight="1"/>
    <row r="5351" ht="14.25" customHeight="1"/>
    <row r="5352" ht="14.25" customHeight="1"/>
    <row r="5353" ht="14.25" customHeight="1"/>
    <row r="5354" ht="14.25" customHeight="1"/>
    <row r="5355" ht="14.25" customHeight="1"/>
    <row r="5356" ht="14.25" customHeight="1"/>
    <row r="5357" ht="14.25" customHeight="1"/>
    <row r="5358" ht="14.25" customHeight="1"/>
    <row r="5359" ht="14.25" customHeight="1"/>
    <row r="5360" ht="14.25" customHeight="1"/>
    <row r="5361" ht="14.25" customHeight="1"/>
    <row r="5362" ht="14.25" customHeight="1"/>
    <row r="5363" ht="14.25" customHeight="1"/>
    <row r="5364" ht="14.25" customHeight="1"/>
    <row r="5365" ht="14.25" customHeight="1"/>
    <row r="5366" ht="14.25" customHeight="1"/>
    <row r="5367" ht="14.25" customHeight="1"/>
    <row r="5368" ht="14.25" customHeight="1"/>
    <row r="5369" ht="14.25" customHeight="1"/>
    <row r="5370" ht="14.25" customHeight="1"/>
    <row r="5371" ht="14.25" customHeight="1"/>
    <row r="5372" ht="14.25" customHeight="1"/>
    <row r="5373" ht="14.25" customHeight="1"/>
    <row r="5374" ht="14.25" customHeight="1"/>
    <row r="5375" ht="14.25" customHeight="1"/>
    <row r="5376" ht="14.25" customHeight="1"/>
    <row r="5377" ht="14.25" customHeight="1"/>
    <row r="5378" ht="14.25" customHeight="1"/>
    <row r="5379" ht="14.25" customHeight="1"/>
    <row r="5380" ht="14.25" customHeight="1"/>
    <row r="5381" ht="14.25" customHeight="1"/>
    <row r="5382" ht="14.25" customHeight="1"/>
    <row r="5383" ht="14.25" customHeight="1"/>
    <row r="5384" ht="14.25" customHeight="1"/>
    <row r="5385" ht="14.25" customHeight="1"/>
    <row r="5386" ht="14.25" customHeight="1"/>
    <row r="5387" ht="14.25" customHeight="1"/>
    <row r="5388" ht="14.25" customHeight="1"/>
    <row r="5389" ht="14.25" customHeight="1"/>
    <row r="5390" ht="14.25" customHeight="1"/>
    <row r="5391" ht="14.25" customHeight="1"/>
    <row r="5392" ht="14.25" customHeight="1"/>
    <row r="5393" ht="14.25" customHeight="1"/>
    <row r="5394" ht="14.25" customHeight="1"/>
    <row r="5395" ht="14.25" customHeight="1"/>
    <row r="5396" ht="14.25" customHeight="1"/>
    <row r="5397" ht="14.25" customHeight="1"/>
    <row r="5398" ht="14.25" customHeight="1"/>
    <row r="5399" ht="14.25" customHeight="1"/>
    <row r="5400" ht="14.25" customHeight="1"/>
    <row r="5401" ht="14.25" customHeight="1"/>
    <row r="5402" ht="14.25" customHeight="1"/>
    <row r="5403" ht="14.25" customHeight="1"/>
    <row r="5404" ht="14.25" customHeight="1"/>
    <row r="5405" ht="14.25" customHeight="1"/>
    <row r="5406" ht="14.25" customHeight="1"/>
    <row r="5407" ht="14.25" customHeight="1"/>
    <row r="5408" ht="14.25" customHeight="1"/>
    <row r="5409" ht="14.25" customHeight="1"/>
    <row r="5410" ht="14.25" customHeight="1"/>
    <row r="5411" ht="14.25" customHeight="1"/>
    <row r="5412" ht="14.25" customHeight="1"/>
    <row r="5413" ht="14.25" customHeight="1"/>
    <row r="5414" ht="14.25" customHeight="1"/>
    <row r="5415" ht="14.25" customHeight="1"/>
    <row r="5416" ht="14.25" customHeight="1"/>
    <row r="5417" ht="14.25" customHeight="1"/>
    <row r="5418" ht="14.25" customHeight="1"/>
    <row r="5419" ht="14.25" customHeight="1"/>
    <row r="5420" ht="14.25" customHeight="1"/>
    <row r="5421" ht="14.25" customHeight="1"/>
    <row r="5422" ht="14.25" customHeight="1"/>
    <row r="5423" ht="14.25" customHeight="1"/>
    <row r="5424" ht="14.25" customHeight="1"/>
    <row r="5425" ht="14.25" customHeight="1"/>
    <row r="5426" ht="14.25" customHeight="1"/>
    <row r="5427" ht="14.25" customHeight="1"/>
    <row r="5428" ht="14.25" customHeight="1"/>
    <row r="5429" ht="14.25" customHeight="1"/>
    <row r="5430" ht="14.25" customHeight="1"/>
    <row r="5431" ht="14.25" customHeight="1"/>
    <row r="5432" ht="14.25" customHeight="1"/>
    <row r="5433" ht="14.25" customHeight="1"/>
    <row r="5434" ht="14.25" customHeight="1"/>
    <row r="5435" ht="14.25" customHeight="1"/>
    <row r="5436" ht="14.25" customHeight="1"/>
    <row r="5437" ht="14.25" customHeight="1"/>
    <row r="5438" ht="14.25" customHeight="1"/>
    <row r="5439" ht="14.25" customHeight="1"/>
    <row r="5440" ht="14.25" customHeight="1"/>
    <row r="5441" ht="14.25" customHeight="1"/>
    <row r="5442" ht="14.25" customHeight="1"/>
    <row r="5443" ht="14.25" customHeight="1"/>
    <row r="5444" ht="14.25" customHeight="1"/>
    <row r="5445" ht="14.25" customHeight="1"/>
    <row r="5446" ht="14.25" customHeight="1"/>
    <row r="5447" ht="14.25" customHeight="1"/>
    <row r="5448" ht="14.25" customHeight="1"/>
    <row r="5449" ht="14.25" customHeight="1"/>
    <row r="5450" ht="14.25" customHeight="1"/>
    <row r="5451" ht="14.25" customHeight="1"/>
    <row r="5452" ht="14.25" customHeight="1"/>
    <row r="5453" ht="14.25" customHeight="1"/>
    <row r="5454" ht="14.25" customHeight="1"/>
    <row r="5455" ht="14.25" customHeight="1"/>
    <row r="5456" ht="14.25" customHeight="1"/>
    <row r="5457" ht="14.25" customHeight="1"/>
    <row r="5458" ht="14.25" customHeight="1"/>
    <row r="5459" ht="14.25" customHeight="1"/>
    <row r="5460" ht="14.25" customHeight="1"/>
    <row r="5461" ht="14.25" customHeight="1"/>
    <row r="5462" ht="14.25" customHeight="1"/>
    <row r="5463" ht="14.25" customHeight="1"/>
    <row r="5464" ht="14.25" customHeight="1"/>
    <row r="5465" ht="14.25" customHeight="1"/>
    <row r="5466" ht="14.25" customHeight="1"/>
    <row r="5467" ht="14.25" customHeight="1"/>
    <row r="5468" ht="14.25" customHeight="1"/>
    <row r="5469" ht="14.25" customHeight="1"/>
    <row r="5470" ht="14.25" customHeight="1"/>
    <row r="5471" ht="14.25" customHeight="1"/>
    <row r="5472" ht="14.25" customHeight="1"/>
    <row r="5473" ht="14.25" customHeight="1"/>
    <row r="5474" ht="14.25" customHeight="1"/>
    <row r="5475" ht="14.25" customHeight="1"/>
    <row r="5476" ht="14.25" customHeight="1"/>
    <row r="5477" ht="14.25" customHeight="1"/>
    <row r="5478" ht="14.25" customHeight="1"/>
    <row r="5479" ht="14.25" customHeight="1"/>
    <row r="5480" ht="14.25" customHeight="1"/>
    <row r="5481" ht="14.25" customHeight="1"/>
    <row r="5482" ht="14.25" customHeight="1"/>
    <row r="5483" ht="14.25" customHeight="1"/>
    <row r="5484" ht="14.25" customHeight="1"/>
    <row r="5485" ht="14.25" customHeight="1"/>
    <row r="5486" ht="14.25" customHeight="1"/>
    <row r="5487" ht="14.25" customHeight="1"/>
    <row r="5488" ht="14.25" customHeight="1"/>
    <row r="5489" ht="14.25" customHeight="1"/>
    <row r="5490" ht="14.25" customHeight="1"/>
    <row r="5491" ht="14.25" customHeight="1"/>
    <row r="5492" ht="14.25" customHeight="1"/>
    <row r="5493" ht="14.25" customHeight="1"/>
    <row r="5494" ht="14.25" customHeight="1"/>
    <row r="5495" ht="14.25" customHeight="1"/>
    <row r="5496" ht="14.25" customHeight="1"/>
    <row r="5497" ht="14.25" customHeight="1"/>
    <row r="5498" ht="14.25" customHeight="1"/>
    <row r="5499" ht="14.25" customHeight="1"/>
    <row r="5500" ht="14.25" customHeight="1"/>
    <row r="5501" ht="14.25" customHeight="1"/>
    <row r="5502" ht="14.25" customHeight="1"/>
    <row r="5503" ht="14.25" customHeight="1"/>
    <row r="5504" ht="14.25" customHeight="1"/>
    <row r="5505" ht="14.25" customHeight="1"/>
    <row r="5506" ht="14.25" customHeight="1"/>
    <row r="5507" ht="14.25" customHeight="1"/>
    <row r="5508" ht="14.25" customHeight="1"/>
    <row r="5509" ht="14.25" customHeight="1"/>
    <row r="5510" ht="14.25" customHeight="1"/>
    <row r="5511" ht="14.25" customHeight="1"/>
    <row r="5512" ht="14.25" customHeight="1"/>
    <row r="5513" ht="14.25" customHeight="1"/>
    <row r="5514" ht="14.25" customHeight="1"/>
    <row r="5515" ht="14.25" customHeight="1"/>
    <row r="5516" ht="14.25" customHeight="1"/>
    <row r="5517" ht="14.25" customHeight="1"/>
    <row r="5518" ht="14.25" customHeight="1"/>
    <row r="5519" ht="14.25" customHeight="1"/>
    <row r="5520" ht="14.25" customHeight="1"/>
    <row r="5521" ht="14.25" customHeight="1"/>
    <row r="5522" ht="14.25" customHeight="1"/>
    <row r="5523" ht="14.25" customHeight="1"/>
    <row r="5524" ht="14.25" customHeight="1"/>
    <row r="5525" ht="14.25" customHeight="1"/>
    <row r="5526" ht="14.25" customHeight="1"/>
    <row r="5527" ht="14.25" customHeight="1"/>
    <row r="5528" ht="14.25" customHeight="1"/>
    <row r="5529" ht="14.25" customHeight="1"/>
    <row r="5530" ht="14.25" customHeight="1"/>
    <row r="5531" ht="14.25" customHeight="1"/>
    <row r="5532" ht="14.25" customHeight="1"/>
    <row r="5533" ht="14.25" customHeight="1"/>
    <row r="5534" ht="14.25" customHeight="1"/>
    <row r="5535" ht="14.25" customHeight="1"/>
    <row r="5536" ht="14.25" customHeight="1"/>
    <row r="5537" ht="14.25" customHeight="1"/>
    <row r="5538" ht="14.25" customHeight="1"/>
    <row r="5539" ht="14.25" customHeight="1"/>
    <row r="5540" ht="14.25" customHeight="1"/>
    <row r="5541" ht="14.25" customHeight="1"/>
    <row r="5542" ht="14.25" customHeight="1"/>
    <row r="5543" ht="14.25" customHeight="1"/>
    <row r="5544" ht="14.25" customHeight="1"/>
    <row r="5545" ht="14.25" customHeight="1"/>
    <row r="5546" ht="14.25" customHeight="1"/>
    <row r="5547" ht="14.25" customHeight="1"/>
    <row r="5548" ht="14.25" customHeight="1"/>
    <row r="5549" ht="14.25" customHeight="1"/>
    <row r="5550" ht="14.25" customHeight="1"/>
    <row r="5551" ht="14.25" customHeight="1"/>
    <row r="5552" ht="14.25" customHeight="1"/>
    <row r="5553" ht="14.25" customHeight="1"/>
    <row r="5554" ht="14.25" customHeight="1"/>
    <row r="5555" ht="14.25" customHeight="1"/>
    <row r="5556" ht="14.25" customHeight="1"/>
    <row r="5557" ht="14.25" customHeight="1"/>
    <row r="5558" ht="14.25" customHeight="1"/>
    <row r="5559" ht="14.25" customHeight="1"/>
    <row r="5560" ht="14.25" customHeight="1"/>
    <row r="5561" ht="14.25" customHeight="1"/>
    <row r="5562" ht="14.25" customHeight="1"/>
    <row r="5563" ht="14.25" customHeight="1"/>
    <row r="5564" ht="14.25" customHeight="1"/>
    <row r="5565" ht="14.25" customHeight="1"/>
    <row r="5566" ht="14.25" customHeight="1"/>
    <row r="5567" ht="14.25" customHeight="1"/>
    <row r="5568" ht="14.25" customHeight="1"/>
    <row r="5569" ht="14.25" customHeight="1"/>
    <row r="5570" ht="14.25" customHeight="1"/>
    <row r="5571" ht="14.25" customHeight="1"/>
    <row r="5572" ht="14.25" customHeight="1"/>
    <row r="5573" ht="14.25" customHeight="1"/>
    <row r="5574" ht="14.25" customHeight="1"/>
    <row r="5575" ht="14.25" customHeight="1"/>
    <row r="5576" ht="14.25" customHeight="1"/>
    <row r="5577" ht="14.25" customHeight="1"/>
    <row r="5578" ht="14.25" customHeight="1"/>
    <row r="5579" ht="14.25" customHeight="1"/>
    <row r="5580" ht="14.25" customHeight="1"/>
    <row r="5581" ht="14.25" customHeight="1"/>
    <row r="5582" ht="14.25" customHeight="1"/>
    <row r="5583" ht="14.25" customHeight="1"/>
    <row r="5584" ht="14.25" customHeight="1"/>
    <row r="5585" ht="14.25" customHeight="1"/>
    <row r="5586" ht="14.25" customHeight="1"/>
    <row r="5587" ht="14.25" customHeight="1"/>
    <row r="5588" ht="14.25" customHeight="1"/>
    <row r="5589" ht="14.25" customHeight="1"/>
    <row r="5590" ht="14.25" customHeight="1"/>
    <row r="5591" ht="14.25" customHeight="1"/>
    <row r="5592" ht="14.25" customHeight="1"/>
    <row r="5593" ht="14.25" customHeight="1"/>
    <row r="5594" ht="14.25" customHeight="1"/>
    <row r="5595" ht="14.25" customHeight="1"/>
    <row r="5596" ht="14.25" customHeight="1"/>
    <row r="5597" ht="14.25" customHeight="1"/>
    <row r="5598" ht="14.25" customHeight="1"/>
    <row r="5599" ht="14.25" customHeight="1"/>
    <row r="5600" ht="14.25" customHeight="1"/>
    <row r="5601" ht="14.25" customHeight="1"/>
    <row r="5602" ht="14.25" customHeight="1"/>
    <row r="5603" ht="14.25" customHeight="1"/>
    <row r="5604" ht="14.25" customHeight="1"/>
    <row r="5605" ht="14.25" customHeight="1"/>
    <row r="5606" ht="14.25" customHeight="1"/>
    <row r="5607" ht="14.25" customHeight="1"/>
    <row r="5608" ht="14.25" customHeight="1"/>
    <row r="5609" ht="14.25" customHeight="1"/>
    <row r="5610" ht="14.25" customHeight="1"/>
    <row r="5611" ht="14.25" customHeight="1"/>
    <row r="5612" ht="14.25" customHeight="1"/>
    <row r="5613" ht="14.25" customHeight="1"/>
    <row r="5614" ht="14.25" customHeight="1"/>
    <row r="5615" ht="14.25" customHeight="1"/>
    <row r="5616" ht="14.25" customHeight="1"/>
    <row r="5617" ht="14.25" customHeight="1"/>
    <row r="5618" ht="14.25" customHeight="1"/>
    <row r="5619" ht="14.25" customHeight="1"/>
    <row r="5620" ht="14.25" customHeight="1"/>
    <row r="5621" ht="14.25" customHeight="1"/>
    <row r="5622" ht="14.25" customHeight="1"/>
    <row r="5623" ht="14.25" customHeight="1"/>
    <row r="5624" ht="14.25" customHeight="1"/>
    <row r="5625" ht="14.25" customHeight="1"/>
    <row r="5626" ht="14.25" customHeight="1"/>
    <row r="5627" ht="14.25" customHeight="1"/>
    <row r="5628" ht="14.25" customHeight="1"/>
    <row r="5629" ht="14.25" customHeight="1"/>
    <row r="5630" ht="14.25" customHeight="1"/>
    <row r="5631" ht="14.25" customHeight="1"/>
    <row r="5632" ht="14.25" customHeight="1"/>
    <row r="5633" ht="14.25" customHeight="1"/>
    <row r="5634" ht="14.25" customHeight="1"/>
    <row r="5635" ht="14.25" customHeight="1"/>
    <row r="5636" ht="14.25" customHeight="1"/>
    <row r="5637" ht="14.25" customHeight="1"/>
    <row r="5638" ht="14.25" customHeight="1"/>
    <row r="5639" ht="14.25" customHeight="1"/>
    <row r="5640" ht="14.25" customHeight="1"/>
    <row r="5641" ht="14.25" customHeight="1"/>
    <row r="5642" ht="14.25" customHeight="1"/>
    <row r="5643" ht="14.25" customHeight="1"/>
    <row r="5644" ht="14.25" customHeight="1"/>
    <row r="5645" ht="14.25" customHeight="1"/>
    <row r="5646" ht="14.25" customHeight="1"/>
    <row r="5647" ht="14.25" customHeight="1"/>
    <row r="5648" ht="14.25" customHeight="1"/>
    <row r="5649" ht="14.25" customHeight="1"/>
    <row r="5650" ht="14.25" customHeight="1"/>
    <row r="5651" ht="14.25" customHeight="1"/>
    <row r="5652" ht="14.25" customHeight="1"/>
    <row r="5653" ht="14.25" customHeight="1"/>
    <row r="5654" ht="14.25" customHeight="1"/>
    <row r="5655" ht="14.25" customHeight="1"/>
    <row r="5656" ht="14.25" customHeight="1"/>
    <row r="5657" ht="14.25" customHeight="1"/>
    <row r="5658" ht="14.25" customHeight="1"/>
    <row r="5659" ht="14.25" customHeight="1"/>
    <row r="5660" ht="14.25" customHeight="1"/>
    <row r="5661" ht="14.25" customHeight="1"/>
    <row r="5662" ht="14.25" customHeight="1"/>
    <row r="5663" ht="14.25" customHeight="1"/>
    <row r="5664" ht="14.25" customHeight="1"/>
    <row r="5665" ht="14.25" customHeight="1"/>
    <row r="5666" ht="14.25" customHeight="1"/>
    <row r="5667" ht="14.25" customHeight="1"/>
    <row r="5668" ht="14.25" customHeight="1"/>
    <row r="5669" ht="14.25" customHeight="1"/>
    <row r="5670" ht="14.25" customHeight="1"/>
    <row r="5671" ht="14.25" customHeight="1"/>
    <row r="5672" ht="14.25" customHeight="1"/>
    <row r="5673" ht="14.25" customHeight="1"/>
    <row r="5674" ht="14.25" customHeight="1"/>
    <row r="5675" ht="14.25" customHeight="1"/>
    <row r="5676" ht="14.25" customHeight="1"/>
    <row r="5677" ht="14.25" customHeight="1"/>
    <row r="5678" ht="14.25" customHeight="1"/>
    <row r="5679" ht="14.25" customHeight="1"/>
    <row r="5680" ht="14.25" customHeight="1"/>
    <row r="5681" ht="14.25" customHeight="1"/>
    <row r="5682" ht="14.25" customHeight="1"/>
    <row r="5683" ht="14.25" customHeight="1"/>
    <row r="5684" ht="14.25" customHeight="1"/>
    <row r="5685" ht="14.25" customHeight="1"/>
    <row r="5686" ht="14.25" customHeight="1"/>
    <row r="5687" ht="14.25" customHeight="1"/>
    <row r="5688" ht="14.25" customHeight="1"/>
    <row r="5689" ht="14.25" customHeight="1"/>
    <row r="5690" ht="14.25" customHeight="1"/>
    <row r="5691" ht="14.25" customHeight="1"/>
    <row r="5692" ht="14.25" customHeight="1"/>
    <row r="5693" ht="14.25" customHeight="1"/>
    <row r="5694" ht="14.25" customHeight="1"/>
    <row r="5695" ht="14.25" customHeight="1"/>
    <row r="5696" ht="14.25" customHeight="1"/>
    <row r="5697" ht="14.25" customHeight="1"/>
    <row r="5698" ht="14.25" customHeight="1"/>
    <row r="5699" ht="14.25" customHeight="1"/>
    <row r="5700" ht="14.25" customHeight="1"/>
    <row r="5701" ht="14.25" customHeight="1"/>
    <row r="5702" ht="14.25" customHeight="1"/>
    <row r="5703" ht="14.25" customHeight="1"/>
    <row r="5704" ht="14.25" customHeight="1"/>
    <row r="5705" ht="14.25" customHeight="1"/>
    <row r="5706" ht="14.25" customHeight="1"/>
    <row r="5707" ht="14.25" customHeight="1"/>
    <row r="5708" ht="14.25" customHeight="1"/>
    <row r="5709" ht="14.25" customHeight="1"/>
    <row r="5710" ht="14.25" customHeight="1"/>
    <row r="5711" ht="14.25" customHeight="1"/>
    <row r="5712" ht="14.25" customHeight="1"/>
    <row r="5713" ht="14.25" customHeight="1"/>
    <row r="5714" ht="14.25" customHeight="1"/>
    <row r="5715" ht="14.25" customHeight="1"/>
    <row r="5716" ht="14.25" customHeight="1"/>
    <row r="5717" ht="14.25" customHeight="1"/>
    <row r="5718" ht="14.25" customHeight="1"/>
    <row r="5719" ht="14.25" customHeight="1"/>
    <row r="5720" ht="14.25" customHeight="1"/>
    <row r="5721" ht="14.25" customHeight="1"/>
    <row r="5722" ht="14.25" customHeight="1"/>
    <row r="5723" ht="14.25" customHeight="1"/>
    <row r="5724" ht="14.25" customHeight="1"/>
    <row r="5725" ht="14.25" customHeight="1"/>
    <row r="5726" ht="14.25" customHeight="1"/>
    <row r="5727" ht="14.25" customHeight="1"/>
    <row r="5728" ht="14.25" customHeight="1"/>
    <row r="5729" ht="14.25" customHeight="1"/>
    <row r="5730" ht="14.25" customHeight="1"/>
    <row r="5731" ht="14.25" customHeight="1"/>
    <row r="5732" ht="14.25" customHeight="1"/>
    <row r="5733" ht="14.25" customHeight="1"/>
    <row r="5734" ht="14.25" customHeight="1"/>
    <row r="5735" ht="14.25" customHeight="1"/>
    <row r="5736" ht="14.25" customHeight="1"/>
    <row r="5737" ht="14.25" customHeight="1"/>
    <row r="5738" ht="14.25" customHeight="1"/>
    <row r="5739" ht="14.25" customHeight="1"/>
    <row r="5740" ht="14.25" customHeight="1"/>
    <row r="5741" ht="14.25" customHeight="1"/>
    <row r="5742" ht="14.25" customHeight="1"/>
    <row r="5743" ht="14.25" customHeight="1"/>
    <row r="5744" ht="14.25" customHeight="1"/>
    <row r="5745" ht="14.25" customHeight="1"/>
    <row r="5746" ht="14.25" customHeight="1"/>
    <row r="5747" ht="14.25" customHeight="1"/>
    <row r="5748" ht="14.25" customHeight="1"/>
    <row r="5749" ht="14.25" customHeight="1"/>
    <row r="5750" ht="14.25" customHeight="1"/>
    <row r="5751" ht="14.25" customHeight="1"/>
    <row r="5752" ht="14.25" customHeight="1"/>
    <row r="5753" ht="14.25" customHeight="1"/>
    <row r="5754" ht="14.25" customHeight="1"/>
    <row r="5755" ht="14.25" customHeight="1"/>
    <row r="5756" ht="14.25" customHeight="1"/>
    <row r="5757" ht="14.25" customHeight="1"/>
    <row r="5758" ht="14.25" customHeight="1"/>
    <row r="5759" ht="14.25" customHeight="1"/>
    <row r="5760" ht="14.25" customHeight="1"/>
    <row r="5761" ht="14.25" customHeight="1"/>
    <row r="5762" ht="14.25" customHeight="1"/>
    <row r="5763" ht="14.25" customHeight="1"/>
    <row r="5764" ht="14.25" customHeight="1"/>
    <row r="5765" ht="14.25" customHeight="1"/>
    <row r="5766" ht="14.25" customHeight="1"/>
    <row r="5767" ht="14.25" customHeight="1"/>
    <row r="5768" ht="14.25" customHeight="1"/>
    <row r="5769" ht="14.25" customHeight="1"/>
    <row r="5770" ht="14.25" customHeight="1"/>
    <row r="5771" ht="14.25" customHeight="1"/>
    <row r="5772" ht="14.25" customHeight="1"/>
    <row r="5773" ht="14.25" customHeight="1"/>
    <row r="5774" ht="14.25" customHeight="1"/>
    <row r="5775" ht="14.25" customHeight="1"/>
    <row r="5776" ht="14.25" customHeight="1"/>
    <row r="5777" ht="14.25" customHeight="1"/>
    <row r="5778" ht="14.25" customHeight="1"/>
    <row r="5779" ht="14.25" customHeight="1"/>
    <row r="5780" ht="14.25" customHeight="1"/>
    <row r="5781" ht="14.25" customHeight="1"/>
    <row r="5782" ht="14.25" customHeight="1"/>
    <row r="5783" ht="14.25" customHeight="1"/>
    <row r="5784" ht="14.25" customHeight="1"/>
    <row r="5785" ht="14.25" customHeight="1"/>
    <row r="5786" ht="14.25" customHeight="1"/>
    <row r="5787" ht="14.25" customHeight="1"/>
    <row r="5788" ht="14.25" customHeight="1"/>
    <row r="5789" ht="14.25" customHeight="1"/>
    <row r="5790" ht="14.25" customHeight="1"/>
    <row r="5791" ht="14.25" customHeight="1"/>
    <row r="5792" ht="14.25" customHeight="1"/>
    <row r="5793" ht="14.25" customHeight="1"/>
    <row r="5794" ht="14.25" customHeight="1"/>
    <row r="5795" ht="14.25" customHeight="1"/>
    <row r="5796" ht="14.25" customHeight="1"/>
    <row r="5797" ht="14.25" customHeight="1"/>
    <row r="5798" ht="14.25" customHeight="1"/>
    <row r="5799" ht="14.25" customHeight="1"/>
    <row r="5800" ht="14.25" customHeight="1"/>
    <row r="5801" ht="14.25" customHeight="1"/>
    <row r="5802" ht="14.25" customHeight="1"/>
    <row r="5803" ht="14.25" customHeight="1"/>
    <row r="5804" ht="14.25" customHeight="1"/>
    <row r="5805" ht="14.25" customHeight="1"/>
    <row r="5806" ht="14.25" customHeight="1"/>
    <row r="5807" ht="14.25" customHeight="1"/>
    <row r="5808" ht="14.25" customHeight="1"/>
    <row r="5809" ht="14.25" customHeight="1"/>
    <row r="5810" ht="14.25" customHeight="1"/>
    <row r="5811" ht="14.25" customHeight="1"/>
    <row r="5812" ht="14.25" customHeight="1"/>
    <row r="5813" ht="14.25" customHeight="1"/>
    <row r="5814" ht="14.25" customHeight="1"/>
    <row r="5815" ht="14.25" customHeight="1"/>
    <row r="5816" ht="14.25" customHeight="1"/>
    <row r="5817" ht="14.25" customHeight="1"/>
    <row r="5818" ht="14.25" customHeight="1"/>
    <row r="5819" ht="14.25" customHeight="1"/>
    <row r="5820" ht="14.25" customHeight="1"/>
    <row r="5821" ht="14.25" customHeight="1"/>
    <row r="5822" ht="14.25" customHeight="1"/>
    <row r="5823" ht="14.25" customHeight="1"/>
    <row r="5824" ht="14.25" customHeight="1"/>
    <row r="5825" ht="14.25" customHeight="1"/>
    <row r="5826" ht="14.25" customHeight="1"/>
    <row r="5827" ht="14.25" customHeight="1"/>
    <row r="5828" ht="14.25" customHeight="1"/>
    <row r="5829" ht="14.25" customHeight="1"/>
    <row r="5830" ht="14.25" customHeight="1"/>
    <row r="5831" ht="14.25" customHeight="1"/>
    <row r="5832" ht="14.25" customHeight="1"/>
    <row r="5833" ht="14.25" customHeight="1"/>
    <row r="5834" ht="14.25" customHeight="1"/>
    <row r="5835" ht="14.25" customHeight="1"/>
    <row r="5836" ht="14.25" customHeight="1"/>
    <row r="5837" ht="14.25" customHeight="1"/>
    <row r="5838" ht="14.25" customHeight="1"/>
    <row r="5839" ht="14.25" customHeight="1"/>
    <row r="5840" ht="14.25" customHeight="1"/>
    <row r="5841" ht="14.25" customHeight="1"/>
    <row r="5842" ht="14.25" customHeight="1"/>
    <row r="5843" ht="14.25" customHeight="1"/>
    <row r="5844" ht="14.25" customHeight="1"/>
    <row r="5845" ht="14.25" customHeight="1"/>
    <row r="5846" ht="14.25" customHeight="1"/>
    <row r="5847" ht="14.25" customHeight="1"/>
    <row r="5848" ht="14.25" customHeight="1"/>
    <row r="5849" ht="14.25" customHeight="1"/>
    <row r="5850" ht="14.25" customHeight="1"/>
    <row r="5851" ht="14.25" customHeight="1"/>
    <row r="5852" ht="14.25" customHeight="1"/>
    <row r="5853" ht="14.25" customHeight="1"/>
    <row r="5854" ht="14.25" customHeight="1"/>
    <row r="5855" ht="14.25" customHeight="1"/>
    <row r="5856" ht="14.25" customHeight="1"/>
    <row r="5857" ht="14.25" customHeight="1"/>
    <row r="5858" ht="14.25" customHeight="1"/>
    <row r="5859" ht="14.25" customHeight="1"/>
    <row r="5860" ht="14.25" customHeight="1"/>
    <row r="5861" ht="14.25" customHeight="1"/>
    <row r="5862" ht="14.25" customHeight="1"/>
    <row r="5863" ht="14.25" customHeight="1"/>
    <row r="5864" ht="14.25" customHeight="1"/>
    <row r="5865" ht="14.25" customHeight="1"/>
    <row r="5866" ht="14.25" customHeight="1"/>
    <row r="5867" ht="14.25" customHeight="1"/>
    <row r="5868" ht="14.25" customHeight="1"/>
    <row r="5869" ht="14.25" customHeight="1"/>
    <row r="5870" ht="14.25" customHeight="1"/>
    <row r="5871" ht="14.25" customHeight="1"/>
    <row r="5872" ht="14.25" customHeight="1"/>
    <row r="5873" ht="14.25" customHeight="1"/>
    <row r="5874" ht="14.25" customHeight="1"/>
    <row r="5875" ht="14.25" customHeight="1"/>
    <row r="5876" ht="14.25" customHeight="1"/>
    <row r="5877" ht="14.25" customHeight="1"/>
    <row r="5878" ht="14.25" customHeight="1"/>
    <row r="5879" ht="14.25" customHeight="1"/>
    <row r="5880" ht="14.25" customHeight="1"/>
    <row r="5881" ht="14.25" customHeight="1"/>
    <row r="5882" ht="14.25" customHeight="1"/>
    <row r="5883" ht="14.25" customHeight="1"/>
    <row r="5884" ht="14.25" customHeight="1"/>
    <row r="5885" ht="14.25" customHeight="1"/>
    <row r="5886" ht="14.25" customHeight="1"/>
    <row r="5887" ht="14.25" customHeight="1"/>
    <row r="5888" ht="14.25" customHeight="1"/>
    <row r="5889" ht="14.25" customHeight="1"/>
    <row r="5890" ht="14.25" customHeight="1"/>
    <row r="5891" ht="14.25" customHeight="1"/>
    <row r="5892" ht="14.25" customHeight="1"/>
    <row r="5893" ht="14.25" customHeight="1"/>
    <row r="5894" ht="14.25" customHeight="1"/>
    <row r="5895" ht="14.25" customHeight="1"/>
    <row r="5896" ht="14.25" customHeight="1"/>
    <row r="5897" ht="14.25" customHeight="1"/>
    <row r="5898" ht="14.25" customHeight="1"/>
    <row r="5899" ht="14.25" customHeight="1"/>
    <row r="5900" ht="14.25" customHeight="1"/>
    <row r="5901" ht="14.25" customHeight="1"/>
    <row r="5902" ht="14.25" customHeight="1"/>
    <row r="5903" ht="14.25" customHeight="1"/>
    <row r="5904" ht="14.25" customHeight="1"/>
    <row r="5905" ht="14.25" customHeight="1"/>
    <row r="5906" ht="14.25" customHeight="1"/>
    <row r="5907" ht="14.25" customHeight="1"/>
    <row r="5908" ht="14.25" customHeight="1"/>
    <row r="5909" ht="14.25" customHeight="1"/>
    <row r="5910" ht="14.25" customHeight="1"/>
    <row r="5911" ht="14.25" customHeight="1"/>
    <row r="5912" ht="14.25" customHeight="1"/>
    <row r="5913" ht="14.25" customHeight="1"/>
    <row r="5914" ht="14.25" customHeight="1"/>
    <row r="5915" ht="14.25" customHeight="1"/>
    <row r="5916" ht="14.25" customHeight="1"/>
    <row r="5917" ht="14.25" customHeight="1"/>
    <row r="5918" ht="14.25" customHeight="1"/>
    <row r="5919" ht="14.25" customHeight="1"/>
    <row r="5920" ht="14.25" customHeight="1"/>
    <row r="5921" ht="14.25" customHeight="1"/>
    <row r="5922" ht="14.25" customHeight="1"/>
    <row r="5923" ht="14.25" customHeight="1"/>
    <row r="5924" ht="14.25" customHeight="1"/>
    <row r="5925" ht="14.25" customHeight="1"/>
    <row r="5926" ht="14.25" customHeight="1"/>
    <row r="5927" ht="14.25" customHeight="1"/>
    <row r="5928" ht="14.25" customHeight="1"/>
    <row r="5929" ht="14.25" customHeight="1"/>
    <row r="5930" ht="14.25" customHeight="1"/>
    <row r="5931" ht="14.25" customHeight="1"/>
    <row r="5932" ht="14.25" customHeight="1"/>
    <row r="5933" ht="14.25" customHeight="1"/>
    <row r="5934" ht="14.25" customHeight="1"/>
    <row r="5935" ht="14.25" customHeight="1"/>
    <row r="5936" ht="14.25" customHeight="1"/>
    <row r="5937" ht="14.25" customHeight="1"/>
    <row r="5938" ht="14.25" customHeight="1"/>
    <row r="5939" ht="14.25" customHeight="1"/>
    <row r="5940" ht="14.25" customHeight="1"/>
    <row r="5941" ht="14.25" customHeight="1"/>
    <row r="5942" ht="14.25" customHeight="1"/>
    <row r="5943" ht="14.25" customHeight="1"/>
    <row r="5944" ht="14.25" customHeight="1"/>
    <row r="5945" ht="14.25" customHeight="1"/>
    <row r="5946" ht="14.25" customHeight="1"/>
    <row r="5947" ht="14.25" customHeight="1"/>
    <row r="5948" ht="14.25" customHeight="1"/>
    <row r="5949" ht="14.25" customHeight="1"/>
    <row r="5950" ht="14.25" customHeight="1"/>
    <row r="5951" ht="14.25" customHeight="1"/>
    <row r="5952" ht="14.25" customHeight="1"/>
    <row r="5953" ht="14.25" customHeight="1"/>
    <row r="5954" ht="14.25" customHeight="1"/>
    <row r="5955" ht="14.25" customHeight="1"/>
    <row r="5956" ht="14.25" customHeight="1"/>
    <row r="5957" ht="14.25" customHeight="1"/>
    <row r="5958" ht="14.25" customHeight="1"/>
    <row r="5959" ht="14.25" customHeight="1"/>
    <row r="5960" ht="14.25" customHeight="1"/>
    <row r="5961" ht="14.25" customHeight="1"/>
    <row r="5962" ht="14.25" customHeight="1"/>
    <row r="5963" ht="14.25" customHeight="1"/>
    <row r="5964" ht="14.25" customHeight="1"/>
    <row r="5965" ht="14.25" customHeight="1"/>
    <row r="5966" ht="14.25" customHeight="1"/>
    <row r="5967" ht="14.25" customHeight="1"/>
    <row r="5968" ht="14.25" customHeight="1"/>
    <row r="5969" ht="14.25" customHeight="1"/>
    <row r="5970" ht="14.25" customHeight="1"/>
    <row r="5971" ht="14.25" customHeight="1"/>
    <row r="5972" ht="14.25" customHeight="1"/>
    <row r="5973" ht="14.25" customHeight="1"/>
    <row r="5974" ht="14.25" customHeight="1"/>
    <row r="5975" ht="14.25" customHeight="1"/>
    <row r="5976" ht="14.25" customHeight="1"/>
    <row r="5977" ht="14.25" customHeight="1"/>
    <row r="5978" ht="14.25" customHeight="1"/>
    <row r="5979" ht="14.25" customHeight="1"/>
    <row r="5980" ht="14.25" customHeight="1"/>
    <row r="5981" ht="14.25" customHeight="1"/>
    <row r="5982" ht="14.25" customHeight="1"/>
    <row r="5983" ht="14.25" customHeight="1"/>
    <row r="5984" ht="14.25" customHeight="1"/>
    <row r="5985" ht="14.25" customHeight="1"/>
    <row r="5986" ht="14.25" customHeight="1"/>
    <row r="5987" ht="14.25" customHeight="1"/>
    <row r="5988" ht="14.25" customHeight="1"/>
    <row r="5989" ht="14.25" customHeight="1"/>
    <row r="5990" ht="14.25" customHeight="1"/>
    <row r="5991" ht="14.25" customHeight="1"/>
    <row r="5992" ht="14.25" customHeight="1"/>
    <row r="5993" ht="14.25" customHeight="1"/>
    <row r="5994" ht="14.25" customHeight="1"/>
    <row r="5995" ht="14.25" customHeight="1"/>
    <row r="5996" ht="14.25" customHeight="1"/>
    <row r="5997" ht="14.25" customHeight="1"/>
    <row r="5998" ht="14.25" customHeight="1"/>
    <row r="5999" ht="14.25" customHeight="1"/>
    <row r="6000" ht="14.25" customHeight="1"/>
    <row r="6001" ht="14.25" customHeight="1"/>
    <row r="6002" ht="14.25" customHeight="1"/>
    <row r="6003" ht="14.25" customHeight="1"/>
    <row r="6004" ht="14.25" customHeight="1"/>
    <row r="6005" ht="14.25" customHeight="1"/>
    <row r="6006" ht="14.25" customHeight="1"/>
    <row r="6007" ht="14.25" customHeight="1"/>
    <row r="6008" ht="14.25" customHeight="1"/>
    <row r="6009" ht="14.25" customHeight="1"/>
    <row r="6010" ht="14.25" customHeight="1"/>
    <row r="6011" ht="14.25" customHeight="1"/>
    <row r="6012" ht="14.25" customHeight="1"/>
    <row r="6013" ht="14.25" customHeight="1"/>
    <row r="6014" ht="14.25" customHeight="1"/>
    <row r="6015" ht="14.25" customHeight="1"/>
    <row r="6016" ht="14.25" customHeight="1"/>
    <row r="6017" ht="14.25" customHeight="1"/>
    <row r="6018" ht="14.25" customHeight="1"/>
    <row r="6019" ht="14.25" customHeight="1"/>
    <row r="6020" ht="14.25" customHeight="1"/>
    <row r="6021" ht="14.25" customHeight="1"/>
    <row r="6022" ht="14.25" customHeight="1"/>
    <row r="6023" ht="14.25" customHeight="1"/>
    <row r="6024" ht="14.25" customHeight="1"/>
    <row r="6025" ht="14.25" customHeight="1"/>
    <row r="6026" ht="14.25" customHeight="1"/>
    <row r="6027" ht="14.25" customHeight="1"/>
    <row r="6028" ht="14.25" customHeight="1"/>
    <row r="6029" ht="14.25" customHeight="1"/>
    <row r="6030" ht="14.25" customHeight="1"/>
    <row r="6031" ht="14.25" customHeight="1"/>
    <row r="6032" ht="14.25" customHeight="1"/>
    <row r="6033" ht="14.25" customHeight="1"/>
    <row r="6034" ht="14.25" customHeight="1"/>
    <row r="6035" ht="14.25" customHeight="1"/>
    <row r="6036" ht="14.25" customHeight="1"/>
    <row r="6037" ht="14.25" customHeight="1"/>
    <row r="6038" ht="14.25" customHeight="1"/>
    <row r="6039" ht="14.25" customHeight="1"/>
    <row r="6040" ht="14.25" customHeight="1"/>
    <row r="6041" ht="14.25" customHeight="1"/>
    <row r="6042" ht="14.25" customHeight="1"/>
    <row r="6043" ht="14.25" customHeight="1"/>
    <row r="6044" ht="14.25" customHeight="1"/>
    <row r="6045" ht="14.25" customHeight="1"/>
    <row r="6046" ht="14.25" customHeight="1"/>
    <row r="6047" ht="14.25" customHeight="1"/>
    <row r="6048" ht="14.25" customHeight="1"/>
    <row r="6049" ht="14.25" customHeight="1"/>
    <row r="6050" ht="14.25" customHeight="1"/>
    <row r="6051" ht="14.25" customHeight="1"/>
    <row r="6052" ht="14.25" customHeight="1"/>
    <row r="6053" ht="14.25" customHeight="1"/>
    <row r="6054" ht="14.25" customHeight="1"/>
    <row r="6055" ht="14.25" customHeight="1"/>
    <row r="6056" ht="14.25" customHeight="1"/>
    <row r="6057" ht="14.25" customHeight="1"/>
    <row r="6058" ht="14.25" customHeight="1"/>
    <row r="6059" ht="14.25" customHeight="1"/>
    <row r="6060" ht="14.25" customHeight="1"/>
    <row r="6061" ht="14.25" customHeight="1"/>
    <row r="6062" ht="14.25" customHeight="1"/>
    <row r="6063" ht="14.25" customHeight="1"/>
    <row r="6064" ht="14.25" customHeight="1"/>
    <row r="6065" ht="14.25" customHeight="1"/>
    <row r="6066" ht="14.25" customHeight="1"/>
    <row r="6067" ht="14.25" customHeight="1"/>
    <row r="6068" ht="14.25" customHeight="1"/>
    <row r="6069" ht="14.25" customHeight="1"/>
    <row r="6070" ht="14.25" customHeight="1"/>
    <row r="6071" ht="14.25" customHeight="1"/>
    <row r="6072" ht="14.25" customHeight="1"/>
    <row r="6073" ht="14.25" customHeight="1"/>
    <row r="6074" ht="14.25" customHeight="1"/>
    <row r="6075" ht="14.25" customHeight="1"/>
    <row r="6076" ht="14.25" customHeight="1"/>
    <row r="6077" ht="14.25" customHeight="1"/>
    <row r="6078" ht="14.25" customHeight="1"/>
    <row r="6079" ht="14.25" customHeight="1"/>
    <row r="6080" ht="14.25" customHeight="1"/>
    <row r="6081" ht="14.25" customHeight="1"/>
    <row r="6082" ht="14.25" customHeight="1"/>
    <row r="6083" ht="14.25" customHeight="1"/>
    <row r="6084" ht="14.25" customHeight="1"/>
    <row r="6085" ht="14.25" customHeight="1"/>
    <row r="6086" ht="14.25" customHeight="1"/>
    <row r="6087" ht="14.25" customHeight="1"/>
    <row r="6088" ht="14.25" customHeight="1"/>
    <row r="6089" ht="14.25" customHeight="1"/>
    <row r="6090" ht="14.25" customHeight="1"/>
    <row r="6091" ht="14.25" customHeight="1"/>
    <row r="6092" ht="14.25" customHeight="1"/>
    <row r="6093" ht="14.25" customHeight="1"/>
    <row r="6094" ht="14.25" customHeight="1"/>
    <row r="6095" ht="14.25" customHeight="1"/>
    <row r="6096" ht="14.25" customHeight="1"/>
    <row r="6097" ht="14.25" customHeight="1"/>
    <row r="6098" ht="14.25" customHeight="1"/>
    <row r="6099" ht="14.25" customHeight="1"/>
    <row r="6100" ht="14.25" customHeight="1"/>
    <row r="6101" ht="14.25" customHeight="1"/>
    <row r="6102" ht="14.25" customHeight="1"/>
    <row r="6103" ht="14.25" customHeight="1"/>
    <row r="6104" ht="14.25" customHeight="1"/>
    <row r="6105" ht="14.25" customHeight="1"/>
    <row r="6106" ht="14.25" customHeight="1"/>
    <row r="6107" ht="14.25" customHeight="1"/>
    <row r="6108" ht="14.25" customHeight="1"/>
    <row r="6109" ht="14.25" customHeight="1"/>
    <row r="6110" ht="14.25" customHeight="1"/>
    <row r="6111" ht="14.25" customHeight="1"/>
    <row r="6112" ht="14.25" customHeight="1"/>
    <row r="6113" ht="14.25" customHeight="1"/>
    <row r="6114" ht="14.25" customHeight="1"/>
    <row r="6115" ht="14.25" customHeight="1"/>
    <row r="6116" ht="14.25" customHeight="1"/>
    <row r="6117" ht="14.25" customHeight="1"/>
    <row r="6118" ht="14.25" customHeight="1"/>
    <row r="6119" ht="14.25" customHeight="1"/>
    <row r="6120" ht="14.25" customHeight="1"/>
    <row r="6121" ht="14.25" customHeight="1"/>
    <row r="6122" ht="14.25" customHeight="1"/>
    <row r="6123" ht="14.25" customHeight="1"/>
    <row r="6124" ht="14.25" customHeight="1"/>
    <row r="6125" ht="14.25" customHeight="1"/>
    <row r="6126" ht="14.25" customHeight="1"/>
    <row r="6127" ht="14.25" customHeight="1"/>
    <row r="6128" ht="14.25" customHeight="1"/>
    <row r="6129" ht="14.25" customHeight="1"/>
    <row r="6130" ht="14.25" customHeight="1"/>
    <row r="6131" ht="14.25" customHeight="1"/>
    <row r="6132" ht="14.25" customHeight="1"/>
    <row r="6133" ht="14.25" customHeight="1"/>
    <row r="6134" ht="14.25" customHeight="1"/>
    <row r="6135" ht="14.25" customHeight="1"/>
    <row r="6136" ht="14.25" customHeight="1"/>
    <row r="6137" ht="14.25" customHeight="1"/>
    <row r="6138" ht="14.25" customHeight="1"/>
    <row r="6139" ht="14.25" customHeight="1"/>
    <row r="6140" ht="14.25" customHeight="1"/>
    <row r="6141" ht="14.25" customHeight="1"/>
    <row r="6142" ht="14.25" customHeight="1"/>
    <row r="6143" ht="14.25" customHeight="1"/>
    <row r="6144" ht="14.25" customHeight="1"/>
    <row r="6145" ht="14.25" customHeight="1"/>
    <row r="6146" ht="14.25" customHeight="1"/>
    <row r="6147" ht="14.25" customHeight="1"/>
    <row r="6148" ht="14.25" customHeight="1"/>
    <row r="6149" ht="14.25" customHeight="1"/>
    <row r="6150" ht="14.25" customHeight="1"/>
    <row r="6151" ht="14.25" customHeight="1"/>
    <row r="6152" ht="14.25" customHeight="1"/>
    <row r="6153" ht="14.25" customHeight="1"/>
    <row r="6154" ht="14.25" customHeight="1"/>
    <row r="6155" ht="14.25" customHeight="1"/>
    <row r="6156" ht="14.25" customHeight="1"/>
    <row r="6157" ht="14.25" customHeight="1"/>
    <row r="6158" ht="14.25" customHeight="1"/>
    <row r="6159" ht="14.25" customHeight="1"/>
    <row r="6160" ht="14.25" customHeight="1"/>
    <row r="6161" ht="14.25" customHeight="1"/>
    <row r="6162" ht="14.25" customHeight="1"/>
    <row r="6163" ht="14.25" customHeight="1"/>
    <row r="6164" ht="14.25" customHeight="1"/>
    <row r="6165" ht="14.25" customHeight="1"/>
    <row r="6166" ht="14.25" customHeight="1"/>
    <row r="6167" ht="14.25" customHeight="1"/>
    <row r="6168" ht="14.25" customHeight="1"/>
    <row r="6169" ht="14.25" customHeight="1"/>
    <row r="6170" ht="14.25" customHeight="1"/>
    <row r="6171" ht="14.25" customHeight="1"/>
    <row r="6172" ht="14.25" customHeight="1"/>
    <row r="6173" ht="14.25" customHeight="1"/>
    <row r="6174" ht="14.25" customHeight="1"/>
    <row r="6175" ht="14.25" customHeight="1"/>
    <row r="6176" ht="14.25" customHeight="1"/>
    <row r="6177" ht="14.25" customHeight="1"/>
    <row r="6178" ht="14.25" customHeight="1"/>
    <row r="6179" ht="14.25" customHeight="1"/>
    <row r="6180" ht="14.25" customHeight="1"/>
    <row r="6181" ht="14.25" customHeight="1"/>
    <row r="6182" ht="14.25" customHeight="1"/>
    <row r="6183" ht="14.25" customHeight="1"/>
    <row r="6184" ht="14.25" customHeight="1"/>
    <row r="6185" ht="14.25" customHeight="1"/>
    <row r="6186" ht="14.25" customHeight="1"/>
    <row r="6187" ht="14.25" customHeight="1"/>
    <row r="6188" ht="14.25" customHeight="1"/>
    <row r="6189" ht="14.25" customHeight="1"/>
    <row r="6190" ht="14.25" customHeight="1"/>
    <row r="6191" ht="14.25" customHeight="1"/>
    <row r="6192" ht="14.25" customHeight="1"/>
    <row r="6193" ht="14.25" customHeight="1"/>
    <row r="6194" ht="14.25" customHeight="1"/>
    <row r="6195" ht="14.25" customHeight="1"/>
    <row r="6196" ht="14.25" customHeight="1"/>
    <row r="6197" ht="14.25" customHeight="1"/>
    <row r="6198" ht="14.25" customHeight="1"/>
    <row r="6199" ht="14.25" customHeight="1"/>
    <row r="6200" ht="14.25" customHeight="1"/>
    <row r="6201" ht="14.25" customHeight="1"/>
    <row r="6202" ht="14.25" customHeight="1"/>
    <row r="6203" ht="14.25" customHeight="1"/>
    <row r="6204" ht="14.25" customHeight="1"/>
    <row r="6205" ht="14.25" customHeight="1"/>
    <row r="6206" ht="14.25" customHeight="1"/>
    <row r="6207" ht="14.25" customHeight="1"/>
    <row r="6208" ht="14.25" customHeight="1"/>
    <row r="6209" ht="14.25" customHeight="1"/>
    <row r="6210" ht="14.25" customHeight="1"/>
    <row r="6211" ht="14.25" customHeight="1"/>
    <row r="6212" ht="14.25" customHeight="1"/>
    <row r="6213" ht="14.25" customHeight="1"/>
    <row r="6214" ht="14.25" customHeight="1"/>
    <row r="6215" ht="14.25" customHeight="1"/>
    <row r="6216" ht="14.25" customHeight="1"/>
    <row r="6217" ht="14.25" customHeight="1"/>
    <row r="6218" ht="14.25" customHeight="1"/>
    <row r="6219" ht="14.25" customHeight="1"/>
    <row r="6220" ht="14.25" customHeight="1"/>
    <row r="6221" ht="14.25" customHeight="1"/>
    <row r="6222" ht="14.25" customHeight="1"/>
    <row r="6223" ht="14.25" customHeight="1"/>
    <row r="6224" ht="14.25" customHeight="1"/>
    <row r="6225" ht="14.25" customHeight="1"/>
    <row r="6226" ht="14.25" customHeight="1"/>
    <row r="6227" ht="14.25" customHeight="1"/>
    <row r="6228" ht="14.25" customHeight="1"/>
    <row r="6229" ht="14.25" customHeight="1"/>
    <row r="6230" ht="14.25" customHeight="1"/>
    <row r="6231" ht="14.25" customHeight="1"/>
    <row r="6232" ht="14.25" customHeight="1"/>
    <row r="6233" ht="14.25" customHeight="1"/>
    <row r="6234" ht="14.25" customHeight="1"/>
    <row r="6235" ht="14.25" customHeight="1"/>
    <row r="6236" ht="14.25" customHeight="1"/>
    <row r="6237" ht="14.25" customHeight="1"/>
    <row r="6238" ht="14.25" customHeight="1"/>
    <row r="6239" ht="14.25" customHeight="1"/>
    <row r="6240" ht="14.25" customHeight="1"/>
    <row r="6241" ht="14.25" customHeight="1"/>
    <row r="6242" ht="14.25" customHeight="1"/>
    <row r="6243" ht="14.25" customHeight="1"/>
    <row r="6244" ht="14.25" customHeight="1"/>
    <row r="6245" ht="14.25" customHeight="1"/>
    <row r="6246" ht="14.25" customHeight="1"/>
    <row r="6247" ht="14.25" customHeight="1"/>
    <row r="6248" ht="14.25" customHeight="1"/>
    <row r="6249" ht="14.25" customHeight="1"/>
    <row r="6250" ht="14.25" customHeight="1"/>
    <row r="6251" ht="14.25" customHeight="1"/>
    <row r="6252" ht="14.25" customHeight="1"/>
    <row r="6253" ht="14.25" customHeight="1"/>
    <row r="6254" ht="14.25" customHeight="1"/>
    <row r="6255" ht="14.25" customHeight="1"/>
    <row r="6256" ht="14.25" customHeight="1"/>
    <row r="6257" ht="14.25" customHeight="1"/>
    <row r="6258" ht="14.25" customHeight="1"/>
    <row r="6259" ht="14.25" customHeight="1"/>
    <row r="6260" ht="14.25" customHeight="1"/>
    <row r="6261" ht="14.25" customHeight="1"/>
    <row r="6262" ht="14.25" customHeight="1"/>
    <row r="6263" ht="14.25" customHeight="1"/>
    <row r="6264" ht="14.25" customHeight="1"/>
    <row r="6265" ht="14.25" customHeight="1"/>
    <row r="6266" ht="14.25" customHeight="1"/>
    <row r="6267" ht="14.25" customHeight="1"/>
    <row r="6268" ht="14.25" customHeight="1"/>
    <row r="6269" ht="14.25" customHeight="1"/>
    <row r="6270" ht="14.25" customHeight="1"/>
    <row r="6271" ht="14.25" customHeight="1"/>
    <row r="6272" ht="14.25" customHeight="1"/>
    <row r="6273" ht="14.25" customHeight="1"/>
    <row r="6274" ht="14.25" customHeight="1"/>
    <row r="6275" ht="14.25" customHeight="1"/>
    <row r="6276" ht="14.25" customHeight="1"/>
    <row r="6277" ht="14.25" customHeight="1"/>
    <row r="6278" ht="14.25" customHeight="1"/>
    <row r="6279" ht="14.25" customHeight="1"/>
    <row r="6280" ht="14.25" customHeight="1"/>
    <row r="6281" ht="14.25" customHeight="1"/>
    <row r="6282" ht="14.25" customHeight="1"/>
    <row r="6283" ht="14.25" customHeight="1"/>
    <row r="6284" ht="14.25" customHeight="1"/>
    <row r="6285" ht="14.25" customHeight="1"/>
    <row r="6286" ht="14.25" customHeight="1"/>
    <row r="6287" ht="14.25" customHeight="1"/>
    <row r="6288" ht="14.25" customHeight="1"/>
    <row r="6289" ht="14.25" customHeight="1"/>
    <row r="6290" ht="14.25" customHeight="1"/>
    <row r="6291" ht="14.25" customHeight="1"/>
    <row r="6292" ht="14.25" customHeight="1"/>
    <row r="6293" ht="14.25" customHeight="1"/>
    <row r="6294" ht="14.25" customHeight="1"/>
    <row r="6295" ht="14.25" customHeight="1"/>
    <row r="6296" ht="14.25" customHeight="1"/>
    <row r="6297" ht="14.25" customHeight="1"/>
    <row r="6298" ht="14.25" customHeight="1"/>
    <row r="6299" ht="14.25" customHeight="1"/>
    <row r="6300" ht="14.25" customHeight="1"/>
    <row r="6301" ht="14.25" customHeight="1"/>
    <row r="6302" ht="14.25" customHeight="1"/>
    <row r="6303" ht="14.25" customHeight="1"/>
    <row r="6304" ht="14.25" customHeight="1"/>
    <row r="6305" ht="14.25" customHeight="1"/>
    <row r="6306" ht="14.25" customHeight="1"/>
    <row r="6307" ht="14.25" customHeight="1"/>
    <row r="6308" ht="14.25" customHeight="1"/>
    <row r="6309" ht="14.25" customHeight="1"/>
    <row r="6310" ht="14.25" customHeight="1"/>
    <row r="6311" ht="14.25" customHeight="1"/>
    <row r="6312" ht="14.25" customHeight="1"/>
    <row r="6313" ht="14.25" customHeight="1"/>
    <row r="6314" ht="14.25" customHeight="1"/>
    <row r="6315" ht="14.25" customHeight="1"/>
    <row r="6316" ht="14.25" customHeight="1"/>
    <row r="6317" ht="14.25" customHeight="1"/>
    <row r="6318" ht="14.25" customHeight="1"/>
    <row r="6319" ht="14.25" customHeight="1"/>
    <row r="6320" ht="14.25" customHeight="1"/>
    <row r="6321" ht="14.25" customHeight="1"/>
    <row r="6322" ht="14.25" customHeight="1"/>
    <row r="6323" ht="14.25" customHeight="1"/>
    <row r="6324" ht="14.25" customHeight="1"/>
    <row r="6325" ht="14.25" customHeight="1"/>
    <row r="6326" ht="14.25" customHeight="1"/>
    <row r="6327" ht="14.25" customHeight="1"/>
    <row r="6328" ht="14.25" customHeight="1"/>
    <row r="6329" ht="14.25" customHeight="1"/>
    <row r="6330" ht="14.25" customHeight="1"/>
    <row r="6331" ht="14.25" customHeight="1"/>
    <row r="6332" ht="14.25" customHeight="1"/>
    <row r="6333" ht="14.25" customHeight="1"/>
    <row r="6334" ht="14.25" customHeight="1"/>
    <row r="6335" ht="14.25" customHeight="1"/>
    <row r="6336" ht="14.25" customHeight="1"/>
    <row r="6337" ht="14.25" customHeight="1"/>
    <row r="6338" ht="14.25" customHeight="1"/>
    <row r="6339" ht="14.25" customHeight="1"/>
    <row r="6340" ht="14.25" customHeight="1"/>
    <row r="6341" ht="14.25" customHeight="1"/>
    <row r="6342" ht="14.25" customHeight="1"/>
    <row r="6343" ht="14.25" customHeight="1"/>
    <row r="6344" ht="14.25" customHeight="1"/>
    <row r="6345" ht="14.25" customHeight="1"/>
    <row r="6346" ht="14.25" customHeight="1"/>
    <row r="6347" ht="14.25" customHeight="1"/>
    <row r="6348" ht="14.25" customHeight="1"/>
    <row r="6349" ht="14.25" customHeight="1"/>
    <row r="6350" ht="14.25" customHeight="1"/>
    <row r="6351" ht="14.25" customHeight="1"/>
    <row r="6352" ht="14.25" customHeight="1"/>
    <row r="6353" ht="14.25" customHeight="1"/>
    <row r="6354" ht="14.25" customHeight="1"/>
    <row r="6355" ht="14.25" customHeight="1"/>
    <row r="6356" ht="14.25" customHeight="1"/>
    <row r="6357" ht="14.25" customHeight="1"/>
    <row r="6358" ht="14.25" customHeight="1"/>
    <row r="6359" ht="14.25" customHeight="1"/>
    <row r="6360" ht="14.25" customHeight="1"/>
    <row r="6361" ht="14.25" customHeight="1"/>
    <row r="6362" ht="14.25" customHeight="1"/>
    <row r="6363" ht="14.25" customHeight="1"/>
    <row r="6364" ht="14.25" customHeight="1"/>
    <row r="6365" ht="14.25" customHeight="1"/>
    <row r="6366" ht="14.25" customHeight="1"/>
    <row r="6367" ht="14.25" customHeight="1"/>
    <row r="6368" ht="14.25" customHeight="1"/>
    <row r="6369" ht="14.25" customHeight="1"/>
    <row r="6370" ht="14.25" customHeight="1"/>
    <row r="6371" ht="14.25" customHeight="1"/>
    <row r="6372" ht="14.25" customHeight="1"/>
    <row r="6373" ht="14.25" customHeight="1"/>
    <row r="6374" ht="14.25" customHeight="1"/>
    <row r="6375" ht="14.25" customHeight="1"/>
    <row r="6376" ht="14.25" customHeight="1"/>
    <row r="6377" ht="14.25" customHeight="1"/>
    <row r="6378" ht="14.25" customHeight="1"/>
    <row r="6379" ht="14.25" customHeight="1"/>
    <row r="6380" ht="14.25" customHeight="1"/>
    <row r="6381" ht="14.25" customHeight="1"/>
    <row r="6382" ht="14.25" customHeight="1"/>
    <row r="6383" ht="14.25" customHeight="1"/>
    <row r="6384" ht="14.25" customHeight="1"/>
    <row r="6385" ht="14.25" customHeight="1"/>
    <row r="6386" ht="14.25" customHeight="1"/>
    <row r="6387" ht="14.25" customHeight="1"/>
    <row r="6388" ht="14.25" customHeight="1"/>
    <row r="6389" ht="14.25" customHeight="1"/>
    <row r="6390" ht="14.25" customHeight="1"/>
    <row r="6391" ht="14.25" customHeight="1"/>
    <row r="6392" ht="14.25" customHeight="1"/>
    <row r="6393" ht="14.25" customHeight="1"/>
    <row r="6394" ht="14.25" customHeight="1"/>
    <row r="6395" ht="14.25" customHeight="1"/>
    <row r="6396" ht="14.25" customHeight="1"/>
    <row r="6397" ht="14.25" customHeight="1"/>
    <row r="6398" ht="14.25" customHeight="1"/>
    <row r="6399" ht="14.25" customHeight="1"/>
    <row r="6400" ht="14.25" customHeight="1"/>
    <row r="6401" ht="14.25" customHeight="1"/>
    <row r="6402" ht="14.25" customHeight="1"/>
    <row r="6403" ht="14.25" customHeight="1"/>
    <row r="6404" ht="14.25" customHeight="1"/>
    <row r="6405" ht="14.25" customHeight="1"/>
    <row r="6406" ht="14.25" customHeight="1"/>
    <row r="6407" ht="14.25" customHeight="1"/>
    <row r="6408" ht="14.25" customHeight="1"/>
    <row r="6409" ht="14.25" customHeight="1"/>
    <row r="6410" ht="14.25" customHeight="1"/>
    <row r="6411" ht="14.25" customHeight="1"/>
    <row r="6412" ht="14.25" customHeight="1"/>
    <row r="6413" ht="14.25" customHeight="1"/>
    <row r="6414" ht="14.25" customHeight="1"/>
    <row r="6415" ht="14.25" customHeight="1"/>
    <row r="6416" ht="14.25" customHeight="1"/>
    <row r="6417" ht="14.25" customHeight="1"/>
    <row r="6418" ht="14.25" customHeight="1"/>
    <row r="6419" ht="14.25" customHeight="1"/>
    <row r="6420" ht="14.25" customHeight="1"/>
    <row r="6421" ht="14.25" customHeight="1"/>
    <row r="6422" ht="14.25" customHeight="1"/>
    <row r="6423" ht="14.25" customHeight="1"/>
    <row r="6424" ht="14.25" customHeight="1"/>
    <row r="6425" ht="14.25" customHeight="1"/>
    <row r="6426" ht="14.25" customHeight="1"/>
    <row r="6427" ht="14.25" customHeight="1"/>
    <row r="6428" ht="14.25" customHeight="1"/>
    <row r="6429" ht="14.25" customHeight="1"/>
    <row r="6430" ht="14.25" customHeight="1"/>
    <row r="6431" ht="14.25" customHeight="1"/>
    <row r="6432" ht="14.25" customHeight="1"/>
    <row r="6433" ht="14.25" customHeight="1"/>
    <row r="6434" ht="14.25" customHeight="1"/>
    <row r="6435" ht="14.25" customHeight="1"/>
    <row r="6436" ht="14.25" customHeight="1"/>
    <row r="6437" ht="14.25" customHeight="1"/>
    <row r="6438" ht="14.25" customHeight="1"/>
    <row r="6439" ht="14.25" customHeight="1"/>
    <row r="6440" ht="14.25" customHeight="1"/>
    <row r="6441" ht="14.25" customHeight="1"/>
    <row r="6442" ht="14.25" customHeight="1"/>
    <row r="6443" ht="14.25" customHeight="1"/>
    <row r="6444" ht="14.25" customHeight="1"/>
    <row r="6445" ht="14.25" customHeight="1"/>
    <row r="6446" ht="14.25" customHeight="1"/>
    <row r="6447" ht="14.25" customHeight="1"/>
    <row r="6448" ht="14.25" customHeight="1"/>
    <row r="6449" ht="14.25" customHeight="1"/>
    <row r="6450" ht="14.25" customHeight="1"/>
    <row r="6451" ht="14.25" customHeight="1"/>
    <row r="6452" ht="14.25" customHeight="1"/>
    <row r="6453" ht="14.25" customHeight="1"/>
    <row r="6454" ht="14.25" customHeight="1"/>
    <row r="6455" ht="14.25" customHeight="1"/>
    <row r="6456" ht="14.25" customHeight="1"/>
    <row r="6457" ht="14.25" customHeight="1"/>
    <row r="6458" ht="14.25" customHeight="1"/>
    <row r="6459" ht="14.25" customHeight="1"/>
    <row r="6460" ht="14.25" customHeight="1"/>
    <row r="6461" ht="14.25" customHeight="1"/>
    <row r="6462" ht="14.25" customHeight="1"/>
    <row r="6463" ht="14.25" customHeight="1"/>
    <row r="6464" ht="14.25" customHeight="1"/>
    <row r="6465" ht="14.25" customHeight="1"/>
    <row r="6466" ht="14.25" customHeight="1"/>
    <row r="6467" ht="14.25" customHeight="1"/>
    <row r="6468" ht="14.25" customHeight="1"/>
    <row r="6469" ht="14.25" customHeight="1"/>
    <row r="6470" ht="14.25" customHeight="1"/>
    <row r="6471" ht="14.25" customHeight="1"/>
    <row r="6472" ht="14.25" customHeight="1"/>
    <row r="6473" ht="14.25" customHeight="1"/>
    <row r="6474" ht="14.25" customHeight="1"/>
    <row r="6475" ht="14.25" customHeight="1"/>
    <row r="6476" ht="14.25" customHeight="1"/>
    <row r="6477" ht="14.25" customHeight="1"/>
    <row r="6478" ht="14.25" customHeight="1"/>
    <row r="6479" ht="14.25" customHeight="1"/>
    <row r="6480" ht="14.25" customHeight="1"/>
    <row r="6481" ht="14.25" customHeight="1"/>
    <row r="6482" ht="14.25" customHeight="1"/>
    <row r="6483" ht="14.25" customHeight="1"/>
    <row r="6484" ht="14.25" customHeight="1"/>
    <row r="6485" ht="14.25" customHeight="1"/>
    <row r="6486" ht="14.25" customHeight="1"/>
    <row r="6487" ht="14.25" customHeight="1"/>
    <row r="6488" ht="14.25" customHeight="1"/>
    <row r="6489" ht="14.25" customHeight="1"/>
    <row r="6490" ht="14.25" customHeight="1"/>
    <row r="6491" ht="14.25" customHeight="1"/>
    <row r="6492" ht="14.25" customHeight="1"/>
    <row r="6493" ht="14.25" customHeight="1"/>
    <row r="6494" ht="14.25" customHeight="1"/>
    <row r="6495" ht="14.25" customHeight="1"/>
    <row r="6496" ht="14.25" customHeight="1"/>
    <row r="6497" ht="14.25" customHeight="1"/>
    <row r="6498" ht="14.25" customHeight="1"/>
    <row r="6499" ht="14.25" customHeight="1"/>
    <row r="6500" ht="14.25" customHeight="1"/>
    <row r="6501" ht="14.25" customHeight="1"/>
    <row r="6502" ht="14.25" customHeight="1"/>
    <row r="6503" ht="14.25" customHeight="1"/>
    <row r="6504" ht="14.25" customHeight="1"/>
    <row r="6505" ht="14.25" customHeight="1"/>
    <row r="6506" ht="14.25" customHeight="1"/>
    <row r="6507" ht="14.25" customHeight="1"/>
    <row r="6508" ht="14.25" customHeight="1"/>
    <row r="6509" ht="14.25" customHeight="1"/>
    <row r="6510" ht="14.25" customHeight="1"/>
    <row r="6511" ht="14.25" customHeight="1"/>
    <row r="6512" ht="14.25" customHeight="1"/>
    <row r="6513" ht="14.25" customHeight="1"/>
    <row r="6514" ht="14.25" customHeight="1"/>
    <row r="6515" ht="14.25" customHeight="1"/>
    <row r="6516" ht="14.25" customHeight="1"/>
    <row r="6517" ht="14.25" customHeight="1"/>
    <row r="6518" ht="14.25" customHeight="1"/>
    <row r="6519" ht="14.25" customHeight="1"/>
    <row r="6520" ht="14.25" customHeight="1"/>
    <row r="6521" ht="14.25" customHeight="1"/>
    <row r="6522" ht="14.25" customHeight="1"/>
    <row r="6523" ht="14.25" customHeight="1"/>
    <row r="6524" ht="14.25" customHeight="1"/>
    <row r="6525" ht="14.25" customHeight="1"/>
    <row r="6526" ht="14.25" customHeight="1"/>
    <row r="6527" ht="14.25" customHeight="1"/>
    <row r="6528" ht="14.25" customHeight="1"/>
    <row r="6529" ht="14.25" customHeight="1"/>
    <row r="6530" ht="14.25" customHeight="1"/>
    <row r="6531" ht="14.25" customHeight="1"/>
    <row r="6532" ht="14.25" customHeight="1"/>
    <row r="6533" ht="14.25" customHeight="1"/>
    <row r="6534" ht="14.25" customHeight="1"/>
    <row r="6535" ht="14.25" customHeight="1"/>
    <row r="6536" ht="14.25" customHeight="1"/>
    <row r="6537" ht="14.25" customHeight="1"/>
    <row r="6538" ht="14.25" customHeight="1"/>
    <row r="6539" ht="14.25" customHeight="1"/>
    <row r="6540" ht="14.25" customHeight="1"/>
    <row r="6541" ht="14.25" customHeight="1"/>
    <row r="6542" ht="14.25" customHeight="1"/>
    <row r="6543" ht="14.25" customHeight="1"/>
    <row r="6544" ht="14.25" customHeight="1"/>
    <row r="6545" ht="14.25" customHeight="1"/>
    <row r="6546" ht="14.25" customHeight="1"/>
    <row r="6547" ht="14.25" customHeight="1"/>
    <row r="6548" ht="14.25" customHeight="1"/>
    <row r="6549" ht="14.25" customHeight="1"/>
    <row r="6550" ht="14.25" customHeight="1"/>
    <row r="6551" ht="14.25" customHeight="1"/>
    <row r="6552" ht="14.25" customHeight="1"/>
    <row r="6553" ht="14.25" customHeight="1"/>
    <row r="6554" ht="14.25" customHeight="1"/>
    <row r="6555" ht="14.25" customHeight="1"/>
    <row r="6556" ht="14.25" customHeight="1"/>
    <row r="6557" ht="14.25" customHeight="1"/>
    <row r="6558" ht="14.25" customHeight="1"/>
    <row r="6559" ht="14.25" customHeight="1"/>
    <row r="6560" ht="14.25" customHeight="1"/>
    <row r="6561" ht="14.25" customHeight="1"/>
    <row r="6562" ht="14.25" customHeight="1"/>
    <row r="6563" ht="14.25" customHeight="1"/>
    <row r="6564" ht="14.25" customHeight="1"/>
    <row r="6565" ht="14.25" customHeight="1"/>
    <row r="6566" ht="14.25" customHeight="1"/>
    <row r="6567" ht="14.25" customHeight="1"/>
    <row r="6568" ht="14.25" customHeight="1"/>
    <row r="6569" ht="14.25" customHeight="1"/>
    <row r="6570" ht="14.25" customHeight="1"/>
    <row r="6571" ht="14.25" customHeight="1"/>
    <row r="6572" ht="14.25" customHeight="1"/>
    <row r="6573" ht="14.25" customHeight="1"/>
    <row r="6574" ht="14.25" customHeight="1"/>
    <row r="6575" ht="14.25" customHeight="1"/>
    <row r="6576" ht="14.25" customHeight="1"/>
    <row r="6577" ht="14.25" customHeight="1"/>
    <row r="6578" ht="14.25" customHeight="1"/>
    <row r="6579" ht="14.25" customHeight="1"/>
    <row r="6580" ht="14.25" customHeight="1"/>
    <row r="6581" ht="14.25" customHeight="1"/>
    <row r="6582" ht="14.25" customHeight="1"/>
    <row r="6583" ht="14.25" customHeight="1"/>
    <row r="6584" ht="14.25" customHeight="1"/>
    <row r="6585" ht="14.25" customHeight="1"/>
    <row r="6586" ht="14.25" customHeight="1"/>
    <row r="6587" ht="14.25" customHeight="1"/>
    <row r="6588" ht="14.25" customHeight="1"/>
    <row r="6589" ht="14.25" customHeight="1"/>
    <row r="6590" ht="14.25" customHeight="1"/>
    <row r="6591" ht="14.25" customHeight="1"/>
    <row r="6592" ht="14.25" customHeight="1"/>
    <row r="6593" ht="14.25" customHeight="1"/>
    <row r="6594" ht="14.25" customHeight="1"/>
    <row r="6595" ht="14.25" customHeight="1"/>
    <row r="6596" ht="14.25" customHeight="1"/>
    <row r="6597" ht="14.25" customHeight="1"/>
    <row r="6598" ht="14.25" customHeight="1"/>
    <row r="6599" ht="14.25" customHeight="1"/>
    <row r="6600" ht="14.25" customHeight="1"/>
    <row r="6601" ht="14.25" customHeight="1"/>
    <row r="6602" ht="14.25" customHeight="1"/>
    <row r="6603" ht="14.25" customHeight="1"/>
    <row r="6604" ht="14.25" customHeight="1"/>
    <row r="6605" ht="14.25" customHeight="1"/>
    <row r="6606" ht="14.25" customHeight="1"/>
    <row r="6607" ht="14.25" customHeight="1"/>
    <row r="6608" ht="14.25" customHeight="1"/>
    <row r="6609" ht="14.25" customHeight="1"/>
    <row r="6610" ht="14.25" customHeight="1"/>
    <row r="6611" ht="14.25" customHeight="1"/>
    <row r="6612" ht="14.25" customHeight="1"/>
    <row r="6613" ht="14.25" customHeight="1"/>
    <row r="6614" ht="14.25" customHeight="1"/>
    <row r="6615" ht="14.25" customHeight="1"/>
    <row r="6616" ht="14.25" customHeight="1"/>
    <row r="6617" ht="14.25" customHeight="1"/>
    <row r="6618" ht="14.25" customHeight="1"/>
    <row r="6619" ht="14.25" customHeight="1"/>
    <row r="6620" ht="14.25" customHeight="1"/>
    <row r="6621" ht="14.25" customHeight="1"/>
    <row r="6622" ht="14.25" customHeight="1"/>
    <row r="6623" ht="14.25" customHeight="1"/>
    <row r="6624" ht="14.25" customHeight="1"/>
    <row r="6625" ht="14.25" customHeight="1"/>
    <row r="6626" ht="14.25" customHeight="1"/>
    <row r="6627" ht="14.25" customHeight="1"/>
    <row r="6628" ht="14.25" customHeight="1"/>
    <row r="6629" ht="14.25" customHeight="1"/>
    <row r="6630" ht="14.25" customHeight="1"/>
    <row r="6631" ht="14.25" customHeight="1"/>
    <row r="6632" ht="14.25" customHeight="1"/>
    <row r="6633" ht="14.25" customHeight="1"/>
    <row r="6634" ht="14.25" customHeight="1"/>
    <row r="6635" ht="14.25" customHeight="1"/>
    <row r="6636" ht="14.25" customHeight="1"/>
    <row r="6637" ht="14.25" customHeight="1"/>
    <row r="6638" ht="14.25" customHeight="1"/>
    <row r="6639" ht="14.25" customHeight="1"/>
    <row r="6640" ht="14.25" customHeight="1"/>
    <row r="6641" ht="14.25" customHeight="1"/>
    <row r="6642" ht="14.25" customHeight="1"/>
    <row r="6643" ht="14.25" customHeight="1"/>
    <row r="6644" ht="14.25" customHeight="1"/>
    <row r="6645" ht="14.25" customHeight="1"/>
    <row r="6646" ht="14.25" customHeight="1"/>
    <row r="6647" ht="14.25" customHeight="1"/>
    <row r="6648" ht="14.25" customHeight="1"/>
    <row r="6649" ht="14.25" customHeight="1"/>
    <row r="6650" ht="14.25" customHeight="1"/>
    <row r="6651" ht="14.25" customHeight="1"/>
    <row r="6652" ht="14.25" customHeight="1"/>
    <row r="6653" ht="14.25" customHeight="1"/>
    <row r="6654" ht="14.25" customHeight="1"/>
    <row r="6655" ht="14.25" customHeight="1"/>
    <row r="6656" ht="14.25" customHeight="1"/>
    <row r="6657" ht="14.25" customHeight="1"/>
    <row r="6658" ht="14.25" customHeight="1"/>
    <row r="6659" ht="14.25" customHeight="1"/>
    <row r="6660" ht="14.25" customHeight="1"/>
    <row r="6661" ht="14.25" customHeight="1"/>
    <row r="6662" ht="14.25" customHeight="1"/>
    <row r="6663" ht="14.25" customHeight="1"/>
    <row r="6664" ht="14.25" customHeight="1"/>
    <row r="6665" ht="14.25" customHeight="1"/>
    <row r="6666" ht="14.25" customHeight="1"/>
    <row r="6667" ht="14.25" customHeight="1"/>
    <row r="6668" ht="14.25" customHeight="1"/>
    <row r="6669" ht="14.25" customHeight="1"/>
    <row r="6670" ht="14.25" customHeight="1"/>
    <row r="6671" ht="14.25" customHeight="1"/>
    <row r="6672" ht="14.25" customHeight="1"/>
    <row r="6673" ht="14.25" customHeight="1"/>
    <row r="6674" ht="14.25" customHeight="1"/>
    <row r="6675" ht="14.25" customHeight="1"/>
    <row r="6676" ht="14.25" customHeight="1"/>
    <row r="6677" ht="14.25" customHeight="1"/>
    <row r="6678" ht="14.25" customHeight="1"/>
    <row r="6679" ht="14.25" customHeight="1"/>
    <row r="6680" ht="14.25" customHeight="1"/>
    <row r="6681" ht="14.25" customHeight="1"/>
    <row r="6682" ht="14.25" customHeight="1"/>
    <row r="6683" ht="14.25" customHeight="1"/>
    <row r="6684" ht="14.25" customHeight="1"/>
    <row r="6685" ht="14.25" customHeight="1"/>
    <row r="6686" ht="14.25" customHeight="1"/>
    <row r="6687" ht="14.25" customHeight="1"/>
    <row r="6688" ht="14.25" customHeight="1"/>
    <row r="6689" ht="14.25" customHeight="1"/>
    <row r="6690" ht="14.25" customHeight="1"/>
    <row r="6691" ht="14.25" customHeight="1"/>
    <row r="6692" ht="14.25" customHeight="1"/>
    <row r="6693" ht="14.25" customHeight="1"/>
    <row r="6694" ht="14.25" customHeight="1"/>
    <row r="6695" ht="14.25" customHeight="1"/>
    <row r="6696" ht="14.25" customHeight="1"/>
    <row r="6697" ht="14.25" customHeight="1"/>
    <row r="6698" ht="14.25" customHeight="1"/>
    <row r="6699" ht="14.25" customHeight="1"/>
    <row r="6700" ht="14.25" customHeight="1"/>
    <row r="6701" ht="14.25" customHeight="1"/>
    <row r="6702" ht="14.25" customHeight="1"/>
    <row r="6703" ht="14.25" customHeight="1"/>
    <row r="6704" ht="14.25" customHeight="1"/>
    <row r="6705" ht="14.25" customHeight="1"/>
    <row r="6706" ht="14.25" customHeight="1"/>
    <row r="6707" ht="14.25" customHeight="1"/>
    <row r="6708" ht="14.25" customHeight="1"/>
    <row r="6709" ht="14.25" customHeight="1"/>
    <row r="6710" ht="14.25" customHeight="1"/>
    <row r="6711" ht="14.25" customHeight="1"/>
    <row r="6712" ht="14.25" customHeight="1"/>
    <row r="6713" ht="14.25" customHeight="1"/>
    <row r="6714" ht="14.25" customHeight="1"/>
    <row r="6715" ht="14.25" customHeight="1"/>
    <row r="6716" ht="14.25" customHeight="1"/>
    <row r="6717" ht="14.25" customHeight="1"/>
    <row r="6718" ht="14.25" customHeight="1"/>
    <row r="6719" ht="14.25" customHeight="1"/>
    <row r="6720" ht="14.25" customHeight="1"/>
    <row r="6721" ht="14.25" customHeight="1"/>
    <row r="6722" ht="14.25" customHeight="1"/>
    <row r="6723" ht="14.25" customHeight="1"/>
    <row r="6724" ht="14.25" customHeight="1"/>
    <row r="6725" ht="14.25" customHeight="1"/>
    <row r="6726" ht="14.25" customHeight="1"/>
    <row r="6727" ht="14.25" customHeight="1"/>
    <row r="6728" ht="14.25" customHeight="1"/>
    <row r="6729" ht="14.25" customHeight="1"/>
    <row r="6730" ht="14.25" customHeight="1"/>
    <row r="6731" ht="14.25" customHeight="1"/>
    <row r="6732" ht="14.25" customHeight="1"/>
    <row r="6733" ht="14.25" customHeight="1"/>
    <row r="6734" ht="14.25" customHeight="1"/>
    <row r="6735" ht="14.25" customHeight="1"/>
    <row r="6736" ht="14.25" customHeight="1"/>
    <row r="6737" ht="14.25" customHeight="1"/>
    <row r="6738" ht="14.25" customHeight="1"/>
    <row r="6739" ht="14.25" customHeight="1"/>
    <row r="6740" ht="14.25" customHeight="1"/>
    <row r="6741" ht="14.25" customHeight="1"/>
    <row r="6742" ht="14.25" customHeight="1"/>
    <row r="6743" ht="14.25" customHeight="1"/>
    <row r="6744" ht="14.25" customHeight="1"/>
    <row r="6745" ht="14.25" customHeight="1"/>
    <row r="6746" ht="14.25" customHeight="1"/>
    <row r="6747" ht="14.25" customHeight="1"/>
    <row r="6748" ht="14.25" customHeight="1"/>
    <row r="6749" ht="14.25" customHeight="1"/>
    <row r="6750" ht="14.25" customHeight="1"/>
    <row r="6751" ht="14.25" customHeight="1"/>
    <row r="6752" ht="14.25" customHeight="1"/>
    <row r="6753" ht="14.25" customHeight="1"/>
    <row r="6754" ht="14.25" customHeight="1"/>
    <row r="6755" ht="14.25" customHeight="1"/>
    <row r="6756" ht="14.25" customHeight="1"/>
    <row r="6757" ht="14.25" customHeight="1"/>
    <row r="6758" ht="14.25" customHeight="1"/>
    <row r="6759" ht="14.25" customHeight="1"/>
    <row r="6760" ht="14.25" customHeight="1"/>
    <row r="6761" ht="14.25" customHeight="1"/>
    <row r="6762" ht="14.25" customHeight="1"/>
    <row r="6763" ht="14.25" customHeight="1"/>
    <row r="6764" ht="14.25" customHeight="1"/>
    <row r="6765" ht="14.25" customHeight="1"/>
    <row r="6766" ht="14.25" customHeight="1"/>
    <row r="6767" ht="14.25" customHeight="1"/>
    <row r="6768" ht="14.25" customHeight="1"/>
    <row r="6769" ht="14.25" customHeight="1"/>
    <row r="6770" ht="14.25" customHeight="1"/>
    <row r="6771" ht="14.25" customHeight="1"/>
    <row r="6772" ht="14.25" customHeight="1"/>
    <row r="6773" ht="14.25" customHeight="1"/>
    <row r="6774" ht="14.25" customHeight="1"/>
    <row r="6775" ht="14.25" customHeight="1"/>
    <row r="6776" ht="14.25" customHeight="1"/>
    <row r="6777" ht="14.25" customHeight="1"/>
    <row r="6778" ht="14.25" customHeight="1"/>
    <row r="6779" ht="14.25" customHeight="1"/>
    <row r="6780" ht="14.25" customHeight="1"/>
    <row r="6781" ht="14.25" customHeight="1"/>
    <row r="6782" ht="14.25" customHeight="1"/>
    <row r="6783" ht="14.25" customHeight="1"/>
    <row r="6784" ht="14.25" customHeight="1"/>
    <row r="6785" ht="14.25" customHeight="1"/>
    <row r="6786" ht="14.25" customHeight="1"/>
    <row r="6787" ht="14.25" customHeight="1"/>
    <row r="6788" ht="14.25" customHeight="1"/>
    <row r="6789" ht="14.25" customHeight="1"/>
    <row r="6790" ht="14.25" customHeight="1"/>
    <row r="6791" ht="14.25" customHeight="1"/>
    <row r="6792" ht="14.25" customHeight="1"/>
    <row r="6793" ht="14.25" customHeight="1"/>
    <row r="6794" ht="14.25" customHeight="1"/>
    <row r="6795" ht="14.25" customHeight="1"/>
    <row r="6796" ht="14.25" customHeight="1"/>
    <row r="6797" ht="14.25" customHeight="1"/>
    <row r="6798" ht="14.25" customHeight="1"/>
    <row r="6799" ht="14.25" customHeight="1"/>
    <row r="6800" ht="14.25" customHeight="1"/>
    <row r="6801" ht="14.25" customHeight="1"/>
    <row r="6802" ht="14.25" customHeight="1"/>
    <row r="6803" ht="14.25" customHeight="1"/>
    <row r="6804" ht="14.25" customHeight="1"/>
    <row r="6805" ht="14.25" customHeight="1"/>
    <row r="6806" ht="14.25" customHeight="1"/>
    <row r="6807" ht="14.25" customHeight="1"/>
    <row r="6808" ht="14.25" customHeight="1"/>
    <row r="6809" ht="14.25" customHeight="1"/>
    <row r="6810" ht="14.25" customHeight="1"/>
    <row r="6811" ht="14.25" customHeight="1"/>
    <row r="6812" ht="14.25" customHeight="1"/>
    <row r="6813" ht="14.25" customHeight="1"/>
    <row r="6814" ht="14.25" customHeight="1"/>
    <row r="6815" ht="14.25" customHeight="1"/>
    <row r="6816" ht="14.25" customHeight="1"/>
    <row r="6817" ht="14.25" customHeight="1"/>
    <row r="6818" ht="14.25" customHeight="1"/>
    <row r="6819" ht="14.25" customHeight="1"/>
    <row r="6820" ht="14.25" customHeight="1"/>
    <row r="6821" ht="14.25" customHeight="1"/>
    <row r="6822" ht="14.25" customHeight="1"/>
    <row r="6823" ht="14.25" customHeight="1"/>
    <row r="6824" ht="14.25" customHeight="1"/>
    <row r="6825" ht="14.25" customHeight="1"/>
    <row r="6826" ht="14.25" customHeight="1"/>
    <row r="6827" ht="14.25" customHeight="1"/>
    <row r="6828" ht="14.25" customHeight="1"/>
    <row r="6829" ht="14.25" customHeight="1"/>
    <row r="6830" ht="14.25" customHeight="1"/>
    <row r="6831" ht="14.25" customHeight="1"/>
    <row r="6832" ht="14.25" customHeight="1"/>
    <row r="6833" ht="14.25" customHeight="1"/>
    <row r="6834" ht="14.25" customHeight="1"/>
    <row r="6835" ht="14.25" customHeight="1"/>
    <row r="6836" ht="14.25" customHeight="1"/>
    <row r="6837" ht="14.25" customHeight="1"/>
    <row r="6838" ht="14.25" customHeight="1"/>
    <row r="6839" ht="14.25" customHeight="1"/>
    <row r="6840" ht="14.25" customHeight="1"/>
    <row r="6841" ht="14.25" customHeight="1"/>
    <row r="6842" ht="14.25" customHeight="1"/>
    <row r="6843" ht="14.25" customHeight="1"/>
    <row r="6844" ht="14.25" customHeight="1"/>
    <row r="6845" ht="14.25" customHeight="1"/>
    <row r="6846" ht="14.25" customHeight="1"/>
    <row r="6847" ht="14.25" customHeight="1"/>
    <row r="6848" ht="14.25" customHeight="1"/>
    <row r="6849" ht="14.25" customHeight="1"/>
    <row r="6850" ht="14.25" customHeight="1"/>
    <row r="6851" ht="14.25" customHeight="1"/>
    <row r="6852" ht="14.25" customHeight="1"/>
    <row r="6853" ht="14.25" customHeight="1"/>
    <row r="6854" ht="14.25" customHeight="1"/>
    <row r="6855" ht="14.25" customHeight="1"/>
    <row r="6856" ht="14.25" customHeight="1"/>
    <row r="6857" ht="14.25" customHeight="1"/>
    <row r="6858" ht="14.25" customHeight="1"/>
    <row r="6859" ht="14.25" customHeight="1"/>
    <row r="6860" ht="14.25" customHeight="1"/>
    <row r="6861" ht="14.25" customHeight="1"/>
    <row r="6862" ht="14.25" customHeight="1"/>
    <row r="6863" ht="14.25" customHeight="1"/>
    <row r="6864" ht="14.25" customHeight="1"/>
    <row r="6865" ht="14.25" customHeight="1"/>
    <row r="6866" ht="14.25" customHeight="1"/>
    <row r="6867" ht="14.25" customHeight="1"/>
    <row r="6868" ht="14.25" customHeight="1"/>
    <row r="6869" ht="14.25" customHeight="1"/>
    <row r="6870" ht="14.25" customHeight="1"/>
    <row r="6871" ht="14.25" customHeight="1"/>
    <row r="6872" ht="14.25" customHeight="1"/>
    <row r="6873" ht="14.25" customHeight="1"/>
    <row r="6874" ht="14.25" customHeight="1"/>
    <row r="6875" ht="14.25" customHeight="1"/>
    <row r="6876" ht="14.25" customHeight="1"/>
    <row r="6877" ht="14.25" customHeight="1"/>
    <row r="6878" ht="14.25" customHeight="1"/>
    <row r="6879" ht="14.25" customHeight="1"/>
    <row r="6880" ht="14.25" customHeight="1"/>
    <row r="6881" ht="14.25" customHeight="1"/>
    <row r="6882" ht="14.25" customHeight="1"/>
    <row r="6883" ht="14.25" customHeight="1"/>
    <row r="6884" ht="14.25" customHeight="1"/>
    <row r="6885" ht="14.25" customHeight="1"/>
    <row r="6886" ht="14.25" customHeight="1"/>
    <row r="6887" ht="14.25" customHeight="1"/>
    <row r="6888" ht="14.25" customHeight="1"/>
    <row r="6889" ht="14.25" customHeight="1"/>
    <row r="6890" ht="14.25" customHeight="1"/>
    <row r="6891" ht="14.25" customHeight="1"/>
    <row r="6892" ht="14.25" customHeight="1"/>
    <row r="6893" ht="14.25" customHeight="1"/>
    <row r="6894" ht="14.25" customHeight="1"/>
    <row r="6895" ht="14.25" customHeight="1"/>
    <row r="6896" ht="14.25" customHeight="1"/>
    <row r="6897" ht="14.25" customHeight="1"/>
    <row r="6898" ht="14.25" customHeight="1"/>
    <row r="6899" ht="14.25" customHeight="1"/>
    <row r="6900" ht="14.25" customHeight="1"/>
    <row r="6901" ht="14.25" customHeight="1"/>
    <row r="6902" ht="14.25" customHeight="1"/>
    <row r="6903" ht="14.25" customHeight="1"/>
    <row r="6904" ht="14.25" customHeight="1"/>
    <row r="6905" ht="14.25" customHeight="1"/>
    <row r="6906" ht="14.25" customHeight="1"/>
    <row r="6907" ht="14.25" customHeight="1"/>
    <row r="6908" ht="14.25" customHeight="1"/>
    <row r="6909" ht="14.25" customHeight="1"/>
    <row r="6910" ht="14.25" customHeight="1"/>
    <row r="6911" ht="14.25" customHeight="1"/>
    <row r="6912" ht="14.25" customHeight="1"/>
    <row r="6913" ht="14.25" customHeight="1"/>
    <row r="6914" ht="14.25" customHeight="1"/>
    <row r="6915" ht="14.25" customHeight="1"/>
    <row r="6916" ht="14.25" customHeight="1"/>
    <row r="6917" ht="14.25" customHeight="1"/>
    <row r="6918" ht="14.25" customHeight="1"/>
    <row r="6919" ht="14.25" customHeight="1"/>
    <row r="6920" ht="14.25" customHeight="1"/>
    <row r="6921" ht="14.25" customHeight="1"/>
    <row r="6922" ht="14.25" customHeight="1"/>
    <row r="6923" ht="14.25" customHeight="1"/>
    <row r="6924" ht="14.25" customHeight="1"/>
    <row r="6925" ht="14.25" customHeight="1"/>
    <row r="6926" ht="14.25" customHeight="1"/>
    <row r="6927" ht="14.25" customHeight="1"/>
    <row r="6928" ht="14.25" customHeight="1"/>
    <row r="6929" ht="14.25" customHeight="1"/>
    <row r="6930" ht="14.25" customHeight="1"/>
    <row r="6931" ht="14.25" customHeight="1"/>
    <row r="6932" ht="14.25" customHeight="1"/>
    <row r="6933" ht="14.25" customHeight="1"/>
    <row r="6934" ht="14.25" customHeight="1"/>
    <row r="6935" ht="14.25" customHeight="1"/>
    <row r="6936" ht="14.25" customHeight="1"/>
    <row r="6937" ht="14.25" customHeight="1"/>
    <row r="6938" ht="14.25" customHeight="1"/>
    <row r="6939" ht="14.25" customHeight="1"/>
    <row r="6940" ht="14.25" customHeight="1"/>
    <row r="6941" ht="14.25" customHeight="1"/>
    <row r="6942" ht="14.25" customHeight="1"/>
    <row r="6943" ht="14.25" customHeight="1"/>
    <row r="6944" ht="14.25" customHeight="1"/>
    <row r="6945" ht="14.25" customHeight="1"/>
    <row r="6946" ht="14.25" customHeight="1"/>
    <row r="6947" ht="14.25" customHeight="1"/>
    <row r="6948" ht="14.25" customHeight="1"/>
    <row r="6949" ht="14.25" customHeight="1"/>
    <row r="6950" ht="14.25" customHeight="1"/>
    <row r="6951" ht="14.25" customHeight="1"/>
    <row r="6952" ht="14.25" customHeight="1"/>
    <row r="6953" ht="14.25" customHeight="1"/>
    <row r="6954" ht="14.25" customHeight="1"/>
    <row r="6955" ht="14.25" customHeight="1"/>
    <row r="6956" ht="14.25" customHeight="1"/>
    <row r="6957" ht="14.25" customHeight="1"/>
    <row r="6958" ht="14.25" customHeight="1"/>
    <row r="6959" ht="14.25" customHeight="1"/>
    <row r="6960" ht="14.25" customHeight="1"/>
    <row r="6961" ht="14.25" customHeight="1"/>
    <row r="6962" ht="14.25" customHeight="1"/>
    <row r="6963" ht="14.25" customHeight="1"/>
    <row r="6964" ht="14.25" customHeight="1"/>
    <row r="6965" ht="14.25" customHeight="1"/>
    <row r="6966" ht="14.25" customHeight="1"/>
    <row r="6967" ht="14.25" customHeight="1"/>
    <row r="6968" ht="14.25" customHeight="1"/>
    <row r="6969" ht="14.25" customHeight="1"/>
    <row r="6970" ht="14.25" customHeight="1"/>
    <row r="6971" ht="14.25" customHeight="1"/>
    <row r="6972" ht="14.25" customHeight="1"/>
    <row r="6973" ht="14.25" customHeight="1"/>
    <row r="6974" ht="14.25" customHeight="1"/>
    <row r="6975" ht="14.25" customHeight="1"/>
    <row r="6976" ht="14.25" customHeight="1"/>
    <row r="6977" ht="14.25" customHeight="1"/>
    <row r="6978" ht="14.25" customHeight="1"/>
    <row r="6979" ht="14.25" customHeight="1"/>
    <row r="6980" ht="14.25" customHeight="1"/>
    <row r="6981" ht="14.25" customHeight="1"/>
    <row r="6982" ht="14.25" customHeight="1"/>
    <row r="6983" ht="14.25" customHeight="1"/>
    <row r="6984" ht="14.25" customHeight="1"/>
    <row r="6985" ht="14.25" customHeight="1"/>
    <row r="6986" ht="14.25" customHeight="1"/>
    <row r="6987" ht="14.25" customHeight="1"/>
    <row r="6988" ht="14.25" customHeight="1"/>
    <row r="6989" ht="14.25" customHeight="1"/>
    <row r="6990" ht="14.25" customHeight="1"/>
    <row r="6991" ht="14.25" customHeight="1"/>
    <row r="6992" ht="14.25" customHeight="1"/>
    <row r="6993" ht="14.25" customHeight="1"/>
    <row r="6994" ht="14.25" customHeight="1"/>
    <row r="6995" ht="14.25" customHeight="1"/>
    <row r="6996" ht="14.25" customHeight="1"/>
    <row r="6997" ht="14.25" customHeight="1"/>
    <row r="6998" ht="14.25" customHeight="1"/>
    <row r="6999" ht="14.25" customHeight="1"/>
    <row r="7000" ht="14.25" customHeight="1"/>
    <row r="7001" ht="14.25" customHeight="1"/>
    <row r="7002" ht="14.25" customHeight="1"/>
    <row r="7003" ht="14.25" customHeight="1"/>
    <row r="7004" ht="14.25" customHeight="1"/>
    <row r="7005" ht="14.25" customHeight="1"/>
    <row r="7006" ht="14.25" customHeight="1"/>
    <row r="7007" ht="14.25" customHeight="1"/>
    <row r="7008" ht="14.25" customHeight="1"/>
    <row r="7009" ht="14.25" customHeight="1"/>
    <row r="7010" ht="14.25" customHeight="1"/>
    <row r="7011" ht="14.25" customHeight="1"/>
    <row r="7012" ht="14.25" customHeight="1"/>
    <row r="7013" ht="14.25" customHeight="1"/>
    <row r="7014" ht="14.25" customHeight="1"/>
    <row r="7015" ht="14.25" customHeight="1"/>
    <row r="7016" ht="14.25" customHeight="1"/>
    <row r="7017" ht="14.25" customHeight="1"/>
    <row r="7018" ht="14.25" customHeight="1"/>
    <row r="7019" ht="14.25" customHeight="1"/>
    <row r="7020" ht="14.25" customHeight="1"/>
    <row r="7021" ht="14.25" customHeight="1"/>
    <row r="7022" ht="14.25" customHeight="1"/>
    <row r="7023" ht="14.25" customHeight="1"/>
    <row r="7024" ht="14.25" customHeight="1"/>
    <row r="7025" ht="14.25" customHeight="1"/>
    <row r="7026" ht="14.25" customHeight="1"/>
    <row r="7027" ht="14.25" customHeight="1"/>
    <row r="7028" ht="14.25" customHeight="1"/>
    <row r="7029" ht="14.25" customHeight="1"/>
    <row r="7030" ht="14.25" customHeight="1"/>
    <row r="7031" ht="14.25" customHeight="1"/>
    <row r="7032" ht="14.25" customHeight="1"/>
    <row r="7033" ht="14.25" customHeight="1"/>
    <row r="7034" ht="14.25" customHeight="1"/>
    <row r="7035" ht="14.25" customHeight="1"/>
    <row r="7036" ht="14.25" customHeight="1"/>
    <row r="7037" ht="14.25" customHeight="1"/>
    <row r="7038" ht="14.25" customHeight="1"/>
    <row r="7039" ht="14.25" customHeight="1"/>
    <row r="7040" ht="14.25" customHeight="1"/>
    <row r="7041" ht="14.25" customHeight="1"/>
    <row r="7042" ht="14.25" customHeight="1"/>
    <row r="7043" ht="14.25" customHeight="1"/>
    <row r="7044" ht="14.25" customHeight="1"/>
    <row r="7045" ht="14.25" customHeight="1"/>
    <row r="7046" ht="14.25" customHeight="1"/>
    <row r="7047" ht="14.25" customHeight="1"/>
    <row r="7048" ht="14.25" customHeight="1"/>
    <row r="7049" ht="14.25" customHeight="1"/>
    <row r="7050" ht="14.25" customHeight="1"/>
    <row r="7051" ht="14.25" customHeight="1"/>
    <row r="7052" ht="14.25" customHeight="1"/>
    <row r="7053" ht="14.25" customHeight="1"/>
    <row r="7054" ht="14.25" customHeight="1"/>
    <row r="7055" ht="14.25" customHeight="1"/>
    <row r="7056" ht="14.25" customHeight="1"/>
    <row r="7057" ht="14.25" customHeight="1"/>
    <row r="7058" ht="14.25" customHeight="1"/>
    <row r="7059" ht="14.25" customHeight="1"/>
    <row r="7060" ht="14.25" customHeight="1"/>
    <row r="7061" ht="14.25" customHeight="1"/>
    <row r="7062" ht="14.25" customHeight="1"/>
    <row r="7063" ht="14.25" customHeight="1"/>
    <row r="7064" ht="14.25" customHeight="1"/>
    <row r="7065" ht="14.25" customHeight="1"/>
    <row r="7066" ht="14.25" customHeight="1"/>
    <row r="7067" ht="14.25" customHeight="1"/>
    <row r="7068" ht="14.25" customHeight="1"/>
    <row r="7069" ht="14.25" customHeight="1"/>
    <row r="7070" ht="14.25" customHeight="1"/>
    <row r="7071" ht="14.25" customHeight="1"/>
    <row r="7072" ht="14.25" customHeight="1"/>
    <row r="7073" ht="14.25" customHeight="1"/>
    <row r="7074" ht="14.25" customHeight="1"/>
    <row r="7075" ht="14.25" customHeight="1"/>
    <row r="7076" ht="14.25" customHeight="1"/>
    <row r="7077" ht="14.25" customHeight="1"/>
    <row r="7078" ht="14.25" customHeight="1"/>
    <row r="7079" ht="14.25" customHeight="1"/>
    <row r="7080" ht="14.25" customHeight="1"/>
    <row r="7081" ht="14.25" customHeight="1"/>
    <row r="7082" ht="14.25" customHeight="1"/>
    <row r="7083" ht="14.25" customHeight="1"/>
    <row r="7084" ht="14.25" customHeight="1"/>
    <row r="7085" ht="14.25" customHeight="1"/>
    <row r="7086" ht="14.25" customHeight="1"/>
    <row r="7087" ht="14.25" customHeight="1"/>
    <row r="7088" ht="14.25" customHeight="1"/>
    <row r="7089" ht="14.25" customHeight="1"/>
    <row r="7090" ht="14.25" customHeight="1"/>
    <row r="7091" ht="14.25" customHeight="1"/>
    <row r="7092" ht="14.25" customHeight="1"/>
    <row r="7093" ht="14.25" customHeight="1"/>
    <row r="7094" ht="14.25" customHeight="1"/>
    <row r="7095" ht="14.25" customHeight="1"/>
    <row r="7096" ht="14.25" customHeight="1"/>
    <row r="7097" ht="14.25" customHeight="1"/>
    <row r="7098" ht="14.25" customHeight="1"/>
    <row r="7099" ht="14.25" customHeight="1"/>
    <row r="7100" ht="14.25" customHeight="1"/>
    <row r="7101" ht="14.25" customHeight="1"/>
    <row r="7102" ht="14.25" customHeight="1"/>
    <row r="7103" ht="14.25" customHeight="1"/>
    <row r="7104" ht="14.25" customHeight="1"/>
    <row r="7105" ht="14.25" customHeight="1"/>
    <row r="7106" ht="14.25" customHeight="1"/>
    <row r="7107" ht="14.25" customHeight="1"/>
    <row r="7108" ht="14.25" customHeight="1"/>
    <row r="7109" ht="14.25" customHeight="1"/>
    <row r="7110" ht="14.25" customHeight="1"/>
    <row r="7111" ht="14.25" customHeight="1"/>
    <row r="7112" ht="14.25" customHeight="1"/>
    <row r="7113" ht="14.25" customHeight="1"/>
    <row r="7114" ht="14.25" customHeight="1"/>
    <row r="7115" ht="14.25" customHeight="1"/>
    <row r="7116" ht="14.25" customHeight="1"/>
    <row r="7117" ht="14.25" customHeight="1"/>
    <row r="7118" ht="14.25" customHeight="1"/>
    <row r="7119" ht="14.25" customHeight="1"/>
    <row r="7120" ht="14.25" customHeight="1"/>
    <row r="7121" ht="14.25" customHeight="1"/>
    <row r="7122" ht="14.25" customHeight="1"/>
    <row r="7123" ht="14.25" customHeight="1"/>
    <row r="7124" ht="14.25" customHeight="1"/>
    <row r="7125" ht="14.25" customHeight="1"/>
    <row r="7126" ht="14.25" customHeight="1"/>
    <row r="7127" ht="14.25" customHeight="1"/>
    <row r="7128" ht="14.25" customHeight="1"/>
    <row r="7129" ht="14.25" customHeight="1"/>
    <row r="7130" ht="14.25" customHeight="1"/>
    <row r="7131" ht="14.25" customHeight="1"/>
    <row r="7132" ht="14.25" customHeight="1"/>
    <row r="7133" ht="14.25" customHeight="1"/>
    <row r="7134" ht="14.25" customHeight="1"/>
    <row r="7135" ht="14.25" customHeight="1"/>
    <row r="7136" ht="14.25" customHeight="1"/>
    <row r="7137" ht="14.25" customHeight="1"/>
    <row r="7138" ht="14.25" customHeight="1"/>
    <row r="7139" ht="14.25" customHeight="1"/>
    <row r="7140" ht="14.25" customHeight="1"/>
    <row r="7141" ht="14.25" customHeight="1"/>
    <row r="7142" ht="14.25" customHeight="1"/>
    <row r="7143" ht="14.25" customHeight="1"/>
    <row r="7144" ht="14.25" customHeight="1"/>
    <row r="7145" ht="14.25" customHeight="1"/>
    <row r="7146" ht="14.25" customHeight="1"/>
    <row r="7147" ht="14.25" customHeight="1"/>
    <row r="7148" ht="14.25" customHeight="1"/>
    <row r="7149" ht="14.25" customHeight="1"/>
    <row r="7150" ht="14.25" customHeight="1"/>
    <row r="7151" ht="14.25" customHeight="1"/>
    <row r="7152" ht="14.25" customHeight="1"/>
    <row r="7153" ht="14.25" customHeight="1"/>
    <row r="7154" ht="14.25" customHeight="1"/>
    <row r="7155" ht="14.25" customHeight="1"/>
    <row r="7156" ht="14.25" customHeight="1"/>
    <row r="7157" ht="14.25" customHeight="1"/>
    <row r="7158" ht="14.25" customHeight="1"/>
    <row r="7159" ht="14.25" customHeight="1"/>
    <row r="7160" ht="14.25" customHeight="1"/>
    <row r="7161" ht="14.25" customHeight="1"/>
    <row r="7162" ht="14.25" customHeight="1"/>
    <row r="7163" ht="14.25" customHeight="1"/>
    <row r="7164" ht="14.25" customHeight="1"/>
    <row r="7165" ht="14.25" customHeight="1"/>
    <row r="7166" ht="14.25" customHeight="1"/>
    <row r="7167" ht="14.25" customHeight="1"/>
    <row r="7168" ht="14.25" customHeight="1"/>
    <row r="7169" ht="14.25" customHeight="1"/>
    <row r="7170" ht="14.25" customHeight="1"/>
    <row r="7171" ht="14.25" customHeight="1"/>
    <row r="7172" ht="14.25" customHeight="1"/>
    <row r="7173" ht="14.25" customHeight="1"/>
    <row r="7174" ht="14.25" customHeight="1"/>
    <row r="7175" ht="14.25" customHeight="1"/>
    <row r="7176" ht="14.25" customHeight="1"/>
    <row r="7177" ht="14.25" customHeight="1"/>
    <row r="7178" ht="14.25" customHeight="1"/>
    <row r="7179" ht="14.25" customHeight="1"/>
    <row r="7180" ht="14.25" customHeight="1"/>
    <row r="7181" ht="14.25" customHeight="1"/>
    <row r="7182" ht="14.25" customHeight="1"/>
    <row r="7183" ht="14.25" customHeight="1"/>
    <row r="7184" ht="14.25" customHeight="1"/>
    <row r="7185" ht="14.25" customHeight="1"/>
    <row r="7186" ht="14.25" customHeight="1"/>
    <row r="7187" ht="14.25" customHeight="1"/>
    <row r="7188" ht="14.25" customHeight="1"/>
    <row r="7189" ht="14.25" customHeight="1"/>
    <row r="7190" ht="14.25" customHeight="1"/>
    <row r="7191" ht="14.25" customHeight="1"/>
    <row r="7192" ht="14.25" customHeight="1"/>
    <row r="7193" ht="14.25" customHeight="1"/>
    <row r="7194" ht="14.25" customHeight="1"/>
    <row r="7195" ht="14.25" customHeight="1"/>
    <row r="7196" ht="14.25" customHeight="1"/>
    <row r="7197" ht="14.25" customHeight="1"/>
    <row r="7198" ht="14.25" customHeight="1"/>
    <row r="7199" ht="14.25" customHeight="1"/>
    <row r="7200" ht="14.25" customHeight="1"/>
    <row r="7201" ht="14.25" customHeight="1"/>
    <row r="7202" ht="14.25" customHeight="1"/>
    <row r="7203" ht="14.25" customHeight="1"/>
    <row r="7204" ht="14.25" customHeight="1"/>
    <row r="7205" ht="14.25" customHeight="1"/>
    <row r="7206" ht="14.25" customHeight="1"/>
    <row r="7207" ht="14.25" customHeight="1"/>
    <row r="7208" ht="14.25" customHeight="1"/>
    <row r="7209" ht="14.25" customHeight="1"/>
    <row r="7210" ht="14.25" customHeight="1"/>
    <row r="7211" ht="14.25" customHeight="1"/>
    <row r="7212" ht="14.25" customHeight="1"/>
    <row r="7213" ht="14.25" customHeight="1"/>
    <row r="7214" ht="14.25" customHeight="1"/>
    <row r="7215" ht="14.25" customHeight="1"/>
    <row r="7216" ht="14.25" customHeight="1"/>
    <row r="7217" ht="14.25" customHeight="1"/>
    <row r="7218" ht="14.25" customHeight="1"/>
    <row r="7219" ht="14.25" customHeight="1"/>
    <row r="7220" ht="14.25" customHeight="1"/>
    <row r="7221" ht="14.25" customHeight="1"/>
    <row r="7222" ht="14.25" customHeight="1"/>
    <row r="7223" ht="14.25" customHeight="1"/>
    <row r="7224" ht="14.25" customHeight="1"/>
    <row r="7225" ht="14.25" customHeight="1"/>
    <row r="7226" ht="14.25" customHeight="1"/>
    <row r="7227" ht="14.25" customHeight="1"/>
    <row r="7228" ht="14.25" customHeight="1"/>
    <row r="7229" ht="14.25" customHeight="1"/>
    <row r="7230" ht="14.25" customHeight="1"/>
    <row r="7231" ht="14.25" customHeight="1"/>
    <row r="7232" ht="14.25" customHeight="1"/>
    <row r="7233" ht="14.25" customHeight="1"/>
    <row r="7234" ht="14.25" customHeight="1"/>
    <row r="7235" ht="14.25" customHeight="1"/>
    <row r="7236" ht="14.25" customHeight="1"/>
    <row r="7237" ht="14.25" customHeight="1"/>
    <row r="7238" ht="14.25" customHeight="1"/>
    <row r="7239" ht="14.25" customHeight="1"/>
    <row r="7240" ht="14.25" customHeight="1"/>
    <row r="7241" ht="14.25" customHeight="1"/>
    <row r="7242" ht="14.25" customHeight="1"/>
    <row r="7243" ht="14.25" customHeight="1"/>
    <row r="7244" ht="14.25" customHeight="1"/>
    <row r="7245" ht="14.25" customHeight="1"/>
    <row r="7246" ht="14.25" customHeight="1"/>
    <row r="7247" ht="14.25" customHeight="1"/>
    <row r="7248" ht="14.25" customHeight="1"/>
    <row r="7249" ht="14.25" customHeight="1"/>
    <row r="7250" ht="14.25" customHeight="1"/>
    <row r="7251" ht="14.25" customHeight="1"/>
    <row r="7252" ht="14.25" customHeight="1"/>
    <row r="7253" ht="14.25" customHeight="1"/>
    <row r="7254" ht="14.25" customHeight="1"/>
    <row r="7255" ht="14.25" customHeight="1"/>
    <row r="7256" ht="14.25" customHeight="1"/>
    <row r="7257" ht="14.25" customHeight="1"/>
    <row r="7258" ht="14.25" customHeight="1"/>
    <row r="7259" ht="14.25" customHeight="1"/>
    <row r="7260" ht="14.25" customHeight="1"/>
    <row r="7261" ht="14.25" customHeight="1"/>
    <row r="7262" ht="14.25" customHeight="1"/>
    <row r="7263" ht="14.25" customHeight="1"/>
    <row r="7264" ht="14.25" customHeight="1"/>
    <row r="7265" ht="14.25" customHeight="1"/>
    <row r="7266" ht="14.25" customHeight="1"/>
    <row r="7267" ht="14.25" customHeight="1"/>
    <row r="7268" ht="14.25" customHeight="1"/>
    <row r="7269" ht="14.25" customHeight="1"/>
    <row r="7270" ht="14.25" customHeight="1"/>
    <row r="7271" ht="14.25" customHeight="1"/>
    <row r="7272" ht="14.25" customHeight="1"/>
    <row r="7273" ht="14.25" customHeight="1"/>
    <row r="7274" ht="14.25" customHeight="1"/>
    <row r="7275" ht="14.25" customHeight="1"/>
    <row r="7276" ht="14.25" customHeight="1"/>
    <row r="7277" ht="14.25" customHeight="1"/>
    <row r="7278" ht="14.25" customHeight="1"/>
    <row r="7279" ht="14.25" customHeight="1"/>
    <row r="7280" ht="14.25" customHeight="1"/>
    <row r="7281" ht="14.25" customHeight="1"/>
    <row r="7282" ht="14.25" customHeight="1"/>
    <row r="7283" ht="14.25" customHeight="1"/>
    <row r="7284" ht="14.25" customHeight="1"/>
    <row r="7285" ht="14.25" customHeight="1"/>
    <row r="7286" ht="14.25" customHeight="1"/>
    <row r="7287" ht="14.25" customHeight="1"/>
    <row r="7288" ht="14.25" customHeight="1"/>
    <row r="7289" ht="14.25" customHeight="1"/>
    <row r="7290" ht="14.25" customHeight="1"/>
    <row r="7291" ht="14.25" customHeight="1"/>
    <row r="7292" ht="14.25" customHeight="1"/>
    <row r="7293" ht="14.25" customHeight="1"/>
    <row r="7294" ht="14.25" customHeight="1"/>
    <row r="7295" ht="14.25" customHeight="1"/>
    <row r="7296" ht="14.25" customHeight="1"/>
    <row r="7297" ht="14.25" customHeight="1"/>
    <row r="7298" ht="14.25" customHeight="1"/>
    <row r="7299" ht="14.25" customHeight="1"/>
    <row r="7300" ht="14.25" customHeight="1"/>
    <row r="7301" ht="14.25" customHeight="1"/>
    <row r="7302" ht="14.25" customHeight="1"/>
    <row r="7303" ht="14.25" customHeight="1"/>
    <row r="7304" ht="14.25" customHeight="1"/>
    <row r="7305" ht="14.25" customHeight="1"/>
    <row r="7306" ht="14.25" customHeight="1"/>
    <row r="7307" ht="14.25" customHeight="1"/>
    <row r="7308" ht="14.25" customHeight="1"/>
    <row r="7309" ht="14.25" customHeight="1"/>
    <row r="7310" ht="14.25" customHeight="1"/>
    <row r="7311" ht="14.25" customHeight="1"/>
    <row r="7312" ht="14.25" customHeight="1"/>
    <row r="7313" ht="14.25" customHeight="1"/>
    <row r="7314" ht="14.25" customHeight="1"/>
    <row r="7315" ht="14.25" customHeight="1"/>
    <row r="7316" ht="14.25" customHeight="1"/>
    <row r="7317" ht="14.25" customHeight="1"/>
    <row r="7318" ht="14.25" customHeight="1"/>
    <row r="7319" ht="14.25" customHeight="1"/>
    <row r="7320" ht="14.25" customHeight="1"/>
    <row r="7321" ht="14.25" customHeight="1"/>
    <row r="7322" ht="14.25" customHeight="1"/>
    <row r="7323" ht="14.25" customHeight="1"/>
    <row r="7324" ht="14.25" customHeight="1"/>
    <row r="7325" ht="14.25" customHeight="1"/>
    <row r="7326" ht="14.25" customHeight="1"/>
    <row r="7327" ht="14.25" customHeight="1"/>
    <row r="7328" ht="14.25" customHeight="1"/>
    <row r="7329" ht="14.25" customHeight="1"/>
    <row r="7330" ht="14.25" customHeight="1"/>
    <row r="7331" ht="14.25" customHeight="1"/>
    <row r="7332" ht="14.25" customHeight="1"/>
    <row r="7333" ht="14.25" customHeight="1"/>
    <row r="7334" ht="14.25" customHeight="1"/>
    <row r="7335" ht="14.25" customHeight="1"/>
    <row r="7336" ht="14.25" customHeight="1"/>
    <row r="7337" ht="14.25" customHeight="1"/>
    <row r="7338" ht="14.25" customHeight="1"/>
    <row r="7339" ht="14.25" customHeight="1"/>
    <row r="7340" ht="14.25" customHeight="1"/>
    <row r="7341" ht="14.25" customHeight="1"/>
    <row r="7342" ht="14.25" customHeight="1"/>
    <row r="7343" ht="14.25" customHeight="1"/>
    <row r="7344" ht="14.25" customHeight="1"/>
    <row r="7345" ht="14.25" customHeight="1"/>
    <row r="7346" ht="14.25" customHeight="1"/>
    <row r="7347" ht="14.25" customHeight="1"/>
    <row r="7348" ht="14.25" customHeight="1"/>
    <row r="7349" ht="14.25" customHeight="1"/>
    <row r="7350" ht="14.25" customHeight="1"/>
    <row r="7351" ht="14.25" customHeight="1"/>
    <row r="7352" ht="14.25" customHeight="1"/>
    <row r="7353" ht="14.25" customHeight="1"/>
    <row r="7354" ht="14.25" customHeight="1"/>
    <row r="7355" ht="14.25" customHeight="1"/>
    <row r="7356" ht="14.25" customHeight="1"/>
    <row r="7357" ht="14.25" customHeight="1"/>
    <row r="7358" ht="14.25" customHeight="1"/>
    <row r="7359" ht="14.25" customHeight="1"/>
    <row r="7360" ht="14.25" customHeight="1"/>
    <row r="7361" ht="14.25" customHeight="1"/>
    <row r="7362" ht="14.25" customHeight="1"/>
    <row r="7363" ht="14.25" customHeight="1"/>
    <row r="7364" ht="14.25" customHeight="1"/>
    <row r="7365" ht="14.25" customHeight="1"/>
    <row r="7366" ht="14.25" customHeight="1"/>
    <row r="7367" ht="14.25" customHeight="1"/>
    <row r="7368" ht="14.25" customHeight="1"/>
    <row r="7369" ht="14.25" customHeight="1"/>
    <row r="7370" ht="14.25" customHeight="1"/>
    <row r="7371" ht="14.25" customHeight="1"/>
    <row r="7372" ht="14.25" customHeight="1"/>
    <row r="7373" ht="14.25" customHeight="1"/>
    <row r="7374" ht="14.25" customHeight="1"/>
    <row r="7375" ht="14.25" customHeight="1"/>
    <row r="7376" ht="14.25" customHeight="1"/>
    <row r="7377" ht="14.25" customHeight="1"/>
    <row r="7378" ht="14.25" customHeight="1"/>
    <row r="7379" ht="14.25" customHeight="1"/>
    <row r="7380" ht="14.25" customHeight="1"/>
    <row r="7381" ht="14.25" customHeight="1"/>
    <row r="7382" ht="14.25" customHeight="1"/>
    <row r="7383" ht="14.25" customHeight="1"/>
    <row r="7384" ht="14.25" customHeight="1"/>
    <row r="7385" ht="14.25" customHeight="1"/>
    <row r="7386" ht="14.25" customHeight="1"/>
    <row r="7387" ht="14.25" customHeight="1"/>
    <row r="7388" ht="14.25" customHeight="1"/>
    <row r="7389" ht="14.25" customHeight="1"/>
    <row r="7390" ht="14.25" customHeight="1"/>
    <row r="7391" ht="14.25" customHeight="1"/>
    <row r="7392" ht="14.25" customHeight="1"/>
    <row r="7393" ht="14.25" customHeight="1"/>
    <row r="7394" ht="14.25" customHeight="1"/>
    <row r="7395" ht="14.25" customHeight="1"/>
    <row r="7396" ht="14.25" customHeight="1"/>
    <row r="7397" ht="14.25" customHeight="1"/>
    <row r="7398" ht="14.25" customHeight="1"/>
    <row r="7399" ht="14.25" customHeight="1"/>
    <row r="7400" ht="14.25" customHeight="1"/>
    <row r="7401" ht="14.25" customHeight="1"/>
    <row r="7402" ht="14.25" customHeight="1"/>
    <row r="7403" ht="14.25" customHeight="1"/>
    <row r="7404" ht="14.25" customHeight="1"/>
    <row r="7405" ht="14.25" customHeight="1"/>
    <row r="7406" ht="14.25" customHeight="1"/>
    <row r="7407" ht="14.25" customHeight="1"/>
    <row r="7408" ht="14.25" customHeight="1"/>
    <row r="7409" ht="14.25" customHeight="1"/>
    <row r="7410" ht="14.25" customHeight="1"/>
    <row r="7411" ht="14.25" customHeight="1"/>
    <row r="7412" ht="14.25" customHeight="1"/>
    <row r="7413" ht="14.25" customHeight="1"/>
    <row r="7414" ht="14.25" customHeight="1"/>
    <row r="7415" ht="14.25" customHeight="1"/>
    <row r="7416" ht="14.25" customHeight="1"/>
    <row r="7417" ht="14.25" customHeight="1"/>
    <row r="7418" ht="14.25" customHeight="1"/>
    <row r="7419" ht="14.25" customHeight="1"/>
    <row r="7420" ht="14.25" customHeight="1"/>
    <row r="7421" ht="14.25" customHeight="1"/>
    <row r="7422" ht="14.25" customHeight="1"/>
    <row r="7423" ht="14.25" customHeight="1"/>
    <row r="7424" ht="14.25" customHeight="1"/>
    <row r="7425" ht="14.25" customHeight="1"/>
    <row r="7426" ht="14.25" customHeight="1"/>
    <row r="7427" ht="14.25" customHeight="1"/>
    <row r="7428" ht="14.25" customHeight="1"/>
    <row r="7429" ht="14.25" customHeight="1"/>
    <row r="7430" ht="14.25" customHeight="1"/>
    <row r="7431" ht="14.25" customHeight="1"/>
    <row r="7432" ht="14.25" customHeight="1"/>
    <row r="7433" ht="14.25" customHeight="1"/>
    <row r="7434" ht="14.25" customHeight="1"/>
    <row r="7435" ht="14.25" customHeight="1"/>
    <row r="7436" ht="14.25" customHeight="1"/>
    <row r="7437" ht="14.25" customHeight="1"/>
    <row r="7438" ht="14.25" customHeight="1"/>
    <row r="7439" ht="14.25" customHeight="1"/>
    <row r="7440" ht="14.25" customHeight="1"/>
    <row r="7441" ht="14.25" customHeight="1"/>
    <row r="7442" ht="14.25" customHeight="1"/>
    <row r="7443" ht="14.25" customHeight="1"/>
    <row r="7444" ht="14.25" customHeight="1"/>
    <row r="7445" ht="14.25" customHeight="1"/>
    <row r="7446" ht="14.25" customHeight="1"/>
    <row r="7447" ht="14.25" customHeight="1"/>
    <row r="7448" ht="14.25" customHeight="1"/>
    <row r="7449" ht="14.25" customHeight="1"/>
    <row r="7450" ht="14.25" customHeight="1"/>
    <row r="7451" ht="14.25" customHeight="1"/>
    <row r="7452" ht="14.25" customHeight="1"/>
    <row r="7453" ht="14.25" customHeight="1"/>
    <row r="7454" ht="14.25" customHeight="1"/>
    <row r="7455" ht="14.25" customHeight="1"/>
    <row r="7456" ht="14.25" customHeight="1"/>
    <row r="7457" ht="14.25" customHeight="1"/>
    <row r="7458" ht="14.25" customHeight="1"/>
    <row r="7459" ht="14.25" customHeight="1"/>
    <row r="7460" ht="14.25" customHeight="1"/>
    <row r="7461" ht="14.25" customHeight="1"/>
    <row r="7462" ht="14.25" customHeight="1"/>
    <row r="7463" ht="14.25" customHeight="1"/>
    <row r="7464" ht="14.25" customHeight="1"/>
    <row r="7465" ht="14.25" customHeight="1"/>
    <row r="7466" ht="14.25" customHeight="1"/>
    <row r="7467" ht="14.25" customHeight="1"/>
    <row r="7468" ht="14.25" customHeight="1"/>
    <row r="7469" ht="14.25" customHeight="1"/>
    <row r="7470" ht="14.25" customHeight="1"/>
    <row r="7471" ht="14.25" customHeight="1"/>
    <row r="7472" ht="14.25" customHeight="1"/>
    <row r="7473" ht="14.25" customHeight="1"/>
    <row r="7474" ht="14.25" customHeight="1"/>
    <row r="7475" ht="14.25" customHeight="1"/>
    <row r="7476" ht="14.25" customHeight="1"/>
    <row r="7477" ht="14.25" customHeight="1"/>
    <row r="7478" ht="14.25" customHeight="1"/>
    <row r="7479" ht="14.25" customHeight="1"/>
    <row r="7480" ht="14.25" customHeight="1"/>
    <row r="7481" ht="14.25" customHeight="1"/>
    <row r="7482" ht="14.25" customHeight="1"/>
    <row r="7483" ht="14.25" customHeight="1"/>
    <row r="7484" ht="14.25" customHeight="1"/>
    <row r="7485" ht="14.25" customHeight="1"/>
    <row r="7486" ht="14.25" customHeight="1"/>
    <row r="7487" ht="14.25" customHeight="1"/>
    <row r="7488" ht="14.25" customHeight="1"/>
    <row r="7489" ht="14.25" customHeight="1"/>
    <row r="7490" ht="14.25" customHeight="1"/>
    <row r="7491" ht="14.25" customHeight="1"/>
    <row r="7492" ht="14.25" customHeight="1"/>
    <row r="7493" ht="14.25" customHeight="1"/>
    <row r="7494" ht="14.25" customHeight="1"/>
    <row r="7495" ht="14.25" customHeight="1"/>
    <row r="7496" ht="14.25" customHeight="1"/>
    <row r="7497" ht="14.25" customHeight="1"/>
    <row r="7498" ht="14.25" customHeight="1"/>
    <row r="7499" ht="14.25" customHeight="1"/>
    <row r="7500" ht="14.25" customHeight="1"/>
    <row r="7501" ht="14.25" customHeight="1"/>
    <row r="7502" ht="14.25" customHeight="1"/>
    <row r="7503" ht="14.25" customHeight="1"/>
    <row r="7504" ht="14.25" customHeight="1"/>
    <row r="7505" ht="14.25" customHeight="1"/>
    <row r="7506" ht="14.25" customHeight="1"/>
    <row r="7507" ht="14.25" customHeight="1"/>
    <row r="7508" ht="14.25" customHeight="1"/>
    <row r="7509" ht="14.25" customHeight="1"/>
    <row r="7510" ht="14.25" customHeight="1"/>
    <row r="7511" ht="14.25" customHeight="1"/>
    <row r="7512" ht="14.25" customHeight="1"/>
    <row r="7513" ht="14.25" customHeight="1"/>
    <row r="7514" ht="14.25" customHeight="1"/>
    <row r="7515" ht="14.25" customHeight="1"/>
    <row r="7516" ht="14.25" customHeight="1"/>
    <row r="7517" ht="14.25" customHeight="1"/>
    <row r="7518" ht="14.25" customHeight="1"/>
    <row r="7519" ht="14.25" customHeight="1"/>
    <row r="7520" ht="14.25" customHeight="1"/>
    <row r="7521" ht="14.25" customHeight="1"/>
    <row r="7522" ht="14.25" customHeight="1"/>
    <row r="7523" ht="14.25" customHeight="1"/>
    <row r="7524" ht="14.25" customHeight="1"/>
    <row r="7525" ht="14.25" customHeight="1"/>
    <row r="7526" ht="14.25" customHeight="1"/>
    <row r="7527" ht="14.25" customHeight="1"/>
    <row r="7528" ht="14.25" customHeight="1"/>
    <row r="7529" ht="14.25" customHeight="1"/>
    <row r="7530" ht="14.25" customHeight="1"/>
    <row r="7531" ht="14.25" customHeight="1"/>
    <row r="7532" ht="14.25" customHeight="1"/>
    <row r="7533" ht="14.25" customHeight="1"/>
    <row r="7534" ht="14.25" customHeight="1"/>
    <row r="7535" ht="14.25" customHeight="1"/>
    <row r="7536" ht="14.25" customHeight="1"/>
    <row r="7537" ht="14.25" customHeight="1"/>
    <row r="7538" ht="14.25" customHeight="1"/>
    <row r="7539" ht="14.25" customHeight="1"/>
    <row r="7540" ht="14.25" customHeight="1"/>
    <row r="7541" ht="14.25" customHeight="1"/>
    <row r="7542" ht="14.25" customHeight="1"/>
    <row r="7543" ht="14.25" customHeight="1"/>
    <row r="7544" ht="14.25" customHeight="1"/>
    <row r="7545" ht="14.25" customHeight="1"/>
    <row r="7546" ht="14.25" customHeight="1"/>
    <row r="7547" ht="14.25" customHeight="1"/>
    <row r="7548" ht="14.25" customHeight="1"/>
    <row r="7549" ht="14.25" customHeight="1"/>
    <row r="7550" ht="14.25" customHeight="1"/>
    <row r="7551" ht="14.25" customHeight="1"/>
    <row r="7552" ht="14.25" customHeight="1"/>
    <row r="7553" ht="14.25" customHeight="1"/>
    <row r="7554" ht="14.25" customHeight="1"/>
    <row r="7555" ht="14.25" customHeight="1"/>
    <row r="7556" ht="14.25" customHeight="1"/>
    <row r="7557" ht="14.25" customHeight="1"/>
    <row r="7558" ht="14.25" customHeight="1"/>
    <row r="7559" ht="14.25" customHeight="1"/>
    <row r="7560" ht="14.25" customHeight="1"/>
    <row r="7561" ht="14.25" customHeight="1"/>
    <row r="7562" ht="14.25" customHeight="1"/>
    <row r="7563" ht="14.25" customHeight="1"/>
    <row r="7564" ht="14.25" customHeight="1"/>
    <row r="7565" ht="14.25" customHeight="1"/>
    <row r="7566" ht="14.25" customHeight="1"/>
    <row r="7567" ht="14.25" customHeight="1"/>
    <row r="7568" ht="14.25" customHeight="1"/>
    <row r="7569" ht="14.25" customHeight="1"/>
    <row r="7570" ht="14.25" customHeight="1"/>
    <row r="7571" ht="14.25" customHeight="1"/>
    <row r="7572" ht="14.25" customHeight="1"/>
    <row r="7573" ht="14.25" customHeight="1"/>
    <row r="7574" ht="14.25" customHeight="1"/>
    <row r="7575" ht="14.25" customHeight="1"/>
    <row r="7576" ht="14.25" customHeight="1"/>
    <row r="7577" ht="14.25" customHeight="1"/>
    <row r="7578" ht="14.25" customHeight="1"/>
    <row r="7579" ht="14.25" customHeight="1"/>
    <row r="7580" ht="14.25" customHeight="1"/>
    <row r="7581" ht="14.25" customHeight="1"/>
    <row r="7582" ht="14.25" customHeight="1"/>
    <row r="7583" ht="14.25" customHeight="1"/>
    <row r="7584" ht="14.25" customHeight="1"/>
    <row r="7585" ht="14.25" customHeight="1"/>
    <row r="7586" ht="14.25" customHeight="1"/>
    <row r="7587" ht="14.25" customHeight="1"/>
    <row r="7588" ht="14.25" customHeight="1"/>
    <row r="7589" ht="14.25" customHeight="1"/>
    <row r="7590" ht="14.25" customHeight="1"/>
    <row r="7591" ht="14.25" customHeight="1"/>
    <row r="7592" ht="14.25" customHeight="1"/>
    <row r="7593" ht="14.25" customHeight="1"/>
    <row r="7594" ht="14.25" customHeight="1"/>
    <row r="7595" ht="14.25" customHeight="1"/>
    <row r="7596" ht="14.25" customHeight="1"/>
    <row r="7597" ht="14.25" customHeight="1"/>
    <row r="7598" ht="14.25" customHeight="1"/>
    <row r="7599" ht="14.25" customHeight="1"/>
    <row r="7600" ht="14.25" customHeight="1"/>
    <row r="7601" ht="14.25" customHeight="1"/>
    <row r="7602" ht="14.25" customHeight="1"/>
    <row r="7603" ht="14.25" customHeight="1"/>
    <row r="7604" ht="14.25" customHeight="1"/>
    <row r="7605" ht="14.25" customHeight="1"/>
    <row r="7606" ht="14.25" customHeight="1"/>
    <row r="7607" ht="14.25" customHeight="1"/>
    <row r="7608" ht="14.25" customHeight="1"/>
    <row r="7609" ht="14.25" customHeight="1"/>
    <row r="7610" ht="14.25" customHeight="1"/>
    <row r="7611" ht="14.25" customHeight="1"/>
    <row r="7612" ht="14.25" customHeight="1"/>
    <row r="7613" ht="14.25" customHeight="1"/>
    <row r="7614" ht="14.25" customHeight="1"/>
    <row r="7615" ht="14.25" customHeight="1"/>
    <row r="7616" ht="14.25" customHeight="1"/>
    <row r="7617" ht="14.25" customHeight="1"/>
    <row r="7618" ht="14.25" customHeight="1"/>
    <row r="7619" ht="14.25" customHeight="1"/>
    <row r="7620" ht="14.25" customHeight="1"/>
    <row r="7621" ht="14.25" customHeight="1"/>
    <row r="7622" ht="14.25" customHeight="1"/>
    <row r="7623" ht="14.25" customHeight="1"/>
    <row r="7624" ht="14.25" customHeight="1"/>
    <row r="7625" ht="14.25" customHeight="1"/>
    <row r="7626" ht="14.25" customHeight="1"/>
    <row r="7627" ht="14.25" customHeight="1"/>
    <row r="7628" ht="14.25" customHeight="1"/>
    <row r="7629" ht="14.25" customHeight="1"/>
    <row r="7630" ht="14.25" customHeight="1"/>
    <row r="7631" ht="14.25" customHeight="1"/>
    <row r="7632" ht="14.25" customHeight="1"/>
    <row r="7633" ht="14.25" customHeight="1"/>
    <row r="7634" ht="14.25" customHeight="1"/>
    <row r="7635" ht="14.25" customHeight="1"/>
    <row r="7636" ht="14.25" customHeight="1"/>
    <row r="7637" ht="14.25" customHeight="1"/>
    <row r="7638" ht="14.25" customHeight="1"/>
    <row r="7639" ht="14.25" customHeight="1"/>
    <row r="7640" ht="14.25" customHeight="1"/>
    <row r="7641" ht="14.25" customHeight="1"/>
    <row r="7642" ht="14.25" customHeight="1"/>
    <row r="7643" ht="14.25" customHeight="1"/>
    <row r="7644" ht="14.25" customHeight="1"/>
    <row r="7645" ht="14.25" customHeight="1"/>
    <row r="7646" ht="14.25" customHeight="1"/>
    <row r="7647" ht="14.25" customHeight="1"/>
    <row r="7648" ht="14.25" customHeight="1"/>
    <row r="7649" ht="14.25" customHeight="1"/>
    <row r="7650" ht="14.25" customHeight="1"/>
    <row r="7651" ht="14.25" customHeight="1"/>
    <row r="7652" ht="14.25" customHeight="1"/>
    <row r="7653" ht="14.25" customHeight="1"/>
    <row r="7654" ht="14.25" customHeight="1"/>
    <row r="7655" ht="14.25" customHeight="1"/>
    <row r="7656" ht="14.25" customHeight="1"/>
    <row r="7657" ht="14.25" customHeight="1"/>
    <row r="7658" ht="14.25" customHeight="1"/>
    <row r="7659" ht="14.25" customHeight="1"/>
    <row r="7660" ht="14.25" customHeight="1"/>
    <row r="7661" ht="14.25" customHeight="1"/>
    <row r="7662" ht="14.25" customHeight="1"/>
    <row r="7663" ht="14.25" customHeight="1"/>
    <row r="7664" ht="14.25" customHeight="1"/>
    <row r="7665" ht="14.25" customHeight="1"/>
    <row r="7666" ht="14.25" customHeight="1"/>
    <row r="7667" ht="14.25" customHeight="1"/>
    <row r="7668" ht="14.25" customHeight="1"/>
    <row r="7669" ht="14.25" customHeight="1"/>
    <row r="7670" ht="14.25" customHeight="1"/>
    <row r="7671" ht="14.25" customHeight="1"/>
    <row r="7672" ht="14.25" customHeight="1"/>
    <row r="7673" ht="14.25" customHeight="1"/>
    <row r="7674" ht="14.25" customHeight="1"/>
    <row r="7675" ht="14.25" customHeight="1"/>
    <row r="7676" ht="14.25" customHeight="1"/>
    <row r="7677" ht="14.25" customHeight="1"/>
    <row r="7678" ht="14.25" customHeight="1"/>
    <row r="7679" ht="14.25" customHeight="1"/>
    <row r="7680" ht="14.25" customHeight="1"/>
    <row r="7681" ht="14.25" customHeight="1"/>
    <row r="7682" ht="14.25" customHeight="1"/>
    <row r="7683" ht="14.25" customHeight="1"/>
    <row r="7684" ht="14.25" customHeight="1"/>
    <row r="7685" ht="14.25" customHeight="1"/>
    <row r="7686" ht="14.25" customHeight="1"/>
    <row r="7687" ht="14.25" customHeight="1"/>
    <row r="7688" ht="14.25" customHeight="1"/>
    <row r="7689" ht="14.25" customHeight="1"/>
    <row r="7690" ht="14.25" customHeight="1"/>
    <row r="7691" ht="14.25" customHeight="1"/>
    <row r="7692" ht="14.25" customHeight="1"/>
    <row r="7693" ht="14.25" customHeight="1"/>
    <row r="7694" ht="14.25" customHeight="1"/>
    <row r="7695" ht="14.25" customHeight="1"/>
    <row r="7696" ht="14.25" customHeight="1"/>
    <row r="7697" ht="14.25" customHeight="1"/>
    <row r="7698" ht="14.25" customHeight="1"/>
    <row r="7699" ht="14.25" customHeight="1"/>
    <row r="7700" ht="14.25" customHeight="1"/>
    <row r="7701" ht="14.25" customHeight="1"/>
    <row r="7702" ht="14.25" customHeight="1"/>
    <row r="7703" ht="14.25" customHeight="1"/>
    <row r="7704" ht="14.25" customHeight="1"/>
    <row r="7705" ht="14.25" customHeight="1"/>
    <row r="7706" ht="14.25" customHeight="1"/>
    <row r="7707" ht="14.25" customHeight="1"/>
    <row r="7708" ht="14.25" customHeight="1"/>
    <row r="7709" ht="14.25" customHeight="1"/>
    <row r="7710" ht="14.25" customHeight="1"/>
    <row r="7711" ht="14.25" customHeight="1"/>
    <row r="7712" ht="14.25" customHeight="1"/>
    <row r="7713" ht="14.25" customHeight="1"/>
    <row r="7714" ht="14.25" customHeight="1"/>
    <row r="7715" ht="14.25" customHeight="1"/>
    <row r="7716" ht="14.25" customHeight="1"/>
    <row r="7717" ht="14.25" customHeight="1"/>
    <row r="7718" ht="14.25" customHeight="1"/>
    <row r="7719" ht="14.25" customHeight="1"/>
    <row r="7720" ht="14.25" customHeight="1"/>
    <row r="7721" ht="14.25" customHeight="1"/>
    <row r="7722" ht="14.25" customHeight="1"/>
    <row r="7723" ht="14.25" customHeight="1"/>
    <row r="7724" ht="14.25" customHeight="1"/>
    <row r="7725" ht="14.25" customHeight="1"/>
    <row r="7726" ht="14.25" customHeight="1"/>
    <row r="7727" ht="14.25" customHeight="1"/>
    <row r="7728" ht="14.25" customHeight="1"/>
    <row r="7729" ht="14.25" customHeight="1"/>
    <row r="7730" ht="14.25" customHeight="1"/>
    <row r="7731" ht="14.25" customHeight="1"/>
    <row r="7732" ht="14.25" customHeight="1"/>
    <row r="7733" ht="14.25" customHeight="1"/>
    <row r="7734" ht="14.25" customHeight="1"/>
    <row r="7735" ht="14.25" customHeight="1"/>
    <row r="7736" ht="14.25" customHeight="1"/>
    <row r="7737" ht="14.25" customHeight="1"/>
    <row r="7738" ht="14.25" customHeight="1"/>
    <row r="7739" ht="14.25" customHeight="1"/>
    <row r="7740" ht="14.25" customHeight="1"/>
    <row r="7741" ht="14.25" customHeight="1"/>
    <row r="7742" ht="14.25" customHeight="1"/>
    <row r="7743" ht="14.25" customHeight="1"/>
    <row r="7744" ht="14.25" customHeight="1"/>
    <row r="7745" ht="14.25" customHeight="1"/>
    <row r="7746" ht="14.25" customHeight="1"/>
    <row r="7747" ht="14.25" customHeight="1"/>
    <row r="7748" ht="14.25" customHeight="1"/>
    <row r="7749" ht="14.25" customHeight="1"/>
    <row r="7750" ht="14.25" customHeight="1"/>
    <row r="7751" ht="14.25" customHeight="1"/>
    <row r="7752" ht="14.25" customHeight="1"/>
    <row r="7753" ht="14.25" customHeight="1"/>
    <row r="7754" ht="14.25" customHeight="1"/>
    <row r="7755" ht="14.25" customHeight="1"/>
    <row r="7756" ht="14.25" customHeight="1"/>
    <row r="7757" ht="14.25" customHeight="1"/>
    <row r="7758" ht="14.25" customHeight="1"/>
    <row r="7759" ht="14.25" customHeight="1"/>
    <row r="7760" ht="14.25" customHeight="1"/>
    <row r="7761" ht="14.25" customHeight="1"/>
    <row r="7762" ht="14.25" customHeight="1"/>
    <row r="7763" ht="14.25" customHeight="1"/>
    <row r="7764" ht="14.25" customHeight="1"/>
    <row r="7765" ht="14.25" customHeight="1"/>
    <row r="7766" ht="14.25" customHeight="1"/>
    <row r="7767" ht="14.25" customHeight="1"/>
    <row r="7768" ht="14.25" customHeight="1"/>
    <row r="7769" ht="14.25" customHeight="1"/>
    <row r="7770" ht="14.25" customHeight="1"/>
    <row r="7771" ht="14.25" customHeight="1"/>
    <row r="7772" ht="14.25" customHeight="1"/>
    <row r="7773" ht="14.25" customHeight="1"/>
    <row r="7774" ht="14.25" customHeight="1"/>
    <row r="7775" ht="14.25" customHeight="1"/>
    <row r="7776" ht="14.25" customHeight="1"/>
    <row r="7777" ht="14.25" customHeight="1"/>
    <row r="7778" ht="14.25" customHeight="1"/>
    <row r="7779" ht="14.25" customHeight="1"/>
    <row r="7780" ht="14.25" customHeight="1"/>
    <row r="7781" ht="14.25" customHeight="1"/>
    <row r="7782" ht="14.25" customHeight="1"/>
    <row r="7783" ht="14.25" customHeight="1"/>
    <row r="7784" ht="14.25" customHeight="1"/>
    <row r="7785" ht="14.25" customHeight="1"/>
    <row r="7786" ht="14.25" customHeight="1"/>
    <row r="7787" ht="14.25" customHeight="1"/>
    <row r="7788" ht="14.25" customHeight="1"/>
    <row r="7789" ht="14.25" customHeight="1"/>
    <row r="7790" ht="14.25" customHeight="1"/>
    <row r="7791" ht="14.25" customHeight="1"/>
    <row r="7792" ht="14.25" customHeight="1"/>
    <row r="7793" ht="14.25" customHeight="1"/>
    <row r="7794" ht="14.25" customHeight="1"/>
    <row r="7795" ht="14.25" customHeight="1"/>
    <row r="7796" ht="14.25" customHeight="1"/>
    <row r="7797" ht="14.25" customHeight="1"/>
    <row r="7798" ht="14.25" customHeight="1"/>
    <row r="7799" ht="14.25" customHeight="1"/>
    <row r="7800" ht="14.25" customHeight="1"/>
    <row r="7801" ht="14.25" customHeight="1"/>
    <row r="7802" ht="14.25" customHeight="1"/>
    <row r="7803" ht="14.25" customHeight="1"/>
    <row r="7804" ht="14.25" customHeight="1"/>
    <row r="7805" ht="14.25" customHeight="1"/>
    <row r="7806" ht="14.25" customHeight="1"/>
    <row r="7807" ht="14.25" customHeight="1"/>
    <row r="7808" ht="14.25" customHeight="1"/>
    <row r="7809" ht="14.25" customHeight="1"/>
    <row r="7810" ht="14.25" customHeight="1"/>
    <row r="7811" ht="14.25" customHeight="1"/>
    <row r="7812" ht="14.25" customHeight="1"/>
    <row r="7813" ht="14.25" customHeight="1"/>
    <row r="7814" ht="14.25" customHeight="1"/>
    <row r="7815" ht="14.25" customHeight="1"/>
    <row r="7816" ht="14.25" customHeight="1"/>
    <row r="7817" ht="14.25" customHeight="1"/>
    <row r="7818" ht="14.25" customHeight="1"/>
    <row r="7819" ht="14.25" customHeight="1"/>
    <row r="7820" ht="14.25" customHeight="1"/>
    <row r="7821" ht="14.25" customHeight="1"/>
    <row r="7822" ht="14.25" customHeight="1"/>
    <row r="7823" ht="14.25" customHeight="1"/>
    <row r="7824" ht="14.25" customHeight="1"/>
    <row r="7825" ht="14.25" customHeight="1"/>
    <row r="7826" ht="14.25" customHeight="1"/>
    <row r="7827" ht="14.25" customHeight="1"/>
    <row r="7828" ht="14.25" customHeight="1"/>
    <row r="7829" ht="14.25" customHeight="1"/>
    <row r="7830" ht="14.25" customHeight="1"/>
    <row r="7831" ht="14.25" customHeight="1"/>
    <row r="7832" ht="14.25" customHeight="1"/>
    <row r="7833" ht="14.25" customHeight="1"/>
    <row r="7834" ht="14.25" customHeight="1"/>
    <row r="7835" ht="14.25" customHeight="1"/>
    <row r="7836" ht="14.25" customHeight="1"/>
    <row r="7837" ht="14.25" customHeight="1"/>
    <row r="7838" ht="14.25" customHeight="1"/>
    <row r="7839" ht="14.25" customHeight="1"/>
    <row r="7840" ht="14.25" customHeight="1"/>
    <row r="7841" ht="14.25" customHeight="1"/>
    <row r="7842" ht="14.25" customHeight="1"/>
    <row r="7843" ht="14.25" customHeight="1"/>
    <row r="7844" ht="14.25" customHeight="1"/>
    <row r="7845" ht="14.25" customHeight="1"/>
    <row r="7846" ht="14.25" customHeight="1"/>
    <row r="7847" ht="14.25" customHeight="1"/>
    <row r="7848" ht="14.25" customHeight="1"/>
    <row r="7849" ht="14.25" customHeight="1"/>
    <row r="7850" ht="14.25" customHeight="1"/>
    <row r="7851" ht="14.25" customHeight="1"/>
    <row r="7852" ht="14.25" customHeight="1"/>
    <row r="7853" ht="14.25" customHeight="1"/>
    <row r="7854" ht="14.25" customHeight="1"/>
    <row r="7855" ht="14.25" customHeight="1"/>
    <row r="7856" ht="14.25" customHeight="1"/>
    <row r="7857" ht="14.25" customHeight="1"/>
    <row r="7858" ht="14.25" customHeight="1"/>
    <row r="7859" ht="14.25" customHeight="1"/>
    <row r="7860" ht="14.25" customHeight="1"/>
    <row r="7861" ht="14.25" customHeight="1"/>
    <row r="7862" ht="14.25" customHeight="1"/>
    <row r="7863" ht="14.25" customHeight="1"/>
    <row r="7864" ht="14.25" customHeight="1"/>
    <row r="7865" ht="14.25" customHeight="1"/>
    <row r="7866" ht="14.25" customHeight="1"/>
    <row r="7867" ht="14.25" customHeight="1"/>
    <row r="7868" ht="14.25" customHeight="1"/>
    <row r="7869" ht="14.25" customHeight="1"/>
    <row r="7870" ht="14.25" customHeight="1"/>
    <row r="7871" ht="14.25" customHeight="1"/>
    <row r="7872" ht="14.25" customHeight="1"/>
    <row r="7873" ht="14.25" customHeight="1"/>
    <row r="7874" ht="14.25" customHeight="1"/>
    <row r="7875" ht="14.25" customHeight="1"/>
    <row r="7876" ht="14.25" customHeight="1"/>
    <row r="7877" ht="14.25" customHeight="1"/>
    <row r="7878" ht="14.25" customHeight="1"/>
    <row r="7879" ht="14.25" customHeight="1"/>
    <row r="7880" ht="14.25" customHeight="1"/>
    <row r="7881" ht="14.25" customHeight="1"/>
    <row r="7882" ht="14.25" customHeight="1"/>
    <row r="7883" ht="14.25" customHeight="1"/>
    <row r="7884" ht="14.25" customHeight="1"/>
    <row r="7885" ht="14.25" customHeight="1"/>
    <row r="7886" ht="14.25" customHeight="1"/>
    <row r="7887" ht="14.25" customHeight="1"/>
    <row r="7888" ht="14.25" customHeight="1"/>
    <row r="7889" ht="14.25" customHeight="1"/>
    <row r="7890" ht="14.25" customHeight="1"/>
    <row r="7891" ht="14.25" customHeight="1"/>
    <row r="7892" ht="14.25" customHeight="1"/>
    <row r="7893" ht="14.25" customHeight="1"/>
    <row r="7894" ht="14.25" customHeight="1"/>
    <row r="7895" ht="14.25" customHeight="1"/>
    <row r="7896" ht="14.25" customHeight="1"/>
    <row r="7897" ht="14.25" customHeight="1"/>
    <row r="7898" ht="14.25" customHeight="1"/>
    <row r="7899" ht="14.25" customHeight="1"/>
    <row r="7900" ht="14.25" customHeight="1"/>
    <row r="7901" ht="14.25" customHeight="1"/>
    <row r="7902" ht="14.25" customHeight="1"/>
    <row r="7903" ht="14.25" customHeight="1"/>
    <row r="7904" ht="14.25" customHeight="1"/>
    <row r="7905" ht="14.25" customHeight="1"/>
    <row r="7906" ht="14.25" customHeight="1"/>
    <row r="7907" ht="14.25" customHeight="1"/>
    <row r="7908" ht="14.25" customHeight="1"/>
    <row r="7909" ht="14.25" customHeight="1"/>
    <row r="7910" ht="14.25" customHeight="1"/>
    <row r="7911" ht="14.25" customHeight="1"/>
    <row r="7912" ht="14.25" customHeight="1"/>
    <row r="7913" ht="14.25" customHeight="1"/>
    <row r="7914" ht="14.25" customHeight="1"/>
    <row r="7915" ht="14.25" customHeight="1"/>
    <row r="7916" ht="14.25" customHeight="1"/>
    <row r="7917" ht="14.25" customHeight="1"/>
    <row r="7918" ht="14.25" customHeight="1"/>
    <row r="7919" ht="14.25" customHeight="1"/>
    <row r="7920" ht="14.25" customHeight="1"/>
    <row r="7921" ht="14.25" customHeight="1"/>
    <row r="7922" ht="14.25" customHeight="1"/>
    <row r="7923" ht="14.25" customHeight="1"/>
    <row r="7924" ht="14.25" customHeight="1"/>
    <row r="7925" ht="14.25" customHeight="1"/>
    <row r="7926" ht="14.25" customHeight="1"/>
    <row r="7927" ht="14.25" customHeight="1"/>
    <row r="7928" ht="14.25" customHeight="1"/>
    <row r="7929" ht="14.25" customHeight="1"/>
    <row r="7930" ht="14.25" customHeight="1"/>
    <row r="7931" ht="14.25" customHeight="1"/>
    <row r="7932" ht="14.25" customHeight="1"/>
    <row r="7933" ht="14.25" customHeight="1"/>
    <row r="7934" ht="14.25" customHeight="1"/>
    <row r="7935" ht="14.25" customHeight="1"/>
    <row r="7936" ht="14.25" customHeight="1"/>
    <row r="7937" ht="14.25" customHeight="1"/>
    <row r="7938" ht="14.25" customHeight="1"/>
    <row r="7939" ht="14.25" customHeight="1"/>
    <row r="7940" ht="14.25" customHeight="1"/>
    <row r="7941" ht="14.25" customHeight="1"/>
    <row r="7942" ht="14.25" customHeight="1"/>
    <row r="7943" ht="14.25" customHeight="1"/>
    <row r="7944" ht="14.25" customHeight="1"/>
    <row r="7945" ht="14.25" customHeight="1"/>
    <row r="7946" ht="14.25" customHeight="1"/>
    <row r="7947" ht="14.25" customHeight="1"/>
    <row r="7948" ht="14.25" customHeight="1"/>
    <row r="7949" ht="14.25" customHeight="1"/>
    <row r="7950" ht="14.25" customHeight="1"/>
    <row r="7951" ht="14.25" customHeight="1"/>
    <row r="7952" ht="14.25" customHeight="1"/>
    <row r="7953" ht="14.25" customHeight="1"/>
    <row r="7954" ht="14.25" customHeight="1"/>
    <row r="7955" ht="14.25" customHeight="1"/>
    <row r="7956" ht="14.25" customHeight="1"/>
    <row r="7957" ht="14.25" customHeight="1"/>
    <row r="7958" ht="14.25" customHeight="1"/>
    <row r="7959" ht="14.25" customHeight="1"/>
    <row r="7960" ht="14.25" customHeight="1"/>
    <row r="7961" ht="14.25" customHeight="1"/>
    <row r="7962" ht="14.25" customHeight="1"/>
    <row r="7963" ht="14.25" customHeight="1"/>
    <row r="7964" ht="14.25" customHeight="1"/>
    <row r="7965" ht="14.25" customHeight="1"/>
    <row r="7966" ht="14.25" customHeight="1"/>
    <row r="7967" ht="14.25" customHeight="1"/>
    <row r="7968" ht="14.25" customHeight="1"/>
    <row r="7969" ht="14.25" customHeight="1"/>
    <row r="7970" ht="14.25" customHeight="1"/>
    <row r="7971" ht="14.25" customHeight="1"/>
    <row r="7972" ht="14.25" customHeight="1"/>
    <row r="7973" ht="14.25" customHeight="1"/>
    <row r="7974" ht="14.25" customHeight="1"/>
    <row r="7975" ht="14.25" customHeight="1"/>
    <row r="7976" ht="14.25" customHeight="1"/>
    <row r="7977" ht="14.25" customHeight="1"/>
    <row r="7978" ht="14.25" customHeight="1"/>
    <row r="7979" ht="14.25" customHeight="1"/>
    <row r="7980" ht="14.25" customHeight="1"/>
    <row r="7981" ht="14.25" customHeight="1"/>
    <row r="7982" ht="14.25" customHeight="1"/>
    <row r="7983" ht="14.25" customHeight="1"/>
    <row r="7984" ht="14.25" customHeight="1"/>
    <row r="7985" ht="14.25" customHeight="1"/>
    <row r="7986" ht="14.25" customHeight="1"/>
    <row r="7987" ht="14.25" customHeight="1"/>
    <row r="7988" ht="14.25" customHeight="1"/>
    <row r="7989" ht="14.25" customHeight="1"/>
    <row r="7990" ht="14.25" customHeight="1"/>
    <row r="7991" ht="14.25" customHeight="1"/>
    <row r="7992" ht="14.25" customHeight="1"/>
    <row r="7993" ht="14.25" customHeight="1"/>
    <row r="7994" ht="14.25" customHeight="1"/>
    <row r="7995" ht="14.25" customHeight="1"/>
    <row r="7996" ht="14.25" customHeight="1"/>
    <row r="7997" ht="14.25" customHeight="1"/>
    <row r="7998" ht="14.25" customHeight="1"/>
    <row r="7999" ht="14.25" customHeight="1"/>
    <row r="8000" ht="14.25" customHeight="1"/>
    <row r="8001" ht="14.25" customHeight="1"/>
    <row r="8002" ht="14.25" customHeight="1"/>
    <row r="8003" ht="14.25" customHeight="1"/>
    <row r="8004" ht="14.25" customHeight="1"/>
    <row r="8005" ht="14.25" customHeight="1"/>
    <row r="8006" ht="14.25" customHeight="1"/>
    <row r="8007" ht="14.25" customHeight="1"/>
    <row r="8008" ht="14.25" customHeight="1"/>
    <row r="8009" ht="14.25" customHeight="1"/>
    <row r="8010" ht="14.25" customHeight="1"/>
    <row r="8011" ht="14.25" customHeight="1"/>
    <row r="8012" ht="14.25" customHeight="1"/>
    <row r="8013" ht="14.25" customHeight="1"/>
    <row r="8014" ht="14.25" customHeight="1"/>
    <row r="8015" ht="14.25" customHeight="1"/>
    <row r="8016" ht="14.25" customHeight="1"/>
    <row r="8017" ht="14.25" customHeight="1"/>
    <row r="8018" ht="14.25" customHeight="1"/>
    <row r="8019" ht="14.25" customHeight="1"/>
    <row r="8020" ht="14.25" customHeight="1"/>
    <row r="8021" ht="14.25" customHeight="1"/>
    <row r="8022" ht="14.25" customHeight="1"/>
    <row r="8023" ht="14.25" customHeight="1"/>
    <row r="8024" ht="14.25" customHeight="1"/>
    <row r="8025" ht="14.25" customHeight="1"/>
    <row r="8026" ht="14.25" customHeight="1"/>
    <row r="8027" ht="14.25" customHeight="1"/>
    <row r="8028" ht="14.25" customHeight="1"/>
    <row r="8029" ht="14.25" customHeight="1"/>
    <row r="8030" ht="14.25" customHeight="1"/>
    <row r="8031" ht="14.25" customHeight="1"/>
    <row r="8032" ht="14.25" customHeight="1"/>
    <row r="8033" ht="14.25" customHeight="1"/>
    <row r="8034" ht="14.25" customHeight="1"/>
    <row r="8035" ht="14.25" customHeight="1"/>
    <row r="8036" ht="14.25" customHeight="1"/>
    <row r="8037" ht="14.25" customHeight="1"/>
    <row r="8038" ht="14.25" customHeight="1"/>
    <row r="8039" ht="14.25" customHeight="1"/>
    <row r="8040" ht="14.25" customHeight="1"/>
    <row r="8041" ht="14.25" customHeight="1"/>
    <row r="8042" ht="14.25" customHeight="1"/>
    <row r="8043" ht="14.25" customHeight="1"/>
    <row r="8044" ht="14.25" customHeight="1"/>
    <row r="8045" ht="14.25" customHeight="1"/>
    <row r="8046" ht="14.25" customHeight="1"/>
    <row r="8047" ht="14.25" customHeight="1"/>
    <row r="8048" ht="14.25" customHeight="1"/>
    <row r="8049" ht="14.25" customHeight="1"/>
    <row r="8050" ht="14.25" customHeight="1"/>
    <row r="8051" ht="14.25" customHeight="1"/>
    <row r="8052" ht="14.25" customHeight="1"/>
    <row r="8053" ht="14.25" customHeight="1"/>
    <row r="8054" ht="14.25" customHeight="1"/>
    <row r="8055" ht="14.25" customHeight="1"/>
    <row r="8056" ht="14.25" customHeight="1"/>
    <row r="8057" ht="14.25" customHeight="1"/>
    <row r="8058" ht="14.25" customHeight="1"/>
    <row r="8059" ht="14.25" customHeight="1"/>
    <row r="8060" ht="14.25" customHeight="1"/>
    <row r="8061" ht="14.25" customHeight="1"/>
    <row r="8062" ht="14.25" customHeight="1"/>
    <row r="8063" ht="14.25" customHeight="1"/>
    <row r="8064" ht="14.25" customHeight="1"/>
    <row r="8065" ht="14.25" customHeight="1"/>
    <row r="8066" ht="14.25" customHeight="1"/>
    <row r="8067" ht="14.25" customHeight="1"/>
    <row r="8068" ht="14.25" customHeight="1"/>
    <row r="8069" ht="14.25" customHeight="1"/>
    <row r="8070" ht="14.25" customHeight="1"/>
    <row r="8071" ht="14.25" customHeight="1"/>
    <row r="8072" ht="14.25" customHeight="1"/>
    <row r="8073" ht="14.25" customHeight="1"/>
    <row r="8074" ht="14.25" customHeight="1"/>
    <row r="8075" ht="14.25" customHeight="1"/>
    <row r="8076" ht="14.25" customHeight="1"/>
    <row r="8077" ht="14.25" customHeight="1"/>
    <row r="8078" ht="14.25" customHeight="1"/>
    <row r="8079" ht="14.25" customHeight="1"/>
    <row r="8080" ht="14.25" customHeight="1"/>
    <row r="8081" ht="14.25" customHeight="1"/>
    <row r="8082" ht="14.25" customHeight="1"/>
    <row r="8083" ht="14.25" customHeight="1"/>
    <row r="8084" ht="14.25" customHeight="1"/>
    <row r="8085" ht="14.25" customHeight="1"/>
    <row r="8086" ht="14.25" customHeight="1"/>
    <row r="8087" ht="14.25" customHeight="1"/>
    <row r="8088" ht="14.25" customHeight="1"/>
    <row r="8089" ht="14.25" customHeight="1"/>
    <row r="8090" ht="14.25" customHeight="1"/>
    <row r="8091" ht="14.25" customHeight="1"/>
    <row r="8092" ht="14.25" customHeight="1"/>
    <row r="8093" ht="14.25" customHeight="1"/>
    <row r="8094" ht="14.25" customHeight="1"/>
    <row r="8095" ht="14.25" customHeight="1"/>
    <row r="8096" ht="14.25" customHeight="1"/>
    <row r="8097" ht="14.25" customHeight="1"/>
    <row r="8098" ht="14.25" customHeight="1"/>
    <row r="8099" ht="14.25" customHeight="1"/>
    <row r="8100" ht="14.25" customHeight="1"/>
    <row r="8101" ht="14.25" customHeight="1"/>
    <row r="8102" ht="14.25" customHeight="1"/>
    <row r="8103" ht="14.25" customHeight="1"/>
    <row r="8104" ht="14.25" customHeight="1"/>
    <row r="8105" ht="14.25" customHeight="1"/>
    <row r="8106" ht="14.25" customHeight="1"/>
    <row r="8107" ht="14.25" customHeight="1"/>
    <row r="8108" ht="14.25" customHeight="1"/>
    <row r="8109" ht="14.25" customHeight="1"/>
    <row r="8110" ht="14.25" customHeight="1"/>
    <row r="8111" ht="14.25" customHeight="1"/>
    <row r="8112" ht="14.25" customHeight="1"/>
    <row r="8113" ht="14.25" customHeight="1"/>
    <row r="8114" ht="14.25" customHeight="1"/>
    <row r="8115" ht="14.25" customHeight="1"/>
    <row r="8116" ht="14.25" customHeight="1"/>
    <row r="8117" ht="14.25" customHeight="1"/>
    <row r="8118" ht="14.25" customHeight="1"/>
    <row r="8119" ht="14.25" customHeight="1"/>
    <row r="8120" ht="14.25" customHeight="1"/>
    <row r="8121" ht="14.25" customHeight="1"/>
    <row r="8122" ht="14.25" customHeight="1"/>
    <row r="8123" ht="14.25" customHeight="1"/>
    <row r="8124" ht="14.25" customHeight="1"/>
    <row r="8125" ht="14.25" customHeight="1"/>
    <row r="8126" ht="14.25" customHeight="1"/>
    <row r="8127" ht="14.25" customHeight="1"/>
    <row r="8128" ht="14.25" customHeight="1"/>
    <row r="8129" ht="14.25" customHeight="1"/>
    <row r="8130" ht="14.25" customHeight="1"/>
    <row r="8131" ht="14.25" customHeight="1"/>
    <row r="8132" ht="14.25" customHeight="1"/>
    <row r="8133" ht="14.25" customHeight="1"/>
    <row r="8134" ht="14.25" customHeight="1"/>
    <row r="8135" ht="14.25" customHeight="1"/>
    <row r="8136" ht="14.25" customHeight="1"/>
    <row r="8137" ht="14.25" customHeight="1"/>
    <row r="8138" ht="14.25" customHeight="1"/>
    <row r="8139" ht="14.25" customHeight="1"/>
    <row r="8140" ht="14.25" customHeight="1"/>
    <row r="8141" ht="14.25" customHeight="1"/>
    <row r="8142" ht="14.25" customHeight="1"/>
    <row r="8143" ht="14.25" customHeight="1"/>
    <row r="8144" ht="14.25" customHeight="1"/>
    <row r="8145" ht="14.25" customHeight="1"/>
    <row r="8146" ht="14.25" customHeight="1"/>
    <row r="8147" ht="14.25" customHeight="1"/>
    <row r="8148" ht="14.25" customHeight="1"/>
    <row r="8149" ht="14.25" customHeight="1"/>
    <row r="8150" ht="14.25" customHeight="1"/>
    <row r="8151" ht="14.25" customHeight="1"/>
    <row r="8152" ht="14.25" customHeight="1"/>
    <row r="8153" ht="14.25" customHeight="1"/>
    <row r="8154" ht="14.25" customHeight="1"/>
    <row r="8155" ht="14.25" customHeight="1"/>
    <row r="8156" ht="14.25" customHeight="1"/>
    <row r="8157" ht="14.25" customHeight="1"/>
    <row r="8158" ht="14.25" customHeight="1"/>
    <row r="8159" ht="14.25" customHeight="1"/>
    <row r="8160" ht="14.25" customHeight="1"/>
    <row r="8161" ht="14.25" customHeight="1"/>
    <row r="8162" ht="14.25" customHeight="1"/>
    <row r="8163" ht="14.25" customHeight="1"/>
    <row r="8164" ht="14.25" customHeight="1"/>
    <row r="8165" ht="14.25" customHeight="1"/>
    <row r="8166" ht="14.25" customHeight="1"/>
    <row r="8167" ht="14.25" customHeight="1"/>
    <row r="8168" ht="14.25" customHeight="1"/>
    <row r="8169" ht="14.25" customHeight="1"/>
    <row r="8170" ht="14.25" customHeight="1"/>
    <row r="8171" ht="14.25" customHeight="1"/>
    <row r="8172" ht="14.25" customHeight="1"/>
    <row r="8173" ht="14.25" customHeight="1"/>
    <row r="8174" ht="14.25" customHeight="1"/>
    <row r="8175" ht="14.25" customHeight="1"/>
    <row r="8176" ht="14.25" customHeight="1"/>
    <row r="8177" ht="14.25" customHeight="1"/>
    <row r="8178" ht="14.25" customHeight="1"/>
    <row r="8179" ht="14.25" customHeight="1"/>
    <row r="8180" ht="14.25" customHeight="1"/>
    <row r="8181" ht="14.25" customHeight="1"/>
    <row r="8182" ht="14.25" customHeight="1"/>
    <row r="8183" ht="14.25" customHeight="1"/>
    <row r="8184" ht="14.25" customHeight="1"/>
    <row r="8185" ht="14.25" customHeight="1"/>
    <row r="8186" ht="14.25" customHeight="1"/>
    <row r="8187" ht="14.25" customHeight="1"/>
    <row r="8188" ht="14.25" customHeight="1"/>
    <row r="8189" ht="14.25" customHeight="1"/>
    <row r="8190" ht="14.25" customHeight="1"/>
    <row r="8191" ht="14.25" customHeight="1"/>
    <row r="8192" ht="14.25" customHeight="1"/>
    <row r="8193" ht="14.25" customHeight="1"/>
    <row r="8194" ht="14.25" customHeight="1"/>
    <row r="8195" ht="14.25" customHeight="1"/>
    <row r="8196" ht="14.25" customHeight="1"/>
    <row r="8197" ht="14.25" customHeight="1"/>
    <row r="8198" ht="14.25" customHeight="1"/>
    <row r="8199" ht="14.25" customHeight="1"/>
    <row r="8200" ht="14.25" customHeight="1"/>
    <row r="8201" ht="14.25" customHeight="1"/>
    <row r="8202" ht="14.25" customHeight="1"/>
    <row r="8203" ht="14.25" customHeight="1"/>
    <row r="8204" ht="14.25" customHeight="1"/>
    <row r="8205" ht="14.25" customHeight="1"/>
    <row r="8206" ht="14.25" customHeight="1"/>
    <row r="8207" ht="14.25" customHeight="1"/>
    <row r="8208" ht="14.25" customHeight="1"/>
    <row r="8209" ht="14.25" customHeight="1"/>
    <row r="8210" ht="14.25" customHeight="1"/>
    <row r="8211" ht="14.25" customHeight="1"/>
    <row r="8212" ht="14.25" customHeight="1"/>
    <row r="8213" ht="14.25" customHeight="1"/>
    <row r="8214" ht="14.25" customHeight="1"/>
    <row r="8215" ht="14.25" customHeight="1"/>
    <row r="8216" ht="14.25" customHeight="1"/>
    <row r="8217" ht="14.25" customHeight="1"/>
    <row r="8218" ht="14.25" customHeight="1"/>
    <row r="8219" ht="14.25" customHeight="1"/>
    <row r="8220" ht="14.25" customHeight="1"/>
    <row r="8221" ht="14.25" customHeight="1"/>
    <row r="8222" ht="14.25" customHeight="1"/>
    <row r="8223" ht="14.25" customHeight="1"/>
    <row r="8224" ht="14.25" customHeight="1"/>
    <row r="8225" ht="14.25" customHeight="1"/>
    <row r="8226" ht="14.25" customHeight="1"/>
    <row r="8227" ht="14.25" customHeight="1"/>
    <row r="8228" ht="14.25" customHeight="1"/>
    <row r="8229" ht="14.25" customHeight="1"/>
    <row r="8230" ht="14.25" customHeight="1"/>
    <row r="8231" ht="14.25" customHeight="1"/>
    <row r="8232" ht="14.25" customHeight="1"/>
    <row r="8233" ht="14.25" customHeight="1"/>
    <row r="8234" ht="14.25" customHeight="1"/>
    <row r="8235" ht="14.25" customHeight="1"/>
    <row r="8236" ht="14.25" customHeight="1"/>
    <row r="8237" ht="14.25" customHeight="1"/>
    <row r="8238" ht="14.25" customHeight="1"/>
    <row r="8239" ht="14.25" customHeight="1"/>
    <row r="8240" ht="14.25" customHeight="1"/>
    <row r="8241" ht="14.25" customHeight="1"/>
    <row r="8242" ht="14.25" customHeight="1"/>
    <row r="8243" ht="14.25" customHeight="1"/>
    <row r="8244" ht="14.25" customHeight="1"/>
    <row r="8245" ht="14.25" customHeight="1"/>
    <row r="8246" ht="14.25" customHeight="1"/>
    <row r="8247" ht="14.25" customHeight="1"/>
    <row r="8248" ht="14.25" customHeight="1"/>
    <row r="8249" ht="14.25" customHeight="1"/>
    <row r="8250" ht="14.25" customHeight="1"/>
    <row r="8251" ht="14.25" customHeight="1"/>
    <row r="8252" ht="14.25" customHeight="1"/>
    <row r="8253" ht="14.25" customHeight="1"/>
    <row r="8254" ht="14.25" customHeight="1"/>
    <row r="8255" ht="14.25" customHeight="1"/>
    <row r="8256" ht="14.25" customHeight="1"/>
    <row r="8257" ht="14.25" customHeight="1"/>
    <row r="8258" ht="14.25" customHeight="1"/>
    <row r="8259" ht="14.25" customHeight="1"/>
    <row r="8260" ht="14.25" customHeight="1"/>
    <row r="8261" ht="14.25" customHeight="1"/>
    <row r="8262" ht="14.25" customHeight="1"/>
    <row r="8263" ht="14.25" customHeight="1"/>
    <row r="8264" ht="14.25" customHeight="1"/>
    <row r="8265" ht="14.25" customHeight="1"/>
    <row r="8266" ht="14.25" customHeight="1"/>
    <row r="8267" ht="14.25" customHeight="1"/>
    <row r="8268" ht="14.25" customHeight="1"/>
    <row r="8269" ht="14.25" customHeight="1"/>
    <row r="8270" ht="14.25" customHeight="1"/>
    <row r="8271" ht="14.25" customHeight="1"/>
    <row r="8272" ht="14.25" customHeight="1"/>
    <row r="8273" ht="14.25" customHeight="1"/>
    <row r="8274" ht="14.25" customHeight="1"/>
    <row r="8275" ht="14.25" customHeight="1"/>
    <row r="8276" ht="14.25" customHeight="1"/>
    <row r="8277" ht="14.25" customHeight="1"/>
    <row r="8278" ht="14.25" customHeight="1"/>
    <row r="8279" ht="14.25" customHeight="1"/>
    <row r="8280" ht="14.25" customHeight="1"/>
    <row r="8281" ht="14.25" customHeight="1"/>
    <row r="8282" ht="14.25" customHeight="1"/>
    <row r="8283" ht="14.25" customHeight="1"/>
    <row r="8284" ht="14.25" customHeight="1"/>
    <row r="8285" ht="14.25" customHeight="1"/>
    <row r="8286" ht="14.25" customHeight="1"/>
    <row r="8287" ht="14.25" customHeight="1"/>
    <row r="8288" ht="14.25" customHeight="1"/>
    <row r="8289" ht="14.25" customHeight="1"/>
    <row r="8290" ht="14.25" customHeight="1"/>
    <row r="8291" ht="14.25" customHeight="1"/>
    <row r="8292" ht="14.25" customHeight="1"/>
    <row r="8293" ht="14.25" customHeight="1"/>
    <row r="8294" ht="14.25" customHeight="1"/>
    <row r="8295" ht="14.25" customHeight="1"/>
    <row r="8296" ht="14.25" customHeight="1"/>
    <row r="8297" ht="14.25" customHeight="1"/>
    <row r="8298" ht="14.25" customHeight="1"/>
    <row r="8299" ht="14.25" customHeight="1"/>
    <row r="8300" ht="14.25" customHeight="1"/>
    <row r="8301" ht="14.25" customHeight="1"/>
    <row r="8302" ht="14.25" customHeight="1"/>
    <row r="8303" ht="14.25" customHeight="1"/>
    <row r="8304" ht="14.25" customHeight="1"/>
    <row r="8305" ht="14.25" customHeight="1"/>
    <row r="8306" ht="14.25" customHeight="1"/>
    <row r="8307" ht="14.25" customHeight="1"/>
    <row r="8308" ht="14.25" customHeight="1"/>
    <row r="8309" ht="14.25" customHeight="1"/>
    <row r="8310" ht="14.25" customHeight="1"/>
    <row r="8311" ht="14.25" customHeight="1"/>
    <row r="8312" ht="14.25" customHeight="1"/>
    <row r="8313" ht="14.25" customHeight="1"/>
    <row r="8314" ht="14.25" customHeight="1"/>
    <row r="8315" ht="14.25" customHeight="1"/>
    <row r="8316" ht="14.25" customHeight="1"/>
    <row r="8317" ht="14.25" customHeight="1"/>
    <row r="8318" ht="14.25" customHeight="1"/>
    <row r="8319" ht="14.25" customHeight="1"/>
    <row r="8320" ht="14.25" customHeight="1"/>
    <row r="8321" ht="14.25" customHeight="1"/>
    <row r="8322" ht="14.25" customHeight="1"/>
    <row r="8323" ht="14.25" customHeight="1"/>
    <row r="8324" ht="14.25" customHeight="1"/>
    <row r="8325" ht="14.25" customHeight="1"/>
    <row r="8326" ht="14.25" customHeight="1"/>
    <row r="8327" ht="14.25" customHeight="1"/>
    <row r="8328" ht="14.25" customHeight="1"/>
    <row r="8329" ht="14.25" customHeight="1"/>
    <row r="8330" ht="14.25" customHeight="1"/>
    <row r="8331" ht="14.25" customHeight="1"/>
    <row r="8332" ht="14.25" customHeight="1"/>
    <row r="8333" ht="14.25" customHeight="1"/>
    <row r="8334" ht="14.25" customHeight="1"/>
    <row r="8335" ht="14.25" customHeight="1"/>
    <row r="8336" ht="14.25" customHeight="1"/>
    <row r="8337" ht="14.25" customHeight="1"/>
    <row r="8338" ht="14.25" customHeight="1"/>
    <row r="8339" ht="14.25" customHeight="1"/>
    <row r="8340" ht="14.25" customHeight="1"/>
    <row r="8341" ht="14.25" customHeight="1"/>
    <row r="8342" ht="14.25" customHeight="1"/>
    <row r="8343" ht="14.25" customHeight="1"/>
    <row r="8344" ht="14.25" customHeight="1"/>
    <row r="8345" ht="14.25" customHeight="1"/>
    <row r="8346" ht="14.25" customHeight="1"/>
    <row r="8347" ht="14.25" customHeight="1"/>
    <row r="8348" ht="14.25" customHeight="1"/>
    <row r="8349" ht="14.25" customHeight="1"/>
    <row r="8350" ht="14.25" customHeight="1"/>
    <row r="8351" ht="14.25" customHeight="1"/>
    <row r="8352" ht="14.25" customHeight="1"/>
    <row r="8353" ht="14.25" customHeight="1"/>
    <row r="8354" ht="14.25" customHeight="1"/>
    <row r="8355" ht="14.25" customHeight="1"/>
    <row r="8356" ht="14.25" customHeight="1"/>
    <row r="8357" ht="14.25" customHeight="1"/>
    <row r="8358" ht="14.25" customHeight="1"/>
    <row r="8359" ht="14.25" customHeight="1"/>
    <row r="8360" ht="14.25" customHeight="1"/>
    <row r="8361" ht="14.25" customHeight="1"/>
    <row r="8362" ht="14.25" customHeight="1"/>
    <row r="8363" ht="14.25" customHeight="1"/>
    <row r="8364" ht="14.25" customHeight="1"/>
    <row r="8365" ht="14.25" customHeight="1"/>
    <row r="8366" ht="14.25" customHeight="1"/>
    <row r="8367" ht="14.25" customHeight="1"/>
    <row r="8368" ht="14.25" customHeight="1"/>
    <row r="8369" ht="14.25" customHeight="1"/>
    <row r="8370" ht="14.25" customHeight="1"/>
    <row r="8371" ht="14.25" customHeight="1"/>
    <row r="8372" ht="14.25" customHeight="1"/>
    <row r="8373" ht="14.25" customHeight="1"/>
    <row r="8374" ht="14.25" customHeight="1"/>
    <row r="8375" ht="14.25" customHeight="1"/>
    <row r="8376" ht="14.25" customHeight="1"/>
    <row r="8377" ht="14.25" customHeight="1"/>
    <row r="8378" ht="14.25" customHeight="1"/>
    <row r="8379" ht="14.25" customHeight="1"/>
    <row r="8380" ht="14.25" customHeight="1"/>
    <row r="8381" ht="14.25" customHeight="1"/>
    <row r="8382" ht="14.25" customHeight="1"/>
    <row r="8383" ht="14.25" customHeight="1"/>
    <row r="8384" ht="14.25" customHeight="1"/>
    <row r="8385" ht="14.25" customHeight="1"/>
    <row r="8386" ht="14.25" customHeight="1"/>
    <row r="8387" ht="14.25" customHeight="1"/>
    <row r="8388" ht="14.25" customHeight="1"/>
    <row r="8389" ht="14.25" customHeight="1"/>
    <row r="8390" ht="14.25" customHeight="1"/>
    <row r="8391" ht="14.25" customHeight="1"/>
    <row r="8392" ht="14.25" customHeight="1"/>
    <row r="8393" ht="14.25" customHeight="1"/>
    <row r="8394" ht="14.25" customHeight="1"/>
    <row r="8395" ht="14.25" customHeight="1"/>
    <row r="8396" ht="14.25" customHeight="1"/>
    <row r="8397" ht="14.25" customHeight="1"/>
    <row r="8398" ht="14.25" customHeight="1"/>
    <row r="8399" ht="14.25" customHeight="1"/>
    <row r="8400" ht="14.25" customHeight="1"/>
    <row r="8401" ht="14.25" customHeight="1"/>
    <row r="8402" ht="14.25" customHeight="1"/>
    <row r="8403" ht="14.25" customHeight="1"/>
    <row r="8404" ht="14.25" customHeight="1"/>
    <row r="8405" ht="14.25" customHeight="1"/>
    <row r="8406" ht="14.25" customHeight="1"/>
    <row r="8407" ht="14.25" customHeight="1"/>
    <row r="8408" ht="14.25" customHeight="1"/>
    <row r="8409" ht="14.25" customHeight="1"/>
    <row r="8410" ht="14.25" customHeight="1"/>
    <row r="8411" ht="14.25" customHeight="1"/>
    <row r="8412" ht="14.25" customHeight="1"/>
    <row r="8413" ht="14.25" customHeight="1"/>
    <row r="8414" ht="14.25" customHeight="1"/>
    <row r="8415" ht="14.25" customHeight="1"/>
    <row r="8416" ht="14.25" customHeight="1"/>
    <row r="8417" ht="14.25" customHeight="1"/>
    <row r="8418" ht="14.25" customHeight="1"/>
    <row r="8419" ht="14.25" customHeight="1"/>
    <row r="8420" ht="14.25" customHeight="1"/>
    <row r="8421" ht="14.25" customHeight="1"/>
    <row r="8422" ht="14.25" customHeight="1"/>
    <row r="8423" ht="14.25" customHeight="1"/>
    <row r="8424" ht="14.25" customHeight="1"/>
    <row r="8425" ht="14.25" customHeight="1"/>
    <row r="8426" ht="14.25" customHeight="1"/>
    <row r="8427" ht="14.25" customHeight="1"/>
    <row r="8428" ht="14.25" customHeight="1"/>
    <row r="8429" ht="14.25" customHeight="1"/>
    <row r="8430" ht="14.25" customHeight="1"/>
    <row r="8431" ht="14.25" customHeight="1"/>
    <row r="8432" ht="14.25" customHeight="1"/>
    <row r="8433" ht="14.25" customHeight="1"/>
    <row r="8434" ht="14.25" customHeight="1"/>
    <row r="8435" ht="14.25" customHeight="1"/>
    <row r="8436" ht="14.25" customHeight="1"/>
    <row r="8437" ht="14.25" customHeight="1"/>
    <row r="8438" ht="14.25" customHeight="1"/>
    <row r="8439" ht="14.25" customHeight="1"/>
    <row r="8440" ht="14.25" customHeight="1"/>
    <row r="8441" ht="14.25" customHeight="1"/>
    <row r="8442" ht="14.25" customHeight="1"/>
    <row r="8443" ht="14.25" customHeight="1"/>
    <row r="8444" ht="14.25" customHeight="1"/>
    <row r="8445" ht="14.25" customHeight="1"/>
    <row r="8446" ht="14.25" customHeight="1"/>
    <row r="8447" ht="14.25" customHeight="1"/>
    <row r="8448" ht="14.25" customHeight="1"/>
    <row r="8449" ht="14.25" customHeight="1"/>
    <row r="8450" ht="14.25" customHeight="1"/>
    <row r="8451" ht="14.25" customHeight="1"/>
    <row r="8452" ht="14.25" customHeight="1"/>
    <row r="8453" ht="14.25" customHeight="1"/>
    <row r="8454" ht="14.25" customHeight="1"/>
    <row r="8455" ht="14.25" customHeight="1"/>
    <row r="8456" ht="14.25" customHeight="1"/>
    <row r="8457" ht="14.25" customHeight="1"/>
    <row r="8458" ht="14.25" customHeight="1"/>
    <row r="8459" ht="14.25" customHeight="1"/>
    <row r="8460" ht="14.25" customHeight="1"/>
    <row r="8461" ht="14.25" customHeight="1"/>
    <row r="8462" ht="14.25" customHeight="1"/>
    <row r="8463" ht="14.25" customHeight="1"/>
    <row r="8464" ht="14.25" customHeight="1"/>
    <row r="8465" ht="14.25" customHeight="1"/>
    <row r="8466" ht="14.25" customHeight="1"/>
    <row r="8467" ht="14.25" customHeight="1"/>
    <row r="8468" ht="14.25" customHeight="1"/>
    <row r="8469" ht="14.25" customHeight="1"/>
    <row r="8470" ht="14.25" customHeight="1"/>
    <row r="8471" ht="14.25" customHeight="1"/>
    <row r="8472" ht="14.25" customHeight="1"/>
    <row r="8473" ht="14.25" customHeight="1"/>
    <row r="8474" ht="14.25" customHeight="1"/>
    <row r="8475" ht="14.25" customHeight="1"/>
    <row r="8476" ht="14.25" customHeight="1"/>
    <row r="8477" ht="14.25" customHeight="1"/>
    <row r="8478" ht="14.25" customHeight="1"/>
    <row r="8479" ht="14.25" customHeight="1"/>
    <row r="8480" ht="14.25" customHeight="1"/>
    <row r="8481" ht="14.25" customHeight="1"/>
    <row r="8482" ht="14.25" customHeight="1"/>
    <row r="8483" ht="14.25" customHeight="1"/>
    <row r="8484" ht="14.25" customHeight="1"/>
    <row r="8485" ht="14.25" customHeight="1"/>
    <row r="8486" ht="14.25" customHeight="1"/>
    <row r="8487" ht="14.25" customHeight="1"/>
    <row r="8488" ht="14.25" customHeight="1"/>
    <row r="8489" ht="14.25" customHeight="1"/>
    <row r="8490" ht="14.25" customHeight="1"/>
    <row r="8491" ht="14.25" customHeight="1"/>
    <row r="8492" ht="14.25" customHeight="1"/>
    <row r="8493" ht="14.25" customHeight="1"/>
    <row r="8494" ht="14.25" customHeight="1"/>
    <row r="8495" ht="14.25" customHeight="1"/>
    <row r="8496" ht="14.25" customHeight="1"/>
    <row r="8497" ht="14.25" customHeight="1"/>
    <row r="8498" ht="14.25" customHeight="1"/>
    <row r="8499" ht="14.25" customHeight="1"/>
    <row r="8500" ht="14.25" customHeight="1"/>
    <row r="8501" ht="14.25" customHeight="1"/>
    <row r="8502" ht="14.25" customHeight="1"/>
    <row r="8503" ht="14.25" customHeight="1"/>
    <row r="8504" ht="14.25" customHeight="1"/>
    <row r="8505" ht="14.25" customHeight="1"/>
    <row r="8506" ht="14.25" customHeight="1"/>
    <row r="8507" ht="14.25" customHeight="1"/>
    <row r="8508" ht="14.25" customHeight="1"/>
    <row r="8509" ht="14.25" customHeight="1"/>
    <row r="8510" ht="14.25" customHeight="1"/>
    <row r="8511" ht="14.25" customHeight="1"/>
    <row r="8512" ht="14.25" customHeight="1"/>
    <row r="8513" ht="14.25" customHeight="1"/>
    <row r="8514" ht="14.25" customHeight="1"/>
    <row r="8515" ht="14.25" customHeight="1"/>
    <row r="8516" ht="14.25" customHeight="1"/>
    <row r="8517" ht="14.25" customHeight="1"/>
    <row r="8518" ht="14.25" customHeight="1"/>
    <row r="8519" ht="14.25" customHeight="1"/>
    <row r="8520" ht="14.25" customHeight="1"/>
    <row r="8521" ht="14.25" customHeight="1"/>
    <row r="8522" ht="14.25" customHeight="1"/>
    <row r="8523" ht="14.25" customHeight="1"/>
    <row r="8524" ht="14.25" customHeight="1"/>
    <row r="8525" ht="14.25" customHeight="1"/>
    <row r="8526" ht="14.25" customHeight="1"/>
    <row r="8527" ht="14.25" customHeight="1"/>
    <row r="8528" ht="14.25" customHeight="1"/>
    <row r="8529" ht="14.25" customHeight="1"/>
    <row r="8530" ht="14.25" customHeight="1"/>
    <row r="8531" ht="14.25" customHeight="1"/>
    <row r="8532" ht="14.25" customHeight="1"/>
    <row r="8533" ht="14.25" customHeight="1"/>
    <row r="8534" ht="14.25" customHeight="1"/>
    <row r="8535" ht="14.25" customHeight="1"/>
    <row r="8536" ht="14.25" customHeight="1"/>
    <row r="8537" ht="14.25" customHeight="1"/>
    <row r="8538" ht="14.25" customHeight="1"/>
    <row r="8539" ht="14.25" customHeight="1"/>
    <row r="8540" ht="14.25" customHeight="1"/>
    <row r="8541" ht="14.25" customHeight="1"/>
    <row r="8542" ht="14.25" customHeight="1"/>
    <row r="8543" ht="14.25" customHeight="1"/>
    <row r="8544" ht="14.25" customHeight="1"/>
    <row r="8545" ht="14.25" customHeight="1"/>
    <row r="8546" ht="14.25" customHeight="1"/>
    <row r="8547" ht="14.25" customHeight="1"/>
    <row r="8548" ht="14.25" customHeight="1"/>
    <row r="8549" ht="14.25" customHeight="1"/>
    <row r="8550" ht="14.25" customHeight="1"/>
    <row r="8551" ht="14.25" customHeight="1"/>
    <row r="8552" ht="14.25" customHeight="1"/>
    <row r="8553" ht="14.25" customHeight="1"/>
    <row r="8554" ht="14.25" customHeight="1"/>
    <row r="8555" ht="14.25" customHeight="1"/>
    <row r="8556" ht="14.25" customHeight="1"/>
    <row r="8557" ht="14.25" customHeight="1"/>
    <row r="8558" ht="14.25" customHeight="1"/>
    <row r="8559" ht="14.25" customHeight="1"/>
    <row r="8560" ht="14.25" customHeight="1"/>
    <row r="8561" ht="14.25" customHeight="1"/>
    <row r="8562" ht="14.25" customHeight="1"/>
    <row r="8563" ht="14.25" customHeight="1"/>
    <row r="8564" ht="14.25" customHeight="1"/>
    <row r="8565" ht="14.25" customHeight="1"/>
    <row r="8566" ht="14.25" customHeight="1"/>
    <row r="8567" ht="14.25" customHeight="1"/>
    <row r="8568" ht="14.25" customHeight="1"/>
    <row r="8569" ht="14.25" customHeight="1"/>
    <row r="8570" ht="14.25" customHeight="1"/>
    <row r="8571" ht="14.25" customHeight="1"/>
    <row r="8572" ht="14.25" customHeight="1"/>
    <row r="8573" ht="14.25" customHeight="1"/>
    <row r="8574" ht="14.25" customHeight="1"/>
    <row r="8575" ht="14.25" customHeight="1"/>
    <row r="8576" ht="14.25" customHeight="1"/>
    <row r="8577" ht="14.25" customHeight="1"/>
    <row r="8578" ht="14.25" customHeight="1"/>
    <row r="8579" ht="14.25" customHeight="1"/>
    <row r="8580" ht="14.25" customHeight="1"/>
    <row r="8581" ht="14.25" customHeight="1"/>
    <row r="8582" ht="14.25" customHeight="1"/>
    <row r="8583" ht="14.25" customHeight="1"/>
    <row r="8584" ht="14.25" customHeight="1"/>
    <row r="8585" ht="14.25" customHeight="1"/>
    <row r="8586" ht="14.25" customHeight="1"/>
    <row r="8587" ht="14.25" customHeight="1"/>
    <row r="8588" ht="14.25" customHeight="1"/>
    <row r="8589" ht="14.25" customHeight="1"/>
    <row r="8590" ht="14.25" customHeight="1"/>
    <row r="8591" ht="14.25" customHeight="1"/>
    <row r="8592" ht="14.25" customHeight="1"/>
    <row r="8593" ht="14.25" customHeight="1"/>
    <row r="8594" ht="14.25" customHeight="1"/>
    <row r="8595" ht="14.25" customHeight="1"/>
    <row r="8596" ht="14.25" customHeight="1"/>
    <row r="8597" ht="14.25" customHeight="1"/>
    <row r="8598" ht="14.25" customHeight="1"/>
    <row r="8599" ht="14.25" customHeight="1"/>
    <row r="8600" ht="14.25" customHeight="1"/>
    <row r="8601" ht="14.25" customHeight="1"/>
    <row r="8602" ht="14.25" customHeight="1"/>
    <row r="8603" ht="14.25" customHeight="1"/>
    <row r="8604" ht="14.25" customHeight="1"/>
    <row r="8605" ht="14.25" customHeight="1"/>
    <row r="8606" ht="14.25" customHeight="1"/>
    <row r="8607" ht="14.25" customHeight="1"/>
    <row r="8608" ht="14.25" customHeight="1"/>
    <row r="8609" ht="14.25" customHeight="1"/>
    <row r="8610" ht="14.25" customHeight="1"/>
    <row r="8611" ht="14.25" customHeight="1"/>
    <row r="8612" ht="14.25" customHeight="1"/>
    <row r="8613" ht="14.25" customHeight="1"/>
    <row r="8614" ht="14.25" customHeight="1"/>
    <row r="8615" ht="14.25" customHeight="1"/>
    <row r="8616" ht="14.25" customHeight="1"/>
    <row r="8617" ht="14.25" customHeight="1"/>
    <row r="8618" ht="14.25" customHeight="1"/>
    <row r="8619" ht="14.25" customHeight="1"/>
    <row r="8620" ht="14.25" customHeight="1"/>
    <row r="8621" ht="14.25" customHeight="1"/>
    <row r="8622" ht="14.25" customHeight="1"/>
    <row r="8623" ht="14.25" customHeight="1"/>
    <row r="8624" ht="14.25" customHeight="1"/>
    <row r="8625" ht="14.25" customHeight="1"/>
    <row r="8626" ht="14.25" customHeight="1"/>
    <row r="8627" ht="14.25" customHeight="1"/>
    <row r="8628" ht="14.25" customHeight="1"/>
    <row r="8629" ht="14.25" customHeight="1"/>
    <row r="8630" ht="14.25" customHeight="1"/>
    <row r="8631" ht="14.25" customHeight="1"/>
    <row r="8632" ht="14.25" customHeight="1"/>
    <row r="8633" ht="14.25" customHeight="1"/>
    <row r="8634" ht="14.25" customHeight="1"/>
    <row r="8635" ht="14.25" customHeight="1"/>
    <row r="8636" ht="14.25" customHeight="1"/>
    <row r="8637" ht="14.25" customHeight="1"/>
    <row r="8638" ht="14.25" customHeight="1"/>
    <row r="8639" ht="14.25" customHeight="1"/>
    <row r="8640" ht="14.25" customHeight="1"/>
    <row r="8641" ht="14.25" customHeight="1"/>
    <row r="8642" ht="14.25" customHeight="1"/>
    <row r="8643" ht="14.25" customHeight="1"/>
    <row r="8644" ht="14.25" customHeight="1"/>
    <row r="8645" ht="14.25" customHeight="1"/>
    <row r="8646" ht="14.25" customHeight="1"/>
    <row r="8647" ht="14.25" customHeight="1"/>
    <row r="8648" ht="14.25" customHeight="1"/>
    <row r="8649" ht="14.25" customHeight="1"/>
    <row r="8650" ht="14.25" customHeight="1"/>
    <row r="8651" ht="14.25" customHeight="1"/>
    <row r="8652" ht="14.25" customHeight="1"/>
    <row r="8653" ht="14.25" customHeight="1"/>
    <row r="8654" ht="14.25" customHeight="1"/>
    <row r="8655" ht="14.25" customHeight="1"/>
    <row r="8656" ht="14.25" customHeight="1"/>
    <row r="8657" ht="14.25" customHeight="1"/>
    <row r="8658" ht="14.25" customHeight="1"/>
    <row r="8659" ht="14.25" customHeight="1"/>
    <row r="8660" ht="14.25" customHeight="1"/>
    <row r="8661" ht="14.25" customHeight="1"/>
    <row r="8662" ht="14.25" customHeight="1"/>
    <row r="8663" ht="14.25" customHeight="1"/>
    <row r="8664" ht="14.25" customHeight="1"/>
    <row r="8665" ht="14.25" customHeight="1"/>
    <row r="8666" ht="14.25" customHeight="1"/>
    <row r="8667" ht="14.25" customHeight="1"/>
    <row r="8668" ht="14.25" customHeight="1"/>
    <row r="8669" ht="14.25" customHeight="1"/>
    <row r="8670" ht="14.25" customHeight="1"/>
    <row r="8671" ht="14.25" customHeight="1"/>
    <row r="8672" ht="14.25" customHeight="1"/>
    <row r="8673" ht="14.25" customHeight="1"/>
    <row r="8674" ht="14.25" customHeight="1"/>
    <row r="8675" ht="14.25" customHeight="1"/>
    <row r="8676" ht="14.25" customHeight="1"/>
    <row r="8677" ht="14.25" customHeight="1"/>
    <row r="8678" ht="14.25" customHeight="1"/>
    <row r="8679" ht="14.25" customHeight="1"/>
    <row r="8680" ht="14.25" customHeight="1"/>
    <row r="8681" ht="14.25" customHeight="1"/>
    <row r="8682" ht="14.25" customHeight="1"/>
    <row r="8683" ht="14.25" customHeight="1"/>
    <row r="8684" ht="14.25" customHeight="1"/>
    <row r="8685" ht="14.25" customHeight="1"/>
    <row r="8686" ht="14.25" customHeight="1"/>
    <row r="8687" ht="14.25" customHeight="1"/>
    <row r="8688" ht="14.25" customHeight="1"/>
    <row r="8689" ht="14.25" customHeight="1"/>
    <row r="8690" ht="14.25" customHeight="1"/>
    <row r="8691" ht="14.25" customHeight="1"/>
    <row r="8692" ht="14.25" customHeight="1"/>
    <row r="8693" ht="14.25" customHeight="1"/>
    <row r="8694" ht="14.25" customHeight="1"/>
    <row r="8695" ht="14.25" customHeight="1"/>
    <row r="8696" ht="14.25" customHeight="1"/>
    <row r="8697" ht="14.25" customHeight="1"/>
    <row r="8698" ht="14.25" customHeight="1"/>
    <row r="8699" ht="14.25" customHeight="1"/>
    <row r="8700" ht="14.25" customHeight="1"/>
    <row r="8701" ht="14.25" customHeight="1"/>
    <row r="8702" ht="14.25" customHeight="1"/>
    <row r="8703" ht="14.25" customHeight="1"/>
    <row r="8704" ht="14.25" customHeight="1"/>
    <row r="8705" ht="14.25" customHeight="1"/>
    <row r="8706" ht="14.25" customHeight="1"/>
    <row r="8707" ht="14.25" customHeight="1"/>
    <row r="8708" ht="14.25" customHeight="1"/>
    <row r="8709" ht="14.25" customHeight="1"/>
    <row r="8710" ht="14.25" customHeight="1"/>
    <row r="8711" ht="14.25" customHeight="1"/>
    <row r="8712" ht="14.25" customHeight="1"/>
    <row r="8713" ht="14.25" customHeight="1"/>
    <row r="8714" ht="14.25" customHeight="1"/>
    <row r="8715" ht="14.25" customHeight="1"/>
    <row r="8716" ht="14.25" customHeight="1"/>
    <row r="8717" ht="14.25" customHeight="1"/>
    <row r="8718" ht="14.25" customHeight="1"/>
    <row r="8719" ht="14.25" customHeight="1"/>
    <row r="8720" ht="14.25" customHeight="1"/>
    <row r="8721" ht="14.25" customHeight="1"/>
    <row r="8722" ht="14.25" customHeight="1"/>
    <row r="8723" ht="14.25" customHeight="1"/>
    <row r="8724" ht="14.25" customHeight="1"/>
    <row r="8725" ht="14.25" customHeight="1"/>
    <row r="8726" ht="14.25" customHeight="1"/>
    <row r="8727" ht="14.25" customHeight="1"/>
    <row r="8728" ht="14.25" customHeight="1"/>
    <row r="8729" ht="14.25" customHeight="1"/>
    <row r="8730" ht="14.25" customHeight="1"/>
    <row r="8731" ht="14.25" customHeight="1"/>
    <row r="8732" ht="14.25" customHeight="1"/>
    <row r="8733" ht="14.25" customHeight="1"/>
    <row r="8734" ht="14.25" customHeight="1"/>
    <row r="8735" ht="14.25" customHeight="1"/>
    <row r="8736" ht="14.25" customHeight="1"/>
    <row r="8737" ht="14.25" customHeight="1"/>
    <row r="8738" ht="14.25" customHeight="1"/>
    <row r="8739" ht="14.25" customHeight="1"/>
    <row r="8740" ht="14.25" customHeight="1"/>
    <row r="8741" ht="14.25" customHeight="1"/>
    <row r="8742" ht="14.25" customHeight="1"/>
    <row r="8743" ht="14.25" customHeight="1"/>
    <row r="8744" ht="14.25" customHeight="1"/>
    <row r="8745" ht="14.25" customHeight="1"/>
    <row r="8746" ht="14.25" customHeight="1"/>
    <row r="8747" ht="14.25" customHeight="1"/>
    <row r="8748" ht="14.25" customHeight="1"/>
    <row r="8749" ht="14.25" customHeight="1"/>
    <row r="8750" ht="14.25" customHeight="1"/>
    <row r="8751" ht="14.25" customHeight="1"/>
    <row r="8752" ht="14.25" customHeight="1"/>
    <row r="8753" ht="14.25" customHeight="1"/>
    <row r="8754" ht="14.25" customHeight="1"/>
    <row r="8755" ht="14.25" customHeight="1"/>
    <row r="8756" ht="14.25" customHeight="1"/>
    <row r="8757" ht="14.25" customHeight="1"/>
    <row r="8758" ht="14.25" customHeight="1"/>
    <row r="8759" ht="14.25" customHeight="1"/>
    <row r="8760" ht="14.25" customHeight="1"/>
    <row r="8761" ht="14.25" customHeight="1"/>
    <row r="8762" ht="14.25" customHeight="1"/>
    <row r="8763" ht="14.25" customHeight="1"/>
    <row r="8764" ht="14.25" customHeight="1"/>
    <row r="8765" ht="14.25" customHeight="1"/>
    <row r="8766" ht="14.25" customHeight="1"/>
    <row r="8767" ht="14.25" customHeight="1"/>
    <row r="8768" ht="14.25" customHeight="1"/>
    <row r="8769" ht="14.25" customHeight="1"/>
    <row r="8770" ht="14.25" customHeight="1"/>
    <row r="8771" ht="14.25" customHeight="1"/>
    <row r="8772" ht="14.25" customHeight="1"/>
    <row r="8773" ht="14.25" customHeight="1"/>
    <row r="8774" ht="14.25" customHeight="1"/>
    <row r="8775" ht="14.25" customHeight="1"/>
    <row r="8776" ht="14.25" customHeight="1"/>
    <row r="8777" ht="14.25" customHeight="1"/>
    <row r="8778" ht="14.25" customHeight="1"/>
    <row r="8779" ht="14.25" customHeight="1"/>
    <row r="8780" ht="14.25" customHeight="1"/>
    <row r="8781" ht="14.25" customHeight="1"/>
    <row r="8782" ht="14.25" customHeight="1"/>
    <row r="8783" ht="14.25" customHeight="1"/>
    <row r="8784" ht="14.25" customHeight="1"/>
    <row r="8785" ht="14.25" customHeight="1"/>
    <row r="8786" ht="14.25" customHeight="1"/>
    <row r="8787" ht="14.25" customHeight="1"/>
    <row r="8788" ht="14.25" customHeight="1"/>
    <row r="8789" ht="14.25" customHeight="1"/>
    <row r="8790" ht="14.25" customHeight="1"/>
    <row r="8791" ht="14.25" customHeight="1"/>
    <row r="8792" ht="14.25" customHeight="1"/>
    <row r="8793" ht="14.25" customHeight="1"/>
    <row r="8794" ht="14.25" customHeight="1"/>
    <row r="8795" ht="14.25" customHeight="1"/>
    <row r="8796" ht="14.25" customHeight="1"/>
    <row r="8797" ht="14.25" customHeight="1"/>
    <row r="8798" ht="14.25" customHeight="1"/>
    <row r="8799" ht="14.25" customHeight="1"/>
    <row r="8800" ht="14.25" customHeight="1"/>
    <row r="8801" ht="14.25" customHeight="1"/>
    <row r="8802" ht="14.25" customHeight="1"/>
    <row r="8803" ht="14.25" customHeight="1"/>
    <row r="8804" ht="14.25" customHeight="1"/>
    <row r="8805" ht="14.25" customHeight="1"/>
    <row r="8806" ht="14.25" customHeight="1"/>
    <row r="8807" ht="14.25" customHeight="1"/>
    <row r="8808" ht="14.25" customHeight="1"/>
    <row r="8809" ht="14.25" customHeight="1"/>
    <row r="8810" ht="14.25" customHeight="1"/>
    <row r="8811" ht="14.25" customHeight="1"/>
    <row r="8812" ht="14.25" customHeight="1"/>
    <row r="8813" ht="14.25" customHeight="1"/>
    <row r="8814" ht="14.25" customHeight="1"/>
    <row r="8815" ht="14.25" customHeight="1"/>
    <row r="8816" ht="14.25" customHeight="1"/>
    <row r="8817" ht="14.25" customHeight="1"/>
    <row r="8818" ht="14.25" customHeight="1"/>
    <row r="8819" ht="14.25" customHeight="1"/>
    <row r="8820" ht="14.25" customHeight="1"/>
    <row r="8821" ht="14.25" customHeight="1"/>
    <row r="8822" ht="14.25" customHeight="1"/>
    <row r="8823" ht="14.25" customHeight="1"/>
    <row r="8824" ht="14.25" customHeight="1"/>
    <row r="8825" ht="14.25" customHeight="1"/>
    <row r="8826" ht="14.25" customHeight="1"/>
    <row r="8827" ht="14.25" customHeight="1"/>
    <row r="8828" ht="14.25" customHeight="1"/>
    <row r="8829" ht="14.25" customHeight="1"/>
    <row r="8830" ht="14.25" customHeight="1"/>
    <row r="8831" ht="14.25" customHeight="1"/>
    <row r="8832" ht="14.25" customHeight="1"/>
    <row r="8833" ht="14.25" customHeight="1"/>
    <row r="8834" ht="14.25" customHeight="1"/>
    <row r="8835" ht="14.25" customHeight="1"/>
    <row r="8836" ht="14.25" customHeight="1"/>
    <row r="8837" ht="14.25" customHeight="1"/>
    <row r="8838" ht="14.25" customHeight="1"/>
    <row r="8839" ht="14.25" customHeight="1"/>
    <row r="8840" ht="14.25" customHeight="1"/>
    <row r="8841" ht="14.25" customHeight="1"/>
    <row r="8842" ht="14.25" customHeight="1"/>
    <row r="8843" ht="14.25" customHeight="1"/>
    <row r="8844" ht="14.25" customHeight="1"/>
    <row r="8845" ht="14.25" customHeight="1"/>
    <row r="8846" ht="14.25" customHeight="1"/>
    <row r="8847" ht="14.25" customHeight="1"/>
    <row r="8848" ht="14.25" customHeight="1"/>
    <row r="8849" ht="14.25" customHeight="1"/>
    <row r="8850" ht="14.25" customHeight="1"/>
    <row r="8851" ht="14.25" customHeight="1"/>
    <row r="8852" ht="14.25" customHeight="1"/>
    <row r="8853" ht="14.25" customHeight="1"/>
    <row r="8854" ht="14.25" customHeight="1"/>
    <row r="8855" ht="14.25" customHeight="1"/>
    <row r="8856" ht="14.25" customHeight="1"/>
    <row r="8857" ht="14.25" customHeight="1"/>
    <row r="8858" ht="14.25" customHeight="1"/>
    <row r="8859" ht="14.25" customHeight="1"/>
    <row r="8860" ht="14.25" customHeight="1"/>
    <row r="8861" ht="14.25" customHeight="1"/>
    <row r="8862" ht="14.25" customHeight="1"/>
    <row r="8863" ht="14.25" customHeight="1"/>
    <row r="8864" ht="14.25" customHeight="1"/>
    <row r="8865" ht="14.25" customHeight="1"/>
    <row r="8866" ht="14.25" customHeight="1"/>
    <row r="8867" ht="14.25" customHeight="1"/>
    <row r="8868" ht="14.25" customHeight="1"/>
    <row r="8869" ht="14.25" customHeight="1"/>
    <row r="8870" ht="14.25" customHeight="1"/>
    <row r="8871" ht="14.25" customHeight="1"/>
    <row r="8872" ht="14.25" customHeight="1"/>
    <row r="8873" ht="14.25" customHeight="1"/>
    <row r="8874" ht="14.25" customHeight="1"/>
    <row r="8875" ht="14.25" customHeight="1"/>
    <row r="8876" ht="14.25" customHeight="1"/>
    <row r="8877" ht="14.25" customHeight="1"/>
    <row r="8878" ht="14.25" customHeight="1"/>
    <row r="8879" ht="14.25" customHeight="1"/>
    <row r="8880" ht="14.25" customHeight="1"/>
    <row r="8881" ht="14.25" customHeight="1"/>
    <row r="8882" ht="14.25" customHeight="1"/>
    <row r="8883" ht="14.25" customHeight="1"/>
    <row r="8884" ht="14.25" customHeight="1"/>
    <row r="8885" ht="14.25" customHeight="1"/>
    <row r="8886" ht="14.25" customHeight="1"/>
    <row r="8887" ht="14.25" customHeight="1"/>
    <row r="8888" ht="14.25" customHeight="1"/>
    <row r="8889" ht="14.25" customHeight="1"/>
    <row r="8890" ht="14.25" customHeight="1"/>
    <row r="8891" ht="14.25" customHeight="1"/>
    <row r="8892" ht="14.25" customHeight="1"/>
    <row r="8893" ht="14.25" customHeight="1"/>
    <row r="8894" ht="14.25" customHeight="1"/>
    <row r="8895" ht="14.25" customHeight="1"/>
    <row r="8896" ht="14.25" customHeight="1"/>
    <row r="8897" ht="14.25" customHeight="1"/>
    <row r="8898" ht="14.25" customHeight="1"/>
    <row r="8899" ht="14.25" customHeight="1"/>
    <row r="8900" ht="14.25" customHeight="1"/>
    <row r="8901" ht="14.25" customHeight="1"/>
    <row r="8902" ht="14.25" customHeight="1"/>
    <row r="8903" ht="14.25" customHeight="1"/>
    <row r="8904" ht="14.25" customHeight="1"/>
    <row r="8905" ht="14.25" customHeight="1"/>
    <row r="8906" ht="14.25" customHeight="1"/>
    <row r="8907" ht="14.25" customHeight="1"/>
    <row r="8908" ht="14.25" customHeight="1"/>
    <row r="8909" ht="14.25" customHeight="1"/>
    <row r="8910" ht="14.25" customHeight="1"/>
    <row r="8911" ht="14.25" customHeight="1"/>
    <row r="8912" ht="14.25" customHeight="1"/>
    <row r="8913" ht="14.25" customHeight="1"/>
    <row r="8914" ht="14.25" customHeight="1"/>
    <row r="8915" ht="14.25" customHeight="1"/>
    <row r="8916" ht="14.25" customHeight="1"/>
    <row r="8917" ht="14.25" customHeight="1"/>
    <row r="8918" ht="14.25" customHeight="1"/>
    <row r="8919" ht="14.25" customHeight="1"/>
    <row r="8920" ht="14.25" customHeight="1"/>
    <row r="8921" ht="14.25" customHeight="1"/>
    <row r="8922" ht="14.25" customHeight="1"/>
    <row r="8923" ht="14.25" customHeight="1"/>
    <row r="8924" ht="14.25" customHeight="1"/>
    <row r="8925" ht="14.25" customHeight="1"/>
    <row r="8926" ht="14.25" customHeight="1"/>
    <row r="8927" ht="14.25" customHeight="1"/>
    <row r="8928" ht="14.25" customHeight="1"/>
    <row r="8929" ht="14.25" customHeight="1"/>
    <row r="8930" ht="14.25" customHeight="1"/>
    <row r="8931" ht="14.25" customHeight="1"/>
    <row r="8932" ht="14.25" customHeight="1"/>
    <row r="8933" ht="14.25" customHeight="1"/>
    <row r="8934" ht="14.25" customHeight="1"/>
    <row r="8935" ht="14.25" customHeight="1"/>
    <row r="8936" ht="14.25" customHeight="1"/>
    <row r="8937" ht="14.25" customHeight="1"/>
    <row r="8938" ht="14.25" customHeight="1"/>
    <row r="8939" ht="14.25" customHeight="1"/>
    <row r="8940" ht="14.25" customHeight="1"/>
    <row r="8941" ht="14.25" customHeight="1"/>
    <row r="8942" ht="14.25" customHeight="1"/>
    <row r="8943" ht="14.25" customHeight="1"/>
    <row r="8944" ht="14.25" customHeight="1"/>
    <row r="8945" ht="14.25" customHeight="1"/>
    <row r="8946" ht="14.25" customHeight="1"/>
    <row r="8947" ht="14.25" customHeight="1"/>
    <row r="8948" ht="14.25" customHeight="1"/>
    <row r="8949" ht="14.25" customHeight="1"/>
    <row r="8950" ht="14.25" customHeight="1"/>
    <row r="8951" ht="14.25" customHeight="1"/>
    <row r="8952" ht="14.25" customHeight="1"/>
    <row r="8953" ht="14.25" customHeight="1"/>
    <row r="8954" ht="14.25" customHeight="1"/>
    <row r="8955" ht="14.25" customHeight="1"/>
    <row r="8956" ht="14.25" customHeight="1"/>
    <row r="8957" ht="14.25" customHeight="1"/>
    <row r="8958" ht="14.25" customHeight="1"/>
    <row r="8959" ht="14.25" customHeight="1"/>
    <row r="8960" ht="14.25" customHeight="1"/>
    <row r="8961" ht="14.25" customHeight="1"/>
    <row r="8962" ht="14.25" customHeight="1"/>
    <row r="8963" ht="14.25" customHeight="1"/>
    <row r="8964" ht="14.25" customHeight="1"/>
    <row r="8965" ht="14.25" customHeight="1"/>
    <row r="8966" ht="14.25" customHeight="1"/>
    <row r="8967" ht="14.25" customHeight="1"/>
    <row r="8968" ht="14.25" customHeight="1"/>
    <row r="8969" ht="14.25" customHeight="1"/>
    <row r="8970" ht="14.25" customHeight="1"/>
    <row r="8971" ht="14.25" customHeight="1"/>
    <row r="8972" ht="14.25" customHeight="1"/>
    <row r="8973" ht="14.25" customHeight="1"/>
    <row r="8974" ht="14.25" customHeight="1"/>
    <row r="8975" ht="14.25" customHeight="1"/>
    <row r="8976" ht="14.25" customHeight="1"/>
    <row r="8977" ht="14.25" customHeight="1"/>
    <row r="8978" ht="14.25" customHeight="1"/>
    <row r="8979" ht="14.25" customHeight="1"/>
    <row r="8980" ht="14.25" customHeight="1"/>
    <row r="8981" ht="14.25" customHeight="1"/>
    <row r="8982" ht="14.25" customHeight="1"/>
    <row r="8983" ht="14.25" customHeight="1"/>
    <row r="8984" ht="14.25" customHeight="1"/>
    <row r="8985" ht="14.25" customHeight="1"/>
    <row r="8986" ht="14.25" customHeight="1"/>
    <row r="8987" ht="14.25" customHeight="1"/>
    <row r="8988" ht="14.25" customHeight="1"/>
    <row r="8989" ht="14.25" customHeight="1"/>
    <row r="8990" ht="14.25" customHeight="1"/>
    <row r="8991" ht="14.25" customHeight="1"/>
    <row r="8992" ht="14.25" customHeight="1"/>
    <row r="8993" ht="14.25" customHeight="1"/>
    <row r="8994" ht="14.25" customHeight="1"/>
    <row r="8995" ht="14.25" customHeight="1"/>
    <row r="8996" ht="14.25" customHeight="1"/>
    <row r="8997" ht="14.25" customHeight="1"/>
    <row r="8998" ht="14.25" customHeight="1"/>
    <row r="8999" ht="14.25" customHeight="1"/>
    <row r="9000" ht="14.25" customHeight="1"/>
    <row r="9001" ht="14.25" customHeight="1"/>
    <row r="9002" ht="14.25" customHeight="1"/>
    <row r="9003" ht="14.25" customHeight="1"/>
    <row r="9004" ht="14.25" customHeight="1"/>
    <row r="9005" ht="14.25" customHeight="1"/>
    <row r="9006" ht="14.25" customHeight="1"/>
    <row r="9007" ht="14.25" customHeight="1"/>
    <row r="9008" ht="14.25" customHeight="1"/>
    <row r="9009" ht="14.25" customHeight="1"/>
    <row r="9010" ht="14.25" customHeight="1"/>
    <row r="9011" ht="14.25" customHeight="1"/>
    <row r="9012" ht="14.25" customHeight="1"/>
    <row r="9013" ht="14.25" customHeight="1"/>
    <row r="9014" ht="14.25" customHeight="1"/>
    <row r="9015" ht="14.25" customHeight="1"/>
    <row r="9016" ht="14.25" customHeight="1"/>
    <row r="9017" ht="14.25" customHeight="1"/>
    <row r="9018" ht="14.25" customHeight="1"/>
    <row r="9019" ht="14.25" customHeight="1"/>
    <row r="9020" ht="14.25" customHeight="1"/>
    <row r="9021" ht="14.25" customHeight="1"/>
    <row r="9022" ht="14.25" customHeight="1"/>
    <row r="9023" ht="14.25" customHeight="1"/>
    <row r="9024" ht="14.25" customHeight="1"/>
    <row r="9025" ht="14.25" customHeight="1"/>
    <row r="9026" ht="14.25" customHeight="1"/>
    <row r="9027" ht="14.25" customHeight="1"/>
    <row r="9028" ht="14.25" customHeight="1"/>
    <row r="9029" ht="14.25" customHeight="1"/>
    <row r="9030" ht="14.25" customHeight="1"/>
    <row r="9031" ht="14.25" customHeight="1"/>
    <row r="9032" ht="14.25" customHeight="1"/>
    <row r="9033" ht="14.25" customHeight="1"/>
    <row r="9034" ht="14.25" customHeight="1"/>
    <row r="9035" ht="14.25" customHeight="1"/>
    <row r="9036" ht="14.25" customHeight="1"/>
    <row r="9037" ht="14.25" customHeight="1"/>
    <row r="9038" ht="14.25" customHeight="1"/>
    <row r="9039" ht="14.25" customHeight="1"/>
    <row r="9040" ht="14.25" customHeight="1"/>
    <row r="9041" ht="14.25" customHeight="1"/>
    <row r="9042" ht="14.25" customHeight="1"/>
    <row r="9043" ht="14.25" customHeight="1"/>
    <row r="9044" ht="14.25" customHeight="1"/>
    <row r="9045" ht="14.25" customHeight="1"/>
    <row r="9046" ht="14.25" customHeight="1"/>
    <row r="9047" ht="14.25" customHeight="1"/>
    <row r="9048" ht="14.25" customHeight="1"/>
    <row r="9049" ht="14.25" customHeight="1"/>
    <row r="9050" ht="14.25" customHeight="1"/>
    <row r="9051" ht="14.25" customHeight="1"/>
    <row r="9052" ht="14.25" customHeight="1"/>
    <row r="9053" ht="14.25" customHeight="1"/>
    <row r="9054" ht="14.25" customHeight="1"/>
    <row r="9055" ht="14.25" customHeight="1"/>
    <row r="9056" ht="14.25" customHeight="1"/>
    <row r="9057" ht="14.25" customHeight="1"/>
    <row r="9058" ht="14.25" customHeight="1"/>
    <row r="9059" ht="14.25" customHeight="1"/>
    <row r="9060" ht="14.25" customHeight="1"/>
    <row r="9061" ht="14.25" customHeight="1"/>
    <row r="9062" ht="14.25" customHeight="1"/>
    <row r="9063" ht="14.25" customHeight="1"/>
    <row r="9064" ht="14.25" customHeight="1"/>
    <row r="9065" ht="14.25" customHeight="1"/>
    <row r="9066" ht="14.25" customHeight="1"/>
    <row r="9067" ht="14.25" customHeight="1"/>
    <row r="9068" ht="14.25" customHeight="1"/>
    <row r="9069" ht="14.25" customHeight="1"/>
    <row r="9070" ht="14.25" customHeight="1"/>
    <row r="9071" ht="14.25" customHeight="1"/>
    <row r="9072" ht="14.25" customHeight="1"/>
    <row r="9073" ht="14.25" customHeight="1"/>
    <row r="9074" ht="14.25" customHeight="1"/>
    <row r="9075" ht="14.25" customHeight="1"/>
    <row r="9076" ht="14.25" customHeight="1"/>
    <row r="9077" ht="14.25" customHeight="1"/>
    <row r="9078" ht="14.25" customHeight="1"/>
    <row r="9079" ht="14.25" customHeight="1"/>
    <row r="9080" ht="14.25" customHeight="1"/>
    <row r="9081" ht="14.25" customHeight="1"/>
    <row r="9082" ht="14.25" customHeight="1"/>
    <row r="9083" ht="14.25" customHeight="1"/>
    <row r="9084" ht="14.25" customHeight="1"/>
    <row r="9085" ht="14.25" customHeight="1"/>
    <row r="9086" ht="14.25" customHeight="1"/>
    <row r="9087" ht="14.25" customHeight="1"/>
    <row r="9088" ht="14.25" customHeight="1"/>
    <row r="9089" ht="14.25" customHeight="1"/>
    <row r="9090" ht="14.25" customHeight="1"/>
    <row r="9091" ht="14.25" customHeight="1"/>
    <row r="9092" ht="14.25" customHeight="1"/>
    <row r="9093" ht="14.25" customHeight="1"/>
    <row r="9094" ht="14.25" customHeight="1"/>
    <row r="9095" ht="14.25" customHeight="1"/>
    <row r="9096" ht="14.25" customHeight="1"/>
    <row r="9097" ht="14.25" customHeight="1"/>
    <row r="9098" ht="14.25" customHeight="1"/>
    <row r="9099" ht="14.25" customHeight="1"/>
    <row r="9100" ht="14.25" customHeight="1"/>
    <row r="9101" ht="14.25" customHeight="1"/>
    <row r="9102" ht="14.25" customHeight="1"/>
    <row r="9103" ht="14.25" customHeight="1"/>
    <row r="9104" ht="14.25" customHeight="1"/>
    <row r="9105" ht="14.25" customHeight="1"/>
    <row r="9106" ht="14.25" customHeight="1"/>
    <row r="9107" ht="14.25" customHeight="1"/>
    <row r="9108" ht="14.25" customHeight="1"/>
    <row r="9109" ht="14.25" customHeight="1"/>
    <row r="9110" ht="14.25" customHeight="1"/>
    <row r="9111" ht="14.25" customHeight="1"/>
    <row r="9112" ht="14.25" customHeight="1"/>
    <row r="9113" ht="14.25" customHeight="1"/>
    <row r="9114" ht="14.25" customHeight="1"/>
    <row r="9115" ht="14.25" customHeight="1"/>
    <row r="9116" ht="14.25" customHeight="1"/>
    <row r="9117" ht="14.25" customHeight="1"/>
    <row r="9118" ht="14.25" customHeight="1"/>
    <row r="9119" ht="14.25" customHeight="1"/>
    <row r="9120" ht="14.25" customHeight="1"/>
    <row r="9121" ht="14.25" customHeight="1"/>
    <row r="9122" ht="14.25" customHeight="1"/>
    <row r="9123" ht="14.25" customHeight="1"/>
    <row r="9124" ht="14.25" customHeight="1"/>
    <row r="9125" ht="14.25" customHeight="1"/>
    <row r="9126" ht="14.25" customHeight="1"/>
    <row r="9127" ht="14.25" customHeight="1"/>
    <row r="9128" ht="14.25" customHeight="1"/>
    <row r="9129" ht="14.25" customHeight="1"/>
    <row r="9130" ht="14.25" customHeight="1"/>
    <row r="9131" ht="14.25" customHeight="1"/>
    <row r="9132" ht="14.25" customHeight="1"/>
    <row r="9133" ht="14.25" customHeight="1"/>
    <row r="9134" ht="14.25" customHeight="1"/>
    <row r="9135" ht="14.25" customHeight="1"/>
    <row r="9136" ht="14.25" customHeight="1"/>
    <row r="9137" ht="14.25" customHeight="1"/>
    <row r="9138" ht="14.25" customHeight="1"/>
    <row r="9139" ht="14.25" customHeight="1"/>
    <row r="9140" ht="14.25" customHeight="1"/>
    <row r="9141" ht="14.25" customHeight="1"/>
    <row r="9142" ht="14.25" customHeight="1"/>
    <row r="9143" ht="14.25" customHeight="1"/>
    <row r="9144" ht="14.25" customHeight="1"/>
    <row r="9145" ht="14.25" customHeight="1"/>
    <row r="9146" ht="14.25" customHeight="1"/>
    <row r="9147" ht="14.25" customHeight="1"/>
    <row r="9148" ht="14.25" customHeight="1"/>
    <row r="9149" ht="14.25" customHeight="1"/>
    <row r="9150" ht="14.25" customHeight="1"/>
    <row r="9151" ht="14.25" customHeight="1"/>
    <row r="9152" ht="14.25" customHeight="1"/>
    <row r="9153" ht="14.25" customHeight="1"/>
    <row r="9154" ht="14.25" customHeight="1"/>
    <row r="9155" ht="14.25" customHeight="1"/>
    <row r="9156" ht="14.25" customHeight="1"/>
    <row r="9157" ht="14.25" customHeight="1"/>
    <row r="9158" ht="14.25" customHeight="1"/>
    <row r="9159" ht="14.25" customHeight="1"/>
    <row r="9160" ht="14.25" customHeight="1"/>
    <row r="9161" ht="14.25" customHeight="1"/>
    <row r="9162" ht="14.25" customHeight="1"/>
    <row r="9163" ht="14.25" customHeight="1"/>
    <row r="9164" ht="14.25" customHeight="1"/>
    <row r="9165" ht="14.25" customHeight="1"/>
    <row r="9166" ht="14.25" customHeight="1"/>
    <row r="9167" ht="14.25" customHeight="1"/>
    <row r="9168" ht="14.25" customHeight="1"/>
    <row r="9169" ht="14.25" customHeight="1"/>
    <row r="9170" ht="14.25" customHeight="1"/>
    <row r="9171" ht="14.25" customHeight="1"/>
    <row r="9172" ht="14.25" customHeight="1"/>
    <row r="9173" ht="14.25" customHeight="1"/>
    <row r="9174" ht="14.25" customHeight="1"/>
    <row r="9175" ht="14.25" customHeight="1"/>
    <row r="9176" ht="14.25" customHeight="1"/>
    <row r="9177" ht="14.25" customHeight="1"/>
    <row r="9178" ht="14.25" customHeight="1"/>
    <row r="9179" ht="14.25" customHeight="1"/>
    <row r="9180" ht="14.25" customHeight="1"/>
    <row r="9181" ht="14.25" customHeight="1"/>
    <row r="9182" ht="14.25" customHeight="1"/>
    <row r="9183" ht="14.25" customHeight="1"/>
    <row r="9184" ht="14.25" customHeight="1"/>
    <row r="9185" ht="14.25" customHeight="1"/>
    <row r="9186" ht="14.25" customHeight="1"/>
    <row r="9187" ht="14.25" customHeight="1"/>
    <row r="9188" ht="14.25" customHeight="1"/>
    <row r="9189" ht="14.25" customHeight="1"/>
    <row r="9190" ht="14.25" customHeight="1"/>
    <row r="9191" ht="14.25" customHeight="1"/>
    <row r="9192" ht="14.25" customHeight="1"/>
    <row r="9193" ht="14.25" customHeight="1"/>
    <row r="9194" ht="14.25" customHeight="1"/>
    <row r="9195" ht="14.25" customHeight="1"/>
    <row r="9196" ht="14.25" customHeight="1"/>
    <row r="9197" ht="14.25" customHeight="1"/>
    <row r="9198" ht="14.25" customHeight="1"/>
    <row r="9199" ht="14.25" customHeight="1"/>
    <row r="9200" ht="14.25" customHeight="1"/>
    <row r="9201" ht="14.25" customHeight="1"/>
    <row r="9202" ht="14.25" customHeight="1"/>
    <row r="9203" ht="14.25" customHeight="1"/>
    <row r="9204" ht="14.25" customHeight="1"/>
    <row r="9205" ht="14.25" customHeight="1"/>
    <row r="9206" ht="14.25" customHeight="1"/>
    <row r="9207" ht="14.25" customHeight="1"/>
    <row r="9208" ht="14.25" customHeight="1"/>
    <row r="9209" ht="14.25" customHeight="1"/>
    <row r="9210" ht="14.25" customHeight="1"/>
    <row r="9211" ht="14.25" customHeight="1"/>
    <row r="9212" ht="14.25" customHeight="1"/>
    <row r="9213" ht="14.25" customHeight="1"/>
    <row r="9214" ht="14.25" customHeight="1"/>
    <row r="9215" ht="14.25" customHeight="1"/>
    <row r="9216" ht="14.25" customHeight="1"/>
    <row r="9217" ht="14.25" customHeight="1"/>
    <row r="9218" ht="14.25" customHeight="1"/>
    <row r="9219" ht="14.25" customHeight="1"/>
    <row r="9220" ht="14.25" customHeight="1"/>
    <row r="9221" ht="14.25" customHeight="1"/>
    <row r="9222" ht="14.25" customHeight="1"/>
    <row r="9223" ht="14.25" customHeight="1"/>
    <row r="9224" ht="14.25" customHeight="1"/>
    <row r="9225" ht="14.25" customHeight="1"/>
    <row r="9226" ht="14.25" customHeight="1"/>
    <row r="9227" ht="14.25" customHeight="1"/>
    <row r="9228" ht="14.25" customHeight="1"/>
    <row r="9229" ht="14.25" customHeight="1"/>
    <row r="9230" ht="14.25" customHeight="1"/>
    <row r="9231" ht="14.25" customHeight="1"/>
    <row r="9232" ht="14.25" customHeight="1"/>
    <row r="9233" ht="14.25" customHeight="1"/>
    <row r="9234" ht="14.25" customHeight="1"/>
    <row r="9235" ht="14.25" customHeight="1"/>
    <row r="9236" ht="14.25" customHeight="1"/>
    <row r="9237" ht="14.25" customHeight="1"/>
    <row r="9238" ht="14.25" customHeight="1"/>
    <row r="9239" ht="14.25" customHeight="1"/>
    <row r="9240" ht="14.25" customHeight="1"/>
    <row r="9241" ht="14.25" customHeight="1"/>
    <row r="9242" ht="14.25" customHeight="1"/>
    <row r="9243" ht="14.25" customHeight="1"/>
    <row r="9244" ht="14.25" customHeight="1"/>
    <row r="9245" ht="14.25" customHeight="1"/>
    <row r="9246" ht="14.25" customHeight="1"/>
    <row r="9247" ht="14.25" customHeight="1"/>
    <row r="9248" ht="14.25" customHeight="1"/>
    <row r="9249" ht="14.25" customHeight="1"/>
    <row r="9250" ht="14.25" customHeight="1"/>
    <row r="9251" ht="14.25" customHeight="1"/>
    <row r="9252" ht="14.25" customHeight="1"/>
    <row r="9253" ht="14.25" customHeight="1"/>
    <row r="9254" ht="14.25" customHeight="1"/>
    <row r="9255" ht="14.25" customHeight="1"/>
    <row r="9256" ht="14.25" customHeight="1"/>
    <row r="9257" ht="14.25" customHeight="1"/>
    <row r="9258" ht="14.25" customHeight="1"/>
    <row r="9259" ht="14.25" customHeight="1"/>
    <row r="9260" ht="14.25" customHeight="1"/>
    <row r="9261" ht="14.25" customHeight="1"/>
    <row r="9262" ht="14.25" customHeight="1"/>
    <row r="9263" ht="14.25" customHeight="1"/>
    <row r="9264" ht="14.25" customHeight="1"/>
    <row r="9265" ht="14.25" customHeight="1"/>
    <row r="9266" ht="14.25" customHeight="1"/>
    <row r="9267" ht="14.25" customHeight="1"/>
    <row r="9268" ht="14.25" customHeight="1"/>
    <row r="9269" ht="14.25" customHeight="1"/>
    <row r="9270" ht="14.25" customHeight="1"/>
    <row r="9271" ht="14.25" customHeight="1"/>
    <row r="9272" ht="14.25" customHeight="1"/>
    <row r="9273" ht="14.25" customHeight="1"/>
    <row r="9274" ht="14.25" customHeight="1"/>
    <row r="9275" ht="14.25" customHeight="1"/>
    <row r="9276" ht="14.25" customHeight="1"/>
    <row r="9277" ht="14.25" customHeight="1"/>
    <row r="9278" ht="14.25" customHeight="1"/>
    <row r="9279" ht="14.25" customHeight="1"/>
    <row r="9280" ht="14.25" customHeight="1"/>
    <row r="9281" ht="14.25" customHeight="1"/>
    <row r="9282" ht="14.25" customHeight="1"/>
    <row r="9283" ht="14.25" customHeight="1"/>
    <row r="9284" ht="14.25" customHeight="1"/>
    <row r="9285" ht="14.25" customHeight="1"/>
    <row r="9286" ht="14.25" customHeight="1"/>
    <row r="9287" ht="14.25" customHeight="1"/>
    <row r="9288" ht="14.25" customHeight="1"/>
    <row r="9289" ht="14.25" customHeight="1"/>
    <row r="9290" ht="14.25" customHeight="1"/>
    <row r="9291" ht="14.25" customHeight="1"/>
    <row r="9292" ht="14.25" customHeight="1"/>
    <row r="9293" ht="14.25" customHeight="1"/>
    <row r="9294" ht="14.25" customHeight="1"/>
    <row r="9295" ht="14.25" customHeight="1"/>
    <row r="9296" ht="14.25" customHeight="1"/>
    <row r="9297" ht="14.25" customHeight="1"/>
    <row r="9298" ht="14.25" customHeight="1"/>
    <row r="9299" ht="14.25" customHeight="1"/>
    <row r="9300" ht="14.25" customHeight="1"/>
    <row r="9301" ht="14.25" customHeight="1"/>
    <row r="9302" ht="14.25" customHeight="1"/>
    <row r="9303" ht="14.25" customHeight="1"/>
    <row r="9304" ht="14.25" customHeight="1"/>
    <row r="9305" ht="14.25" customHeight="1"/>
    <row r="9306" ht="14.25" customHeight="1"/>
    <row r="9307" ht="14.25" customHeight="1"/>
    <row r="9308" ht="14.25" customHeight="1"/>
    <row r="9309" ht="14.25" customHeight="1"/>
    <row r="9310" ht="14.25" customHeight="1"/>
    <row r="9311" ht="14.25" customHeight="1"/>
    <row r="9312" ht="14.25" customHeight="1"/>
    <row r="9313" ht="14.25" customHeight="1"/>
    <row r="9314" ht="14.25" customHeight="1"/>
    <row r="9315" ht="14.25" customHeight="1"/>
    <row r="9316" ht="14.25" customHeight="1"/>
    <row r="9317" ht="14.25" customHeight="1"/>
    <row r="9318" ht="14.25" customHeight="1"/>
    <row r="9319" ht="14.25" customHeight="1"/>
    <row r="9320" ht="14.25" customHeight="1"/>
    <row r="9321" ht="14.25" customHeight="1"/>
    <row r="9322" ht="14.25" customHeight="1"/>
    <row r="9323" ht="14.25" customHeight="1"/>
    <row r="9324" ht="14.25" customHeight="1"/>
    <row r="9325" ht="14.25" customHeight="1"/>
    <row r="9326" ht="14.25" customHeight="1"/>
    <row r="9327" ht="14.25" customHeight="1"/>
    <row r="9328" ht="14.25" customHeight="1"/>
    <row r="9329" ht="14.25" customHeight="1"/>
    <row r="9330" ht="14.25" customHeight="1"/>
    <row r="9331" ht="14.25" customHeight="1"/>
    <row r="9332" ht="14.25" customHeight="1"/>
    <row r="9333" ht="14.25" customHeight="1"/>
    <row r="9334" ht="14.25" customHeight="1"/>
    <row r="9335" ht="14.25" customHeight="1"/>
    <row r="9336" ht="14.25" customHeight="1"/>
    <row r="9337" ht="14.25" customHeight="1"/>
    <row r="9338" ht="14.25" customHeight="1"/>
    <row r="9339" ht="14.25" customHeight="1"/>
    <row r="9340" ht="14.25" customHeight="1"/>
    <row r="9341" ht="14.25" customHeight="1"/>
    <row r="9342" ht="14.25" customHeight="1"/>
    <row r="9343" ht="14.25" customHeight="1"/>
    <row r="9344" ht="14.25" customHeight="1"/>
    <row r="9345" ht="14.25" customHeight="1"/>
    <row r="9346" ht="14.25" customHeight="1"/>
    <row r="9347" ht="14.25" customHeight="1"/>
    <row r="9348" ht="14.25" customHeight="1"/>
    <row r="9349" ht="14.25" customHeight="1"/>
    <row r="9350" ht="14.25" customHeight="1"/>
    <row r="9351" ht="14.25" customHeight="1"/>
    <row r="9352" ht="14.25" customHeight="1"/>
    <row r="9353" ht="14.25" customHeight="1"/>
    <row r="9354" ht="14.25" customHeight="1"/>
    <row r="9355" ht="14.25" customHeight="1"/>
    <row r="9356" ht="14.25" customHeight="1"/>
    <row r="9357" ht="14.25" customHeight="1"/>
    <row r="9358" ht="14.25" customHeight="1"/>
    <row r="9359" ht="14.25" customHeight="1"/>
    <row r="9360" ht="14.25" customHeight="1"/>
    <row r="9361" ht="14.25" customHeight="1"/>
    <row r="9362" ht="14.25" customHeight="1"/>
    <row r="9363" ht="14.25" customHeight="1"/>
    <row r="9364" ht="14.25" customHeight="1"/>
    <row r="9365" ht="14.25" customHeight="1"/>
    <row r="9366" ht="14.25" customHeight="1"/>
    <row r="9367" ht="14.25" customHeight="1"/>
    <row r="9368" ht="14.25" customHeight="1"/>
    <row r="9369" ht="14.25" customHeight="1"/>
    <row r="9370" ht="14.25" customHeight="1"/>
    <row r="9371" ht="14.25" customHeight="1"/>
    <row r="9372" ht="14.25" customHeight="1"/>
    <row r="9373" ht="14.25" customHeight="1"/>
    <row r="9374" ht="14.25" customHeight="1"/>
    <row r="9375" ht="14.25" customHeight="1"/>
    <row r="9376" ht="14.25" customHeight="1"/>
    <row r="9377" ht="14.25" customHeight="1"/>
    <row r="9378" ht="14.25" customHeight="1"/>
    <row r="9379" ht="14.25" customHeight="1"/>
    <row r="9380" ht="14.25" customHeight="1"/>
    <row r="9381" ht="14.25" customHeight="1"/>
    <row r="9382" ht="14.25" customHeight="1"/>
    <row r="9383" ht="14.25" customHeight="1"/>
    <row r="9384" ht="14.25" customHeight="1"/>
    <row r="9385" ht="14.25" customHeight="1"/>
    <row r="9386" ht="14.25" customHeight="1"/>
    <row r="9387" ht="14.25" customHeight="1"/>
    <row r="9388" ht="14.25" customHeight="1"/>
    <row r="9389" ht="14.25" customHeight="1"/>
    <row r="9390" ht="14.25" customHeight="1"/>
    <row r="9391" ht="14.25" customHeight="1"/>
    <row r="9392" ht="14.25" customHeight="1"/>
    <row r="9393" ht="14.25" customHeight="1"/>
    <row r="9394" ht="14.25" customHeight="1"/>
    <row r="9395" ht="14.25" customHeight="1"/>
    <row r="9396" ht="14.25" customHeight="1"/>
    <row r="9397" ht="14.25" customHeight="1"/>
    <row r="9398" ht="14.25" customHeight="1"/>
    <row r="9399" ht="14.25" customHeight="1"/>
    <row r="9400" ht="14.25" customHeight="1"/>
    <row r="9401" ht="14.25" customHeight="1"/>
    <row r="9402" ht="14.25" customHeight="1"/>
    <row r="9403" ht="14.25" customHeight="1"/>
    <row r="9404" ht="14.25" customHeight="1"/>
    <row r="9405" ht="14.25" customHeight="1"/>
    <row r="9406" ht="14.25" customHeight="1"/>
    <row r="9407" ht="14.25" customHeight="1"/>
    <row r="9408" ht="14.25" customHeight="1"/>
    <row r="9409" ht="14.25" customHeight="1"/>
    <row r="9410" ht="14.25" customHeight="1"/>
    <row r="9411" ht="14.25" customHeight="1"/>
    <row r="9412" ht="14.25" customHeight="1"/>
    <row r="9413" ht="14.25" customHeight="1"/>
    <row r="9414" ht="14.25" customHeight="1"/>
    <row r="9415" ht="14.25" customHeight="1"/>
    <row r="9416" ht="14.25" customHeight="1"/>
    <row r="9417" ht="14.25" customHeight="1"/>
    <row r="9418" ht="14.25" customHeight="1"/>
    <row r="9419" ht="14.25" customHeight="1"/>
    <row r="9420" ht="14.25" customHeight="1"/>
    <row r="9421" ht="14.25" customHeight="1"/>
    <row r="9422" ht="14.25" customHeight="1"/>
    <row r="9423" ht="14.25" customHeight="1"/>
    <row r="9424" ht="14.25" customHeight="1"/>
    <row r="9425" ht="14.25" customHeight="1"/>
    <row r="9426" ht="14.25" customHeight="1"/>
    <row r="9427" ht="14.25" customHeight="1"/>
    <row r="9428" ht="14.25" customHeight="1"/>
    <row r="9429" ht="14.25" customHeight="1"/>
    <row r="9430" ht="14.25" customHeight="1"/>
    <row r="9431" ht="14.25" customHeight="1"/>
    <row r="9432" ht="14.25" customHeight="1"/>
    <row r="9433" ht="14.25" customHeight="1"/>
    <row r="9434" ht="14.25" customHeight="1"/>
    <row r="9435" ht="14.25" customHeight="1"/>
    <row r="9436" ht="14.25" customHeight="1"/>
    <row r="9437" ht="14.25" customHeight="1"/>
    <row r="9438" ht="14.25" customHeight="1"/>
    <row r="9439" ht="14.25" customHeight="1"/>
    <row r="9440" ht="14.25" customHeight="1"/>
    <row r="9441" ht="14.25" customHeight="1"/>
    <row r="9442" ht="14.25" customHeight="1"/>
    <row r="9443" ht="14.25" customHeight="1"/>
    <row r="9444" ht="14.25" customHeight="1"/>
    <row r="9445" ht="14.25" customHeight="1"/>
    <row r="9446" ht="14.25" customHeight="1"/>
    <row r="9447" ht="14.25" customHeight="1"/>
    <row r="9448" ht="14.25" customHeight="1"/>
    <row r="9449" ht="14.25" customHeight="1"/>
    <row r="9450" ht="14.25" customHeight="1"/>
    <row r="9451" ht="14.25" customHeight="1"/>
    <row r="9452" ht="14.25" customHeight="1"/>
    <row r="9453" ht="14.25" customHeight="1"/>
    <row r="9454" ht="14.25" customHeight="1"/>
    <row r="9455" ht="14.25" customHeight="1"/>
    <row r="9456" ht="14.25" customHeight="1"/>
    <row r="9457" ht="14.25" customHeight="1"/>
    <row r="9458" ht="14.25" customHeight="1"/>
    <row r="9459" ht="14.25" customHeight="1"/>
    <row r="9460" ht="14.25" customHeight="1"/>
    <row r="9461" ht="14.25" customHeight="1"/>
    <row r="9462" ht="14.25" customHeight="1"/>
    <row r="9463" ht="14.25" customHeight="1"/>
    <row r="9464" ht="14.25" customHeight="1"/>
    <row r="9465" ht="14.25" customHeight="1"/>
    <row r="9466" ht="14.25" customHeight="1"/>
    <row r="9467" ht="14.25" customHeight="1"/>
    <row r="9468" ht="14.25" customHeight="1"/>
    <row r="9469" ht="14.25" customHeight="1"/>
    <row r="9470" ht="14.25" customHeight="1"/>
    <row r="9471" ht="14.25" customHeight="1"/>
    <row r="9472" ht="14.25" customHeight="1"/>
    <row r="9473" ht="14.25" customHeight="1"/>
    <row r="9474" ht="14.25" customHeight="1"/>
    <row r="9475" ht="14.25" customHeight="1"/>
    <row r="9476" ht="14.25" customHeight="1"/>
    <row r="9477" ht="14.25" customHeight="1"/>
    <row r="9478" ht="14.25" customHeight="1"/>
    <row r="9479" ht="14.25" customHeight="1"/>
    <row r="9480" ht="14.25" customHeight="1"/>
    <row r="9481" ht="14.25" customHeight="1"/>
    <row r="9482" ht="14.25" customHeight="1"/>
    <row r="9483" ht="14.25" customHeight="1"/>
    <row r="9484" ht="14.25" customHeight="1"/>
    <row r="9485" ht="14.25" customHeight="1"/>
    <row r="9486" ht="14.25" customHeight="1"/>
    <row r="9487" ht="14.25" customHeight="1"/>
    <row r="9488" ht="14.25" customHeight="1"/>
    <row r="9489" ht="14.25" customHeight="1"/>
    <row r="9490" ht="14.25" customHeight="1"/>
    <row r="9491" ht="14.25" customHeight="1"/>
    <row r="9492" ht="14.25" customHeight="1"/>
    <row r="9493" ht="14.25" customHeight="1"/>
    <row r="9494" ht="14.25" customHeight="1"/>
    <row r="9495" ht="14.25" customHeight="1"/>
    <row r="9496" ht="14.25" customHeight="1"/>
    <row r="9497" ht="14.25" customHeight="1"/>
    <row r="9498" ht="14.25" customHeight="1"/>
    <row r="9499" ht="14.25" customHeight="1"/>
    <row r="9500" ht="14.25" customHeight="1"/>
    <row r="9501" ht="14.25" customHeight="1"/>
    <row r="9502" ht="14.25" customHeight="1"/>
    <row r="9503" ht="14.25" customHeight="1"/>
    <row r="9504" ht="14.25" customHeight="1"/>
    <row r="9505" ht="14.25" customHeight="1"/>
    <row r="9506" ht="14.25" customHeight="1"/>
    <row r="9507" ht="14.25" customHeight="1"/>
    <row r="9508" ht="14.25" customHeight="1"/>
    <row r="9509" ht="14.25" customHeight="1"/>
    <row r="9510" ht="14.25" customHeight="1"/>
    <row r="9511" ht="14.25" customHeight="1"/>
    <row r="9512" ht="14.25" customHeight="1"/>
    <row r="9513" ht="14.25" customHeight="1"/>
    <row r="9514" ht="14.25" customHeight="1"/>
    <row r="9515" ht="14.25" customHeight="1"/>
    <row r="9516" ht="14.25" customHeight="1"/>
    <row r="9517" ht="14.25" customHeight="1"/>
    <row r="9518" ht="14.25" customHeight="1"/>
    <row r="9519" ht="14.25" customHeight="1"/>
    <row r="9520" ht="14.25" customHeight="1"/>
    <row r="9521" ht="14.25" customHeight="1"/>
    <row r="9522" ht="14.25" customHeight="1"/>
    <row r="9523" ht="14.25" customHeight="1"/>
    <row r="9524" ht="14.25" customHeight="1"/>
    <row r="9525" ht="14.25" customHeight="1"/>
    <row r="9526" ht="14.25" customHeight="1"/>
    <row r="9527" ht="14.25" customHeight="1"/>
    <row r="9528" ht="14.25" customHeight="1"/>
    <row r="9529" ht="14.25" customHeight="1"/>
    <row r="9530" ht="14.25" customHeight="1"/>
    <row r="9531" ht="14.25" customHeight="1"/>
    <row r="9532" ht="14.25" customHeight="1"/>
    <row r="9533" ht="14.25" customHeight="1"/>
    <row r="9534" ht="14.25" customHeight="1"/>
    <row r="9535" ht="14.25" customHeight="1"/>
    <row r="9536" ht="14.25" customHeight="1"/>
    <row r="9537" ht="14.25" customHeight="1"/>
    <row r="9538" ht="14.25" customHeight="1"/>
    <row r="9539" ht="14.25" customHeight="1"/>
    <row r="9540" ht="14.25" customHeight="1"/>
    <row r="9541" ht="14.25" customHeight="1"/>
    <row r="9542" ht="14.25" customHeight="1"/>
    <row r="9543" ht="14.25" customHeight="1"/>
    <row r="9544" ht="14.25" customHeight="1"/>
    <row r="9545" ht="14.25" customHeight="1"/>
    <row r="9546" ht="14.25" customHeight="1"/>
    <row r="9547" ht="14.25" customHeight="1"/>
    <row r="9548" ht="14.25" customHeight="1"/>
    <row r="9549" ht="14.25" customHeight="1"/>
    <row r="9550" ht="14.25" customHeight="1"/>
    <row r="9551" ht="14.25" customHeight="1"/>
    <row r="9552" ht="14.25" customHeight="1"/>
    <row r="9553" ht="14.25" customHeight="1"/>
    <row r="9554" ht="14.25" customHeight="1"/>
    <row r="9555" ht="14.25" customHeight="1"/>
    <row r="9556" ht="14.25" customHeight="1"/>
    <row r="9557" ht="14.25" customHeight="1"/>
    <row r="9558" ht="14.25" customHeight="1"/>
    <row r="9559" ht="14.25" customHeight="1"/>
    <row r="9560" ht="14.25" customHeight="1"/>
    <row r="9561" ht="14.25" customHeight="1"/>
    <row r="9562" ht="14.25" customHeight="1"/>
    <row r="9563" ht="14.25" customHeight="1"/>
    <row r="9564" ht="14.25" customHeight="1"/>
    <row r="9565" ht="14.25" customHeight="1"/>
    <row r="9566" ht="14.25" customHeight="1"/>
    <row r="9567" ht="14.25" customHeight="1"/>
    <row r="9568" ht="14.25" customHeight="1"/>
    <row r="9569" ht="14.25" customHeight="1"/>
    <row r="9570" ht="14.25" customHeight="1"/>
    <row r="9571" ht="14.25" customHeight="1"/>
    <row r="9572" ht="14.25" customHeight="1"/>
    <row r="9573" ht="14.25" customHeight="1"/>
    <row r="9574" ht="14.25" customHeight="1"/>
    <row r="9575" ht="14.25" customHeight="1"/>
    <row r="9576" ht="14.25" customHeight="1"/>
    <row r="9577" ht="14.25" customHeight="1"/>
    <row r="9578" ht="14.25" customHeight="1"/>
    <row r="9579" ht="14.25" customHeight="1"/>
    <row r="9580" ht="14.25" customHeight="1"/>
    <row r="9581" ht="14.25" customHeight="1"/>
    <row r="9582" ht="14.25" customHeight="1"/>
    <row r="9583" ht="14.25" customHeight="1"/>
    <row r="9584" ht="14.25" customHeight="1"/>
    <row r="9585" ht="14.25" customHeight="1"/>
    <row r="9586" ht="14.25" customHeight="1"/>
    <row r="9587" ht="14.25" customHeight="1"/>
    <row r="9588" ht="14.25" customHeight="1"/>
    <row r="9589" ht="14.25" customHeight="1"/>
    <row r="9590" ht="14.25" customHeight="1"/>
    <row r="9591" ht="14.25" customHeight="1"/>
    <row r="9592" ht="14.25" customHeight="1"/>
    <row r="9593" ht="14.25" customHeight="1"/>
    <row r="9594" ht="14.25" customHeight="1"/>
    <row r="9595" ht="14.25" customHeight="1"/>
    <row r="9596" ht="14.25" customHeight="1"/>
    <row r="9597" ht="14.25" customHeight="1"/>
    <row r="9598" ht="14.25" customHeight="1"/>
    <row r="9599" ht="14.25" customHeight="1"/>
    <row r="9600" ht="14.25" customHeight="1"/>
    <row r="9601" ht="14.25" customHeight="1"/>
    <row r="9602" ht="14.25" customHeight="1"/>
    <row r="9603" ht="14.25" customHeight="1"/>
    <row r="9604" ht="14.25" customHeight="1"/>
    <row r="9605" ht="14.25" customHeight="1"/>
    <row r="9606" ht="14.25" customHeight="1"/>
    <row r="9607" ht="14.25" customHeight="1"/>
    <row r="9608" ht="14.25" customHeight="1"/>
    <row r="9609" ht="14.25" customHeight="1"/>
    <row r="9610" ht="14.25" customHeight="1"/>
    <row r="9611" ht="14.25" customHeight="1"/>
    <row r="9612" ht="14.25" customHeight="1"/>
    <row r="9613" ht="14.25" customHeight="1"/>
    <row r="9614" ht="14.25" customHeight="1"/>
    <row r="9615" ht="14.25" customHeight="1"/>
    <row r="9616" ht="14.25" customHeight="1"/>
    <row r="9617" ht="14.25" customHeight="1"/>
    <row r="9618" ht="14.25" customHeight="1"/>
    <row r="9619" ht="14.25" customHeight="1"/>
    <row r="9620" ht="14.25" customHeight="1"/>
    <row r="9621" ht="14.25" customHeight="1"/>
    <row r="9622" ht="14.25" customHeight="1"/>
    <row r="9623" ht="14.25" customHeight="1"/>
    <row r="9624" ht="14.25" customHeight="1"/>
    <row r="9625" ht="14.25" customHeight="1"/>
    <row r="9626" ht="14.25" customHeight="1"/>
    <row r="9627" ht="14.25" customHeight="1"/>
    <row r="9628" ht="14.25" customHeight="1"/>
    <row r="9629" ht="14.25" customHeight="1"/>
    <row r="9630" ht="14.25" customHeight="1"/>
    <row r="9631" ht="14.25" customHeight="1"/>
    <row r="9632" ht="14.25" customHeight="1"/>
    <row r="9633" ht="14.25" customHeight="1"/>
    <row r="9634" ht="14.25" customHeight="1"/>
    <row r="9635" ht="14.25" customHeight="1"/>
    <row r="9636" ht="14.25" customHeight="1"/>
    <row r="9637" ht="14.25" customHeight="1"/>
    <row r="9638" ht="14.25" customHeight="1"/>
    <row r="9639" ht="14.25" customHeight="1"/>
    <row r="9640" ht="14.25" customHeight="1"/>
    <row r="9641" ht="14.25" customHeight="1"/>
    <row r="9642" ht="14.25" customHeight="1"/>
    <row r="9643" ht="14.25" customHeight="1"/>
    <row r="9644" ht="14.25" customHeight="1"/>
    <row r="9645" ht="14.25" customHeight="1"/>
    <row r="9646" ht="14.25" customHeight="1"/>
    <row r="9647" ht="14.25" customHeight="1"/>
    <row r="9648" ht="14.25" customHeight="1"/>
    <row r="9649" ht="14.25" customHeight="1"/>
    <row r="9650" ht="14.25" customHeight="1"/>
    <row r="9651" ht="14.25" customHeight="1"/>
    <row r="9652" ht="14.25" customHeight="1"/>
    <row r="9653" ht="14.25" customHeight="1"/>
    <row r="9654" ht="14.25" customHeight="1"/>
    <row r="9655" ht="14.25" customHeight="1"/>
    <row r="9656" ht="14.25" customHeight="1"/>
    <row r="9657" ht="14.25" customHeight="1"/>
    <row r="9658" ht="14.25" customHeight="1"/>
    <row r="9659" ht="14.25" customHeight="1"/>
    <row r="9660" ht="14.25" customHeight="1"/>
    <row r="9661" ht="14.25" customHeight="1"/>
    <row r="9662" ht="14.25" customHeight="1"/>
    <row r="9663" ht="14.25" customHeight="1"/>
    <row r="9664" ht="14.25" customHeight="1"/>
    <row r="9665" ht="14.25" customHeight="1"/>
    <row r="9666" ht="14.25" customHeight="1"/>
    <row r="9667" ht="14.25" customHeight="1"/>
    <row r="9668" ht="14.25" customHeight="1"/>
    <row r="9669" ht="14.25" customHeight="1"/>
    <row r="9670" ht="14.25" customHeight="1"/>
    <row r="9671" ht="14.25" customHeight="1"/>
    <row r="9672" ht="14.25" customHeight="1"/>
    <row r="9673" ht="14.25" customHeight="1"/>
    <row r="9674" ht="14.25" customHeight="1"/>
    <row r="9675" ht="14.25" customHeight="1"/>
    <row r="9676" ht="14.25" customHeight="1"/>
    <row r="9677" ht="14.25" customHeight="1"/>
    <row r="9678" ht="14.25" customHeight="1"/>
    <row r="9679" ht="14.25" customHeight="1"/>
    <row r="9680" ht="14.25" customHeight="1"/>
    <row r="9681" ht="14.25" customHeight="1"/>
    <row r="9682" ht="14.25" customHeight="1"/>
    <row r="9683" ht="14.25" customHeight="1"/>
    <row r="9684" ht="14.25" customHeight="1"/>
    <row r="9685" ht="14.25" customHeight="1"/>
    <row r="9686" ht="14.25" customHeight="1"/>
    <row r="9687" ht="14.25" customHeight="1"/>
    <row r="9688" ht="14.25" customHeight="1"/>
    <row r="9689" ht="14.25" customHeight="1"/>
    <row r="9690" ht="14.25" customHeight="1"/>
    <row r="9691" ht="14.25" customHeight="1"/>
    <row r="9692" ht="14.25" customHeight="1"/>
    <row r="9693" ht="14.25" customHeight="1"/>
    <row r="9694" ht="14.25" customHeight="1"/>
    <row r="9695" ht="14.25" customHeight="1"/>
    <row r="9696" ht="14.25" customHeight="1"/>
    <row r="9697" ht="14.25" customHeight="1"/>
    <row r="9698" ht="14.25" customHeight="1"/>
    <row r="9699" ht="14.25" customHeight="1"/>
    <row r="9700" ht="14.25" customHeight="1"/>
    <row r="9701" ht="14.25" customHeight="1"/>
    <row r="9702" ht="14.25" customHeight="1"/>
    <row r="9703" ht="14.25" customHeight="1"/>
    <row r="9704" ht="14.25" customHeight="1"/>
    <row r="9705" ht="14.25" customHeight="1"/>
    <row r="9706" ht="14.25" customHeight="1"/>
    <row r="9707" ht="14.25" customHeight="1"/>
    <row r="9708" ht="14.25" customHeight="1"/>
    <row r="9709" ht="14.25" customHeight="1"/>
    <row r="9710" ht="14.25" customHeight="1"/>
    <row r="9711" ht="14.25" customHeight="1"/>
    <row r="9712" ht="14.25" customHeight="1"/>
    <row r="9713" ht="14.25" customHeight="1"/>
    <row r="9714" ht="14.25" customHeight="1"/>
    <row r="9715" ht="14.25" customHeight="1"/>
    <row r="9716" ht="14.25" customHeight="1"/>
    <row r="9717" ht="14.25" customHeight="1"/>
    <row r="9718" ht="14.25" customHeight="1"/>
    <row r="9719" ht="14.25" customHeight="1"/>
    <row r="9720" ht="14.25" customHeight="1"/>
    <row r="9721" ht="14.25" customHeight="1"/>
    <row r="9722" ht="14.25" customHeight="1"/>
    <row r="9723" ht="14.25" customHeight="1"/>
    <row r="9724" ht="14.25" customHeight="1"/>
    <row r="9725" ht="14.25" customHeight="1"/>
    <row r="9726" ht="14.25" customHeight="1"/>
    <row r="9727" ht="14.25" customHeight="1"/>
    <row r="9728" ht="14.25" customHeight="1"/>
    <row r="9729" ht="14.25" customHeight="1"/>
    <row r="9730" ht="14.25" customHeight="1"/>
    <row r="9731" ht="14.25" customHeight="1"/>
    <row r="9732" ht="14.25" customHeight="1"/>
    <row r="9733" ht="14.25" customHeight="1"/>
    <row r="9734" ht="14.25" customHeight="1"/>
    <row r="9735" ht="14.25" customHeight="1"/>
    <row r="9736" ht="14.25" customHeight="1"/>
    <row r="9737" ht="14.25" customHeight="1"/>
    <row r="9738" ht="14.25" customHeight="1"/>
    <row r="9739" ht="14.25" customHeight="1"/>
    <row r="9740" ht="14.25" customHeight="1"/>
    <row r="9741" ht="14.25" customHeight="1"/>
    <row r="9742" ht="14.25" customHeight="1"/>
    <row r="9743" ht="14.25" customHeight="1"/>
    <row r="9744" ht="14.25" customHeight="1"/>
    <row r="9745" ht="14.25" customHeight="1"/>
    <row r="9746" ht="14.25" customHeight="1"/>
    <row r="9747" ht="14.25" customHeight="1"/>
    <row r="9748" ht="14.25" customHeight="1"/>
    <row r="9749" ht="14.25" customHeight="1"/>
    <row r="9750" ht="14.25" customHeight="1"/>
    <row r="9751" ht="14.25" customHeight="1"/>
    <row r="9752" ht="14.25" customHeight="1"/>
    <row r="9753" ht="14.25" customHeight="1"/>
    <row r="9754" ht="14.25" customHeight="1"/>
    <row r="9755" ht="14.25" customHeight="1"/>
    <row r="9756" ht="14.25" customHeight="1"/>
    <row r="9757" ht="14.25" customHeight="1"/>
    <row r="9758" ht="14.25" customHeight="1"/>
    <row r="9759" ht="14.25" customHeight="1"/>
    <row r="9760" ht="14.25" customHeight="1"/>
    <row r="9761" ht="14.25" customHeight="1"/>
    <row r="9762" ht="14.25" customHeight="1"/>
    <row r="9763" ht="14.25" customHeight="1"/>
    <row r="9764" ht="14.25" customHeight="1"/>
    <row r="9765" ht="14.25" customHeight="1"/>
    <row r="9766" ht="14.25" customHeight="1"/>
    <row r="9767" ht="14.25" customHeight="1"/>
    <row r="9768" ht="14.25" customHeight="1"/>
    <row r="9769" ht="14.25" customHeight="1"/>
    <row r="9770" ht="14.25" customHeight="1"/>
    <row r="9771" ht="14.25" customHeight="1"/>
    <row r="9772" ht="14.25" customHeight="1"/>
    <row r="9773" ht="14.25" customHeight="1"/>
    <row r="9774" ht="14.25" customHeight="1"/>
    <row r="9775" ht="14.25" customHeight="1"/>
    <row r="9776" ht="14.25" customHeight="1"/>
    <row r="9777" ht="14.25" customHeight="1"/>
    <row r="9778" ht="14.25" customHeight="1"/>
    <row r="9779" ht="14.25" customHeight="1"/>
    <row r="9780" ht="14.25" customHeight="1"/>
    <row r="9781" ht="14.25" customHeight="1"/>
    <row r="9782" ht="14.25" customHeight="1"/>
    <row r="9783" ht="14.25" customHeight="1"/>
    <row r="9784" ht="14.25" customHeight="1"/>
    <row r="9785" ht="14.25" customHeight="1"/>
    <row r="9786" ht="14.25" customHeight="1"/>
    <row r="9787" ht="14.25" customHeight="1"/>
    <row r="9788" ht="14.25" customHeight="1"/>
    <row r="9789" ht="14.25" customHeight="1"/>
    <row r="9790" ht="14.25" customHeight="1"/>
    <row r="9791" ht="14.25" customHeight="1"/>
    <row r="9792" ht="14.25" customHeight="1"/>
    <row r="9793" ht="14.25" customHeight="1"/>
    <row r="9794" ht="14.25" customHeight="1"/>
    <row r="9795" ht="14.25" customHeight="1"/>
    <row r="9796" ht="14.25" customHeight="1"/>
    <row r="9797" ht="14.25" customHeight="1"/>
    <row r="9798" ht="14.25" customHeight="1"/>
    <row r="9799" ht="14.25" customHeight="1"/>
    <row r="9800" ht="14.25" customHeight="1"/>
    <row r="9801" ht="14.25" customHeight="1"/>
    <row r="9802" ht="14.25" customHeight="1"/>
    <row r="9803" ht="14.25" customHeight="1"/>
    <row r="9804" ht="14.25" customHeight="1"/>
    <row r="9805" ht="14.25" customHeight="1"/>
    <row r="9806" ht="14.25" customHeight="1"/>
    <row r="9807" ht="14.25" customHeight="1"/>
    <row r="9808" ht="14.25" customHeight="1"/>
    <row r="9809" ht="14.25" customHeight="1"/>
    <row r="9810" ht="14.25" customHeight="1"/>
    <row r="9811" ht="14.25" customHeight="1"/>
    <row r="9812" ht="14.25" customHeight="1"/>
    <row r="9813" ht="14.25" customHeight="1"/>
    <row r="9814" ht="14.25" customHeight="1"/>
    <row r="9815" ht="14.25" customHeight="1"/>
    <row r="9816" ht="14.25" customHeight="1"/>
    <row r="9817" ht="14.25" customHeight="1"/>
    <row r="9818" ht="14.25" customHeight="1"/>
    <row r="9819" ht="14.25" customHeight="1"/>
    <row r="9820" ht="14.25" customHeight="1"/>
    <row r="9821" ht="14.25" customHeight="1"/>
    <row r="9822" ht="14.25" customHeight="1"/>
    <row r="9823" ht="14.25" customHeight="1"/>
    <row r="9824" ht="14.25" customHeight="1"/>
    <row r="9825" ht="14.25" customHeight="1"/>
    <row r="9826" ht="14.25" customHeight="1"/>
    <row r="9827" ht="14.25" customHeight="1"/>
    <row r="9828" ht="14.25" customHeight="1"/>
    <row r="9829" ht="14.25" customHeight="1"/>
    <row r="9830" ht="14.25" customHeight="1"/>
    <row r="9831" ht="14.25" customHeight="1"/>
    <row r="9832" ht="14.25" customHeight="1"/>
    <row r="9833" ht="14.25" customHeight="1"/>
    <row r="9834" ht="14.25" customHeight="1"/>
    <row r="9835" ht="14.25" customHeight="1"/>
    <row r="9836" ht="14.25" customHeight="1"/>
    <row r="9837" ht="14.25" customHeight="1"/>
    <row r="9838" ht="14.25" customHeight="1"/>
    <row r="9839" ht="14.25" customHeight="1"/>
    <row r="9840" ht="14.25" customHeight="1"/>
    <row r="9841" ht="14.25" customHeight="1"/>
    <row r="9842" ht="14.25" customHeight="1"/>
    <row r="9843" ht="14.25" customHeight="1"/>
    <row r="9844" ht="14.25" customHeight="1"/>
    <row r="9845" ht="14.25" customHeight="1"/>
    <row r="9846" ht="14.25" customHeight="1"/>
    <row r="9847" ht="14.25" customHeight="1"/>
    <row r="9848" ht="14.25" customHeight="1"/>
    <row r="9849" ht="14.25" customHeight="1"/>
    <row r="9850" ht="14.25" customHeight="1"/>
    <row r="9851" ht="14.25" customHeight="1"/>
    <row r="9852" ht="14.25" customHeight="1"/>
    <row r="9853" ht="14.25" customHeight="1"/>
    <row r="9854" ht="14.25" customHeight="1"/>
    <row r="9855" ht="14.25" customHeight="1"/>
    <row r="9856" ht="14.25" customHeight="1"/>
    <row r="9857" ht="14.25" customHeight="1"/>
    <row r="9858" ht="14.25" customHeight="1"/>
    <row r="9859" ht="14.25" customHeight="1"/>
    <row r="9860" ht="14.25" customHeight="1"/>
    <row r="9861" ht="14.25" customHeight="1"/>
    <row r="9862" ht="14.25" customHeight="1"/>
    <row r="9863" ht="14.25" customHeight="1"/>
    <row r="9864" ht="14.25" customHeight="1"/>
    <row r="9865" ht="14.25" customHeight="1"/>
    <row r="9866" ht="14.25" customHeight="1"/>
    <row r="9867" ht="14.25" customHeight="1"/>
    <row r="9868" ht="14.25" customHeight="1"/>
    <row r="9869" ht="14.25" customHeight="1"/>
    <row r="9870" ht="14.25" customHeight="1"/>
    <row r="9871" ht="14.25" customHeight="1"/>
    <row r="9872" ht="14.25" customHeight="1"/>
    <row r="9873" ht="14.25" customHeight="1"/>
    <row r="9874" ht="14.25" customHeight="1"/>
    <row r="9875" ht="14.25" customHeight="1"/>
    <row r="9876" ht="14.25" customHeight="1"/>
    <row r="9877" ht="14.25" customHeight="1"/>
    <row r="9878" ht="14.25" customHeight="1"/>
    <row r="9879" ht="14.25" customHeight="1"/>
    <row r="9880" ht="14.25" customHeight="1"/>
    <row r="9881" ht="14.25" customHeight="1"/>
    <row r="9882" ht="14.25" customHeight="1"/>
    <row r="9883" ht="14.25" customHeight="1"/>
    <row r="9884" ht="14.25" customHeight="1"/>
    <row r="9885" ht="14.25" customHeight="1"/>
    <row r="9886" ht="14.25" customHeight="1"/>
    <row r="9887" ht="14.25" customHeight="1"/>
    <row r="9888" ht="14.25" customHeight="1"/>
    <row r="9889" ht="14.25" customHeight="1"/>
    <row r="9890" ht="14.25" customHeight="1"/>
    <row r="9891" ht="14.25" customHeight="1"/>
    <row r="9892" ht="14.25" customHeight="1"/>
    <row r="9893" ht="14.25" customHeight="1"/>
    <row r="9894" ht="14.25" customHeight="1"/>
    <row r="9895" ht="14.25" customHeight="1"/>
    <row r="9896" ht="14.25" customHeight="1"/>
    <row r="9897" ht="14.25" customHeight="1"/>
    <row r="9898" ht="14.25" customHeight="1"/>
    <row r="9899" ht="14.25" customHeight="1"/>
    <row r="9900" ht="14.25" customHeight="1"/>
    <row r="9901" ht="14.25" customHeight="1"/>
    <row r="9902" ht="14.25" customHeight="1"/>
    <row r="9903" ht="14.25" customHeight="1"/>
    <row r="9904" ht="14.25" customHeight="1"/>
    <row r="9905" ht="14.25" customHeight="1"/>
    <row r="9906" ht="14.25" customHeight="1"/>
    <row r="9907" ht="14.25" customHeight="1"/>
    <row r="9908" ht="14.25" customHeight="1"/>
    <row r="9909" ht="14.25" customHeight="1"/>
    <row r="9910" ht="14.25" customHeight="1"/>
    <row r="9911" ht="14.25" customHeight="1"/>
    <row r="9912" ht="14.25" customHeight="1"/>
    <row r="9913" ht="14.25" customHeight="1"/>
    <row r="9914" ht="14.25" customHeight="1"/>
    <row r="9915" ht="14.25" customHeight="1"/>
    <row r="9916" ht="14.25" customHeight="1"/>
    <row r="9917" ht="14.25" customHeight="1"/>
    <row r="9918" ht="14.25" customHeight="1"/>
    <row r="9919" ht="14.25" customHeight="1"/>
    <row r="9920" ht="14.25" customHeight="1"/>
    <row r="9921" ht="14.25" customHeight="1"/>
    <row r="9922" ht="14.25" customHeight="1"/>
    <row r="9923" ht="14.25" customHeight="1"/>
    <row r="9924" ht="14.25" customHeight="1"/>
    <row r="9925" ht="14.25" customHeight="1"/>
    <row r="9926" ht="14.25" customHeight="1"/>
    <row r="9927" ht="14.25" customHeight="1"/>
    <row r="9928" ht="14.25" customHeight="1"/>
    <row r="9929" ht="14.25" customHeight="1"/>
    <row r="9930" ht="14.25" customHeight="1"/>
    <row r="9931" ht="14.25" customHeight="1"/>
    <row r="9932" ht="14.25" customHeight="1"/>
    <row r="9933" ht="14.25" customHeight="1"/>
    <row r="9934" ht="14.25" customHeight="1"/>
    <row r="9935" ht="14.25" customHeight="1"/>
    <row r="9936" ht="14.25" customHeight="1"/>
    <row r="9937" ht="14.25" customHeight="1"/>
    <row r="9938" ht="14.25" customHeight="1"/>
    <row r="9939" ht="14.25" customHeight="1"/>
    <row r="9940" ht="14.25" customHeight="1"/>
    <row r="9941" ht="14.25" customHeight="1"/>
    <row r="9942" ht="14.25" customHeight="1"/>
    <row r="9943" ht="14.25" customHeight="1"/>
    <row r="9944" ht="14.25" customHeight="1"/>
    <row r="9945" ht="14.25" customHeight="1"/>
    <row r="9946" ht="14.25" customHeight="1"/>
    <row r="9947" ht="14.25" customHeight="1"/>
    <row r="9948" ht="14.25" customHeight="1"/>
    <row r="9949" ht="14.25" customHeight="1"/>
    <row r="9950" ht="14.25" customHeight="1"/>
    <row r="9951" ht="14.25" customHeight="1"/>
    <row r="9952" ht="14.25" customHeight="1"/>
    <row r="9953" ht="14.25" customHeight="1"/>
    <row r="9954" ht="14.25" customHeight="1"/>
    <row r="9955" ht="14.25" customHeight="1"/>
    <row r="9956" ht="14.25" customHeight="1"/>
    <row r="9957" ht="14.25" customHeight="1"/>
    <row r="9958" ht="14.25" customHeight="1"/>
    <row r="9959" ht="14.25" customHeight="1"/>
    <row r="9960" ht="14.25" customHeight="1"/>
    <row r="9961" ht="14.25" customHeight="1"/>
    <row r="9962" ht="14.25" customHeight="1"/>
    <row r="9963" ht="14.25" customHeight="1"/>
    <row r="9964" ht="14.25" customHeight="1"/>
    <row r="9965" ht="14.25" customHeight="1"/>
    <row r="9966" ht="14.25" customHeight="1"/>
    <row r="9967" ht="14.25" customHeight="1"/>
    <row r="9968" ht="14.25" customHeight="1"/>
    <row r="9969" ht="14.25" customHeight="1"/>
    <row r="9970" ht="14.25" customHeight="1"/>
    <row r="9971" ht="14.25" customHeight="1"/>
    <row r="9972" ht="14.25" customHeight="1"/>
    <row r="9973" ht="14.25" customHeight="1"/>
    <row r="9974" ht="14.25" customHeight="1"/>
    <row r="9975" ht="14.25" customHeight="1"/>
    <row r="9976" ht="14.25" customHeight="1"/>
    <row r="9977" ht="14.25" customHeight="1"/>
    <row r="9978" ht="14.25" customHeight="1"/>
    <row r="9979" ht="14.25" customHeight="1"/>
    <row r="9980" ht="14.25" customHeight="1"/>
    <row r="9981" ht="14.25" customHeight="1"/>
    <row r="9982" ht="14.25" customHeight="1"/>
    <row r="9983" ht="14.25" customHeight="1"/>
    <row r="9984" ht="14.25" customHeight="1"/>
    <row r="9985" ht="14.25" customHeight="1"/>
    <row r="9986" ht="14.25" customHeight="1"/>
    <row r="9987" ht="14.25" customHeight="1"/>
    <row r="9988" ht="14.25" customHeight="1"/>
    <row r="9989" ht="14.25" customHeight="1"/>
    <row r="9990" ht="14.25" customHeight="1"/>
    <row r="9991" ht="14.25" customHeight="1"/>
    <row r="9992" ht="14.25" customHeight="1"/>
    <row r="9993" ht="14.25" customHeight="1"/>
    <row r="9994" ht="14.25" customHeight="1"/>
    <row r="9995" ht="14.25" customHeight="1"/>
    <row r="9996" ht="14.25" customHeight="1"/>
    <row r="9997" ht="14.25" customHeight="1"/>
    <row r="9998" ht="14.25" customHeight="1"/>
    <row r="9999" ht="14.25" customHeight="1"/>
    <row r="10000" ht="14.25" customHeight="1"/>
    <row r="10001" ht="14.25" customHeight="1"/>
    <row r="10002" ht="14.25" customHeight="1"/>
    <row r="10003" ht="14.25" customHeight="1"/>
    <row r="10004" ht="14.25" customHeight="1"/>
    <row r="10005" ht="14.25" customHeight="1"/>
    <row r="10006" ht="14.25" customHeight="1"/>
    <row r="10007" ht="14.25" customHeight="1"/>
    <row r="10008" ht="14.25" customHeight="1"/>
    <row r="10009" ht="14.25" customHeight="1"/>
    <row r="10010" ht="14.25" customHeight="1"/>
    <row r="10011" ht="14.25" customHeight="1"/>
    <row r="10012" ht="14.25" customHeight="1"/>
    <row r="10013" ht="14.25" customHeight="1"/>
    <row r="10014" ht="14.25" customHeight="1"/>
    <row r="10015" ht="14.25" customHeight="1"/>
    <row r="10016" ht="14.25" customHeight="1"/>
    <row r="10017" ht="14.25" customHeight="1"/>
    <row r="10018" ht="14.25" customHeight="1"/>
    <row r="10019" ht="14.25" customHeight="1"/>
    <row r="10020" ht="14.25" customHeight="1"/>
    <row r="10021" ht="14.25" customHeight="1"/>
    <row r="10022" ht="14.25" customHeight="1"/>
    <row r="10023" ht="14.25" customHeight="1"/>
    <row r="10024" ht="14.25" customHeight="1"/>
    <row r="10025" ht="14.25" customHeight="1"/>
    <row r="10026" ht="14.25" customHeight="1"/>
    <row r="10027" ht="14.25" customHeight="1"/>
    <row r="10028" ht="14.25" customHeight="1"/>
    <row r="10029" ht="14.25" customHeight="1"/>
    <row r="10030" ht="14.25" customHeight="1"/>
    <row r="10031" ht="14.25" customHeight="1"/>
    <row r="10032" ht="14.25" customHeight="1"/>
    <row r="10033" ht="14.25" customHeight="1"/>
    <row r="10034" ht="14.25" customHeight="1"/>
    <row r="10035" ht="14.25" customHeight="1"/>
    <row r="10036" ht="14.25" customHeight="1"/>
    <row r="10037" ht="14.25" customHeight="1"/>
    <row r="10038" ht="14.25" customHeight="1"/>
    <row r="10039" ht="14.25" customHeight="1"/>
    <row r="10040" ht="14.25" customHeight="1"/>
    <row r="10041" ht="14.25" customHeight="1"/>
    <row r="10042" ht="14.25" customHeight="1"/>
    <row r="10043" ht="14.25" customHeight="1"/>
    <row r="10044" ht="14.25" customHeight="1"/>
    <row r="10045" ht="14.25" customHeight="1"/>
    <row r="10046" ht="14.25" customHeight="1"/>
    <row r="10047" ht="14.25" customHeight="1"/>
    <row r="10048" ht="14.25" customHeight="1"/>
    <row r="10049" ht="14.25" customHeight="1"/>
    <row r="10050" ht="14.25" customHeight="1"/>
    <row r="10051" ht="14.25" customHeight="1"/>
    <row r="10052" ht="14.25" customHeight="1"/>
    <row r="10053" ht="14.25" customHeight="1"/>
    <row r="10054" ht="14.25" customHeight="1"/>
    <row r="10055" ht="14.25" customHeight="1"/>
    <row r="10056" ht="14.25" customHeight="1"/>
    <row r="10057" ht="14.25" customHeight="1"/>
    <row r="10058" ht="14.25" customHeight="1"/>
    <row r="10059" ht="14.25" customHeight="1"/>
    <row r="10060" ht="14.25" customHeight="1"/>
    <row r="10061" ht="14.25" customHeight="1"/>
    <row r="10062" ht="14.25" customHeight="1"/>
    <row r="10063" ht="14.25" customHeight="1"/>
    <row r="10064" ht="14.25" customHeight="1"/>
    <row r="10065" ht="14.25" customHeight="1"/>
    <row r="10066" ht="14.25" customHeight="1"/>
    <row r="10067" ht="14.25" customHeight="1"/>
    <row r="10068" ht="14.25" customHeight="1"/>
    <row r="10069" ht="14.25" customHeight="1"/>
    <row r="10070" ht="14.25" customHeight="1"/>
    <row r="10071" ht="14.25" customHeight="1"/>
    <row r="10072" ht="14.25" customHeight="1"/>
    <row r="10073" ht="14.25" customHeight="1"/>
    <row r="10074" ht="14.25" customHeight="1"/>
    <row r="10075" ht="14.25" customHeight="1"/>
    <row r="10076" ht="14.25" customHeight="1"/>
    <row r="10077" ht="14.25" customHeight="1"/>
    <row r="10078" ht="14.25" customHeight="1"/>
    <row r="10079" ht="14.25" customHeight="1"/>
    <row r="10080" ht="14.25" customHeight="1"/>
    <row r="10081" ht="14.25" customHeight="1"/>
    <row r="10082" ht="14.25" customHeight="1"/>
    <row r="10083" ht="14.25" customHeight="1"/>
    <row r="10084" ht="14.25" customHeight="1"/>
    <row r="10085" ht="14.25" customHeight="1"/>
    <row r="10086" ht="14.25" customHeight="1"/>
    <row r="10087" ht="14.25" customHeight="1"/>
    <row r="10088" ht="14.25" customHeight="1"/>
    <row r="10089" ht="14.25" customHeight="1"/>
    <row r="10090" ht="14.25" customHeight="1"/>
    <row r="10091" ht="14.25" customHeight="1"/>
    <row r="10092" ht="14.25" customHeight="1"/>
    <row r="10093" ht="14.25" customHeight="1"/>
    <row r="10094" ht="14.25" customHeight="1"/>
    <row r="10095" ht="14.25" customHeight="1"/>
    <row r="10096" ht="14.25" customHeight="1"/>
    <row r="10097" ht="14.25" customHeight="1"/>
    <row r="10098" ht="14.25" customHeight="1"/>
    <row r="10099" ht="14.25" customHeight="1"/>
    <row r="10100" ht="14.25" customHeight="1"/>
    <row r="10101" ht="14.25" customHeight="1"/>
    <row r="10102" ht="14.25" customHeight="1"/>
    <row r="10103" ht="14.25" customHeight="1"/>
    <row r="10104" ht="14.25" customHeight="1"/>
    <row r="10105" ht="14.25" customHeight="1"/>
    <row r="10106" ht="14.25" customHeight="1"/>
    <row r="10107" ht="14.25" customHeight="1"/>
    <row r="10108" ht="14.25" customHeight="1"/>
    <row r="10109" ht="14.25" customHeight="1"/>
    <row r="10110" ht="14.25" customHeight="1"/>
    <row r="10111" ht="14.25" customHeight="1"/>
    <row r="10112" ht="14.25" customHeight="1"/>
    <row r="10113" ht="14.25" customHeight="1"/>
    <row r="10114" ht="14.25" customHeight="1"/>
    <row r="10115" ht="14.25" customHeight="1"/>
    <row r="10116" ht="14.25" customHeight="1"/>
    <row r="10117" ht="14.25" customHeight="1"/>
    <row r="10118" ht="14.25" customHeight="1"/>
    <row r="10119" ht="14.25" customHeight="1"/>
    <row r="10120" ht="14.25" customHeight="1"/>
    <row r="10121" ht="14.25" customHeight="1"/>
    <row r="10122" ht="14.25" customHeight="1"/>
    <row r="10123" ht="14.25" customHeight="1"/>
    <row r="10124" ht="14.25" customHeight="1"/>
    <row r="10125" ht="14.25" customHeight="1"/>
    <row r="10126" ht="14.25" customHeight="1"/>
    <row r="10127" ht="14.25" customHeight="1"/>
    <row r="10128" ht="14.25" customHeight="1"/>
    <row r="10129" ht="14.25" customHeight="1"/>
    <row r="10130" ht="14.25" customHeight="1"/>
    <row r="10131" ht="14.25" customHeight="1"/>
    <row r="10132" ht="14.25" customHeight="1"/>
    <row r="10133" ht="14.25" customHeight="1"/>
    <row r="10134" ht="14.25" customHeight="1"/>
    <row r="10135" ht="14.25" customHeight="1"/>
    <row r="10136" ht="14.25" customHeight="1"/>
    <row r="10137" ht="14.25" customHeight="1"/>
    <row r="10138" ht="14.25" customHeight="1"/>
    <row r="10139" ht="14.25" customHeight="1"/>
    <row r="10140" ht="14.25" customHeight="1"/>
    <row r="10141" ht="14.25" customHeight="1"/>
    <row r="10142" ht="14.25" customHeight="1"/>
    <row r="10143" ht="14.25" customHeight="1"/>
    <row r="10144" ht="14.25" customHeight="1"/>
    <row r="10145" ht="14.25" customHeight="1"/>
    <row r="10146" ht="14.25" customHeight="1"/>
    <row r="10147" ht="14.25" customHeight="1"/>
    <row r="10148" ht="14.25" customHeight="1"/>
    <row r="10149" ht="14.25" customHeight="1"/>
    <row r="10150" ht="14.25" customHeight="1"/>
    <row r="10151" ht="14.25" customHeight="1"/>
    <row r="10152" ht="14.25" customHeight="1"/>
    <row r="10153" ht="14.25" customHeight="1"/>
    <row r="10154" ht="14.25" customHeight="1"/>
    <row r="10155" ht="14.25" customHeight="1"/>
    <row r="10156" ht="14.25" customHeight="1"/>
    <row r="10157" ht="14.25" customHeight="1"/>
    <row r="10158" ht="14.25" customHeight="1"/>
    <row r="10159" ht="14.25" customHeight="1"/>
    <row r="10160" ht="14.25" customHeight="1"/>
    <row r="10161" ht="14.25" customHeight="1"/>
    <row r="10162" ht="14.25" customHeight="1"/>
    <row r="10163" ht="14.25" customHeight="1"/>
    <row r="10164" ht="14.25" customHeight="1"/>
    <row r="10165" ht="14.25" customHeight="1"/>
    <row r="10166" ht="14.25" customHeight="1"/>
    <row r="10167" ht="14.25" customHeight="1"/>
    <row r="10168" ht="14.25" customHeight="1"/>
    <row r="10169" ht="14.25" customHeight="1"/>
    <row r="10170" ht="14.25" customHeight="1"/>
    <row r="10171" ht="14.25" customHeight="1"/>
    <row r="10172" ht="14.25" customHeight="1"/>
    <row r="10173" ht="14.25" customHeight="1"/>
    <row r="10174" ht="14.25" customHeight="1"/>
    <row r="10175" ht="14.25" customHeight="1"/>
    <row r="10176" ht="14.25" customHeight="1"/>
    <row r="10177" ht="14.25" customHeight="1"/>
    <row r="10178" ht="14.25" customHeight="1"/>
    <row r="10179" ht="14.25" customHeight="1"/>
    <row r="10180" ht="14.25" customHeight="1"/>
    <row r="10181" ht="14.25" customHeight="1"/>
    <row r="10182" ht="14.25" customHeight="1"/>
    <row r="10183" ht="14.25" customHeight="1"/>
    <row r="10184" ht="14.25" customHeight="1"/>
    <row r="10185" ht="14.25" customHeight="1"/>
    <row r="10186" ht="14.25" customHeight="1"/>
    <row r="10187" ht="14.25" customHeight="1"/>
    <row r="10188" ht="14.25" customHeight="1"/>
    <row r="10189" ht="14.25" customHeight="1"/>
    <row r="10190" ht="14.25" customHeight="1"/>
    <row r="10191" ht="14.25" customHeight="1"/>
    <row r="10192" ht="14.25" customHeight="1"/>
    <row r="10193" ht="14.25" customHeight="1"/>
    <row r="10194" ht="14.25" customHeight="1"/>
    <row r="10195" ht="14.25" customHeight="1"/>
    <row r="10196" ht="14.25" customHeight="1"/>
    <row r="10197" ht="14.25" customHeight="1"/>
    <row r="10198" ht="14.25" customHeight="1"/>
    <row r="10199" ht="14.25" customHeight="1"/>
    <row r="10200" ht="14.25" customHeight="1"/>
    <row r="10201" ht="14.25" customHeight="1"/>
    <row r="10202" ht="14.25" customHeight="1"/>
    <row r="10203" ht="14.25" customHeight="1"/>
    <row r="10204" ht="14.25" customHeight="1"/>
    <row r="10205" ht="14.25" customHeight="1"/>
    <row r="10206" ht="14.25" customHeight="1"/>
    <row r="10207" ht="14.25" customHeight="1"/>
    <row r="10208" ht="14.25" customHeight="1"/>
    <row r="10209" ht="14.25" customHeight="1"/>
    <row r="10210" ht="14.25" customHeight="1"/>
    <row r="10211" ht="14.25" customHeight="1"/>
    <row r="10212" ht="14.25" customHeight="1"/>
    <row r="10213" ht="14.25" customHeight="1"/>
    <row r="10214" ht="14.25" customHeight="1"/>
    <row r="10215" ht="14.25" customHeight="1"/>
    <row r="10216" ht="14.25" customHeight="1"/>
    <row r="10217" ht="14.25" customHeight="1"/>
    <row r="10218" ht="14.25" customHeight="1"/>
    <row r="10219" ht="14.25" customHeight="1"/>
    <row r="10220" ht="14.25" customHeight="1"/>
    <row r="10221" ht="14.25" customHeight="1"/>
    <row r="10222" ht="14.25" customHeight="1"/>
    <row r="10223" ht="14.25" customHeight="1"/>
    <row r="10224" ht="14.25" customHeight="1"/>
    <row r="10225" ht="14.25" customHeight="1"/>
    <row r="10226" ht="14.25" customHeight="1"/>
    <row r="10227" ht="14.25" customHeight="1"/>
    <row r="10228" ht="14.25" customHeight="1"/>
    <row r="10229" ht="14.25" customHeight="1"/>
    <row r="10230" ht="14.25" customHeight="1"/>
    <row r="10231" ht="14.25" customHeight="1"/>
    <row r="10232" ht="14.25" customHeight="1"/>
    <row r="10233" ht="14.25" customHeight="1"/>
    <row r="10234" ht="14.25" customHeight="1"/>
    <row r="10235" ht="14.25" customHeight="1"/>
    <row r="10236" ht="14.25" customHeight="1"/>
    <row r="10237" ht="14.25" customHeight="1"/>
    <row r="10238" ht="14.25" customHeight="1"/>
    <row r="10239" ht="14.25" customHeight="1"/>
    <row r="10240" ht="14.25" customHeight="1"/>
    <row r="10241" ht="14.25" customHeight="1"/>
    <row r="10242" ht="14.25" customHeight="1"/>
    <row r="10243" ht="14.25" customHeight="1"/>
    <row r="10244" ht="14.25" customHeight="1"/>
    <row r="10245" ht="14.25" customHeight="1"/>
    <row r="10246" ht="14.25" customHeight="1"/>
    <row r="10247" ht="14.25" customHeight="1"/>
    <row r="10248" ht="14.25" customHeight="1"/>
    <row r="10249" ht="14.25" customHeight="1"/>
    <row r="10250" ht="14.25" customHeight="1"/>
    <row r="10251" ht="14.25" customHeight="1"/>
    <row r="10252" ht="14.25" customHeight="1"/>
    <row r="10253" ht="14.25" customHeight="1"/>
    <row r="10254" ht="14.25" customHeight="1"/>
    <row r="10255" ht="14.25" customHeight="1"/>
    <row r="10256" ht="14.25" customHeight="1"/>
    <row r="10257" ht="14.25" customHeight="1"/>
    <row r="10258" ht="14.25" customHeight="1"/>
    <row r="10259" ht="14.25" customHeight="1"/>
    <row r="10260" ht="14.25" customHeight="1"/>
    <row r="10261" ht="14.25" customHeight="1"/>
    <row r="10262" ht="14.25" customHeight="1"/>
    <row r="10263" ht="14.25" customHeight="1"/>
    <row r="10264" ht="14.25" customHeight="1"/>
    <row r="10265" ht="14.25" customHeight="1"/>
    <row r="10266" ht="14.25" customHeight="1"/>
    <row r="10267" ht="14.25" customHeight="1"/>
    <row r="10268" ht="14.25" customHeight="1"/>
    <row r="10269" ht="14.25" customHeight="1"/>
    <row r="10270" ht="14.25" customHeight="1"/>
    <row r="10271" ht="14.25" customHeight="1"/>
    <row r="10272" ht="14.25" customHeight="1"/>
    <row r="10273" ht="14.25" customHeight="1"/>
    <row r="10274" ht="14.25" customHeight="1"/>
    <row r="10275" ht="14.25" customHeight="1"/>
    <row r="10276" ht="14.25" customHeight="1"/>
    <row r="10277" ht="14.25" customHeight="1"/>
    <row r="10278" ht="14.25" customHeight="1"/>
    <row r="10279" ht="14.25" customHeight="1"/>
    <row r="10280" ht="14.25" customHeight="1"/>
    <row r="10281" ht="14.25" customHeight="1"/>
    <row r="10282" ht="14.25" customHeight="1"/>
    <row r="10283" ht="14.25" customHeight="1"/>
    <row r="10284" ht="14.25" customHeight="1"/>
    <row r="10285" ht="14.25" customHeight="1"/>
    <row r="10286" ht="14.25" customHeight="1"/>
    <row r="10287" ht="14.25" customHeight="1"/>
    <row r="10288" ht="14.25" customHeight="1"/>
    <row r="10289" ht="14.25" customHeight="1"/>
    <row r="10290" ht="14.25" customHeight="1"/>
    <row r="10291" ht="14.25" customHeight="1"/>
    <row r="10292" ht="14.25" customHeight="1"/>
    <row r="10293" ht="14.25" customHeight="1"/>
    <row r="10294" ht="14.25" customHeight="1"/>
    <row r="10295" ht="14.25" customHeight="1"/>
    <row r="10296" ht="14.25" customHeight="1"/>
    <row r="10297" ht="14.25" customHeight="1"/>
    <row r="10298" ht="14.25" customHeight="1"/>
    <row r="10299" ht="14.25" customHeight="1"/>
    <row r="10300" ht="14.25" customHeight="1"/>
    <row r="10301" ht="14.25" customHeight="1"/>
    <row r="10302" ht="14.25" customHeight="1"/>
    <row r="10303" ht="14.25" customHeight="1"/>
    <row r="10304" ht="14.25" customHeight="1"/>
    <row r="10305" ht="14.25" customHeight="1"/>
    <row r="10306" ht="14.25" customHeight="1"/>
    <row r="10307" ht="14.25" customHeight="1"/>
    <row r="10308" ht="14.25" customHeight="1"/>
    <row r="10309" ht="14.25" customHeight="1"/>
    <row r="10310" ht="14.25" customHeight="1"/>
    <row r="10311" ht="14.25" customHeight="1"/>
    <row r="10312" ht="14.25" customHeight="1"/>
    <row r="10313" ht="14.25" customHeight="1"/>
    <row r="10314" ht="14.25" customHeight="1"/>
    <row r="10315" ht="14.25" customHeight="1"/>
    <row r="10316" ht="14.25" customHeight="1"/>
    <row r="10317" ht="14.25" customHeight="1"/>
    <row r="10318" ht="14.25" customHeight="1"/>
    <row r="10319" ht="14.25" customHeight="1"/>
    <row r="10320" ht="14.25" customHeight="1"/>
    <row r="10321" ht="14.25" customHeight="1"/>
    <row r="10322" ht="14.25" customHeight="1"/>
    <row r="10323" ht="14.25" customHeight="1"/>
    <row r="10324" ht="14.25" customHeight="1"/>
    <row r="10325" ht="14.25" customHeight="1"/>
    <row r="10326" ht="14.25" customHeight="1"/>
    <row r="10327" ht="14.25" customHeight="1"/>
    <row r="10328" ht="14.25" customHeight="1"/>
    <row r="10329" ht="14.25" customHeight="1"/>
    <row r="10330" ht="14.25" customHeight="1"/>
    <row r="10331" ht="14.25" customHeight="1"/>
    <row r="10332" ht="14.25" customHeight="1"/>
    <row r="10333" ht="14.25" customHeight="1"/>
    <row r="10334" ht="14.25" customHeight="1"/>
    <row r="10335" ht="14.25" customHeight="1"/>
    <row r="10336" ht="14.25" customHeight="1"/>
    <row r="10337" ht="14.25" customHeight="1"/>
    <row r="10338" ht="14.25" customHeight="1"/>
    <row r="10339" ht="14.25" customHeight="1"/>
    <row r="10340" ht="14.25" customHeight="1"/>
    <row r="10341" ht="14.25" customHeight="1"/>
    <row r="10342" ht="14.25" customHeight="1"/>
    <row r="10343" ht="14.25" customHeight="1"/>
    <row r="10344" ht="14.25" customHeight="1"/>
    <row r="10345" ht="14.25" customHeight="1"/>
    <row r="10346" ht="14.25" customHeight="1"/>
    <row r="10347" ht="14.25" customHeight="1"/>
    <row r="10348" ht="14.25" customHeight="1"/>
    <row r="10349" ht="14.25" customHeight="1"/>
    <row r="10350" ht="14.25" customHeight="1"/>
    <row r="10351" ht="14.25" customHeight="1"/>
    <row r="10352" ht="14.25" customHeight="1"/>
    <row r="10353" ht="14.25" customHeight="1"/>
    <row r="10354" ht="14.25" customHeight="1"/>
    <row r="10355" ht="14.25" customHeight="1"/>
    <row r="10356" ht="14.25" customHeight="1"/>
    <row r="10357" ht="14.25" customHeight="1"/>
    <row r="10358" ht="14.25" customHeight="1"/>
    <row r="10359" ht="14.25" customHeight="1"/>
    <row r="10360" ht="14.25" customHeight="1"/>
    <row r="10361" ht="14.25" customHeight="1"/>
    <row r="10362" ht="14.25" customHeight="1"/>
    <row r="10363" ht="14.25" customHeight="1"/>
    <row r="10364" ht="14.25" customHeight="1"/>
    <row r="10365" ht="14.25" customHeight="1"/>
    <row r="10366" ht="14.25" customHeight="1"/>
    <row r="10367" ht="14.25" customHeight="1"/>
    <row r="10368" ht="14.25" customHeight="1"/>
    <row r="10369" ht="14.25" customHeight="1"/>
    <row r="10370" ht="14.25" customHeight="1"/>
    <row r="10371" ht="14.25" customHeight="1"/>
    <row r="10372" ht="14.25" customHeight="1"/>
    <row r="10373" ht="14.25" customHeight="1"/>
    <row r="10374" ht="14.25" customHeight="1"/>
    <row r="10375" ht="14.25" customHeight="1"/>
    <row r="10376" ht="14.25" customHeight="1"/>
    <row r="10377" ht="14.25" customHeight="1"/>
    <row r="10378" ht="14.25" customHeight="1"/>
    <row r="10379" ht="14.25" customHeight="1"/>
    <row r="10380" ht="14.25" customHeight="1"/>
    <row r="10381" ht="14.25" customHeight="1"/>
    <row r="10382" ht="14.25" customHeight="1"/>
    <row r="10383" ht="14.25" customHeight="1"/>
    <row r="10384" ht="14.25" customHeight="1"/>
    <row r="10385" ht="14.25" customHeight="1"/>
    <row r="10386" ht="14.25" customHeight="1"/>
    <row r="10387" ht="14.25" customHeight="1"/>
    <row r="10388" ht="14.25" customHeight="1"/>
    <row r="10389" ht="14.25" customHeight="1"/>
    <row r="10390" ht="14.25" customHeight="1"/>
    <row r="10391" ht="14.25" customHeight="1"/>
    <row r="10392" ht="14.25" customHeight="1"/>
    <row r="10393" ht="14.25" customHeight="1"/>
    <row r="10394" ht="14.25" customHeight="1"/>
    <row r="10395" ht="14.25" customHeight="1"/>
    <row r="10396" ht="14.25" customHeight="1"/>
    <row r="10397" ht="14.25" customHeight="1"/>
    <row r="10398" ht="14.25" customHeight="1"/>
    <row r="10399" ht="14.25" customHeight="1"/>
    <row r="10400" ht="14.25" customHeight="1"/>
    <row r="10401" ht="14.25" customHeight="1"/>
    <row r="10402" ht="14.25" customHeight="1"/>
    <row r="10403" ht="14.25" customHeight="1"/>
    <row r="10404" ht="14.25" customHeight="1"/>
    <row r="10405" ht="14.25" customHeight="1"/>
    <row r="10406" ht="14.25" customHeight="1"/>
    <row r="10407" ht="14.25" customHeight="1"/>
    <row r="10408" ht="14.25" customHeight="1"/>
    <row r="10409" ht="14.25" customHeight="1"/>
    <row r="10410" ht="14.25" customHeight="1"/>
    <row r="10411" ht="14.25" customHeight="1"/>
    <row r="10412" ht="14.25" customHeight="1"/>
    <row r="10413" ht="14.25" customHeight="1"/>
    <row r="10414" ht="14.25" customHeight="1"/>
    <row r="10415" ht="14.25" customHeight="1"/>
    <row r="10416" ht="14.25" customHeight="1"/>
    <row r="10417" ht="14.25" customHeight="1"/>
    <row r="10418" ht="14.25" customHeight="1"/>
    <row r="10419" ht="14.25" customHeight="1"/>
    <row r="10420" ht="14.25" customHeight="1"/>
    <row r="10421" ht="14.25" customHeight="1"/>
    <row r="10422" ht="14.25" customHeight="1"/>
    <row r="10423" ht="14.25" customHeight="1"/>
    <row r="10424" ht="14.25" customHeight="1"/>
    <row r="10425" ht="14.25" customHeight="1"/>
    <row r="10426" ht="14.25" customHeight="1"/>
    <row r="10427" ht="14.25" customHeight="1"/>
    <row r="10428" ht="14.25" customHeight="1"/>
    <row r="10429" ht="14.25" customHeight="1"/>
    <row r="10430" ht="14.25" customHeight="1"/>
    <row r="10431" ht="14.25" customHeight="1"/>
    <row r="10432" ht="14.25" customHeight="1"/>
    <row r="10433" ht="14.25" customHeight="1"/>
    <row r="10434" ht="14.25" customHeight="1"/>
    <row r="10435" ht="14.25" customHeight="1"/>
    <row r="10436" ht="14.25" customHeight="1"/>
    <row r="10437" ht="14.25" customHeight="1"/>
    <row r="10438" ht="14.25" customHeight="1"/>
    <row r="10439" ht="14.25" customHeight="1"/>
    <row r="10440" ht="14.25" customHeight="1"/>
    <row r="10441" ht="14.25" customHeight="1"/>
    <row r="10442" ht="14.25" customHeight="1"/>
    <row r="10443" ht="14.25" customHeight="1"/>
    <row r="10444" ht="14.25" customHeight="1"/>
    <row r="10445" ht="14.25" customHeight="1"/>
    <row r="10446" ht="14.25" customHeight="1"/>
    <row r="10447" ht="14.25" customHeight="1"/>
    <row r="10448" ht="14.25" customHeight="1"/>
    <row r="10449" ht="14.25" customHeight="1"/>
    <row r="10450" ht="14.25" customHeight="1"/>
    <row r="10451" ht="14.25" customHeight="1"/>
    <row r="10452" ht="14.25" customHeight="1"/>
    <row r="10453" ht="14.25" customHeight="1"/>
    <row r="10454" ht="14.25" customHeight="1"/>
    <row r="10455" ht="14.25" customHeight="1"/>
    <row r="10456" ht="14.25" customHeight="1"/>
    <row r="10457" ht="14.25" customHeight="1"/>
    <row r="10458" ht="14.25" customHeight="1"/>
    <row r="10459" ht="14.25" customHeight="1"/>
    <row r="10460" ht="14.25" customHeight="1"/>
    <row r="10461" ht="14.25" customHeight="1"/>
    <row r="10462" ht="14.25" customHeight="1"/>
    <row r="10463" ht="14.25" customHeight="1"/>
    <row r="10464" ht="14.25" customHeight="1"/>
    <row r="10465" ht="14.25" customHeight="1"/>
    <row r="10466" ht="14.25" customHeight="1"/>
    <row r="10467" ht="14.25" customHeight="1"/>
    <row r="10468" ht="14.25" customHeight="1"/>
    <row r="10469" ht="14.25" customHeight="1"/>
    <row r="10470" ht="14.25" customHeight="1"/>
    <row r="10471" ht="14.25" customHeight="1"/>
    <row r="10472" ht="14.25" customHeight="1"/>
    <row r="10473" ht="14.25" customHeight="1"/>
    <row r="10474" ht="14.25" customHeight="1"/>
    <row r="10475" ht="14.25" customHeight="1"/>
    <row r="10476" ht="14.25" customHeight="1"/>
    <row r="10477" ht="14.25" customHeight="1"/>
    <row r="10478" ht="14.25" customHeight="1"/>
    <row r="10479" ht="14.25" customHeight="1"/>
    <row r="10480" ht="14.25" customHeight="1"/>
    <row r="10481" ht="14.25" customHeight="1"/>
    <row r="10482" ht="14.25" customHeight="1"/>
    <row r="10483" ht="14.25" customHeight="1"/>
    <row r="10484" ht="14.25" customHeight="1"/>
    <row r="10485" ht="14.25" customHeight="1"/>
    <row r="10486" ht="14.25" customHeight="1"/>
    <row r="10487" ht="14.25" customHeight="1"/>
    <row r="10488" ht="14.25" customHeight="1"/>
    <row r="10489" ht="14.25" customHeight="1"/>
    <row r="10490" ht="14.25" customHeight="1"/>
    <row r="10491" ht="14.25" customHeight="1"/>
    <row r="10492" ht="14.25" customHeight="1"/>
    <row r="10493" ht="14.25" customHeight="1"/>
    <row r="10494" ht="14.25" customHeight="1"/>
    <row r="10495" ht="14.25" customHeight="1"/>
    <row r="10496" ht="14.25" customHeight="1"/>
    <row r="10497" ht="14.25" customHeight="1"/>
    <row r="10498" ht="14.25" customHeight="1"/>
    <row r="10499" ht="14.25" customHeight="1"/>
    <row r="10500" ht="14.25" customHeight="1"/>
    <row r="10501" ht="14.25" customHeight="1"/>
    <row r="10502" ht="14.25" customHeight="1"/>
    <row r="10503" ht="14.25" customHeight="1"/>
    <row r="10504" ht="14.25" customHeight="1"/>
    <row r="10505" ht="14.25" customHeight="1"/>
    <row r="10506" ht="14.25" customHeight="1"/>
    <row r="10507" ht="14.25" customHeight="1"/>
    <row r="10508" ht="14.25" customHeight="1"/>
    <row r="10509" ht="14.25" customHeight="1"/>
    <row r="10510" ht="14.25" customHeight="1"/>
    <row r="10511" ht="14.25" customHeight="1"/>
    <row r="10512" ht="14.25" customHeight="1"/>
    <row r="10513" ht="14.25" customHeight="1"/>
    <row r="10514" ht="14.25" customHeight="1"/>
    <row r="10515" ht="14.25" customHeight="1"/>
    <row r="10516" ht="14.25" customHeight="1"/>
    <row r="10517" ht="14.25" customHeight="1"/>
    <row r="10518" ht="14.25" customHeight="1"/>
    <row r="10519" ht="14.25" customHeight="1"/>
    <row r="10520" ht="14.25" customHeight="1"/>
    <row r="10521" ht="14.25" customHeight="1"/>
    <row r="10522" ht="14.25" customHeight="1"/>
    <row r="10523" ht="14.25" customHeight="1"/>
    <row r="10524" ht="14.25" customHeight="1"/>
    <row r="10525" ht="14.25" customHeight="1"/>
    <row r="10526" ht="14.25" customHeight="1"/>
    <row r="10527" ht="14.25" customHeight="1"/>
    <row r="10528" ht="14.25" customHeight="1"/>
    <row r="10529" ht="14.25" customHeight="1"/>
    <row r="10530" ht="14.25" customHeight="1"/>
    <row r="10531" ht="14.25" customHeight="1"/>
    <row r="10532" ht="14.25" customHeight="1"/>
    <row r="10533" ht="14.25" customHeight="1"/>
    <row r="10534" ht="14.25" customHeight="1"/>
    <row r="10535" ht="14.25" customHeight="1"/>
    <row r="10536" ht="14.25" customHeight="1"/>
    <row r="10537" ht="14.25" customHeight="1"/>
    <row r="10538" ht="14.25" customHeight="1"/>
    <row r="10539" ht="14.25" customHeight="1"/>
    <row r="10540" ht="14.25" customHeight="1"/>
    <row r="10541" ht="14.25" customHeight="1"/>
    <row r="10542" ht="14.25" customHeight="1"/>
    <row r="10543" ht="14.25" customHeight="1"/>
    <row r="10544" ht="14.25" customHeight="1"/>
    <row r="10545" ht="14.25" customHeight="1"/>
    <row r="10546" ht="14.25" customHeight="1"/>
    <row r="10547" ht="14.25" customHeight="1"/>
    <row r="10548" ht="14.25" customHeight="1"/>
    <row r="10549" ht="14.25" customHeight="1"/>
    <row r="10550" ht="14.25" customHeight="1"/>
    <row r="10551" ht="14.25" customHeight="1"/>
    <row r="10552" ht="14.25" customHeight="1"/>
    <row r="10553" ht="14.25" customHeight="1"/>
    <row r="10554" ht="14.25" customHeight="1"/>
    <row r="10555" ht="14.25" customHeight="1"/>
    <row r="10556" ht="14.25" customHeight="1"/>
    <row r="10557" ht="14.25" customHeight="1"/>
    <row r="10558" ht="14.25" customHeight="1"/>
    <row r="10559" ht="14.25" customHeight="1"/>
    <row r="10560" ht="14.25" customHeight="1"/>
    <row r="10561" ht="14.25" customHeight="1"/>
    <row r="10562" ht="14.25" customHeight="1"/>
    <row r="10563" ht="14.25" customHeight="1"/>
    <row r="10564" ht="14.25" customHeight="1"/>
    <row r="10565" ht="14.25" customHeight="1"/>
    <row r="10566" ht="14.25" customHeight="1"/>
    <row r="10567" ht="14.25" customHeight="1"/>
    <row r="10568" ht="14.25" customHeight="1"/>
    <row r="10569" ht="14.25" customHeight="1"/>
    <row r="10570" ht="14.25" customHeight="1"/>
    <row r="10571" ht="14.25" customHeight="1"/>
    <row r="10572" ht="14.25" customHeight="1"/>
    <row r="10573" ht="14.25" customHeight="1"/>
    <row r="10574" ht="14.25" customHeight="1"/>
    <row r="10575" ht="14.25" customHeight="1"/>
    <row r="10576" ht="14.25" customHeight="1"/>
    <row r="10577" ht="14.25" customHeight="1"/>
    <row r="10578" ht="14.25" customHeight="1"/>
    <row r="10579" ht="14.25" customHeight="1"/>
    <row r="10580" ht="14.25" customHeight="1"/>
    <row r="10581" ht="14.25" customHeight="1"/>
    <row r="10582" ht="14.25" customHeight="1"/>
    <row r="10583" ht="14.25" customHeight="1"/>
    <row r="10584" ht="14.25" customHeight="1"/>
    <row r="10585" ht="14.25" customHeight="1"/>
    <row r="10586" ht="14.25" customHeight="1"/>
    <row r="10587" ht="14.25" customHeight="1"/>
    <row r="10588" ht="14.25" customHeight="1"/>
    <row r="10589" ht="14.25" customHeight="1"/>
    <row r="10590" ht="14.25" customHeight="1"/>
    <row r="10591" ht="14.25" customHeight="1"/>
    <row r="10592" ht="14.25" customHeight="1"/>
    <row r="10593" ht="14.25" customHeight="1"/>
    <row r="10594" ht="14.25" customHeight="1"/>
    <row r="10595" ht="14.25" customHeight="1"/>
    <row r="10596" ht="14.25" customHeight="1"/>
    <row r="10597" ht="14.25" customHeight="1"/>
    <row r="10598" ht="14.25" customHeight="1"/>
    <row r="10599" ht="14.25" customHeight="1"/>
    <row r="10600" ht="14.25" customHeight="1"/>
    <row r="10601" ht="14.25" customHeight="1"/>
    <row r="10602" ht="14.25" customHeight="1"/>
    <row r="10603" ht="14.25" customHeight="1"/>
    <row r="10604" ht="14.25" customHeight="1"/>
    <row r="10605" ht="14.25" customHeight="1"/>
    <row r="10606" ht="14.25" customHeight="1"/>
    <row r="10607" ht="14.25" customHeight="1"/>
    <row r="10608" ht="14.25" customHeight="1"/>
    <row r="10609" ht="14.25" customHeight="1"/>
    <row r="10610" ht="14.25" customHeight="1"/>
    <row r="10611" ht="14.25" customHeight="1"/>
    <row r="10612" ht="14.25" customHeight="1"/>
    <row r="10613" ht="14.25" customHeight="1"/>
    <row r="10614" ht="14.25" customHeight="1"/>
    <row r="10615" ht="14.25" customHeight="1"/>
    <row r="10616" ht="14.25" customHeight="1"/>
    <row r="10617" ht="14.25" customHeight="1"/>
    <row r="10618" ht="14.25" customHeight="1"/>
    <row r="10619" ht="14.25" customHeight="1"/>
    <row r="10620" ht="14.25" customHeight="1"/>
    <row r="10621" ht="14.25" customHeight="1"/>
    <row r="10622" ht="14.25" customHeight="1"/>
    <row r="10623" ht="14.25" customHeight="1"/>
    <row r="10624" ht="14.25" customHeight="1"/>
    <row r="10625" ht="14.25" customHeight="1"/>
    <row r="10626" ht="14.25" customHeight="1"/>
    <row r="10627" ht="14.25" customHeight="1"/>
    <row r="10628" ht="14.25" customHeight="1"/>
    <row r="10629" ht="14.25" customHeight="1"/>
    <row r="10630" ht="14.25" customHeight="1"/>
    <row r="10631" ht="14.25" customHeight="1"/>
    <row r="10632" ht="14.25" customHeight="1"/>
    <row r="10633" ht="14.25" customHeight="1"/>
    <row r="10634" ht="14.25" customHeight="1"/>
    <row r="10635" ht="14.25" customHeight="1"/>
    <row r="10636" ht="14.25" customHeight="1"/>
    <row r="10637" ht="14.25" customHeight="1"/>
    <row r="10638" ht="14.25" customHeight="1"/>
    <row r="10639" ht="14.25" customHeight="1"/>
    <row r="10640" ht="14.25" customHeight="1"/>
    <row r="10641" ht="14.25" customHeight="1"/>
    <row r="10642" ht="14.25" customHeight="1"/>
    <row r="10643" ht="14.25" customHeight="1"/>
    <row r="10644" ht="14.25" customHeight="1"/>
    <row r="10645" ht="14.25" customHeight="1"/>
    <row r="10646" ht="14.25" customHeight="1"/>
    <row r="10647" ht="14.25" customHeight="1"/>
    <row r="10648" ht="14.25" customHeight="1"/>
    <row r="10649" ht="14.25" customHeight="1"/>
    <row r="10650" ht="14.25" customHeight="1"/>
    <row r="10651" ht="14.25" customHeight="1"/>
    <row r="10652" ht="14.25" customHeight="1"/>
    <row r="10653" ht="14.25" customHeight="1"/>
    <row r="10654" ht="14.25" customHeight="1"/>
    <row r="10655" ht="14.25" customHeight="1"/>
    <row r="10656" ht="14.25" customHeight="1"/>
    <row r="10657" ht="14.25" customHeight="1"/>
    <row r="10658" ht="14.25" customHeight="1"/>
    <row r="10659" ht="14.25" customHeight="1"/>
    <row r="10660" ht="14.25" customHeight="1"/>
    <row r="10661" ht="14.25" customHeight="1"/>
    <row r="10662" ht="14.25" customHeight="1"/>
    <row r="10663" ht="14.25" customHeight="1"/>
    <row r="10664" ht="14.25" customHeight="1"/>
    <row r="10665" ht="14.25" customHeight="1"/>
    <row r="10666" ht="14.25" customHeight="1"/>
    <row r="10667" ht="14.25" customHeight="1"/>
    <row r="10668" ht="14.25" customHeight="1"/>
    <row r="10669" ht="14.25" customHeight="1"/>
    <row r="10670" ht="14.25" customHeight="1"/>
    <row r="10671" ht="14.25" customHeight="1"/>
    <row r="10672" ht="14.25" customHeight="1"/>
    <row r="10673" ht="14.25" customHeight="1"/>
    <row r="10674" ht="14.25" customHeight="1"/>
    <row r="10675" ht="14.25" customHeight="1"/>
    <row r="10676" ht="14.25" customHeight="1"/>
    <row r="10677" ht="14.25" customHeight="1"/>
    <row r="10678" ht="14.25" customHeight="1"/>
    <row r="10679" ht="14.25" customHeight="1"/>
    <row r="10680" ht="14.25" customHeight="1"/>
    <row r="10681" ht="14.25" customHeight="1"/>
    <row r="10682" ht="14.25" customHeight="1"/>
    <row r="10683" ht="14.25" customHeight="1"/>
    <row r="10684" ht="14.25" customHeight="1"/>
    <row r="10685" ht="14.25" customHeight="1"/>
    <row r="10686" ht="14.25" customHeight="1"/>
    <row r="10687" ht="14.25" customHeight="1"/>
    <row r="10688" ht="14.25" customHeight="1"/>
    <row r="10689" ht="14.25" customHeight="1"/>
    <row r="10690" ht="14.25" customHeight="1"/>
    <row r="10691" ht="14.25" customHeight="1"/>
    <row r="10692" ht="14.25" customHeight="1"/>
    <row r="10693" ht="14.25" customHeight="1"/>
    <row r="10694" ht="14.25" customHeight="1"/>
    <row r="10695" ht="14.25" customHeight="1"/>
    <row r="10696" ht="14.25" customHeight="1"/>
    <row r="10697" ht="14.25" customHeight="1"/>
    <row r="10698" ht="14.25" customHeight="1"/>
    <row r="10699" ht="14.25" customHeight="1"/>
    <row r="10700" ht="14.25" customHeight="1"/>
    <row r="10701" ht="14.25" customHeight="1"/>
    <row r="10702" ht="14.25" customHeight="1"/>
    <row r="10703" ht="14.25" customHeight="1"/>
    <row r="10704" ht="14.25" customHeight="1"/>
    <row r="10705" ht="14.25" customHeight="1"/>
    <row r="10706" ht="14.25" customHeight="1"/>
    <row r="10707" ht="14.25" customHeight="1"/>
    <row r="10708" ht="14.25" customHeight="1"/>
    <row r="10709" ht="14.25" customHeight="1"/>
    <row r="10710" ht="14.25" customHeight="1"/>
    <row r="10711" ht="14.25" customHeight="1"/>
    <row r="10712" ht="14.25" customHeight="1"/>
    <row r="10713" ht="14.25" customHeight="1"/>
    <row r="10714" ht="14.25" customHeight="1"/>
    <row r="10715" ht="14.25" customHeight="1"/>
    <row r="10716" ht="14.25" customHeight="1"/>
    <row r="10717" ht="14.25" customHeight="1"/>
    <row r="10718" ht="14.25" customHeight="1"/>
    <row r="10719" ht="14.25" customHeight="1"/>
    <row r="10720" ht="14.25" customHeight="1"/>
    <row r="10721" ht="14.25" customHeight="1"/>
    <row r="10722" ht="14.25" customHeight="1"/>
    <row r="10723" ht="14.25" customHeight="1"/>
    <row r="10724" ht="14.25" customHeight="1"/>
    <row r="10725" ht="14.25" customHeight="1"/>
    <row r="10726" ht="14.25" customHeight="1"/>
    <row r="10727" ht="14.25" customHeight="1"/>
    <row r="10728" ht="14.25" customHeight="1"/>
    <row r="10729" ht="14.25" customHeight="1"/>
    <row r="10730" ht="14.25" customHeight="1"/>
    <row r="10731" ht="14.25" customHeight="1"/>
    <row r="10732" ht="14.25" customHeight="1"/>
    <row r="10733" ht="14.25" customHeight="1"/>
    <row r="10734" ht="14.25" customHeight="1"/>
    <row r="10735" ht="14.25" customHeight="1"/>
    <row r="10736" ht="14.25" customHeight="1"/>
    <row r="10737" ht="14.25" customHeight="1"/>
    <row r="10738" ht="14.25" customHeight="1"/>
    <row r="10739" ht="14.25" customHeight="1"/>
    <row r="10740" ht="14.25" customHeight="1"/>
    <row r="10741" ht="14.25" customHeight="1"/>
    <row r="10742" ht="14.25" customHeight="1"/>
    <row r="10743" ht="14.25" customHeight="1"/>
    <row r="10744" ht="14.25" customHeight="1"/>
    <row r="10745" ht="14.25" customHeight="1"/>
    <row r="10746" ht="14.25" customHeight="1"/>
    <row r="10747" ht="14.25" customHeight="1"/>
    <row r="10748" ht="14.25" customHeight="1"/>
    <row r="10749" ht="14.25" customHeight="1"/>
    <row r="10750" ht="14.25" customHeight="1"/>
    <row r="10751" ht="14.25" customHeight="1"/>
    <row r="10752" ht="14.25" customHeight="1"/>
    <row r="10753" ht="14.25" customHeight="1"/>
    <row r="10754" ht="14.25" customHeight="1"/>
    <row r="10755" ht="14.25" customHeight="1"/>
    <row r="10756" ht="14.25" customHeight="1"/>
    <row r="10757" ht="14.25" customHeight="1"/>
    <row r="10758" ht="14.25" customHeight="1"/>
    <row r="10759" ht="14.25" customHeight="1"/>
    <row r="10760" ht="14.25" customHeight="1"/>
    <row r="10761" ht="14.25" customHeight="1"/>
    <row r="10762" ht="14.25" customHeight="1"/>
    <row r="10763" ht="14.25" customHeight="1"/>
    <row r="10764" ht="14.25" customHeight="1"/>
    <row r="10765" ht="14.25" customHeight="1"/>
    <row r="10766" ht="14.25" customHeight="1"/>
    <row r="10767" ht="14.25" customHeight="1"/>
    <row r="10768" ht="14.25" customHeight="1"/>
    <row r="10769" ht="14.25" customHeight="1"/>
    <row r="10770" ht="14.25" customHeight="1"/>
    <row r="10771" ht="14.25" customHeight="1"/>
    <row r="10772" ht="14.25" customHeight="1"/>
    <row r="10773" ht="14.25" customHeight="1"/>
    <row r="10774" ht="14.25" customHeight="1"/>
    <row r="10775" ht="14.25" customHeight="1"/>
    <row r="10776" ht="14.25" customHeight="1"/>
    <row r="10777" ht="14.25" customHeight="1"/>
    <row r="10778" ht="14.25" customHeight="1"/>
    <row r="10779" ht="14.25" customHeight="1"/>
    <row r="10780" ht="14.25" customHeight="1"/>
    <row r="10781" ht="14.25" customHeight="1"/>
    <row r="10782" ht="14.25" customHeight="1"/>
    <row r="10783" ht="14.25" customHeight="1"/>
    <row r="10784" ht="14.25" customHeight="1"/>
    <row r="10785" ht="14.25" customHeight="1"/>
    <row r="10786" ht="14.25" customHeight="1"/>
    <row r="10787" ht="14.25" customHeight="1"/>
    <row r="10788" ht="14.25" customHeight="1"/>
    <row r="10789" ht="14.25" customHeight="1"/>
    <row r="10790" ht="14.25" customHeight="1"/>
    <row r="10791" ht="14.25" customHeight="1"/>
    <row r="10792" ht="14.25" customHeight="1"/>
    <row r="10793" ht="14.25" customHeight="1"/>
    <row r="10794" ht="14.25" customHeight="1"/>
    <row r="10795" ht="14.25" customHeight="1"/>
    <row r="10796" ht="14.25" customHeight="1"/>
    <row r="10797" ht="14.25" customHeight="1"/>
    <row r="10798" ht="14.25" customHeight="1"/>
    <row r="10799" ht="14.25" customHeight="1"/>
    <row r="10800" ht="14.25" customHeight="1"/>
    <row r="10801" ht="14.25" customHeight="1"/>
    <row r="10802" ht="14.25" customHeight="1"/>
    <row r="10803" ht="14.25" customHeight="1"/>
    <row r="10804" ht="14.25" customHeight="1"/>
    <row r="10805" ht="14.25" customHeight="1"/>
    <row r="10806" ht="14.25" customHeight="1"/>
    <row r="10807" ht="14.25" customHeight="1"/>
    <row r="10808" ht="14.25" customHeight="1"/>
    <row r="10809" ht="14.25" customHeight="1"/>
    <row r="10810" ht="14.25" customHeight="1"/>
    <row r="10811" ht="14.25" customHeight="1"/>
    <row r="10812" ht="14.25" customHeight="1"/>
    <row r="10813" ht="14.25" customHeight="1"/>
    <row r="10814" ht="14.25" customHeight="1"/>
    <row r="10815" ht="14.25" customHeight="1"/>
    <row r="10816" ht="14.25" customHeight="1"/>
    <row r="10817" ht="14.25" customHeight="1"/>
    <row r="10818" ht="14.25" customHeight="1"/>
    <row r="10819" ht="14.25" customHeight="1"/>
    <row r="10820" ht="14.25" customHeight="1"/>
    <row r="10821" ht="14.25" customHeight="1"/>
    <row r="10822" ht="14.25" customHeight="1"/>
    <row r="10823" ht="14.25" customHeight="1"/>
    <row r="10824" ht="14.25" customHeight="1"/>
    <row r="10825" ht="14.25" customHeight="1"/>
    <row r="10826" ht="14.25" customHeight="1"/>
    <row r="10827" ht="14.25" customHeight="1"/>
    <row r="10828" ht="14.25" customHeight="1"/>
    <row r="10829" ht="14.25" customHeight="1"/>
    <row r="10830" ht="14.25" customHeight="1"/>
    <row r="10831" ht="14.25" customHeight="1"/>
    <row r="10832" ht="14.25" customHeight="1"/>
    <row r="10833" ht="14.25" customHeight="1"/>
    <row r="10834" ht="14.25" customHeight="1"/>
    <row r="10835" ht="14.25" customHeight="1"/>
    <row r="10836" ht="14.25" customHeight="1"/>
    <row r="10837" ht="14.25" customHeight="1"/>
    <row r="10838" ht="14.25" customHeight="1"/>
    <row r="10839" ht="14.25" customHeight="1"/>
    <row r="10840" ht="14.25" customHeight="1"/>
    <row r="10841" ht="14.25" customHeight="1"/>
    <row r="10842" ht="14.25" customHeight="1"/>
    <row r="10843" ht="14.25" customHeight="1"/>
    <row r="10844" ht="14.25" customHeight="1"/>
    <row r="10845" ht="14.25" customHeight="1"/>
    <row r="10846" ht="14.25" customHeight="1"/>
    <row r="10847" ht="14.25" customHeight="1"/>
    <row r="10848" ht="14.25" customHeight="1"/>
    <row r="10849" ht="14.25" customHeight="1"/>
    <row r="10850" ht="14.25" customHeight="1"/>
    <row r="10851" ht="14.25" customHeight="1"/>
    <row r="10852" ht="14.25" customHeight="1"/>
    <row r="10853" ht="14.25" customHeight="1"/>
    <row r="10854" ht="14.25" customHeight="1"/>
    <row r="10855" ht="14.25" customHeight="1"/>
    <row r="10856" ht="14.25" customHeight="1"/>
    <row r="10857" ht="14.25" customHeight="1"/>
    <row r="10858" ht="14.25" customHeight="1"/>
    <row r="10859" ht="14.25" customHeight="1"/>
    <row r="10860" ht="14.25" customHeight="1"/>
    <row r="10861" ht="14.25" customHeight="1"/>
    <row r="10862" ht="14.25" customHeight="1"/>
    <row r="10863" ht="14.25" customHeight="1"/>
    <row r="10864" ht="14.25" customHeight="1"/>
    <row r="10865" ht="14.25" customHeight="1"/>
    <row r="10866" ht="14.25" customHeight="1"/>
    <row r="10867" ht="14.25" customHeight="1"/>
    <row r="10868" ht="14.25" customHeight="1"/>
    <row r="10869" ht="14.25" customHeight="1"/>
    <row r="10870" ht="14.25" customHeight="1"/>
    <row r="10871" ht="14.25" customHeight="1"/>
    <row r="10872" ht="14.25" customHeight="1"/>
    <row r="10873" ht="14.25" customHeight="1"/>
    <row r="10874" ht="14.25" customHeight="1"/>
    <row r="10875" ht="14.25" customHeight="1"/>
    <row r="10876" ht="14.25" customHeight="1"/>
    <row r="10877" ht="14.25" customHeight="1"/>
    <row r="10878" ht="14.25" customHeight="1"/>
    <row r="10879" ht="14.25" customHeight="1"/>
    <row r="10880" ht="14.25" customHeight="1"/>
    <row r="10881" ht="14.25" customHeight="1"/>
    <row r="10882" ht="14.25" customHeight="1"/>
    <row r="10883" ht="14.25" customHeight="1"/>
    <row r="10884" ht="14.25" customHeight="1"/>
    <row r="10885" ht="14.25" customHeight="1"/>
    <row r="10886" ht="14.25" customHeight="1"/>
    <row r="10887" ht="14.25" customHeight="1"/>
    <row r="10888" ht="14.25" customHeight="1"/>
    <row r="10889" ht="14.25" customHeight="1"/>
    <row r="10890" ht="14.25" customHeight="1"/>
    <row r="10891" ht="14.25" customHeight="1"/>
    <row r="10892" ht="14.25" customHeight="1"/>
    <row r="10893" ht="14.25" customHeight="1"/>
    <row r="10894" ht="14.25" customHeight="1"/>
    <row r="10895" ht="14.25" customHeight="1"/>
    <row r="10896" ht="14.25" customHeight="1"/>
    <row r="10897" ht="14.25" customHeight="1"/>
    <row r="10898" ht="14.25" customHeight="1"/>
    <row r="10899" ht="14.25" customHeight="1"/>
    <row r="10900" ht="14.25" customHeight="1"/>
    <row r="10901" ht="14.25" customHeight="1"/>
    <row r="10902" ht="14.25" customHeight="1"/>
    <row r="10903" ht="14.25" customHeight="1"/>
    <row r="10904" ht="14.25" customHeight="1"/>
    <row r="10905" ht="14.25" customHeight="1"/>
    <row r="10906" ht="14.25" customHeight="1"/>
    <row r="10907" ht="14.25" customHeight="1"/>
    <row r="10908" ht="14.25" customHeight="1"/>
    <row r="10909" ht="14.25" customHeight="1"/>
    <row r="10910" ht="14.25" customHeight="1"/>
    <row r="10911" ht="14.25" customHeight="1"/>
    <row r="10912" ht="14.25" customHeight="1"/>
    <row r="10913" ht="14.25" customHeight="1"/>
    <row r="10914" ht="14.25" customHeight="1"/>
    <row r="10915" ht="14.25" customHeight="1"/>
    <row r="10916" ht="14.25" customHeight="1"/>
    <row r="10917" ht="14.25" customHeight="1"/>
    <row r="10918" ht="14.25" customHeight="1"/>
    <row r="10919" ht="14.25" customHeight="1"/>
    <row r="10920" ht="14.25" customHeight="1"/>
    <row r="10921" ht="14.25" customHeight="1"/>
    <row r="10922" ht="14.25" customHeight="1"/>
    <row r="10923" ht="14.25" customHeight="1"/>
    <row r="10924" ht="14.25" customHeight="1"/>
    <row r="10925" ht="14.25" customHeight="1"/>
    <row r="10926" ht="14.25" customHeight="1"/>
    <row r="10927" ht="14.25" customHeight="1"/>
    <row r="10928" ht="14.25" customHeight="1"/>
    <row r="10929" ht="14.25" customHeight="1"/>
    <row r="10930" ht="14.25" customHeight="1"/>
    <row r="10931" ht="14.25" customHeight="1"/>
    <row r="10932" ht="14.25" customHeight="1"/>
    <row r="10933" ht="14.25" customHeight="1"/>
    <row r="10934" ht="14.25" customHeight="1"/>
    <row r="10935" ht="14.25" customHeight="1"/>
    <row r="10936" ht="14.25" customHeight="1"/>
    <row r="10937" ht="14.25" customHeight="1"/>
    <row r="10938" ht="14.25" customHeight="1"/>
    <row r="10939" ht="14.25" customHeight="1"/>
    <row r="10940" ht="14.25" customHeight="1"/>
    <row r="10941" ht="14.25" customHeight="1"/>
    <row r="10942" ht="14.25" customHeight="1"/>
    <row r="10943" ht="14.25" customHeight="1"/>
    <row r="10944" ht="14.25" customHeight="1"/>
    <row r="10945" ht="14.25" customHeight="1"/>
    <row r="10946" ht="14.25" customHeight="1"/>
    <row r="10947" ht="14.25" customHeight="1"/>
    <row r="10948" ht="14.25" customHeight="1"/>
    <row r="10949" ht="14.25" customHeight="1"/>
    <row r="10950" ht="14.25" customHeight="1"/>
    <row r="10951" ht="14.25" customHeight="1"/>
    <row r="10952" ht="14.25" customHeight="1"/>
    <row r="10953" ht="14.25" customHeight="1"/>
    <row r="10954" ht="14.25" customHeight="1"/>
    <row r="10955" ht="14.25" customHeight="1"/>
    <row r="10956" ht="14.25" customHeight="1"/>
    <row r="10957" ht="14.25" customHeight="1"/>
    <row r="10958" ht="14.25" customHeight="1"/>
    <row r="10959" ht="14.25" customHeight="1"/>
    <row r="10960" ht="14.25" customHeight="1"/>
    <row r="10961" ht="14.25" customHeight="1"/>
    <row r="10962" ht="14.25" customHeight="1"/>
    <row r="10963" ht="14.25" customHeight="1"/>
    <row r="10964" ht="14.25" customHeight="1"/>
    <row r="10965" ht="14.25" customHeight="1"/>
    <row r="10966" ht="14.25" customHeight="1"/>
    <row r="10967" ht="14.25" customHeight="1"/>
    <row r="10968" ht="14.25" customHeight="1"/>
    <row r="10969" ht="14.25" customHeight="1"/>
    <row r="10970" ht="14.25" customHeight="1"/>
    <row r="10971" ht="14.25" customHeight="1"/>
    <row r="10972" ht="14.25" customHeight="1"/>
    <row r="10973" ht="14.25" customHeight="1"/>
    <row r="10974" ht="14.25" customHeight="1"/>
    <row r="10975" ht="14.25" customHeight="1"/>
    <row r="10976" ht="14.25" customHeight="1"/>
    <row r="10977" ht="14.25" customHeight="1"/>
    <row r="10978" ht="14.25" customHeight="1"/>
    <row r="10979" ht="14.25" customHeight="1"/>
    <row r="10980" ht="14.25" customHeight="1"/>
    <row r="10981" ht="14.25" customHeight="1"/>
    <row r="10982" ht="14.25" customHeight="1"/>
    <row r="10983" ht="14.25" customHeight="1"/>
    <row r="10984" ht="14.25" customHeight="1"/>
    <row r="10985" ht="14.25" customHeight="1"/>
    <row r="10986" ht="14.25" customHeight="1"/>
    <row r="10987" ht="14.25" customHeight="1"/>
    <row r="10988" ht="14.25" customHeight="1"/>
    <row r="10989" ht="14.25" customHeight="1"/>
    <row r="10990" ht="14.25" customHeight="1"/>
    <row r="10991" ht="14.25" customHeight="1"/>
    <row r="10992" ht="14.25" customHeight="1"/>
    <row r="10993" ht="14.25" customHeight="1"/>
    <row r="10994" ht="14.25" customHeight="1"/>
    <row r="10995" ht="14.25" customHeight="1"/>
    <row r="10996" ht="14.25" customHeight="1"/>
    <row r="10997" ht="14.25" customHeight="1"/>
    <row r="10998" ht="14.25" customHeight="1"/>
    <row r="10999" ht="14.25" customHeight="1"/>
    <row r="11000" ht="14.25" customHeight="1"/>
    <row r="11001" ht="14.25" customHeight="1"/>
    <row r="11002" ht="14.25" customHeight="1"/>
    <row r="11003" ht="14.25" customHeight="1"/>
    <row r="11004" ht="14.25" customHeight="1"/>
    <row r="11005" ht="14.25" customHeight="1"/>
    <row r="11006" ht="14.25" customHeight="1"/>
    <row r="11007" ht="14.25" customHeight="1"/>
    <row r="11008" ht="14.25" customHeight="1"/>
    <row r="11009" ht="14.25" customHeight="1"/>
    <row r="11010" ht="14.25" customHeight="1"/>
    <row r="11011" ht="14.25" customHeight="1"/>
    <row r="11012" ht="14.25" customHeight="1"/>
    <row r="11013" ht="14.25" customHeight="1"/>
    <row r="11014" ht="14.25" customHeight="1"/>
    <row r="11015" ht="14.25" customHeight="1"/>
    <row r="11016" ht="14.25" customHeight="1"/>
    <row r="11017" ht="14.25" customHeight="1"/>
    <row r="11018" ht="14.25" customHeight="1"/>
    <row r="11019" ht="14.25" customHeight="1"/>
    <row r="11020" ht="14.25" customHeight="1"/>
    <row r="11021" ht="14.25" customHeight="1"/>
    <row r="11022" ht="14.25" customHeight="1"/>
    <row r="11023" ht="14.25" customHeight="1"/>
    <row r="11024" ht="14.25" customHeight="1"/>
    <row r="11025" ht="14.25" customHeight="1"/>
    <row r="11026" ht="14.25" customHeight="1"/>
    <row r="11027" ht="14.25" customHeight="1"/>
    <row r="11028" ht="14.25" customHeight="1"/>
    <row r="11029" ht="14.25" customHeight="1"/>
    <row r="11030" ht="14.25" customHeight="1"/>
    <row r="11031" ht="14.25" customHeight="1"/>
    <row r="11032" ht="14.25" customHeight="1"/>
    <row r="11033" ht="14.25" customHeight="1"/>
    <row r="11034" ht="14.25" customHeight="1"/>
    <row r="11035" ht="14.25" customHeight="1"/>
    <row r="11036" ht="14.25" customHeight="1"/>
    <row r="11037" ht="14.25" customHeight="1"/>
    <row r="11038" ht="14.25" customHeight="1"/>
    <row r="11039" ht="14.25" customHeight="1"/>
    <row r="11040" ht="14.25" customHeight="1"/>
    <row r="11041" ht="14.25" customHeight="1"/>
    <row r="11042" ht="14.25" customHeight="1"/>
    <row r="11043" ht="14.25" customHeight="1"/>
    <row r="11044" ht="14.25" customHeight="1"/>
    <row r="11045" ht="14.25" customHeight="1"/>
    <row r="11046" ht="14.25" customHeight="1"/>
    <row r="11047" ht="14.25" customHeight="1"/>
    <row r="11048" ht="14.25" customHeight="1"/>
    <row r="11049" ht="14.25" customHeight="1"/>
    <row r="11050" ht="14.25" customHeight="1"/>
    <row r="11051" ht="14.25" customHeight="1"/>
    <row r="11052" ht="14.25" customHeight="1"/>
    <row r="11053" ht="14.25" customHeight="1"/>
    <row r="11054" ht="14.25" customHeight="1"/>
    <row r="11055" ht="14.25" customHeight="1"/>
    <row r="11056" ht="14.25" customHeight="1"/>
    <row r="11057" ht="14.25" customHeight="1"/>
    <row r="11058" ht="14.25" customHeight="1"/>
    <row r="11059" ht="14.25" customHeight="1"/>
    <row r="11060" ht="14.25" customHeight="1"/>
    <row r="11061" ht="14.25" customHeight="1"/>
    <row r="11062" ht="14.25" customHeight="1"/>
    <row r="11063" ht="14.25" customHeight="1"/>
    <row r="11064" ht="14.25" customHeight="1"/>
    <row r="11065" ht="14.25" customHeight="1"/>
    <row r="11066" ht="14.25" customHeight="1"/>
    <row r="11067" ht="14.25" customHeight="1"/>
    <row r="11068" ht="14.25" customHeight="1"/>
    <row r="11069" ht="14.25" customHeight="1"/>
    <row r="11070" ht="14.25" customHeight="1"/>
    <row r="11071" ht="14.25" customHeight="1"/>
    <row r="11072" ht="14.25" customHeight="1"/>
    <row r="11073" ht="14.25" customHeight="1"/>
    <row r="11074" ht="14.25" customHeight="1"/>
    <row r="11075" ht="14.25" customHeight="1"/>
    <row r="11076" ht="14.25" customHeight="1"/>
    <row r="11077" ht="14.25" customHeight="1"/>
    <row r="11078" ht="14.25" customHeight="1"/>
    <row r="11079" ht="14.25" customHeight="1"/>
    <row r="11080" ht="14.25" customHeight="1"/>
    <row r="11081" ht="14.25" customHeight="1"/>
    <row r="11082" ht="14.25" customHeight="1"/>
    <row r="11083" ht="14.25" customHeight="1"/>
    <row r="11084" ht="14.25" customHeight="1"/>
    <row r="11085" ht="14.25" customHeight="1"/>
    <row r="11086" ht="14.25" customHeight="1"/>
    <row r="11087" ht="14.25" customHeight="1"/>
    <row r="11088" ht="14.25" customHeight="1"/>
    <row r="11089" ht="14.25" customHeight="1"/>
    <row r="11090" ht="14.25" customHeight="1"/>
    <row r="11091" ht="14.25" customHeight="1"/>
    <row r="11092" ht="14.25" customHeight="1"/>
    <row r="11093" ht="14.25" customHeight="1"/>
    <row r="11094" ht="14.25" customHeight="1"/>
    <row r="11095" ht="14.25" customHeight="1"/>
    <row r="11096" ht="14.25" customHeight="1"/>
    <row r="11097" ht="14.25" customHeight="1"/>
    <row r="11098" ht="14.25" customHeight="1"/>
    <row r="11099" ht="14.25" customHeight="1"/>
    <row r="11100" ht="14.25" customHeight="1"/>
    <row r="11101" ht="14.25" customHeight="1"/>
    <row r="11102" ht="14.25" customHeight="1"/>
    <row r="11103" ht="14.25" customHeight="1"/>
    <row r="11104" ht="14.25" customHeight="1"/>
    <row r="11105" ht="14.25" customHeight="1"/>
    <row r="11106" ht="14.25" customHeight="1"/>
    <row r="11107" ht="14.25" customHeight="1"/>
    <row r="11108" ht="14.25" customHeight="1"/>
    <row r="11109" ht="14.25" customHeight="1"/>
    <row r="11110" ht="14.25" customHeight="1"/>
    <row r="11111" ht="14.25" customHeight="1"/>
    <row r="11112" ht="14.25" customHeight="1"/>
    <row r="11113" ht="14.25" customHeight="1"/>
    <row r="11114" ht="14.25" customHeight="1"/>
    <row r="11115" ht="14.25" customHeight="1"/>
    <row r="11116" ht="14.25" customHeight="1"/>
    <row r="11117" ht="14.25" customHeight="1"/>
    <row r="11118" ht="14.25" customHeight="1"/>
    <row r="11119" ht="14.25" customHeight="1"/>
    <row r="11120" ht="14.25" customHeight="1"/>
    <row r="11121" ht="14.25" customHeight="1"/>
    <row r="11122" ht="14.25" customHeight="1"/>
    <row r="11123" ht="14.25" customHeight="1"/>
    <row r="11124" ht="14.25" customHeight="1"/>
    <row r="11125" ht="14.25" customHeight="1"/>
    <row r="11126" ht="14.25" customHeight="1"/>
    <row r="11127" ht="14.25" customHeight="1"/>
    <row r="11128" ht="14.25" customHeight="1"/>
    <row r="11129" ht="14.25" customHeight="1"/>
    <row r="11130" ht="14.25" customHeight="1"/>
    <row r="11131" ht="14.25" customHeight="1"/>
    <row r="11132" ht="14.25" customHeight="1"/>
    <row r="11133" ht="14.25" customHeight="1"/>
    <row r="11134" ht="14.25" customHeight="1"/>
    <row r="11135" ht="14.25" customHeight="1"/>
    <row r="11136" ht="14.25" customHeight="1"/>
    <row r="11137" ht="14.25" customHeight="1"/>
    <row r="11138" ht="14.25" customHeight="1"/>
    <row r="11139" ht="14.25" customHeight="1"/>
    <row r="11140" ht="14.25" customHeight="1"/>
    <row r="11141" ht="14.25" customHeight="1"/>
    <row r="11142" ht="14.25" customHeight="1"/>
    <row r="11143" ht="14.25" customHeight="1"/>
    <row r="11144" ht="14.25" customHeight="1"/>
    <row r="11145" ht="14.25" customHeight="1"/>
    <row r="11146" ht="14.25" customHeight="1"/>
    <row r="11147" ht="14.25" customHeight="1"/>
    <row r="11148" ht="14.25" customHeight="1"/>
    <row r="11149" ht="14.25" customHeight="1"/>
    <row r="11150" ht="14.25" customHeight="1"/>
    <row r="11151" ht="14.25" customHeight="1"/>
    <row r="11152" ht="14.25" customHeight="1"/>
    <row r="11153" ht="14.25" customHeight="1"/>
    <row r="11154" ht="14.25" customHeight="1"/>
    <row r="11155" ht="14.25" customHeight="1"/>
    <row r="11156" ht="14.25" customHeight="1"/>
    <row r="11157" ht="14.25" customHeight="1"/>
    <row r="11158" ht="14.25" customHeight="1"/>
    <row r="11159" ht="14.25" customHeight="1"/>
    <row r="11160" ht="14.25" customHeight="1"/>
    <row r="11161" ht="14.25" customHeight="1"/>
    <row r="11162" ht="14.25" customHeight="1"/>
    <row r="11163" ht="14.25" customHeight="1"/>
    <row r="11164" ht="14.25" customHeight="1"/>
    <row r="11165" ht="14.25" customHeight="1"/>
    <row r="11166" ht="14.25" customHeight="1"/>
    <row r="11167" ht="14.25" customHeight="1"/>
    <row r="11168" ht="14.25" customHeight="1"/>
    <row r="11169" ht="14.25" customHeight="1"/>
    <row r="11170" ht="14.25" customHeight="1"/>
    <row r="11171" ht="14.25" customHeight="1"/>
    <row r="11172" ht="14.25" customHeight="1"/>
    <row r="11173" ht="14.25" customHeight="1"/>
    <row r="11174" ht="14.25" customHeight="1"/>
    <row r="11175" ht="14.25" customHeight="1"/>
    <row r="11176" ht="14.25" customHeight="1"/>
    <row r="11177" ht="14.25" customHeight="1"/>
    <row r="11178" ht="14.25" customHeight="1"/>
    <row r="11179" ht="14.25" customHeight="1"/>
    <row r="11180" ht="14.25" customHeight="1"/>
    <row r="11181" ht="14.25" customHeight="1"/>
    <row r="11182" ht="14.25" customHeight="1"/>
    <row r="11183" ht="14.25" customHeight="1"/>
    <row r="11184" ht="14.25" customHeight="1"/>
    <row r="11185" ht="14.25" customHeight="1"/>
    <row r="11186" ht="14.25" customHeight="1"/>
    <row r="11187" ht="14.25" customHeight="1"/>
    <row r="11188" ht="14.25" customHeight="1"/>
    <row r="11189" ht="14.25" customHeight="1"/>
    <row r="11190" ht="14.25" customHeight="1"/>
    <row r="11191" ht="14.25" customHeight="1"/>
    <row r="11192" ht="14.25" customHeight="1"/>
    <row r="11193" ht="14.25" customHeight="1"/>
    <row r="11194" ht="14.25" customHeight="1"/>
    <row r="11195" ht="14.25" customHeight="1"/>
    <row r="11196" ht="14.25" customHeight="1"/>
    <row r="11197" ht="14.25" customHeight="1"/>
    <row r="11198" ht="14.25" customHeight="1"/>
    <row r="11199" ht="14.25" customHeight="1"/>
    <row r="11200" ht="14.25" customHeight="1"/>
    <row r="11201" ht="14.25" customHeight="1"/>
    <row r="11202" ht="14.25" customHeight="1"/>
    <row r="11203" ht="14.25" customHeight="1"/>
    <row r="11204" ht="14.25" customHeight="1"/>
    <row r="11205" ht="14.25" customHeight="1"/>
    <row r="11206" ht="14.25" customHeight="1"/>
    <row r="11207" ht="14.25" customHeight="1"/>
    <row r="11208" ht="14.25" customHeight="1"/>
    <row r="11209" ht="14.25" customHeight="1"/>
    <row r="11210" ht="14.25" customHeight="1"/>
    <row r="11211" ht="14.25" customHeight="1"/>
    <row r="11212" ht="14.25" customHeight="1"/>
    <row r="11213" ht="14.25" customHeight="1"/>
    <row r="11214" ht="14.25" customHeight="1"/>
    <row r="11215" ht="14.25" customHeight="1"/>
    <row r="11216" ht="14.25" customHeight="1"/>
    <row r="11217" ht="14.25" customHeight="1"/>
    <row r="11218" ht="14.25" customHeight="1"/>
    <row r="11219" ht="14.25" customHeight="1"/>
    <row r="11220" ht="14.25" customHeight="1"/>
    <row r="11221" ht="14.25" customHeight="1"/>
    <row r="11222" ht="14.25" customHeight="1"/>
    <row r="11223" ht="14.25" customHeight="1"/>
    <row r="11224" ht="14.25" customHeight="1"/>
    <row r="11225" ht="14.25" customHeight="1"/>
    <row r="11226" ht="14.25" customHeight="1"/>
    <row r="11227" ht="14.25" customHeight="1"/>
    <row r="11228" ht="14.25" customHeight="1"/>
    <row r="11229" ht="14.25" customHeight="1"/>
    <row r="11230" ht="14.25" customHeight="1"/>
    <row r="11231" ht="14.25" customHeight="1"/>
    <row r="11232" ht="14.25" customHeight="1"/>
    <row r="11233" ht="14.25" customHeight="1"/>
    <row r="11234" ht="14.25" customHeight="1"/>
    <row r="11235" ht="14.25" customHeight="1"/>
    <row r="11236" ht="14.25" customHeight="1"/>
    <row r="11237" ht="14.25" customHeight="1"/>
    <row r="11238" ht="14.25" customHeight="1"/>
    <row r="11239" ht="14.25" customHeight="1"/>
    <row r="11240" ht="14.25" customHeight="1"/>
    <row r="11241" ht="14.25" customHeight="1"/>
    <row r="11242" ht="14.25" customHeight="1"/>
    <row r="11243" ht="14.25" customHeight="1"/>
    <row r="11244" ht="14.25" customHeight="1"/>
    <row r="11245" ht="14.25" customHeight="1"/>
    <row r="11246" ht="14.25" customHeight="1"/>
    <row r="11247" ht="14.25" customHeight="1"/>
    <row r="11248" ht="14.25" customHeight="1"/>
    <row r="11249" ht="14.25" customHeight="1"/>
    <row r="11250" ht="14.25" customHeight="1"/>
    <row r="11251" ht="14.25" customHeight="1"/>
    <row r="11252" ht="14.25" customHeight="1"/>
    <row r="11253" ht="14.25" customHeight="1"/>
    <row r="11254" ht="14.25" customHeight="1"/>
    <row r="11255" ht="14.25" customHeight="1"/>
    <row r="11256" ht="14.25" customHeight="1"/>
    <row r="11257" ht="14.25" customHeight="1"/>
    <row r="11258" ht="14.25" customHeight="1"/>
    <row r="11259" ht="14.25" customHeight="1"/>
    <row r="11260" ht="14.25" customHeight="1"/>
    <row r="11261" ht="14.25" customHeight="1"/>
    <row r="11262" ht="14.25" customHeight="1"/>
    <row r="11263" ht="14.25" customHeight="1"/>
    <row r="11264" ht="14.25" customHeight="1"/>
    <row r="11265" ht="14.25" customHeight="1"/>
    <row r="11266" ht="14.25" customHeight="1"/>
    <row r="11267" ht="14.25" customHeight="1"/>
    <row r="11268" ht="14.25" customHeight="1"/>
    <row r="11269" ht="14.25" customHeight="1"/>
    <row r="11270" ht="14.25" customHeight="1"/>
    <row r="11271" ht="14.25" customHeight="1"/>
    <row r="11272" ht="14.25" customHeight="1"/>
    <row r="11273" ht="14.25" customHeight="1"/>
    <row r="11274" ht="14.25" customHeight="1"/>
    <row r="11275" ht="14.25" customHeight="1"/>
    <row r="11276" ht="14.25" customHeight="1"/>
    <row r="11277" ht="14.25" customHeight="1"/>
    <row r="11278" ht="14.25" customHeight="1"/>
    <row r="11279" ht="14.25" customHeight="1"/>
    <row r="11280" ht="14.25" customHeight="1"/>
    <row r="11281" ht="14.25" customHeight="1"/>
    <row r="11282" ht="14.25" customHeight="1"/>
    <row r="11283" ht="14.25" customHeight="1"/>
    <row r="11284" ht="14.25" customHeight="1"/>
    <row r="11285" ht="14.25" customHeight="1"/>
    <row r="11286" ht="14.25" customHeight="1"/>
    <row r="11287" ht="14.25" customHeight="1"/>
    <row r="11288" ht="14.25" customHeight="1"/>
    <row r="11289" ht="14.25" customHeight="1"/>
    <row r="11290" ht="14.25" customHeight="1"/>
    <row r="11291" ht="14.25" customHeight="1"/>
    <row r="11292" ht="14.25" customHeight="1"/>
    <row r="11293" ht="14.25" customHeight="1"/>
    <row r="11294" ht="14.25" customHeight="1"/>
    <row r="11295" ht="14.25" customHeight="1"/>
    <row r="11296" ht="14.25" customHeight="1"/>
    <row r="11297" ht="14.25" customHeight="1"/>
    <row r="11298" ht="14.25" customHeight="1"/>
    <row r="11299" ht="14.25" customHeight="1"/>
    <row r="11300" ht="14.25" customHeight="1"/>
    <row r="11301" ht="14.25" customHeight="1"/>
    <row r="11302" ht="14.25" customHeight="1"/>
    <row r="11303" ht="14.25" customHeight="1"/>
    <row r="11304" ht="14.25" customHeight="1"/>
    <row r="11305" ht="14.25" customHeight="1"/>
    <row r="11306" ht="14.25" customHeight="1"/>
    <row r="11307" ht="14.25" customHeight="1"/>
    <row r="11308" ht="14.25" customHeight="1"/>
    <row r="11309" ht="14.25" customHeight="1"/>
    <row r="11310" ht="14.25" customHeight="1"/>
    <row r="11311" ht="14.25" customHeight="1"/>
    <row r="11312" ht="14.25" customHeight="1"/>
    <row r="11313" ht="14.25" customHeight="1"/>
    <row r="11314" ht="14.25" customHeight="1"/>
    <row r="11315" ht="14.25" customHeight="1"/>
    <row r="11316" ht="14.25" customHeight="1"/>
    <row r="11317" ht="14.25" customHeight="1"/>
    <row r="11318" ht="14.25" customHeight="1"/>
    <row r="11319" ht="14.25" customHeight="1"/>
    <row r="11320" ht="14.25" customHeight="1"/>
    <row r="11321" ht="14.25" customHeight="1"/>
    <row r="11322" ht="14.25" customHeight="1"/>
    <row r="11323" ht="14.25" customHeight="1"/>
    <row r="11324" ht="14.25" customHeight="1"/>
    <row r="11325" ht="14.25" customHeight="1"/>
    <row r="11326" ht="14.25" customHeight="1"/>
    <row r="11327" ht="14.25" customHeight="1"/>
    <row r="11328" ht="14.25" customHeight="1"/>
    <row r="11329" ht="14.25" customHeight="1"/>
    <row r="11330" ht="14.25" customHeight="1"/>
    <row r="11331" ht="14.25" customHeight="1"/>
    <row r="11332" ht="14.25" customHeight="1"/>
    <row r="11333" ht="14.25" customHeight="1"/>
    <row r="11334" ht="14.25" customHeight="1"/>
    <row r="11335" ht="14.25" customHeight="1"/>
    <row r="11336" ht="14.25" customHeight="1"/>
    <row r="11337" ht="14.25" customHeight="1"/>
    <row r="11338" ht="14.25" customHeight="1"/>
    <row r="11339" ht="14.25" customHeight="1"/>
    <row r="11340" ht="14.25" customHeight="1"/>
    <row r="11341" ht="14.25" customHeight="1"/>
    <row r="11342" ht="14.25" customHeight="1"/>
    <row r="11343" ht="14.25" customHeight="1"/>
    <row r="11344" ht="14.25" customHeight="1"/>
    <row r="11345" ht="14.25" customHeight="1"/>
    <row r="11346" ht="14.25" customHeight="1"/>
    <row r="11347" ht="14.25" customHeight="1"/>
    <row r="11348" ht="14.25" customHeight="1"/>
    <row r="11349" ht="14.25" customHeight="1"/>
    <row r="11350" ht="14.25" customHeight="1"/>
    <row r="11351" ht="14.25" customHeight="1"/>
    <row r="11352" ht="14.25" customHeight="1"/>
    <row r="11353" ht="14.25" customHeight="1"/>
    <row r="11354" ht="14.25" customHeight="1"/>
    <row r="11355" ht="14.25" customHeight="1"/>
    <row r="11356" ht="14.25" customHeight="1"/>
    <row r="11357" ht="14.25" customHeight="1"/>
    <row r="11358" ht="14.25" customHeight="1"/>
    <row r="11359" ht="14.25" customHeight="1"/>
    <row r="11360" ht="14.25" customHeight="1"/>
    <row r="11361" ht="14.25" customHeight="1"/>
    <row r="11362" ht="14.25" customHeight="1"/>
    <row r="11363" ht="14.25" customHeight="1"/>
    <row r="11364" ht="14.25" customHeight="1"/>
    <row r="11365" ht="14.25" customHeight="1"/>
    <row r="11366" ht="14.25" customHeight="1"/>
    <row r="11367" ht="14.25" customHeight="1"/>
    <row r="11368" ht="14.25" customHeight="1"/>
    <row r="11369" ht="14.25" customHeight="1"/>
    <row r="11370" ht="14.25" customHeight="1"/>
    <row r="11371" ht="14.25" customHeight="1"/>
    <row r="11372" ht="14.25" customHeight="1"/>
    <row r="11373" ht="14.25" customHeight="1"/>
    <row r="11374" ht="14.25" customHeight="1"/>
    <row r="11375" ht="14.25" customHeight="1"/>
    <row r="11376" ht="14.25" customHeight="1"/>
    <row r="11377" ht="14.25" customHeight="1"/>
    <row r="11378" ht="14.25" customHeight="1"/>
    <row r="11379" ht="14.25" customHeight="1"/>
    <row r="11380" ht="14.25" customHeight="1"/>
    <row r="11381" ht="14.25" customHeight="1"/>
    <row r="11382" ht="14.25" customHeight="1"/>
    <row r="11383" ht="14.25" customHeight="1"/>
    <row r="11384" ht="14.25" customHeight="1"/>
    <row r="11385" ht="14.25" customHeight="1"/>
    <row r="11386" ht="14.25" customHeight="1"/>
    <row r="11387" ht="14.25" customHeight="1"/>
    <row r="11388" ht="14.25" customHeight="1"/>
    <row r="11389" ht="14.25" customHeight="1"/>
    <row r="11390" ht="14.25" customHeight="1"/>
    <row r="11391" ht="14.25" customHeight="1"/>
    <row r="11392" ht="14.25" customHeight="1"/>
    <row r="11393" ht="14.25" customHeight="1"/>
    <row r="11394" ht="14.25" customHeight="1"/>
    <row r="11395" ht="14.25" customHeight="1"/>
    <row r="11396" ht="14.25" customHeight="1"/>
    <row r="11397" ht="14.25" customHeight="1"/>
    <row r="11398" ht="14.25" customHeight="1"/>
    <row r="11399" ht="14.25" customHeight="1"/>
    <row r="11400" ht="14.25" customHeight="1"/>
    <row r="11401" ht="14.25" customHeight="1"/>
    <row r="11402" ht="14.25" customHeight="1"/>
    <row r="11403" ht="14.25" customHeight="1"/>
    <row r="11404" ht="14.25" customHeight="1"/>
    <row r="11405" ht="14.25" customHeight="1"/>
    <row r="11406" ht="14.25" customHeight="1"/>
    <row r="11407" ht="14.25" customHeight="1"/>
    <row r="11408" ht="14.25" customHeight="1"/>
    <row r="11409" ht="14.25" customHeight="1"/>
    <row r="11410" ht="14.25" customHeight="1"/>
    <row r="11411" ht="14.25" customHeight="1"/>
    <row r="11412" ht="14.25" customHeight="1"/>
    <row r="11413" ht="14.25" customHeight="1"/>
    <row r="11414" ht="14.25" customHeight="1"/>
    <row r="11415" ht="14.25" customHeight="1"/>
    <row r="11416" ht="14.25" customHeight="1"/>
    <row r="11417" ht="14.25" customHeight="1"/>
    <row r="11418" ht="14.25" customHeight="1"/>
    <row r="11419" ht="14.25" customHeight="1"/>
    <row r="11420" ht="14.25" customHeight="1"/>
    <row r="11421" ht="14.25" customHeight="1"/>
    <row r="11422" ht="14.25" customHeight="1"/>
    <row r="11423" ht="14.25" customHeight="1"/>
    <row r="11424" ht="14.25" customHeight="1"/>
    <row r="11425" ht="14.25" customHeight="1"/>
    <row r="11426" ht="14.25" customHeight="1"/>
    <row r="11427" ht="14.25" customHeight="1"/>
    <row r="11428" ht="14.25" customHeight="1"/>
    <row r="11429" ht="14.25" customHeight="1"/>
    <row r="11430" ht="14.25" customHeight="1"/>
    <row r="11431" ht="14.25" customHeight="1"/>
    <row r="11432" ht="14.25" customHeight="1"/>
    <row r="11433" ht="14.25" customHeight="1"/>
    <row r="11434" ht="14.25" customHeight="1"/>
    <row r="11435" ht="14.25" customHeight="1"/>
    <row r="11436" ht="14.25" customHeight="1"/>
    <row r="11437" ht="14.25" customHeight="1"/>
    <row r="11438" ht="14.25" customHeight="1"/>
    <row r="11439" ht="14.25" customHeight="1"/>
    <row r="11440" ht="14.25" customHeight="1"/>
    <row r="11441" ht="14.25" customHeight="1"/>
    <row r="11442" ht="14.25" customHeight="1"/>
    <row r="11443" ht="14.25" customHeight="1"/>
    <row r="11444" ht="14.25" customHeight="1"/>
    <row r="11445" ht="14.25" customHeight="1"/>
    <row r="11446" ht="14.25" customHeight="1"/>
    <row r="11447" ht="14.25" customHeight="1"/>
    <row r="11448" ht="14.25" customHeight="1"/>
    <row r="11449" ht="14.25" customHeight="1"/>
    <row r="11450" ht="14.25" customHeight="1"/>
    <row r="11451" ht="14.25" customHeight="1"/>
    <row r="11452" ht="14.25" customHeight="1"/>
    <row r="11453" ht="14.25" customHeight="1"/>
    <row r="11454" ht="14.25" customHeight="1"/>
    <row r="11455" ht="14.25" customHeight="1"/>
    <row r="11456" ht="14.25" customHeight="1"/>
    <row r="11457" ht="14.25" customHeight="1"/>
    <row r="11458" ht="14.25" customHeight="1"/>
    <row r="11459" ht="14.25" customHeight="1"/>
    <row r="11460" ht="14.25" customHeight="1"/>
    <row r="11461" ht="14.25" customHeight="1"/>
    <row r="11462" ht="14.25" customHeight="1"/>
    <row r="11463" ht="14.25" customHeight="1"/>
    <row r="11464" ht="14.25" customHeight="1"/>
    <row r="11465" ht="14.25" customHeight="1"/>
    <row r="11466" ht="14.25" customHeight="1"/>
    <row r="11467" ht="14.25" customHeight="1"/>
    <row r="11468" ht="14.25" customHeight="1"/>
    <row r="11469" ht="14.25" customHeight="1"/>
    <row r="11470" ht="14.25" customHeight="1"/>
    <row r="11471" ht="14.25" customHeight="1"/>
    <row r="11472" ht="14.25" customHeight="1"/>
    <row r="11473" ht="14.25" customHeight="1"/>
    <row r="11474" ht="14.25" customHeight="1"/>
    <row r="11475" ht="14.25" customHeight="1"/>
    <row r="11476" ht="14.25" customHeight="1"/>
    <row r="11477" ht="14.25" customHeight="1"/>
    <row r="11478" ht="14.25" customHeight="1"/>
    <row r="11479" ht="14.25" customHeight="1"/>
    <row r="11480" ht="14.25" customHeight="1"/>
    <row r="11481" ht="14.25" customHeight="1"/>
    <row r="11482" ht="14.25" customHeight="1"/>
    <row r="11483" ht="14.25" customHeight="1"/>
    <row r="11484" ht="14.25" customHeight="1"/>
    <row r="11485" ht="14.25" customHeight="1"/>
    <row r="11486" ht="14.25" customHeight="1"/>
    <row r="11487" ht="14.25" customHeight="1"/>
    <row r="11488" ht="14.25" customHeight="1"/>
    <row r="11489" ht="14.25" customHeight="1"/>
    <row r="11490" ht="14.25" customHeight="1"/>
    <row r="11491" ht="14.25" customHeight="1"/>
    <row r="11492" ht="14.25" customHeight="1"/>
    <row r="11493" ht="14.25" customHeight="1"/>
    <row r="11494" ht="14.25" customHeight="1"/>
    <row r="11495" ht="14.25" customHeight="1"/>
    <row r="11496" ht="14.25" customHeight="1"/>
    <row r="11497" ht="14.25" customHeight="1"/>
    <row r="11498" ht="14.25" customHeight="1"/>
    <row r="11499" ht="14.25" customHeight="1"/>
    <row r="11500" ht="14.25" customHeight="1"/>
    <row r="11501" ht="14.25" customHeight="1"/>
    <row r="11502" ht="14.25" customHeight="1"/>
    <row r="11503" ht="14.25" customHeight="1"/>
    <row r="11504" ht="14.25" customHeight="1"/>
    <row r="11505" ht="14.25" customHeight="1"/>
    <row r="11506" ht="14.25" customHeight="1"/>
    <row r="11507" ht="14.25" customHeight="1"/>
    <row r="11508" ht="14.25" customHeight="1"/>
    <row r="11509" ht="14.25" customHeight="1"/>
    <row r="11510" ht="14.25" customHeight="1"/>
    <row r="11511" ht="14.25" customHeight="1"/>
    <row r="11512" ht="14.25" customHeight="1"/>
    <row r="11513" ht="14.25" customHeight="1"/>
    <row r="11514" ht="14.25" customHeight="1"/>
    <row r="11515" ht="14.25" customHeight="1"/>
    <row r="11516" ht="14.25" customHeight="1"/>
    <row r="11517" ht="14.25" customHeight="1"/>
    <row r="11518" ht="14.25" customHeight="1"/>
    <row r="11519" ht="14.25" customHeight="1"/>
    <row r="11520" ht="14.25" customHeight="1"/>
    <row r="11521" ht="14.25" customHeight="1"/>
    <row r="11522" ht="14.25" customHeight="1"/>
    <row r="11523" ht="14.25" customHeight="1"/>
    <row r="11524" ht="14.25" customHeight="1"/>
    <row r="11525" ht="14.25" customHeight="1"/>
    <row r="11526" ht="14.25" customHeight="1"/>
    <row r="11527" ht="14.25" customHeight="1"/>
    <row r="11528" ht="14.25" customHeight="1"/>
    <row r="11529" ht="14.25" customHeight="1"/>
    <row r="11530" ht="14.25" customHeight="1"/>
    <row r="11531" ht="14.25" customHeight="1"/>
    <row r="11532" ht="14.25" customHeight="1"/>
    <row r="11533" ht="14.25" customHeight="1"/>
    <row r="11534" ht="14.25" customHeight="1"/>
    <row r="11535" ht="14.25" customHeight="1"/>
    <row r="11536" ht="14.25" customHeight="1"/>
    <row r="11537" ht="14.25" customHeight="1"/>
    <row r="11538" ht="14.25" customHeight="1"/>
    <row r="11539" ht="14.25" customHeight="1"/>
    <row r="11540" ht="14.25" customHeight="1"/>
    <row r="11541" ht="14.25" customHeight="1"/>
    <row r="11542" ht="14.25" customHeight="1"/>
    <row r="11543" ht="14.25" customHeight="1"/>
    <row r="11544" ht="14.25" customHeight="1"/>
    <row r="11545" ht="14.25" customHeight="1"/>
    <row r="11546" ht="14.25" customHeight="1"/>
    <row r="11547" ht="14.25" customHeight="1"/>
    <row r="11548" ht="14.25" customHeight="1"/>
    <row r="11549" ht="14.25" customHeight="1"/>
    <row r="11550" ht="14.25" customHeight="1"/>
    <row r="11551" ht="14.25" customHeight="1"/>
    <row r="11552" ht="14.25" customHeight="1"/>
    <row r="11553" ht="14.25" customHeight="1"/>
    <row r="11554" ht="14.25" customHeight="1"/>
    <row r="11555" ht="14.25" customHeight="1"/>
    <row r="11556" ht="14.25" customHeight="1"/>
    <row r="11557" ht="14.25" customHeight="1"/>
    <row r="11558" ht="14.25" customHeight="1"/>
    <row r="11559" ht="14.25" customHeight="1"/>
    <row r="11560" ht="14.25" customHeight="1"/>
    <row r="11561" ht="14.25" customHeight="1"/>
    <row r="11562" ht="14.25" customHeight="1"/>
    <row r="11563" ht="14.25" customHeight="1"/>
    <row r="11564" ht="14.25" customHeight="1"/>
    <row r="11565" ht="14.25" customHeight="1"/>
    <row r="11566" ht="14.25" customHeight="1"/>
    <row r="11567" ht="14.25" customHeight="1"/>
    <row r="11568" ht="14.25" customHeight="1"/>
    <row r="11569" ht="14.25" customHeight="1"/>
    <row r="11570" ht="14.25" customHeight="1"/>
    <row r="11571" ht="14.25" customHeight="1"/>
    <row r="11572" ht="14.25" customHeight="1"/>
    <row r="11573" ht="14.25" customHeight="1"/>
    <row r="11574" ht="14.25" customHeight="1"/>
    <row r="11575" ht="14.25" customHeight="1"/>
    <row r="11576" ht="14.25" customHeight="1"/>
    <row r="11577" ht="14.25" customHeight="1"/>
    <row r="11578" ht="14.25" customHeight="1"/>
    <row r="11579" ht="14.25" customHeight="1"/>
    <row r="11580" ht="14.25" customHeight="1"/>
    <row r="11581" ht="14.25" customHeight="1"/>
    <row r="11582" ht="14.25" customHeight="1"/>
    <row r="11583" ht="14.25" customHeight="1"/>
    <row r="11584" ht="14.25" customHeight="1"/>
    <row r="11585" ht="14.25" customHeight="1"/>
    <row r="11586" ht="14.25" customHeight="1"/>
    <row r="11587" ht="14.25" customHeight="1"/>
    <row r="11588" ht="14.25" customHeight="1"/>
    <row r="11589" ht="14.25" customHeight="1"/>
    <row r="11590" ht="14.25" customHeight="1"/>
    <row r="11591" ht="14.25" customHeight="1"/>
    <row r="11592" ht="14.25" customHeight="1"/>
    <row r="11593" ht="14.25" customHeight="1"/>
    <row r="11594" ht="14.25" customHeight="1"/>
    <row r="11595" ht="14.25" customHeight="1"/>
    <row r="11596" ht="14.25" customHeight="1"/>
    <row r="11597" ht="14.25" customHeight="1"/>
    <row r="11598" ht="14.25" customHeight="1"/>
    <row r="11599" ht="14.25" customHeight="1"/>
    <row r="11600" ht="14.25" customHeight="1"/>
    <row r="11601" ht="14.25" customHeight="1"/>
    <row r="11602" ht="14.25" customHeight="1"/>
    <row r="11603" ht="14.25" customHeight="1"/>
    <row r="11604" ht="14.25" customHeight="1"/>
    <row r="11605" ht="14.25" customHeight="1"/>
    <row r="11606" ht="14.25" customHeight="1"/>
    <row r="11607" ht="14.25" customHeight="1"/>
    <row r="11608" ht="14.25" customHeight="1"/>
    <row r="11609" ht="14.25" customHeight="1"/>
    <row r="11610" ht="14.25" customHeight="1"/>
    <row r="11611" ht="14.25" customHeight="1"/>
    <row r="11612" ht="14.25" customHeight="1"/>
    <row r="11613" ht="14.25" customHeight="1"/>
    <row r="11614" ht="14.25" customHeight="1"/>
    <row r="11615" ht="14.25" customHeight="1"/>
    <row r="11616" ht="14.25" customHeight="1"/>
    <row r="11617" ht="14.25" customHeight="1"/>
    <row r="11618" ht="14.25" customHeight="1"/>
    <row r="11619" ht="14.25" customHeight="1"/>
    <row r="11620" ht="14.25" customHeight="1"/>
    <row r="11621" ht="14.25" customHeight="1"/>
    <row r="11622" ht="14.25" customHeight="1"/>
    <row r="11623" ht="14.25" customHeight="1"/>
    <row r="11624" ht="14.25" customHeight="1"/>
    <row r="11625" ht="14.25" customHeight="1"/>
    <row r="11626" ht="14.25" customHeight="1"/>
    <row r="11627" ht="14.25" customHeight="1"/>
    <row r="11628" ht="14.25" customHeight="1"/>
    <row r="11629" ht="14.25" customHeight="1"/>
    <row r="11630" ht="14.25" customHeight="1"/>
    <row r="11631" ht="14.25" customHeight="1"/>
    <row r="11632" ht="14.25" customHeight="1"/>
    <row r="11633" ht="14.25" customHeight="1"/>
    <row r="11634" ht="14.25" customHeight="1"/>
    <row r="11635" ht="14.25" customHeight="1"/>
    <row r="11636" ht="14.25" customHeight="1"/>
    <row r="11637" ht="14.25" customHeight="1"/>
    <row r="11638" ht="14.25" customHeight="1"/>
    <row r="11639" ht="14.25" customHeight="1"/>
    <row r="11640" ht="14.25" customHeight="1"/>
    <row r="11641" ht="14.25" customHeight="1"/>
    <row r="11642" ht="14.25" customHeight="1"/>
    <row r="11643" ht="14.25" customHeight="1"/>
    <row r="11644" ht="14.25" customHeight="1"/>
    <row r="11645" ht="14.25" customHeight="1"/>
    <row r="11646" ht="14.25" customHeight="1"/>
    <row r="11647" ht="14.25" customHeight="1"/>
    <row r="11648" ht="14.25" customHeight="1"/>
    <row r="11649" ht="14.25" customHeight="1"/>
    <row r="11650" ht="14.25" customHeight="1"/>
    <row r="11651" ht="14.25" customHeight="1"/>
    <row r="11652" ht="14.25" customHeight="1"/>
    <row r="11653" ht="14.25" customHeight="1"/>
    <row r="11654" ht="14.25" customHeight="1"/>
    <row r="11655" ht="14.25" customHeight="1"/>
    <row r="11656" ht="14.25" customHeight="1"/>
    <row r="11657" ht="14.25" customHeight="1"/>
    <row r="11658" ht="14.25" customHeight="1"/>
    <row r="11659" ht="14.25" customHeight="1"/>
    <row r="11660" ht="14.25" customHeight="1"/>
    <row r="11661" ht="14.25" customHeight="1"/>
    <row r="11662" ht="14.25" customHeight="1"/>
    <row r="11663" ht="14.25" customHeight="1"/>
    <row r="11664" ht="14.25" customHeight="1"/>
    <row r="11665" ht="14.25" customHeight="1"/>
    <row r="11666" ht="14.25" customHeight="1"/>
    <row r="11667" ht="14.25" customHeight="1"/>
    <row r="11668" ht="14.25" customHeight="1"/>
    <row r="11669" ht="14.25" customHeight="1"/>
    <row r="11670" ht="14.25" customHeight="1"/>
    <row r="11671" ht="14.25" customHeight="1"/>
    <row r="11672" ht="14.25" customHeight="1"/>
    <row r="11673" ht="14.25" customHeight="1"/>
    <row r="11674" ht="14.25" customHeight="1"/>
    <row r="11675" ht="14.25" customHeight="1"/>
    <row r="11676" ht="14.25" customHeight="1"/>
    <row r="11677" ht="14.25" customHeight="1"/>
    <row r="11678" ht="14.25" customHeight="1"/>
    <row r="11679" ht="14.25" customHeight="1"/>
    <row r="11680" ht="14.25" customHeight="1"/>
    <row r="11681" ht="14.25" customHeight="1"/>
    <row r="11682" ht="14.25" customHeight="1"/>
    <row r="11683" ht="14.25" customHeight="1"/>
    <row r="11684" ht="14.25" customHeight="1"/>
    <row r="11685" ht="14.25" customHeight="1"/>
    <row r="11686" ht="14.25" customHeight="1"/>
    <row r="11687" ht="14.25" customHeight="1"/>
    <row r="11688" ht="14.25" customHeight="1"/>
    <row r="11689" ht="14.25" customHeight="1"/>
    <row r="11690" ht="14.25" customHeight="1"/>
    <row r="11691" ht="14.25" customHeight="1"/>
    <row r="11692" ht="14.25" customHeight="1"/>
    <row r="11693" ht="14.25" customHeight="1"/>
    <row r="11694" ht="14.25" customHeight="1"/>
    <row r="11695" ht="14.25" customHeight="1"/>
    <row r="11696" ht="14.25" customHeight="1"/>
    <row r="11697" ht="14.25" customHeight="1"/>
    <row r="11698" ht="14.25" customHeight="1"/>
    <row r="11699" ht="14.25" customHeight="1"/>
    <row r="11700" ht="14.25" customHeight="1"/>
    <row r="11701" ht="14.25" customHeight="1"/>
    <row r="11702" ht="14.25" customHeight="1"/>
    <row r="11703" ht="14.25" customHeight="1"/>
    <row r="11704" ht="14.25" customHeight="1"/>
    <row r="11705" ht="14.25" customHeight="1"/>
    <row r="11706" ht="14.25" customHeight="1"/>
    <row r="11707" ht="14.25" customHeight="1"/>
    <row r="11708" ht="14.25" customHeight="1"/>
    <row r="11709" ht="14.25" customHeight="1"/>
    <row r="11710" ht="14.25" customHeight="1"/>
    <row r="11711" ht="14.25" customHeight="1"/>
    <row r="11712" ht="14.25" customHeight="1"/>
    <row r="11713" ht="14.25" customHeight="1"/>
    <row r="11714" ht="14.25" customHeight="1"/>
    <row r="11715" ht="14.25" customHeight="1"/>
    <row r="11716" ht="14.25" customHeight="1"/>
    <row r="11717" ht="14.25" customHeight="1"/>
    <row r="11718" ht="14.25" customHeight="1"/>
    <row r="11719" ht="14.25" customHeight="1"/>
    <row r="11720" ht="14.25" customHeight="1"/>
    <row r="11721" ht="14.25" customHeight="1"/>
    <row r="11722" ht="14.25" customHeight="1"/>
    <row r="11723" ht="14.25" customHeight="1"/>
    <row r="11724" ht="14.25" customHeight="1"/>
    <row r="11725" ht="14.25" customHeight="1"/>
    <row r="11726" ht="14.25" customHeight="1"/>
    <row r="11727" ht="14.25" customHeight="1"/>
    <row r="11728" ht="14.25" customHeight="1"/>
    <row r="11729" ht="14.25" customHeight="1"/>
    <row r="11730" ht="14.25" customHeight="1"/>
    <row r="11731" ht="14.25" customHeight="1"/>
    <row r="11732" ht="14.25" customHeight="1"/>
    <row r="11733" ht="14.25" customHeight="1"/>
    <row r="11734" ht="14.25" customHeight="1"/>
    <row r="11735" ht="14.25" customHeight="1"/>
    <row r="11736" ht="14.25" customHeight="1"/>
    <row r="11737" ht="14.25" customHeight="1"/>
    <row r="11738" ht="14.25" customHeight="1"/>
    <row r="11739" ht="14.25" customHeight="1"/>
    <row r="11740" ht="14.25" customHeight="1"/>
    <row r="11741" ht="14.25" customHeight="1"/>
    <row r="11742" ht="14.25" customHeight="1"/>
    <row r="11743" ht="14.25" customHeight="1"/>
    <row r="11744" ht="14.25" customHeight="1"/>
    <row r="11745" ht="14.25" customHeight="1"/>
    <row r="11746" ht="14.25" customHeight="1"/>
    <row r="11747" ht="14.25" customHeight="1"/>
    <row r="11748" ht="14.25" customHeight="1"/>
    <row r="11749" ht="14.25" customHeight="1"/>
    <row r="11750" ht="14.25" customHeight="1"/>
    <row r="11751" ht="14.25" customHeight="1"/>
    <row r="11752" ht="14.25" customHeight="1"/>
    <row r="11753" ht="14.25" customHeight="1"/>
    <row r="11754" ht="14.25" customHeight="1"/>
    <row r="11755" ht="14.25" customHeight="1"/>
    <row r="11756" ht="14.25" customHeight="1"/>
    <row r="11757" ht="14.25" customHeight="1"/>
    <row r="11758" ht="14.25" customHeight="1"/>
    <row r="11759" ht="14.25" customHeight="1"/>
    <row r="11760" ht="14.25" customHeight="1"/>
    <row r="11761" ht="14.25" customHeight="1"/>
    <row r="11762" ht="14.25" customHeight="1"/>
    <row r="11763" ht="14.25" customHeight="1"/>
    <row r="11764" ht="14.25" customHeight="1"/>
    <row r="11765" ht="14.25" customHeight="1"/>
    <row r="11766" ht="14.25" customHeight="1"/>
    <row r="11767" ht="14.25" customHeight="1"/>
    <row r="11768" ht="14.25" customHeight="1"/>
    <row r="11769" ht="14.25" customHeight="1"/>
    <row r="11770" ht="14.25" customHeight="1"/>
    <row r="11771" ht="14.25" customHeight="1"/>
    <row r="11772" ht="14.25" customHeight="1"/>
    <row r="11773" ht="14.25" customHeight="1"/>
    <row r="11774" ht="14.25" customHeight="1"/>
    <row r="11775" ht="14.25" customHeight="1"/>
    <row r="11776" ht="14.25" customHeight="1"/>
    <row r="11777" ht="14.25" customHeight="1"/>
    <row r="11778" ht="14.25" customHeight="1"/>
    <row r="11779" ht="14.25" customHeight="1"/>
    <row r="11780" ht="14.25" customHeight="1"/>
    <row r="11781" ht="14.25" customHeight="1"/>
    <row r="11782" ht="14.25" customHeight="1"/>
    <row r="11783" ht="14.25" customHeight="1"/>
    <row r="11784" ht="14.25" customHeight="1"/>
    <row r="11785" ht="14.25" customHeight="1"/>
    <row r="11786" ht="14.25" customHeight="1"/>
    <row r="11787" ht="14.25" customHeight="1"/>
    <row r="11788" ht="14.25" customHeight="1"/>
    <row r="11789" ht="14.25" customHeight="1"/>
    <row r="11790" ht="14.25" customHeight="1"/>
    <row r="11791" ht="14.25" customHeight="1"/>
    <row r="11792" ht="14.25" customHeight="1"/>
    <row r="11793" ht="14.25" customHeight="1"/>
    <row r="11794" ht="14.25" customHeight="1"/>
    <row r="11795" ht="14.25" customHeight="1"/>
    <row r="11796" ht="14.25" customHeight="1"/>
    <row r="11797" ht="14.25" customHeight="1"/>
    <row r="11798" ht="14.25" customHeight="1"/>
    <row r="11799" ht="14.25" customHeight="1"/>
    <row r="11800" ht="14.25" customHeight="1"/>
    <row r="11801" ht="14.25" customHeight="1"/>
    <row r="11802" ht="14.25" customHeight="1"/>
    <row r="11803" ht="14.25" customHeight="1"/>
    <row r="11804" ht="14.25" customHeight="1"/>
    <row r="11805" ht="14.25" customHeight="1"/>
    <row r="11806" ht="14.25" customHeight="1"/>
    <row r="11807" ht="14.25" customHeight="1"/>
    <row r="11808" ht="14.25" customHeight="1"/>
    <row r="11809" ht="14.25" customHeight="1"/>
    <row r="11810" ht="14.25" customHeight="1"/>
    <row r="11811" ht="14.25" customHeight="1"/>
    <row r="11812" ht="14.25" customHeight="1"/>
    <row r="11813" ht="14.25" customHeight="1"/>
    <row r="11814" ht="14.25" customHeight="1"/>
    <row r="11815" ht="14.25" customHeight="1"/>
    <row r="11816" ht="14.25" customHeight="1"/>
    <row r="11817" ht="14.25" customHeight="1"/>
    <row r="11818" ht="14.25" customHeight="1"/>
    <row r="11819" ht="14.25" customHeight="1"/>
    <row r="11820" ht="14.25" customHeight="1"/>
    <row r="11821" ht="14.25" customHeight="1"/>
    <row r="11822" ht="14.25" customHeight="1"/>
    <row r="11823" ht="14.25" customHeight="1"/>
    <row r="11824" ht="14.25" customHeight="1"/>
    <row r="11825" ht="14.25" customHeight="1"/>
    <row r="11826" ht="14.25" customHeight="1"/>
    <row r="11827" ht="14.25" customHeight="1"/>
    <row r="11828" ht="14.25" customHeight="1"/>
    <row r="11829" ht="14.25" customHeight="1"/>
    <row r="11830" ht="14.25" customHeight="1"/>
    <row r="11831" ht="14.25" customHeight="1"/>
    <row r="11832" ht="14.25" customHeight="1"/>
    <row r="11833" ht="14.25" customHeight="1"/>
    <row r="11834" ht="14.25" customHeight="1"/>
    <row r="11835" ht="14.25" customHeight="1"/>
    <row r="11836" ht="14.25" customHeight="1"/>
    <row r="11837" ht="14.25" customHeight="1"/>
    <row r="11838" ht="14.25" customHeight="1"/>
    <row r="11839" ht="14.25" customHeight="1"/>
    <row r="11840" ht="14.25" customHeight="1"/>
    <row r="11841" ht="14.25" customHeight="1"/>
    <row r="11842" ht="14.25" customHeight="1"/>
    <row r="11843" ht="14.25" customHeight="1"/>
    <row r="11844" ht="14.25" customHeight="1"/>
    <row r="11845" ht="14.25" customHeight="1"/>
    <row r="11846" ht="14.25" customHeight="1"/>
    <row r="11847" ht="14.25" customHeight="1"/>
    <row r="11848" ht="14.25" customHeight="1"/>
    <row r="11849" ht="14.25" customHeight="1"/>
    <row r="11850" ht="14.25" customHeight="1"/>
    <row r="11851" ht="14.25" customHeight="1"/>
    <row r="11852" ht="14.25" customHeight="1"/>
    <row r="11853" ht="14.25" customHeight="1"/>
    <row r="11854" ht="14.25" customHeight="1"/>
    <row r="11855" ht="14.25" customHeight="1"/>
    <row r="11856" ht="14.25" customHeight="1"/>
    <row r="11857" ht="14.25" customHeight="1"/>
    <row r="11858" ht="14.25" customHeight="1"/>
    <row r="11859" ht="14.25" customHeight="1"/>
    <row r="11860" ht="14.25" customHeight="1"/>
    <row r="11861" ht="14.25" customHeight="1"/>
    <row r="11862" ht="14.25" customHeight="1"/>
    <row r="11863" ht="14.25" customHeight="1"/>
    <row r="11864" ht="14.25" customHeight="1"/>
    <row r="11865" ht="14.25" customHeight="1"/>
    <row r="11866" ht="14.25" customHeight="1"/>
    <row r="11867" ht="14.25" customHeight="1"/>
    <row r="11868" ht="14.25" customHeight="1"/>
    <row r="11869" ht="14.25" customHeight="1"/>
    <row r="11870" ht="14.25" customHeight="1"/>
    <row r="11871" ht="14.25" customHeight="1"/>
    <row r="11872" ht="14.25" customHeight="1"/>
    <row r="11873" ht="14.25" customHeight="1"/>
    <row r="11874" ht="14.25" customHeight="1"/>
    <row r="11875" ht="14.25" customHeight="1"/>
    <row r="11876" ht="14.25" customHeight="1"/>
    <row r="11877" ht="14.25" customHeight="1"/>
    <row r="11878" ht="14.25" customHeight="1"/>
    <row r="11879" ht="14.25" customHeight="1"/>
    <row r="11880" ht="14.25" customHeight="1"/>
    <row r="11881" ht="14.25" customHeight="1"/>
    <row r="11882" ht="14.25" customHeight="1"/>
    <row r="11883" ht="14.25" customHeight="1"/>
    <row r="11884" ht="14.25" customHeight="1"/>
    <row r="11885" ht="14.25" customHeight="1"/>
    <row r="11886" ht="14.25" customHeight="1"/>
    <row r="11887" ht="14.25" customHeight="1"/>
    <row r="11888" ht="14.25" customHeight="1"/>
    <row r="11889" ht="14.25" customHeight="1"/>
    <row r="11890" ht="14.25" customHeight="1"/>
    <row r="11891" ht="14.25" customHeight="1"/>
    <row r="11892" ht="14.25" customHeight="1"/>
    <row r="11893" ht="14.25" customHeight="1"/>
    <row r="11894" ht="14.25" customHeight="1"/>
    <row r="11895" ht="14.25" customHeight="1"/>
    <row r="11896" ht="14.25" customHeight="1"/>
    <row r="11897" ht="14.25" customHeight="1"/>
    <row r="11898" ht="14.25" customHeight="1"/>
    <row r="11899" ht="14.25" customHeight="1"/>
    <row r="11900" ht="14.25" customHeight="1"/>
    <row r="11901" ht="14.25" customHeight="1"/>
    <row r="11902" ht="14.25" customHeight="1"/>
    <row r="11903" ht="14.25" customHeight="1"/>
    <row r="11904" ht="14.25" customHeight="1"/>
    <row r="11905" ht="14.25" customHeight="1"/>
    <row r="11906" ht="14.25" customHeight="1"/>
    <row r="11907" ht="14.25" customHeight="1"/>
    <row r="11908" ht="14.25" customHeight="1"/>
    <row r="11909" ht="14.25" customHeight="1"/>
    <row r="11910" ht="14.25" customHeight="1"/>
    <row r="11911" ht="14.25" customHeight="1"/>
    <row r="11912" ht="14.25" customHeight="1"/>
    <row r="11913" ht="14.25" customHeight="1"/>
    <row r="11914" ht="14.25" customHeight="1"/>
    <row r="11915" ht="14.25" customHeight="1"/>
    <row r="11916" ht="14.25" customHeight="1"/>
    <row r="11917" ht="14.25" customHeight="1"/>
    <row r="11918" ht="14.25" customHeight="1"/>
    <row r="11919" ht="14.25" customHeight="1"/>
    <row r="11920" ht="14.25" customHeight="1"/>
    <row r="11921" ht="14.25" customHeight="1"/>
    <row r="11922" ht="14.25" customHeight="1"/>
    <row r="11923" ht="14.25" customHeight="1"/>
    <row r="11924" ht="14.25" customHeight="1"/>
    <row r="11925" ht="14.25" customHeight="1"/>
    <row r="11926" ht="14.25" customHeight="1"/>
    <row r="11927" ht="14.25" customHeight="1"/>
    <row r="11928" ht="14.25" customHeight="1"/>
    <row r="11929" ht="14.25" customHeight="1"/>
    <row r="11930" ht="14.25" customHeight="1"/>
    <row r="11931" ht="14.25" customHeight="1"/>
    <row r="11932" ht="14.25" customHeight="1"/>
    <row r="11933" ht="14.25" customHeight="1"/>
    <row r="11934" ht="14.25" customHeight="1"/>
    <row r="11935" ht="14.25" customHeight="1"/>
    <row r="11936" ht="14.25" customHeight="1"/>
    <row r="11937" ht="14.25" customHeight="1"/>
    <row r="11938" ht="14.25" customHeight="1"/>
    <row r="11939" ht="14.25" customHeight="1"/>
    <row r="11940" ht="14.25" customHeight="1"/>
    <row r="11941" ht="14.25" customHeight="1"/>
    <row r="11942" ht="14.25" customHeight="1"/>
    <row r="11943" ht="14.25" customHeight="1"/>
    <row r="11944" ht="14.25" customHeight="1"/>
    <row r="11945" ht="14.25" customHeight="1"/>
    <row r="11946" ht="14.25" customHeight="1"/>
    <row r="11947" ht="14.25" customHeight="1"/>
    <row r="11948" ht="14.25" customHeight="1"/>
    <row r="11949" ht="14.25" customHeight="1"/>
    <row r="11950" ht="14.25" customHeight="1"/>
    <row r="11951" ht="14.25" customHeight="1"/>
    <row r="11952" ht="14.25" customHeight="1"/>
    <row r="11953" ht="14.25" customHeight="1"/>
    <row r="11954" ht="14.25" customHeight="1"/>
    <row r="11955" ht="14.25" customHeight="1"/>
    <row r="11956" ht="14.25" customHeight="1"/>
    <row r="11957" ht="14.25" customHeight="1"/>
    <row r="11958" ht="14.25" customHeight="1"/>
    <row r="11959" ht="14.25" customHeight="1"/>
    <row r="11960" ht="14.25" customHeight="1"/>
    <row r="11961" ht="14.25" customHeight="1"/>
    <row r="11962" ht="14.25" customHeight="1"/>
    <row r="11963" ht="14.25" customHeight="1"/>
    <row r="11964" ht="14.25" customHeight="1"/>
    <row r="11965" ht="14.25" customHeight="1"/>
    <row r="11966" ht="14.25" customHeight="1"/>
    <row r="11967" ht="14.25" customHeight="1"/>
    <row r="11968" ht="14.25" customHeight="1"/>
    <row r="11969" ht="14.25" customHeight="1"/>
    <row r="11970" ht="14.25" customHeight="1"/>
    <row r="11971" ht="14.25" customHeight="1"/>
    <row r="11972" ht="14.25" customHeight="1"/>
    <row r="11973" ht="14.25" customHeight="1"/>
    <row r="11974" ht="14.25" customHeight="1"/>
    <row r="11975" ht="14.25" customHeight="1"/>
    <row r="11976" ht="14.25" customHeight="1"/>
    <row r="11977" ht="14.25" customHeight="1"/>
    <row r="11978" ht="14.25" customHeight="1"/>
    <row r="11979" ht="14.25" customHeight="1"/>
    <row r="11980" ht="14.25" customHeight="1"/>
    <row r="11981" ht="14.25" customHeight="1"/>
    <row r="11982" ht="14.25" customHeight="1"/>
    <row r="11983" ht="14.25" customHeight="1"/>
    <row r="11984" ht="14.25" customHeight="1"/>
    <row r="11985" ht="14.25" customHeight="1"/>
    <row r="11986" ht="14.25" customHeight="1"/>
    <row r="11987" ht="14.25" customHeight="1"/>
    <row r="11988" ht="14.25" customHeight="1"/>
    <row r="11989" ht="14.25" customHeight="1"/>
    <row r="11990" ht="14.25" customHeight="1"/>
    <row r="11991" ht="14.25" customHeight="1"/>
    <row r="11992" ht="14.25" customHeight="1"/>
    <row r="11993" ht="14.25" customHeight="1"/>
    <row r="11994" ht="14.25" customHeight="1"/>
    <row r="11995" ht="14.25" customHeight="1"/>
    <row r="11996" ht="14.25" customHeight="1"/>
    <row r="11997" ht="14.25" customHeight="1"/>
    <row r="11998" ht="14.25" customHeight="1"/>
    <row r="11999" ht="14.25" customHeight="1"/>
    <row r="12000" ht="14.25" customHeight="1"/>
    <row r="12001" ht="14.25" customHeight="1"/>
    <row r="12002" ht="14.25" customHeight="1"/>
    <row r="12003" ht="14.25" customHeight="1"/>
    <row r="12004" ht="14.25" customHeight="1"/>
    <row r="12005" ht="14.25" customHeight="1"/>
    <row r="12006" ht="14.25" customHeight="1"/>
    <row r="12007" ht="14.25" customHeight="1"/>
    <row r="12008" ht="14.25" customHeight="1"/>
    <row r="12009" ht="14.25" customHeight="1"/>
    <row r="12010" ht="14.25" customHeight="1"/>
    <row r="12011" ht="14.25" customHeight="1"/>
    <row r="12012" ht="14.25" customHeight="1"/>
    <row r="12013" ht="14.25" customHeight="1"/>
    <row r="12014" ht="14.25" customHeight="1"/>
    <row r="12015" ht="14.25" customHeight="1"/>
    <row r="12016" ht="14.25" customHeight="1"/>
    <row r="12017" ht="14.25" customHeight="1"/>
    <row r="12018" ht="14.25" customHeight="1"/>
    <row r="12019" ht="14.25" customHeight="1"/>
    <row r="12020" ht="14.25" customHeight="1"/>
    <row r="12021" ht="14.25" customHeight="1"/>
    <row r="12022" ht="14.25" customHeight="1"/>
    <row r="12023" ht="14.25" customHeight="1"/>
    <row r="12024" ht="14.25" customHeight="1"/>
    <row r="12025" ht="14.25" customHeight="1"/>
    <row r="12026" ht="14.25" customHeight="1"/>
    <row r="12027" ht="14.25" customHeight="1"/>
    <row r="12028" ht="14.25" customHeight="1"/>
    <row r="12029" ht="14.25" customHeight="1"/>
    <row r="12030" ht="14.25" customHeight="1"/>
    <row r="12031" ht="14.25" customHeight="1"/>
    <row r="12032" ht="14.25" customHeight="1"/>
    <row r="12033" ht="14.25" customHeight="1"/>
    <row r="12034" ht="14.25" customHeight="1"/>
    <row r="12035" ht="14.25" customHeight="1"/>
    <row r="12036" ht="14.25" customHeight="1"/>
    <row r="12037" ht="14.25" customHeight="1"/>
    <row r="12038" ht="14.25" customHeight="1"/>
    <row r="12039" ht="14.25" customHeight="1"/>
    <row r="12040" ht="14.25" customHeight="1"/>
    <row r="12041" ht="14.25" customHeight="1"/>
    <row r="12042" ht="14.25" customHeight="1"/>
    <row r="12043" ht="14.25" customHeight="1"/>
    <row r="12044" ht="14.25" customHeight="1"/>
    <row r="12045" ht="14.25" customHeight="1"/>
    <row r="12046" ht="14.25" customHeight="1"/>
    <row r="12047" ht="14.25" customHeight="1"/>
    <row r="12048" ht="14.25" customHeight="1"/>
    <row r="12049" ht="14.25" customHeight="1"/>
    <row r="12050" ht="14.25" customHeight="1"/>
    <row r="12051" ht="14.25" customHeight="1"/>
    <row r="12052" ht="14.25" customHeight="1"/>
    <row r="12053" ht="14.25" customHeight="1"/>
    <row r="12054" ht="14.25" customHeight="1"/>
    <row r="12055" ht="14.25" customHeight="1"/>
    <row r="12056" ht="14.25" customHeight="1"/>
    <row r="12057" ht="14.25" customHeight="1"/>
    <row r="12058" ht="14.25" customHeight="1"/>
    <row r="12059" ht="14.25" customHeight="1"/>
    <row r="12060" ht="14.25" customHeight="1"/>
    <row r="12061" ht="14.25" customHeight="1"/>
    <row r="12062" ht="14.25" customHeight="1"/>
    <row r="12063" ht="14.25" customHeight="1"/>
    <row r="12064" ht="14.25" customHeight="1"/>
    <row r="12065" ht="14.25" customHeight="1"/>
    <row r="12066" ht="14.25" customHeight="1"/>
    <row r="12067" ht="14.25" customHeight="1"/>
    <row r="12068" ht="14.25" customHeight="1"/>
    <row r="12069" ht="14.25" customHeight="1"/>
    <row r="12070" ht="14.25" customHeight="1"/>
    <row r="12071" ht="14.25" customHeight="1"/>
    <row r="12072" ht="14.25" customHeight="1"/>
    <row r="12073" ht="14.25" customHeight="1"/>
    <row r="12074" ht="14.25" customHeight="1"/>
    <row r="12075" ht="14.25" customHeight="1"/>
    <row r="12076" ht="14.25" customHeight="1"/>
    <row r="12077" ht="14.25" customHeight="1"/>
    <row r="12078" ht="14.25" customHeight="1"/>
    <row r="12079" ht="14.25" customHeight="1"/>
    <row r="12080" ht="14.25" customHeight="1"/>
    <row r="12081" ht="14.25" customHeight="1"/>
    <row r="12082" ht="14.25" customHeight="1"/>
    <row r="12083" ht="14.25" customHeight="1"/>
    <row r="12084" ht="14.25" customHeight="1"/>
    <row r="12085" ht="14.25" customHeight="1"/>
    <row r="12086" ht="14.25" customHeight="1"/>
    <row r="12087" ht="14.25" customHeight="1"/>
    <row r="12088" ht="14.25" customHeight="1"/>
    <row r="12089" ht="14.25" customHeight="1"/>
    <row r="12090" ht="14.25" customHeight="1"/>
    <row r="12091" ht="14.25" customHeight="1"/>
    <row r="12092" ht="14.25" customHeight="1"/>
    <row r="12093" ht="14.25" customHeight="1"/>
    <row r="12094" ht="14.25" customHeight="1"/>
    <row r="12095" ht="14.25" customHeight="1"/>
    <row r="12096" ht="14.25" customHeight="1"/>
    <row r="12097" ht="14.25" customHeight="1"/>
    <row r="12098" ht="14.25" customHeight="1"/>
    <row r="12099" ht="14.25" customHeight="1"/>
    <row r="12100" ht="14.25" customHeight="1"/>
    <row r="12101" ht="14.25" customHeight="1"/>
    <row r="12102" ht="14.25" customHeight="1"/>
    <row r="12103" ht="14.25" customHeight="1"/>
    <row r="12104" ht="14.25" customHeight="1"/>
    <row r="12105" ht="14.25" customHeight="1"/>
    <row r="12106" ht="14.25" customHeight="1"/>
    <row r="12107" ht="14.25" customHeight="1"/>
    <row r="12108" ht="14.25" customHeight="1"/>
    <row r="12109" ht="14.25" customHeight="1"/>
    <row r="12110" ht="14.25" customHeight="1"/>
    <row r="12111" ht="14.25" customHeight="1"/>
    <row r="12112" ht="14.25" customHeight="1"/>
    <row r="12113" ht="14.25" customHeight="1"/>
    <row r="12114" ht="14.25" customHeight="1"/>
    <row r="12115" ht="14.25" customHeight="1"/>
    <row r="12116" ht="14.25" customHeight="1"/>
    <row r="12117" ht="14.25" customHeight="1"/>
    <row r="12118" ht="14.25" customHeight="1"/>
    <row r="12119" ht="14.25" customHeight="1"/>
    <row r="12120" ht="14.25" customHeight="1"/>
    <row r="12121" ht="14.25" customHeight="1"/>
    <row r="12122" ht="14.25" customHeight="1"/>
    <row r="12123" ht="14.25" customHeight="1"/>
    <row r="12124" ht="14.25" customHeight="1"/>
    <row r="12125" ht="14.25" customHeight="1"/>
    <row r="12126" ht="14.25" customHeight="1"/>
    <row r="12127" ht="14.25" customHeight="1"/>
    <row r="12128" ht="14.25" customHeight="1"/>
    <row r="12129" ht="14.25" customHeight="1"/>
    <row r="12130" ht="14.25" customHeight="1"/>
    <row r="12131" ht="14.25" customHeight="1"/>
    <row r="12132" ht="14.25" customHeight="1"/>
    <row r="12133" ht="14.25" customHeight="1"/>
    <row r="12134" ht="14.25" customHeight="1"/>
    <row r="12135" ht="14.25" customHeight="1"/>
    <row r="12136" ht="14.25" customHeight="1"/>
    <row r="12137" ht="14.25" customHeight="1"/>
    <row r="12138" ht="14.25" customHeight="1"/>
    <row r="12139" ht="14.25" customHeight="1"/>
    <row r="12140" ht="14.25" customHeight="1"/>
    <row r="12141" ht="14.25" customHeight="1"/>
    <row r="12142" ht="14.25" customHeight="1"/>
    <row r="12143" ht="14.25" customHeight="1"/>
    <row r="12144" ht="14.25" customHeight="1"/>
    <row r="12145" ht="14.25" customHeight="1"/>
    <row r="12146" ht="14.25" customHeight="1"/>
    <row r="12147" ht="14.25" customHeight="1"/>
    <row r="12148" ht="14.25" customHeight="1"/>
    <row r="12149" ht="14.25" customHeight="1"/>
    <row r="12150" ht="14.25" customHeight="1"/>
    <row r="12151" ht="14.25" customHeight="1"/>
    <row r="12152" ht="14.25" customHeight="1"/>
    <row r="12153" ht="14.25" customHeight="1"/>
    <row r="12154" ht="14.25" customHeight="1"/>
    <row r="12155" ht="14.25" customHeight="1"/>
    <row r="12156" ht="14.25" customHeight="1"/>
    <row r="12157" ht="14.25" customHeight="1"/>
    <row r="12158" ht="14.25" customHeight="1"/>
    <row r="12159" ht="14.25" customHeight="1"/>
    <row r="12160" ht="14.25" customHeight="1"/>
    <row r="12161" ht="14.25" customHeight="1"/>
    <row r="12162" ht="14.25" customHeight="1"/>
    <row r="12163" ht="14.25" customHeight="1"/>
    <row r="12164" ht="14.25" customHeight="1"/>
    <row r="12165" ht="14.25" customHeight="1"/>
    <row r="12166" ht="14.25" customHeight="1"/>
    <row r="12167" ht="14.25" customHeight="1"/>
    <row r="12168" ht="14.25" customHeight="1"/>
    <row r="12169" ht="14.25" customHeight="1"/>
    <row r="12170" ht="14.25" customHeight="1"/>
    <row r="12171" ht="14.25" customHeight="1"/>
    <row r="12172" ht="14.25" customHeight="1"/>
    <row r="12173" ht="14.25" customHeight="1"/>
    <row r="12174" ht="14.25" customHeight="1"/>
    <row r="12175" ht="14.25" customHeight="1"/>
    <row r="12176" ht="14.25" customHeight="1"/>
    <row r="12177" ht="14.25" customHeight="1"/>
    <row r="12178" ht="14.25" customHeight="1"/>
    <row r="12179" ht="14.25" customHeight="1"/>
    <row r="12180" ht="14.25" customHeight="1"/>
    <row r="12181" ht="14.25" customHeight="1"/>
    <row r="12182" ht="14.25" customHeight="1"/>
    <row r="12183" ht="14.25" customHeight="1"/>
    <row r="12184" ht="14.25" customHeight="1"/>
    <row r="12185" ht="14.25" customHeight="1"/>
    <row r="12186" ht="14.25" customHeight="1"/>
    <row r="12187" ht="14.25" customHeight="1"/>
    <row r="12188" ht="14.25" customHeight="1"/>
    <row r="12189" ht="14.25" customHeight="1"/>
    <row r="12190" ht="14.25" customHeight="1"/>
    <row r="12191" ht="14.25" customHeight="1"/>
    <row r="12192" ht="14.25" customHeight="1"/>
    <row r="12193" ht="14.25" customHeight="1"/>
    <row r="12194" ht="14.25" customHeight="1"/>
    <row r="12195" ht="14.25" customHeight="1"/>
    <row r="12196" ht="14.25" customHeight="1"/>
    <row r="12197" ht="14.25" customHeight="1"/>
    <row r="12198" ht="14.25" customHeight="1"/>
    <row r="12199" ht="14.25" customHeight="1"/>
    <row r="12200" ht="14.25" customHeight="1"/>
    <row r="12201" ht="14.25" customHeight="1"/>
    <row r="12202" ht="14.25" customHeight="1"/>
    <row r="12203" ht="14.25" customHeight="1"/>
    <row r="12204" ht="14.25" customHeight="1"/>
    <row r="12205" ht="14.25" customHeight="1"/>
    <row r="12206" ht="14.25" customHeight="1"/>
    <row r="12207" ht="14.25" customHeight="1"/>
    <row r="12208" ht="14.25" customHeight="1"/>
    <row r="12209" ht="14.25" customHeight="1"/>
    <row r="12210" ht="14.25" customHeight="1"/>
    <row r="12211" ht="14.25" customHeight="1"/>
    <row r="12212" ht="14.25" customHeight="1"/>
    <row r="12213" ht="14.25" customHeight="1"/>
    <row r="12214" ht="14.25" customHeight="1"/>
    <row r="12215" ht="14.25" customHeight="1"/>
    <row r="12216" ht="14.25" customHeight="1"/>
    <row r="12217" ht="14.25" customHeight="1"/>
    <row r="12218" ht="14.25" customHeight="1"/>
    <row r="12219" ht="14.25" customHeight="1"/>
    <row r="12220" ht="14.25" customHeight="1"/>
    <row r="12221" ht="14.25" customHeight="1"/>
    <row r="12222" ht="14.25" customHeight="1"/>
    <row r="12223" ht="14.25" customHeight="1"/>
    <row r="12224" ht="14.25" customHeight="1"/>
    <row r="12225" ht="14.25" customHeight="1"/>
    <row r="12226" ht="14.25" customHeight="1"/>
    <row r="12227" ht="14.25" customHeight="1"/>
    <row r="12228" ht="14.25" customHeight="1"/>
    <row r="12229" ht="14.25" customHeight="1"/>
    <row r="12230" ht="14.25" customHeight="1"/>
    <row r="12231" ht="14.25" customHeight="1"/>
    <row r="12232" ht="14.25" customHeight="1"/>
    <row r="12233" ht="14.25" customHeight="1"/>
    <row r="12234" ht="14.25" customHeight="1"/>
    <row r="12235" ht="14.25" customHeight="1"/>
    <row r="12236" ht="14.25" customHeight="1"/>
    <row r="12237" ht="14.25" customHeight="1"/>
    <row r="12238" ht="14.25" customHeight="1"/>
    <row r="12239" ht="14.25" customHeight="1"/>
    <row r="12240" ht="14.25" customHeight="1"/>
    <row r="12241" ht="14.25" customHeight="1"/>
    <row r="12242" ht="14.25" customHeight="1"/>
    <row r="12243" ht="14.25" customHeight="1"/>
    <row r="12244" ht="14.25" customHeight="1"/>
    <row r="12245" ht="14.25" customHeight="1"/>
    <row r="12246" ht="14.25" customHeight="1"/>
    <row r="12247" ht="14.25" customHeight="1"/>
    <row r="12248" ht="14.25" customHeight="1"/>
    <row r="12249" ht="14.25" customHeight="1"/>
    <row r="12250" ht="14.25" customHeight="1"/>
    <row r="12251" ht="14.25" customHeight="1"/>
    <row r="12252" ht="14.25" customHeight="1"/>
    <row r="12253" ht="14.25" customHeight="1"/>
    <row r="12254" ht="14.25" customHeight="1"/>
    <row r="12255" ht="14.25" customHeight="1"/>
    <row r="12256" ht="14.25" customHeight="1"/>
    <row r="12257" ht="14.25" customHeight="1"/>
    <row r="12258" ht="14.25" customHeight="1"/>
    <row r="12259" ht="14.25" customHeight="1"/>
    <row r="12260" ht="14.25" customHeight="1"/>
    <row r="12261" ht="14.25" customHeight="1"/>
    <row r="12262" ht="14.25" customHeight="1"/>
    <row r="12263" ht="14.25" customHeight="1"/>
    <row r="12264" ht="14.25" customHeight="1"/>
    <row r="12265" ht="14.25" customHeight="1"/>
    <row r="12266" ht="14.25" customHeight="1"/>
    <row r="12267" ht="14.25" customHeight="1"/>
    <row r="12268" ht="14.25" customHeight="1"/>
    <row r="12269" ht="14.25" customHeight="1"/>
    <row r="12270" ht="14.25" customHeight="1"/>
    <row r="12271" ht="14.25" customHeight="1"/>
    <row r="12272" ht="14.25" customHeight="1"/>
    <row r="12273" ht="14.25" customHeight="1"/>
    <row r="12274" ht="14.25" customHeight="1"/>
    <row r="12275" ht="14.25" customHeight="1"/>
    <row r="12276" ht="14.25" customHeight="1"/>
    <row r="12277" ht="14.25" customHeight="1"/>
    <row r="12278" ht="14.25" customHeight="1"/>
    <row r="12279" ht="14.25" customHeight="1"/>
    <row r="12280" ht="14.25" customHeight="1"/>
    <row r="12281" ht="14.25" customHeight="1"/>
    <row r="12282" ht="14.25" customHeight="1"/>
    <row r="12283" ht="14.25" customHeight="1"/>
    <row r="12284" ht="14.25" customHeight="1"/>
    <row r="12285" ht="14.25" customHeight="1"/>
    <row r="12286" ht="14.25" customHeight="1"/>
    <row r="12287" ht="14.25" customHeight="1"/>
    <row r="12288" ht="14.25" customHeight="1"/>
    <row r="12289" ht="14.25" customHeight="1"/>
    <row r="12290" ht="14.25" customHeight="1"/>
    <row r="12291" ht="14.25" customHeight="1"/>
    <row r="12292" ht="14.25" customHeight="1"/>
    <row r="12293" ht="14.25" customHeight="1"/>
    <row r="12294" ht="14.25" customHeight="1"/>
    <row r="12295" ht="14.25" customHeight="1"/>
    <row r="12296" ht="14.25" customHeight="1"/>
    <row r="12297" ht="14.25" customHeight="1"/>
    <row r="12298" ht="14.25" customHeight="1"/>
    <row r="12299" ht="14.25" customHeight="1"/>
    <row r="12300" ht="14.25" customHeight="1"/>
    <row r="12301" ht="14.25" customHeight="1"/>
    <row r="12302" ht="14.25" customHeight="1"/>
    <row r="12303" ht="14.25" customHeight="1"/>
    <row r="12304" ht="14.25" customHeight="1"/>
    <row r="12305" ht="14.25" customHeight="1"/>
    <row r="12306" ht="14.25" customHeight="1"/>
    <row r="12307" ht="14.25" customHeight="1"/>
    <row r="12308" ht="14.25" customHeight="1"/>
    <row r="12309" ht="14.25" customHeight="1"/>
    <row r="12310" ht="14.25" customHeight="1"/>
    <row r="12311" ht="14.25" customHeight="1"/>
    <row r="12312" ht="14.25" customHeight="1"/>
    <row r="12313" ht="14.25" customHeight="1"/>
    <row r="12314" ht="14.25" customHeight="1"/>
    <row r="12315" ht="14.25" customHeight="1"/>
    <row r="12316" ht="14.25" customHeight="1"/>
    <row r="12317" ht="14.25" customHeight="1"/>
    <row r="12318" ht="14.25" customHeight="1"/>
    <row r="12319" ht="14.25" customHeight="1"/>
    <row r="12320" ht="14.25" customHeight="1"/>
    <row r="12321" ht="14.25" customHeight="1"/>
    <row r="12322" ht="14.25" customHeight="1"/>
    <row r="12323" ht="14.25" customHeight="1"/>
    <row r="12324" ht="14.25" customHeight="1"/>
    <row r="12325" ht="14.25" customHeight="1"/>
    <row r="12326" ht="14.25" customHeight="1"/>
    <row r="12327" ht="14.25" customHeight="1"/>
    <row r="12328" ht="14.25" customHeight="1"/>
    <row r="12329" ht="14.25" customHeight="1"/>
    <row r="12330" ht="14.25" customHeight="1"/>
    <row r="12331" ht="14.25" customHeight="1"/>
    <row r="12332" ht="14.25" customHeight="1"/>
    <row r="12333" ht="14.25" customHeight="1"/>
    <row r="12334" ht="14.25" customHeight="1"/>
    <row r="12335" ht="14.25" customHeight="1"/>
    <row r="12336" ht="14.25" customHeight="1"/>
    <row r="12337" ht="14.25" customHeight="1"/>
    <row r="12338" ht="14.25" customHeight="1"/>
    <row r="12339" ht="14.25" customHeight="1"/>
    <row r="12340" ht="14.25" customHeight="1"/>
    <row r="12341" ht="14.25" customHeight="1"/>
    <row r="12342" ht="14.25" customHeight="1"/>
    <row r="12343" ht="14.25" customHeight="1"/>
    <row r="12344" ht="14.25" customHeight="1"/>
    <row r="12345" ht="14.25" customHeight="1"/>
    <row r="12346" ht="14.25" customHeight="1"/>
    <row r="12347" ht="14.25" customHeight="1"/>
    <row r="12348" ht="14.25" customHeight="1"/>
    <row r="12349" ht="14.25" customHeight="1"/>
    <row r="12350" ht="14.25" customHeight="1"/>
    <row r="12351" ht="14.25" customHeight="1"/>
    <row r="12352" ht="14.25" customHeight="1"/>
    <row r="12353" ht="14.25" customHeight="1"/>
    <row r="12354" ht="14.25" customHeight="1"/>
    <row r="12355" ht="14.25" customHeight="1"/>
    <row r="12356" ht="14.25" customHeight="1"/>
    <row r="12357" ht="14.25" customHeight="1"/>
    <row r="12358" ht="14.25" customHeight="1"/>
    <row r="12359" ht="14.25" customHeight="1"/>
    <row r="12360" ht="14.25" customHeight="1"/>
    <row r="12361" ht="14.25" customHeight="1"/>
    <row r="12362" ht="14.25" customHeight="1"/>
    <row r="12363" ht="14.25" customHeight="1"/>
    <row r="12364" ht="14.25" customHeight="1"/>
    <row r="12365" ht="14.25" customHeight="1"/>
    <row r="12366" ht="14.25" customHeight="1"/>
    <row r="12367" ht="14.25" customHeight="1"/>
    <row r="12368" ht="14.25" customHeight="1"/>
    <row r="12369" ht="14.25" customHeight="1"/>
    <row r="12370" ht="14.25" customHeight="1"/>
    <row r="12371" ht="14.25" customHeight="1"/>
    <row r="12372" ht="14.25" customHeight="1"/>
    <row r="12373" ht="14.25" customHeight="1"/>
    <row r="12374" ht="14.25" customHeight="1"/>
    <row r="12375" ht="14.25" customHeight="1"/>
    <row r="12376" ht="14.25" customHeight="1"/>
    <row r="12377" ht="14.25" customHeight="1"/>
    <row r="12378" ht="14.25" customHeight="1"/>
    <row r="12379" ht="14.25" customHeight="1"/>
    <row r="12380" ht="14.25" customHeight="1"/>
    <row r="12381" ht="14.25" customHeight="1"/>
    <row r="12382" ht="14.25" customHeight="1"/>
    <row r="12383" ht="14.25" customHeight="1"/>
    <row r="12384" ht="14.25" customHeight="1"/>
    <row r="12385" ht="14.25" customHeight="1"/>
    <row r="12386" ht="14.25" customHeight="1"/>
    <row r="12387" ht="14.25" customHeight="1"/>
    <row r="12388" ht="14.25" customHeight="1"/>
    <row r="12389" ht="14.25" customHeight="1"/>
    <row r="12390" ht="14.25" customHeight="1"/>
    <row r="12391" ht="14.25" customHeight="1"/>
    <row r="12392" ht="14.25" customHeight="1"/>
    <row r="12393" ht="14.25" customHeight="1"/>
    <row r="12394" ht="14.25" customHeight="1"/>
    <row r="12395" ht="14.25" customHeight="1"/>
    <row r="12396" ht="14.25" customHeight="1"/>
    <row r="12397" ht="14.25" customHeight="1"/>
    <row r="12398" ht="14.25" customHeight="1"/>
    <row r="12399" ht="14.25" customHeight="1"/>
    <row r="12400" ht="14.25" customHeight="1"/>
    <row r="12401" ht="14.25" customHeight="1"/>
    <row r="12402" ht="14.25" customHeight="1"/>
    <row r="12403" ht="14.25" customHeight="1"/>
    <row r="12404" ht="14.25" customHeight="1"/>
    <row r="12405" ht="14.25" customHeight="1"/>
    <row r="12406" ht="14.25" customHeight="1"/>
    <row r="12407" ht="14.25" customHeight="1"/>
    <row r="12408" ht="14.25" customHeight="1"/>
    <row r="12409" ht="14.25" customHeight="1"/>
    <row r="12410" ht="14.25" customHeight="1"/>
    <row r="12411" ht="14.25" customHeight="1"/>
    <row r="12412" ht="14.25" customHeight="1"/>
    <row r="12413" ht="14.25" customHeight="1"/>
    <row r="12414" ht="14.25" customHeight="1"/>
    <row r="12415" ht="14.25" customHeight="1"/>
    <row r="12416" ht="14.25" customHeight="1"/>
    <row r="12417" ht="14.25" customHeight="1"/>
    <row r="12418" ht="14.25" customHeight="1"/>
    <row r="12419" ht="14.25" customHeight="1"/>
    <row r="12420" ht="14.25" customHeight="1"/>
    <row r="12421" ht="14.25" customHeight="1"/>
    <row r="12422" ht="14.25" customHeight="1"/>
    <row r="12423" ht="14.25" customHeight="1"/>
    <row r="12424" ht="14.25" customHeight="1"/>
    <row r="12425" ht="14.25" customHeight="1"/>
    <row r="12426" ht="14.25" customHeight="1"/>
    <row r="12427" ht="14.25" customHeight="1"/>
    <row r="12428" ht="14.25" customHeight="1"/>
    <row r="12429" ht="14.25" customHeight="1"/>
    <row r="12430" ht="14.25" customHeight="1"/>
    <row r="12431" ht="14.25" customHeight="1"/>
    <row r="12432" ht="14.25" customHeight="1"/>
    <row r="12433" ht="14.25" customHeight="1"/>
    <row r="12434" ht="14.25" customHeight="1"/>
    <row r="12435" ht="14.25" customHeight="1"/>
    <row r="12436" ht="14.25" customHeight="1"/>
    <row r="12437" ht="14.25" customHeight="1"/>
    <row r="12438" ht="14.25" customHeight="1"/>
    <row r="12439" ht="14.25" customHeight="1"/>
    <row r="12440" ht="14.25" customHeight="1"/>
    <row r="12441" ht="14.25" customHeight="1"/>
    <row r="12442" ht="14.25" customHeight="1"/>
    <row r="12443" ht="14.25" customHeight="1"/>
    <row r="12444" ht="14.25" customHeight="1"/>
    <row r="12445" ht="14.25" customHeight="1"/>
    <row r="12446" ht="14.25" customHeight="1"/>
    <row r="12447" ht="14.25" customHeight="1"/>
    <row r="12448" ht="14.25" customHeight="1"/>
    <row r="12449" ht="14.25" customHeight="1"/>
    <row r="12450" ht="14.25" customHeight="1"/>
    <row r="12451" ht="14.25" customHeight="1"/>
    <row r="12452" ht="14.25" customHeight="1"/>
    <row r="12453" ht="14.25" customHeight="1"/>
    <row r="12454" ht="14.25" customHeight="1"/>
    <row r="12455" ht="14.25" customHeight="1"/>
    <row r="12456" ht="14.25" customHeight="1"/>
    <row r="12457" ht="14.25" customHeight="1"/>
    <row r="12458" ht="14.25" customHeight="1"/>
    <row r="12459" ht="14.25" customHeight="1"/>
    <row r="12460" ht="14.25" customHeight="1"/>
    <row r="12461" ht="14.25" customHeight="1"/>
    <row r="12462" ht="14.25" customHeight="1"/>
    <row r="12463" ht="14.25" customHeight="1"/>
    <row r="12464" ht="14.25" customHeight="1"/>
    <row r="12465" ht="14.25" customHeight="1"/>
    <row r="12466" ht="14.25" customHeight="1"/>
    <row r="12467" ht="14.25" customHeight="1"/>
    <row r="12468" ht="14.25" customHeight="1"/>
    <row r="12469" ht="14.25" customHeight="1"/>
    <row r="12470" ht="14.25" customHeight="1"/>
    <row r="12471" ht="14.25" customHeight="1"/>
    <row r="12472" ht="14.25" customHeight="1"/>
    <row r="12473" ht="14.25" customHeight="1"/>
    <row r="12474" ht="14.25" customHeight="1"/>
    <row r="12475" ht="14.25" customHeight="1"/>
    <row r="12476" ht="14.25" customHeight="1"/>
    <row r="12477" ht="14.25" customHeight="1"/>
    <row r="12478" ht="14.25" customHeight="1"/>
    <row r="12479" ht="14.25" customHeight="1"/>
    <row r="12480" ht="14.25" customHeight="1"/>
    <row r="12481" ht="14.25" customHeight="1"/>
    <row r="12482" ht="14.25" customHeight="1"/>
    <row r="12483" ht="14.25" customHeight="1"/>
    <row r="12484" ht="14.25" customHeight="1"/>
    <row r="12485" ht="14.25" customHeight="1"/>
    <row r="12486" ht="14.25" customHeight="1"/>
    <row r="12487" ht="14.25" customHeight="1"/>
    <row r="12488" ht="14.25" customHeight="1"/>
    <row r="12489" ht="14.25" customHeight="1"/>
    <row r="12490" ht="14.25" customHeight="1"/>
    <row r="12491" ht="14.25" customHeight="1"/>
    <row r="12492" ht="14.25" customHeight="1"/>
    <row r="12493" ht="14.25" customHeight="1"/>
    <row r="12494" ht="14.25" customHeight="1"/>
    <row r="12495" ht="14.25" customHeight="1"/>
    <row r="12496" ht="14.25" customHeight="1"/>
    <row r="12497" ht="14.25" customHeight="1"/>
    <row r="12498" ht="14.25" customHeight="1"/>
    <row r="12499" ht="14.25" customHeight="1"/>
    <row r="12500" ht="14.25" customHeight="1"/>
    <row r="12501" ht="14.25" customHeight="1"/>
    <row r="12502" ht="14.25" customHeight="1"/>
    <row r="12503" ht="14.25" customHeight="1"/>
    <row r="12504" ht="14.25" customHeight="1"/>
    <row r="12505" ht="14.25" customHeight="1"/>
    <row r="12506" ht="14.25" customHeight="1"/>
    <row r="12507" ht="14.25" customHeight="1"/>
    <row r="12508" ht="14.25" customHeight="1"/>
    <row r="12509" ht="14.25" customHeight="1"/>
    <row r="12510" ht="14.25" customHeight="1"/>
    <row r="12511" ht="14.25" customHeight="1"/>
    <row r="12512" ht="14.25" customHeight="1"/>
    <row r="12513" ht="14.25" customHeight="1"/>
    <row r="12514" ht="14.25" customHeight="1"/>
    <row r="12515" ht="14.25" customHeight="1"/>
    <row r="12516" ht="14.25" customHeight="1"/>
    <row r="12517" ht="14.25" customHeight="1"/>
    <row r="12518" ht="14.25" customHeight="1"/>
    <row r="12519" ht="14.25" customHeight="1"/>
    <row r="12520" ht="14.25" customHeight="1"/>
    <row r="12521" ht="14.25" customHeight="1"/>
    <row r="12522" ht="14.25" customHeight="1"/>
    <row r="12523" ht="14.25" customHeight="1"/>
    <row r="12524" ht="14.25" customHeight="1"/>
    <row r="12525" ht="14.25" customHeight="1"/>
    <row r="12526" ht="14.25" customHeight="1"/>
    <row r="12527" ht="14.25" customHeight="1"/>
    <row r="12528" ht="14.25" customHeight="1"/>
    <row r="12529" ht="14.25" customHeight="1"/>
    <row r="12530" ht="14.25" customHeight="1"/>
    <row r="12531" ht="14.25" customHeight="1"/>
    <row r="12532" ht="14.25" customHeight="1"/>
    <row r="12533" ht="14.25" customHeight="1"/>
    <row r="12534" ht="14.25" customHeight="1"/>
    <row r="12535" ht="14.25" customHeight="1"/>
    <row r="12536" ht="14.25" customHeight="1"/>
    <row r="12537" ht="14.25" customHeight="1"/>
    <row r="12538" ht="14.25" customHeight="1"/>
    <row r="12539" ht="14.25" customHeight="1"/>
    <row r="12540" ht="14.25" customHeight="1"/>
    <row r="12541" ht="14.25" customHeight="1"/>
    <row r="12542" ht="14.25" customHeight="1"/>
    <row r="12543" ht="14.25" customHeight="1"/>
    <row r="12544" ht="14.25" customHeight="1"/>
    <row r="12545" ht="14.25" customHeight="1"/>
    <row r="12546" ht="14.25" customHeight="1"/>
    <row r="12547" ht="14.25" customHeight="1"/>
    <row r="12548" ht="14.25" customHeight="1"/>
    <row r="12549" ht="14.25" customHeight="1"/>
    <row r="12550" ht="14.25" customHeight="1"/>
    <row r="12551" ht="14.25" customHeight="1"/>
    <row r="12552" ht="14.25" customHeight="1"/>
    <row r="12553" ht="14.25" customHeight="1"/>
    <row r="12554" ht="14.25" customHeight="1"/>
    <row r="12555" ht="14.25" customHeight="1"/>
    <row r="12556" ht="14.25" customHeight="1"/>
    <row r="12557" ht="14.25" customHeight="1"/>
    <row r="12558" ht="14.25" customHeight="1"/>
    <row r="12559" ht="14.25" customHeight="1"/>
    <row r="12560" ht="14.25" customHeight="1"/>
    <row r="12561" ht="14.25" customHeight="1"/>
    <row r="12562" ht="14.25" customHeight="1"/>
    <row r="12563" ht="14.25" customHeight="1"/>
    <row r="12564" ht="14.25" customHeight="1"/>
    <row r="12565" ht="14.25" customHeight="1"/>
    <row r="12566" ht="14.25" customHeight="1"/>
    <row r="12567" ht="14.25" customHeight="1"/>
    <row r="12568" ht="14.25" customHeight="1"/>
    <row r="12569" ht="14.25" customHeight="1"/>
    <row r="12570" ht="14.25" customHeight="1"/>
    <row r="12571" ht="14.25" customHeight="1"/>
    <row r="12572" ht="14.25" customHeight="1"/>
    <row r="12573" ht="14.25" customHeight="1"/>
    <row r="12574" ht="14.25" customHeight="1"/>
    <row r="12575" ht="14.25" customHeight="1"/>
    <row r="12576" ht="14.25" customHeight="1"/>
    <row r="12577" ht="14.25" customHeight="1"/>
    <row r="12578" ht="14.25" customHeight="1"/>
    <row r="12579" ht="14.25" customHeight="1"/>
    <row r="12580" ht="14.25" customHeight="1"/>
    <row r="12581" ht="14.25" customHeight="1"/>
    <row r="12582" ht="14.25" customHeight="1"/>
    <row r="12583" ht="14.25" customHeight="1"/>
    <row r="12584" ht="14.25" customHeight="1"/>
    <row r="12585" ht="14.25" customHeight="1"/>
    <row r="12586" ht="14.25" customHeight="1"/>
    <row r="12587" ht="14.25" customHeight="1"/>
    <row r="12588" ht="14.25" customHeight="1"/>
    <row r="12589" ht="14.25" customHeight="1"/>
    <row r="12590" ht="14.25" customHeight="1"/>
    <row r="12591" ht="14.25" customHeight="1"/>
    <row r="12592" ht="14.25" customHeight="1"/>
    <row r="12593" ht="14.25" customHeight="1"/>
    <row r="12594" ht="14.25" customHeight="1"/>
    <row r="12595" ht="14.25" customHeight="1"/>
    <row r="12596" ht="14.25" customHeight="1"/>
    <row r="12597" ht="14.25" customHeight="1"/>
    <row r="12598" ht="14.25" customHeight="1"/>
    <row r="12599" ht="14.25" customHeight="1"/>
    <row r="12600" ht="14.25" customHeight="1"/>
    <row r="12601" ht="14.25" customHeight="1"/>
    <row r="12602" ht="14.25" customHeight="1"/>
    <row r="12603" ht="14.25" customHeight="1"/>
    <row r="12604" ht="14.25" customHeight="1"/>
    <row r="12605" ht="14.25" customHeight="1"/>
    <row r="12606" ht="14.25" customHeight="1"/>
    <row r="12607" ht="14.25" customHeight="1"/>
    <row r="12608" ht="14.25" customHeight="1"/>
    <row r="12609" ht="14.25" customHeight="1"/>
    <row r="12610" ht="14.25" customHeight="1"/>
    <row r="12611" ht="14.25" customHeight="1"/>
    <row r="12612" ht="14.25" customHeight="1"/>
    <row r="12613" ht="14.25" customHeight="1"/>
    <row r="12614" ht="14.25" customHeight="1"/>
    <row r="12615" ht="14.25" customHeight="1"/>
    <row r="12616" ht="14.25" customHeight="1"/>
    <row r="12617" ht="14.25" customHeight="1"/>
    <row r="12618" ht="14.25" customHeight="1"/>
    <row r="12619" ht="14.25" customHeight="1"/>
    <row r="12620" ht="14.25" customHeight="1"/>
    <row r="12621" ht="14.25" customHeight="1"/>
    <row r="12622" ht="14.25" customHeight="1"/>
    <row r="12623" ht="14.25" customHeight="1"/>
    <row r="12624" ht="14.25" customHeight="1"/>
    <row r="12625" ht="14.25" customHeight="1"/>
    <row r="12626" ht="14.25" customHeight="1"/>
    <row r="12627" ht="14.25" customHeight="1"/>
    <row r="12628" ht="14.25" customHeight="1"/>
    <row r="12629" ht="14.25" customHeight="1"/>
    <row r="12630" ht="14.25" customHeight="1"/>
    <row r="12631" ht="14.25" customHeight="1"/>
    <row r="12632" ht="14.25" customHeight="1"/>
    <row r="12633" ht="14.25" customHeight="1"/>
    <row r="12634" ht="14.25" customHeight="1"/>
    <row r="12635" ht="14.25" customHeight="1"/>
    <row r="12636" ht="14.25" customHeight="1"/>
    <row r="12637" ht="14.25" customHeight="1"/>
    <row r="12638" ht="14.25" customHeight="1"/>
    <row r="12639" ht="14.25" customHeight="1"/>
    <row r="12640" ht="14.25" customHeight="1"/>
    <row r="12641" ht="14.25" customHeight="1"/>
    <row r="12642" ht="14.25" customHeight="1"/>
    <row r="12643" ht="14.25" customHeight="1"/>
    <row r="12644" ht="14.25" customHeight="1"/>
    <row r="12645" ht="14.25" customHeight="1"/>
    <row r="12646" ht="14.25" customHeight="1"/>
    <row r="12647" ht="14.25" customHeight="1"/>
    <row r="12648" ht="14.25" customHeight="1"/>
    <row r="12649" ht="14.25" customHeight="1"/>
    <row r="12650" ht="14.25" customHeight="1"/>
    <row r="12651" ht="14.25" customHeight="1"/>
    <row r="12652" ht="14.25" customHeight="1"/>
    <row r="12653" ht="14.25" customHeight="1"/>
    <row r="12654" ht="14.25" customHeight="1"/>
    <row r="12655" ht="14.25" customHeight="1"/>
    <row r="12656" ht="14.25" customHeight="1"/>
    <row r="12657" ht="14.25" customHeight="1"/>
    <row r="12658" ht="14.25" customHeight="1"/>
    <row r="12659" ht="14.25" customHeight="1"/>
    <row r="12660" ht="14.25" customHeight="1"/>
    <row r="12661" ht="14.25" customHeight="1"/>
    <row r="12662" ht="14.25" customHeight="1"/>
    <row r="12663" ht="14.25" customHeight="1"/>
    <row r="12664" ht="14.25" customHeight="1"/>
    <row r="12665" ht="14.25" customHeight="1"/>
    <row r="12666" ht="14.25" customHeight="1"/>
    <row r="12667" ht="14.25" customHeight="1"/>
    <row r="12668" ht="14.25" customHeight="1"/>
    <row r="12669" ht="14.25" customHeight="1"/>
    <row r="12670" ht="14.25" customHeight="1"/>
    <row r="12671" ht="14.25" customHeight="1"/>
    <row r="12672" ht="14.25" customHeight="1"/>
    <row r="12673" ht="14.25" customHeight="1"/>
    <row r="12674" ht="14.25" customHeight="1"/>
    <row r="12675" ht="14.25" customHeight="1"/>
    <row r="12676" ht="14.25" customHeight="1"/>
    <row r="12677" ht="14.25" customHeight="1"/>
    <row r="12678" ht="14.25" customHeight="1"/>
    <row r="12679" ht="14.25" customHeight="1"/>
    <row r="12680" ht="14.25" customHeight="1"/>
    <row r="12681" ht="14.25" customHeight="1"/>
    <row r="12682" ht="14.25" customHeight="1"/>
    <row r="12683" ht="14.25" customHeight="1"/>
    <row r="12684" ht="14.25" customHeight="1"/>
    <row r="12685" ht="14.25" customHeight="1"/>
    <row r="12686" ht="14.25" customHeight="1"/>
    <row r="12687" ht="14.25" customHeight="1"/>
    <row r="12688" ht="14.25" customHeight="1"/>
    <row r="12689" ht="14.25" customHeight="1"/>
    <row r="12690" ht="14.25" customHeight="1"/>
    <row r="12691" ht="14.25" customHeight="1"/>
    <row r="12692" ht="14.25" customHeight="1"/>
    <row r="12693" ht="14.25" customHeight="1"/>
    <row r="12694" ht="14.25" customHeight="1"/>
    <row r="12695" ht="14.25" customHeight="1"/>
    <row r="12696" ht="14.25" customHeight="1"/>
    <row r="12697" ht="14.25" customHeight="1"/>
    <row r="12698" ht="14.25" customHeight="1"/>
    <row r="12699" ht="14.25" customHeight="1"/>
    <row r="12700" ht="14.25" customHeight="1"/>
    <row r="12701" ht="14.25" customHeight="1"/>
    <row r="12702" ht="14.25" customHeight="1"/>
    <row r="12703" ht="14.25" customHeight="1"/>
    <row r="12704" ht="14.25" customHeight="1"/>
    <row r="12705" ht="14.25" customHeight="1"/>
    <row r="12706" ht="14.25" customHeight="1"/>
    <row r="12707" ht="14.25" customHeight="1"/>
    <row r="12708" ht="14.25" customHeight="1"/>
    <row r="12709" ht="14.25" customHeight="1"/>
    <row r="12710" ht="14.25" customHeight="1"/>
    <row r="12711" ht="14.25" customHeight="1"/>
    <row r="12712" ht="14.25" customHeight="1"/>
    <row r="12713" ht="14.25" customHeight="1"/>
    <row r="12714" ht="14.25" customHeight="1"/>
    <row r="12715" ht="14.25" customHeight="1"/>
    <row r="12716" ht="14.25" customHeight="1"/>
    <row r="12717" ht="14.25" customHeight="1"/>
    <row r="12718" ht="14.25" customHeight="1"/>
    <row r="12719" ht="14.25" customHeight="1"/>
    <row r="12720" ht="14.25" customHeight="1"/>
    <row r="12721" ht="14.25" customHeight="1"/>
    <row r="12722" ht="14.25" customHeight="1"/>
    <row r="12723" ht="14.25" customHeight="1"/>
    <row r="12724" ht="14.25" customHeight="1"/>
    <row r="12725" ht="14.25" customHeight="1"/>
    <row r="12726" ht="14.25" customHeight="1"/>
    <row r="12727" ht="14.25" customHeight="1"/>
    <row r="12728" ht="14.25" customHeight="1"/>
    <row r="12729" ht="14.25" customHeight="1"/>
    <row r="12730" ht="14.25" customHeight="1"/>
    <row r="12731" ht="14.25" customHeight="1"/>
    <row r="12732" ht="14.25" customHeight="1"/>
    <row r="12733" ht="14.25" customHeight="1"/>
    <row r="12734" ht="14.25" customHeight="1"/>
    <row r="12735" ht="14.25" customHeight="1"/>
    <row r="12736" ht="14.25" customHeight="1"/>
    <row r="12737" ht="14.25" customHeight="1"/>
    <row r="12738" ht="14.25" customHeight="1"/>
    <row r="12739" ht="14.25" customHeight="1"/>
    <row r="12740" ht="14.25" customHeight="1"/>
    <row r="12741" ht="14.25" customHeight="1"/>
    <row r="12742" ht="14.25" customHeight="1"/>
    <row r="12743" ht="14.25" customHeight="1"/>
    <row r="12744" ht="14.25" customHeight="1"/>
    <row r="12745" ht="14.25" customHeight="1"/>
    <row r="12746" ht="14.25" customHeight="1"/>
    <row r="12747" ht="14.25" customHeight="1"/>
    <row r="12748" ht="14.25" customHeight="1"/>
    <row r="12749" ht="14.25" customHeight="1"/>
    <row r="12750" ht="14.25" customHeight="1"/>
    <row r="12751" ht="14.25" customHeight="1"/>
    <row r="12752" ht="14.25" customHeight="1"/>
    <row r="12753" ht="14.25" customHeight="1"/>
    <row r="12754" ht="14.25" customHeight="1"/>
    <row r="12755" ht="14.25" customHeight="1"/>
    <row r="12756" ht="14.25" customHeight="1"/>
    <row r="12757" ht="14.25" customHeight="1"/>
    <row r="12758" ht="14.25" customHeight="1"/>
    <row r="12759" ht="14.25" customHeight="1"/>
    <row r="12760" ht="14.25" customHeight="1"/>
    <row r="12761" ht="14.25" customHeight="1"/>
    <row r="12762" ht="14.25" customHeight="1"/>
    <row r="12763" ht="14.25" customHeight="1"/>
    <row r="12764" ht="14.25" customHeight="1"/>
    <row r="12765" ht="14.25" customHeight="1"/>
    <row r="12766" ht="14.25" customHeight="1"/>
    <row r="12767" ht="14.25" customHeight="1"/>
    <row r="12768" ht="14.25" customHeight="1"/>
    <row r="12769" ht="14.25" customHeight="1"/>
    <row r="12770" ht="14.25" customHeight="1"/>
    <row r="12771" ht="14.25" customHeight="1"/>
    <row r="12772" ht="14.25" customHeight="1"/>
    <row r="12773" ht="14.25" customHeight="1"/>
    <row r="12774" ht="14.25" customHeight="1"/>
    <row r="12775" ht="14.25" customHeight="1"/>
    <row r="12776" ht="14.25" customHeight="1"/>
    <row r="12777" ht="14.25" customHeight="1"/>
    <row r="12778" ht="14.25" customHeight="1"/>
    <row r="12779" ht="14.25" customHeight="1"/>
    <row r="12780" ht="14.25" customHeight="1"/>
    <row r="12781" ht="14.25" customHeight="1"/>
    <row r="12782" ht="14.25" customHeight="1"/>
    <row r="12783" ht="14.25" customHeight="1"/>
    <row r="12784" ht="14.25" customHeight="1"/>
    <row r="12785" ht="14.25" customHeight="1"/>
    <row r="12786" ht="14.25" customHeight="1"/>
    <row r="12787" ht="14.25" customHeight="1"/>
    <row r="12788" ht="14.25" customHeight="1"/>
    <row r="12789" ht="14.25" customHeight="1"/>
    <row r="12790" ht="14.25" customHeight="1"/>
    <row r="12791" ht="14.25" customHeight="1"/>
    <row r="12792" ht="14.25" customHeight="1"/>
    <row r="12793" ht="14.25" customHeight="1"/>
    <row r="12794" ht="14.25" customHeight="1"/>
    <row r="12795" ht="14.25" customHeight="1"/>
    <row r="12796" ht="14.25" customHeight="1"/>
    <row r="12797" ht="14.25" customHeight="1"/>
    <row r="12798" ht="14.25" customHeight="1"/>
    <row r="12799" ht="14.25" customHeight="1"/>
    <row r="12800" ht="14.25" customHeight="1"/>
    <row r="12801" ht="14.25" customHeight="1"/>
    <row r="12802" ht="14.25" customHeight="1"/>
    <row r="12803" ht="14.25" customHeight="1"/>
    <row r="12804" ht="14.25" customHeight="1"/>
    <row r="12805" ht="14.25" customHeight="1"/>
    <row r="12806" ht="14.25" customHeight="1"/>
    <row r="12807" ht="14.25" customHeight="1"/>
    <row r="12808" ht="14.25" customHeight="1"/>
    <row r="12809" ht="14.25" customHeight="1"/>
    <row r="12810" ht="14.25" customHeight="1"/>
    <row r="12811" ht="14.25" customHeight="1"/>
    <row r="12812" ht="14.25" customHeight="1"/>
    <row r="12813" ht="14.25" customHeight="1"/>
    <row r="12814" ht="14.25" customHeight="1"/>
    <row r="12815" ht="14.25" customHeight="1"/>
    <row r="12816" ht="14.25" customHeight="1"/>
    <row r="12817" ht="14.25" customHeight="1"/>
    <row r="12818" ht="14.25" customHeight="1"/>
    <row r="12819" ht="14.25" customHeight="1"/>
    <row r="12820" ht="14.25" customHeight="1"/>
    <row r="12821" ht="14.25" customHeight="1"/>
    <row r="12822" ht="14.25" customHeight="1"/>
    <row r="12823" ht="14.25" customHeight="1"/>
    <row r="12824" ht="14.25" customHeight="1"/>
    <row r="12825" ht="14.25" customHeight="1"/>
    <row r="12826" ht="14.25" customHeight="1"/>
    <row r="12827" ht="14.25" customHeight="1"/>
    <row r="12828" ht="14.25" customHeight="1"/>
    <row r="12829" ht="14.25" customHeight="1"/>
    <row r="12830" ht="14.25" customHeight="1"/>
    <row r="12831" ht="14.25" customHeight="1"/>
    <row r="12832" ht="14.25" customHeight="1"/>
    <row r="12833" ht="14.25" customHeight="1"/>
    <row r="12834" ht="14.25" customHeight="1"/>
    <row r="12835" ht="14.25" customHeight="1"/>
    <row r="12836" ht="14.25" customHeight="1"/>
    <row r="12837" ht="14.25" customHeight="1"/>
    <row r="12838" ht="14.25" customHeight="1"/>
    <row r="12839" ht="14.25" customHeight="1"/>
    <row r="12840" ht="14.25" customHeight="1"/>
    <row r="12841" ht="14.25" customHeight="1"/>
    <row r="12842" ht="14.25" customHeight="1"/>
    <row r="12843" ht="14.25" customHeight="1"/>
    <row r="12844" ht="14.25" customHeight="1"/>
    <row r="12845" ht="14.25" customHeight="1"/>
    <row r="12846" ht="14.25" customHeight="1"/>
    <row r="12847" ht="14.25" customHeight="1"/>
    <row r="12848" ht="14.25" customHeight="1"/>
    <row r="12849" ht="14.25" customHeight="1"/>
    <row r="12850" ht="14.25" customHeight="1"/>
    <row r="12851" ht="14.25" customHeight="1"/>
    <row r="12852" ht="14.25" customHeight="1"/>
    <row r="12853" ht="14.25" customHeight="1"/>
    <row r="12854" ht="14.25" customHeight="1"/>
    <row r="12855" ht="14.25" customHeight="1"/>
    <row r="12856" ht="14.25" customHeight="1"/>
    <row r="12857" ht="14.25" customHeight="1"/>
    <row r="12858" ht="14.25" customHeight="1"/>
    <row r="12859" ht="14.25" customHeight="1"/>
    <row r="12860" ht="14.25" customHeight="1"/>
    <row r="12861" ht="14.25" customHeight="1"/>
    <row r="12862" ht="14.25" customHeight="1"/>
    <row r="12863" ht="14.25" customHeight="1"/>
    <row r="12864" ht="14.25" customHeight="1"/>
    <row r="12865" ht="14.25" customHeight="1"/>
    <row r="12866" ht="14.25" customHeight="1"/>
    <row r="12867" ht="14.25" customHeight="1"/>
    <row r="12868" ht="14.25" customHeight="1"/>
    <row r="12869" ht="14.25" customHeight="1"/>
    <row r="12870" ht="14.25" customHeight="1"/>
    <row r="12871" ht="14.25" customHeight="1"/>
    <row r="12872" ht="14.25" customHeight="1"/>
    <row r="12873" ht="14.25" customHeight="1"/>
    <row r="12874" ht="14.25" customHeight="1"/>
    <row r="12875" ht="14.25" customHeight="1"/>
    <row r="12876" ht="14.25" customHeight="1"/>
    <row r="12877" ht="14.25" customHeight="1"/>
    <row r="12878" ht="14.25" customHeight="1"/>
    <row r="12879" ht="14.25" customHeight="1"/>
    <row r="12880" ht="14.25" customHeight="1"/>
    <row r="12881" ht="14.25" customHeight="1"/>
    <row r="12882" ht="14.25" customHeight="1"/>
    <row r="12883" ht="14.25" customHeight="1"/>
    <row r="12884" ht="14.25" customHeight="1"/>
    <row r="12885" ht="14.25" customHeight="1"/>
    <row r="12886" ht="14.25" customHeight="1"/>
    <row r="12887" ht="14.25" customHeight="1"/>
    <row r="12888" ht="14.25" customHeight="1"/>
    <row r="12889" ht="14.25" customHeight="1"/>
    <row r="12890" ht="14.25" customHeight="1"/>
    <row r="12891" ht="14.25" customHeight="1"/>
    <row r="12892" ht="14.25" customHeight="1"/>
    <row r="12893" ht="14.25" customHeight="1"/>
    <row r="12894" ht="14.25" customHeight="1"/>
    <row r="12895" ht="14.25" customHeight="1"/>
    <row r="12896" ht="14.25" customHeight="1"/>
    <row r="12897" ht="14.25" customHeight="1"/>
    <row r="12898" ht="14.25" customHeight="1"/>
    <row r="12899" ht="14.25" customHeight="1"/>
    <row r="12900" ht="14.25" customHeight="1"/>
    <row r="12901" ht="14.25" customHeight="1"/>
    <row r="12902" ht="14.25" customHeight="1"/>
    <row r="12903" ht="14.25" customHeight="1"/>
    <row r="12904" ht="14.25" customHeight="1"/>
    <row r="12905" ht="14.25" customHeight="1"/>
    <row r="12906" ht="14.25" customHeight="1"/>
    <row r="12907" ht="14.25" customHeight="1"/>
    <row r="12908" ht="14.25" customHeight="1"/>
    <row r="12909" ht="14.25" customHeight="1"/>
    <row r="12910" ht="14.25" customHeight="1"/>
    <row r="12911" ht="14.25" customHeight="1"/>
    <row r="12912" ht="14.25" customHeight="1"/>
    <row r="12913" ht="14.25" customHeight="1"/>
    <row r="12914" ht="14.25" customHeight="1"/>
    <row r="12915" ht="14.25" customHeight="1"/>
    <row r="12916" ht="14.25" customHeight="1"/>
    <row r="12917" ht="14.25" customHeight="1"/>
    <row r="12918" ht="14.25" customHeight="1"/>
    <row r="12919" ht="14.25" customHeight="1"/>
    <row r="12920" ht="14.25" customHeight="1"/>
    <row r="12921" ht="14.25" customHeight="1"/>
    <row r="12922" ht="14.25" customHeight="1"/>
    <row r="12923" ht="14.25" customHeight="1"/>
    <row r="12924" ht="14.25" customHeight="1"/>
    <row r="12925" ht="14.25" customHeight="1"/>
    <row r="12926" ht="14.25" customHeight="1"/>
    <row r="12927" ht="14.25" customHeight="1"/>
    <row r="12928" ht="14.25" customHeight="1"/>
    <row r="12929" ht="14.25" customHeight="1"/>
    <row r="12930" ht="14.25" customHeight="1"/>
    <row r="12931" ht="14.25" customHeight="1"/>
    <row r="12932" ht="14.25" customHeight="1"/>
    <row r="12933" ht="14.25" customHeight="1"/>
    <row r="12934" ht="14.25" customHeight="1"/>
    <row r="12935" ht="14.25" customHeight="1"/>
    <row r="12936" ht="14.25" customHeight="1"/>
    <row r="12937" ht="14.25" customHeight="1"/>
    <row r="12938" ht="14.25" customHeight="1"/>
    <row r="12939" ht="14.25" customHeight="1"/>
    <row r="12940" ht="14.25" customHeight="1"/>
    <row r="12941" ht="14.25" customHeight="1"/>
    <row r="12942" ht="14.25" customHeight="1"/>
    <row r="12943" ht="14.25" customHeight="1"/>
    <row r="12944" ht="14.25" customHeight="1"/>
    <row r="12945" ht="14.25" customHeight="1"/>
    <row r="12946" ht="14.25" customHeight="1"/>
    <row r="12947" ht="14.25" customHeight="1"/>
    <row r="12948" ht="14.25" customHeight="1"/>
    <row r="12949" ht="14.25" customHeight="1"/>
    <row r="12950" ht="14.25" customHeight="1"/>
    <row r="12951" ht="14.25" customHeight="1"/>
    <row r="12952" ht="14.25" customHeight="1"/>
    <row r="12953" ht="14.25" customHeight="1"/>
    <row r="12954" ht="14.25" customHeight="1"/>
    <row r="12955" ht="14.25" customHeight="1"/>
    <row r="12956" ht="14.25" customHeight="1"/>
    <row r="12957" ht="14.25" customHeight="1"/>
    <row r="12958" ht="14.25" customHeight="1"/>
    <row r="12959" ht="14.25" customHeight="1"/>
    <row r="12960" ht="14.25" customHeight="1"/>
    <row r="12961" ht="14.25" customHeight="1"/>
    <row r="12962" ht="14.25" customHeight="1"/>
    <row r="12963" ht="14.25" customHeight="1"/>
    <row r="12964" ht="14.25" customHeight="1"/>
    <row r="12965" ht="14.25" customHeight="1"/>
    <row r="12966" ht="14.25" customHeight="1"/>
    <row r="12967" ht="14.25" customHeight="1"/>
    <row r="12968" ht="14.25" customHeight="1"/>
    <row r="12969" ht="14.25" customHeight="1"/>
    <row r="12970" ht="14.25" customHeight="1"/>
    <row r="12971" ht="14.25" customHeight="1"/>
    <row r="12972" ht="14.25" customHeight="1"/>
    <row r="12973" ht="14.25" customHeight="1"/>
    <row r="12974" ht="14.25" customHeight="1"/>
    <row r="12975" ht="14.25" customHeight="1"/>
    <row r="12976" ht="14.25" customHeight="1"/>
    <row r="12977" ht="14.25" customHeight="1"/>
    <row r="12978" ht="14.25" customHeight="1"/>
    <row r="12979" ht="14.25" customHeight="1"/>
    <row r="12980" ht="14.25" customHeight="1"/>
    <row r="12981" ht="14.25" customHeight="1"/>
    <row r="12982" ht="14.25" customHeight="1"/>
    <row r="12983" ht="14.25" customHeight="1"/>
    <row r="12984" ht="14.25" customHeight="1"/>
    <row r="12985" ht="14.25" customHeight="1"/>
    <row r="12986" ht="14.25" customHeight="1"/>
    <row r="12987" ht="14.25" customHeight="1"/>
    <row r="12988" ht="14.25" customHeight="1"/>
    <row r="12989" ht="14.25" customHeight="1"/>
    <row r="12990" ht="14.25" customHeight="1"/>
    <row r="12991" ht="14.25" customHeight="1"/>
    <row r="12992" ht="14.25" customHeight="1"/>
    <row r="12993" ht="14.25" customHeight="1"/>
    <row r="12994" ht="14.25" customHeight="1"/>
    <row r="12995" ht="14.25" customHeight="1"/>
    <row r="12996" ht="14.25" customHeight="1"/>
    <row r="12997" ht="14.25" customHeight="1"/>
    <row r="12998" ht="14.25" customHeight="1"/>
    <row r="12999" ht="14.25" customHeight="1"/>
    <row r="13000" ht="14.25" customHeight="1"/>
    <row r="13001" ht="14.25" customHeight="1"/>
    <row r="13002" ht="14.25" customHeight="1"/>
    <row r="13003" ht="14.25" customHeight="1"/>
    <row r="13004" ht="14.25" customHeight="1"/>
    <row r="13005" ht="14.25" customHeight="1"/>
    <row r="13006" ht="14.25" customHeight="1"/>
    <row r="13007" ht="14.25" customHeight="1"/>
    <row r="13008" ht="14.25" customHeight="1"/>
    <row r="13009" ht="14.25" customHeight="1"/>
    <row r="13010" ht="14.25" customHeight="1"/>
    <row r="13011" ht="14.25" customHeight="1"/>
    <row r="13012" ht="14.25" customHeight="1"/>
    <row r="13013" ht="14.25" customHeight="1"/>
    <row r="13014" ht="14.25" customHeight="1"/>
    <row r="13015" ht="14.25" customHeight="1"/>
    <row r="13016" ht="14.25" customHeight="1"/>
    <row r="13017" ht="14.25" customHeight="1"/>
    <row r="13018" ht="14.25" customHeight="1"/>
    <row r="13019" ht="14.25" customHeight="1"/>
    <row r="13020" ht="14.25" customHeight="1"/>
    <row r="13021" ht="14.25" customHeight="1"/>
    <row r="13022" ht="14.25" customHeight="1"/>
    <row r="13023" ht="14.25" customHeight="1"/>
    <row r="13024" ht="14.25" customHeight="1"/>
    <row r="13025" ht="14.25" customHeight="1"/>
    <row r="13026" ht="14.25" customHeight="1"/>
    <row r="13027" ht="14.25" customHeight="1"/>
    <row r="13028" ht="14.25" customHeight="1"/>
    <row r="13029" ht="14.25" customHeight="1"/>
    <row r="13030" ht="14.25" customHeight="1"/>
    <row r="13031" ht="14.25" customHeight="1"/>
    <row r="13032" ht="14.25" customHeight="1"/>
    <row r="13033" ht="14.25" customHeight="1"/>
    <row r="13034" ht="14.25" customHeight="1"/>
    <row r="13035" ht="14.25" customHeight="1"/>
    <row r="13036" ht="14.25" customHeight="1"/>
    <row r="13037" ht="14.25" customHeight="1"/>
    <row r="13038" ht="14.25" customHeight="1"/>
    <row r="13039" ht="14.25" customHeight="1"/>
    <row r="13040" ht="14.25" customHeight="1"/>
    <row r="13041" ht="14.25" customHeight="1"/>
    <row r="13042" ht="14.25" customHeight="1"/>
    <row r="13043" ht="14.25" customHeight="1"/>
    <row r="13044" ht="14.25" customHeight="1"/>
    <row r="13045" ht="14.25" customHeight="1"/>
    <row r="13046" ht="14.25" customHeight="1"/>
    <row r="13047" ht="14.25" customHeight="1"/>
    <row r="13048" ht="14.25" customHeight="1"/>
    <row r="13049" ht="14.25" customHeight="1"/>
    <row r="13050" ht="14.25" customHeight="1"/>
    <row r="13051" ht="14.25" customHeight="1"/>
    <row r="13052" ht="14.25" customHeight="1"/>
    <row r="13053" ht="14.25" customHeight="1"/>
    <row r="13054" ht="14.25" customHeight="1"/>
    <row r="13055" ht="14.25" customHeight="1"/>
    <row r="13056" ht="14.25" customHeight="1"/>
    <row r="13057" ht="14.25" customHeight="1"/>
    <row r="13058" ht="14.25" customHeight="1"/>
    <row r="13059" ht="14.25" customHeight="1"/>
    <row r="13060" ht="14.25" customHeight="1"/>
    <row r="13061" ht="14.25" customHeight="1"/>
    <row r="13062" ht="14.25" customHeight="1"/>
    <row r="13063" ht="14.25" customHeight="1"/>
    <row r="13064" ht="14.25" customHeight="1"/>
    <row r="13065" ht="14.25" customHeight="1"/>
    <row r="13066" ht="14.25" customHeight="1"/>
    <row r="13067" ht="14.25" customHeight="1"/>
    <row r="13068" ht="14.25" customHeight="1"/>
    <row r="13069" ht="14.25" customHeight="1"/>
    <row r="13070" ht="14.25" customHeight="1"/>
    <row r="13071" ht="14.25" customHeight="1"/>
    <row r="13072" ht="14.25" customHeight="1"/>
    <row r="13073" ht="14.25" customHeight="1"/>
    <row r="13074" ht="14.25" customHeight="1"/>
    <row r="13075" ht="14.25" customHeight="1"/>
    <row r="13076" ht="14.25" customHeight="1"/>
    <row r="13077" ht="14.25" customHeight="1"/>
    <row r="13078" ht="14.25" customHeight="1"/>
    <row r="13079" ht="14.25" customHeight="1"/>
    <row r="13080" ht="14.25" customHeight="1"/>
    <row r="13081" ht="14.25" customHeight="1"/>
    <row r="13082" ht="14.25" customHeight="1"/>
    <row r="13083" ht="14.25" customHeight="1"/>
    <row r="13084" ht="14.25" customHeight="1"/>
    <row r="13085" ht="14.25" customHeight="1"/>
    <row r="13086" ht="14.25" customHeight="1"/>
    <row r="13087" ht="14.25" customHeight="1"/>
    <row r="13088" ht="14.25" customHeight="1"/>
    <row r="13089" ht="14.25" customHeight="1"/>
    <row r="13090" ht="14.25" customHeight="1"/>
    <row r="13091" ht="14.25" customHeight="1"/>
    <row r="13092" ht="14.25" customHeight="1"/>
    <row r="13093" ht="14.25" customHeight="1"/>
    <row r="13094" ht="14.25" customHeight="1"/>
    <row r="13095" ht="14.25" customHeight="1"/>
    <row r="13096" ht="14.25" customHeight="1"/>
    <row r="13097" ht="14.25" customHeight="1"/>
    <row r="13098" ht="14.25" customHeight="1"/>
    <row r="13099" ht="14.25" customHeight="1"/>
    <row r="13100" ht="14.25" customHeight="1"/>
    <row r="13101" ht="14.25" customHeight="1"/>
    <row r="13102" ht="14.25" customHeight="1"/>
    <row r="13103" ht="14.25" customHeight="1"/>
    <row r="13104" ht="14.25" customHeight="1"/>
    <row r="13105" ht="14.25" customHeight="1"/>
    <row r="13106" ht="14.25" customHeight="1"/>
    <row r="13107" ht="14.25" customHeight="1"/>
    <row r="13108" ht="14.25" customHeight="1"/>
    <row r="13109" ht="14.25" customHeight="1"/>
    <row r="13110" ht="14.25" customHeight="1"/>
    <row r="13111" ht="14.25" customHeight="1"/>
    <row r="13112" ht="14.25" customHeight="1"/>
    <row r="13113" ht="14.25" customHeight="1"/>
    <row r="13114" ht="14.25" customHeight="1"/>
    <row r="13115" ht="14.25" customHeight="1"/>
    <row r="13116" ht="14.25" customHeight="1"/>
    <row r="13117" ht="14.25" customHeight="1"/>
    <row r="13118" ht="14.25" customHeight="1"/>
    <row r="13119" ht="14.25" customHeight="1"/>
    <row r="13120" ht="14.25" customHeight="1"/>
    <row r="13121" ht="14.25" customHeight="1"/>
    <row r="13122" ht="14.25" customHeight="1"/>
    <row r="13123" ht="14.25" customHeight="1"/>
    <row r="13124" ht="14.25" customHeight="1"/>
    <row r="13125" ht="14.25" customHeight="1"/>
    <row r="13126" ht="14.25" customHeight="1"/>
    <row r="13127" ht="14.25" customHeight="1"/>
    <row r="13128" ht="14.25" customHeight="1"/>
    <row r="13129" ht="14.25" customHeight="1"/>
    <row r="13130" ht="14.25" customHeight="1"/>
    <row r="13131" ht="14.25" customHeight="1"/>
    <row r="13132" ht="14.25" customHeight="1"/>
    <row r="13133" ht="14.25" customHeight="1"/>
    <row r="13134" ht="14.25" customHeight="1"/>
    <row r="13135" ht="14.25" customHeight="1"/>
    <row r="13136" ht="14.25" customHeight="1"/>
    <row r="13137" ht="14.25" customHeight="1"/>
    <row r="13138" ht="14.25" customHeight="1"/>
    <row r="13139" ht="14.25" customHeight="1"/>
    <row r="13140" ht="14.25" customHeight="1"/>
    <row r="13141" ht="14.25" customHeight="1"/>
    <row r="13142" ht="14.25" customHeight="1"/>
    <row r="13143" ht="14.25" customHeight="1"/>
    <row r="13144" ht="14.25" customHeight="1"/>
    <row r="13145" ht="14.25" customHeight="1"/>
    <row r="13146" ht="14.25" customHeight="1"/>
    <row r="13147" ht="14.25" customHeight="1"/>
    <row r="13148" ht="14.25" customHeight="1"/>
    <row r="13149" ht="14.25" customHeight="1"/>
    <row r="13150" ht="14.25" customHeight="1"/>
    <row r="13151" ht="14.25" customHeight="1"/>
    <row r="13152" ht="14.25" customHeight="1"/>
    <row r="13153" ht="14.25" customHeight="1"/>
    <row r="13154" ht="14.25" customHeight="1"/>
    <row r="13155" ht="14.25" customHeight="1"/>
    <row r="13156" ht="14.25" customHeight="1"/>
    <row r="13157" ht="14.25" customHeight="1"/>
    <row r="13158" ht="14.25" customHeight="1"/>
    <row r="13159" ht="14.25" customHeight="1"/>
    <row r="13160" ht="14.25" customHeight="1"/>
    <row r="13161" ht="14.25" customHeight="1"/>
    <row r="13162" ht="14.25" customHeight="1"/>
    <row r="13163" ht="14.25" customHeight="1"/>
    <row r="13164" ht="14.25" customHeight="1"/>
    <row r="13165" ht="14.25" customHeight="1"/>
    <row r="13166" ht="14.25" customHeight="1"/>
    <row r="13167" ht="14.25" customHeight="1"/>
    <row r="13168" ht="14.25" customHeight="1"/>
    <row r="13169" ht="14.25" customHeight="1"/>
    <row r="13170" ht="14.25" customHeight="1"/>
    <row r="13171" ht="14.25" customHeight="1"/>
    <row r="13172" ht="14.25" customHeight="1"/>
    <row r="13173" ht="14.25" customHeight="1"/>
    <row r="13174" ht="14.25" customHeight="1"/>
    <row r="13175" ht="14.25" customHeight="1"/>
    <row r="13176" ht="14.25" customHeight="1"/>
    <row r="13177" ht="14.25" customHeight="1"/>
    <row r="13178" ht="14.25" customHeight="1"/>
    <row r="13179" ht="14.25" customHeight="1"/>
    <row r="13180" ht="14.25" customHeight="1"/>
    <row r="13181" ht="14.25" customHeight="1"/>
    <row r="13182" ht="14.25" customHeight="1"/>
    <row r="13183" ht="14.25" customHeight="1"/>
    <row r="13184" ht="14.25" customHeight="1"/>
    <row r="13185" ht="14.25" customHeight="1"/>
    <row r="13186" ht="14.25" customHeight="1"/>
    <row r="13187" ht="14.25" customHeight="1"/>
    <row r="13188" ht="14.25" customHeight="1"/>
    <row r="13189" ht="14.25" customHeight="1"/>
    <row r="13190" ht="14.25" customHeight="1"/>
    <row r="13191" ht="14.25" customHeight="1"/>
    <row r="13192" ht="14.25" customHeight="1"/>
    <row r="13193" ht="14.25" customHeight="1"/>
    <row r="13194" ht="14.25" customHeight="1"/>
    <row r="13195" ht="14.25" customHeight="1"/>
    <row r="13196" ht="14.25" customHeight="1"/>
    <row r="13197" ht="14.25" customHeight="1"/>
    <row r="13198" ht="14.25" customHeight="1"/>
    <row r="13199" ht="14.25" customHeight="1"/>
    <row r="13200" ht="14.25" customHeight="1"/>
    <row r="13201" ht="14.25" customHeight="1"/>
    <row r="13202" ht="14.25" customHeight="1"/>
    <row r="13203" ht="14.25" customHeight="1"/>
    <row r="13204" ht="14.25" customHeight="1"/>
    <row r="13205" ht="14.25" customHeight="1"/>
    <row r="13206" ht="14.25" customHeight="1"/>
    <row r="13207" ht="14.25" customHeight="1"/>
    <row r="13208" ht="14.25" customHeight="1"/>
    <row r="13209" ht="14.25" customHeight="1"/>
    <row r="13210" ht="14.25" customHeight="1"/>
    <row r="13211" ht="14.25" customHeight="1"/>
    <row r="13212" ht="14.25" customHeight="1"/>
    <row r="13213" ht="14.25" customHeight="1"/>
    <row r="13214" ht="14.25" customHeight="1"/>
    <row r="13215" ht="14.25" customHeight="1"/>
    <row r="13216" ht="14.25" customHeight="1"/>
    <row r="13217" ht="14.25" customHeight="1"/>
    <row r="13218" ht="14.25" customHeight="1"/>
    <row r="13219" ht="14.25" customHeight="1"/>
    <row r="13220" ht="14.25" customHeight="1"/>
    <row r="13221" ht="14.25" customHeight="1"/>
    <row r="13222" ht="14.25" customHeight="1"/>
    <row r="13223" ht="14.25" customHeight="1"/>
    <row r="13224" ht="14.25" customHeight="1"/>
    <row r="13225" ht="14.25" customHeight="1"/>
    <row r="13226" ht="14.25" customHeight="1"/>
    <row r="13227" ht="14.25" customHeight="1"/>
    <row r="13228" ht="14.25" customHeight="1"/>
    <row r="13229" ht="14.25" customHeight="1"/>
    <row r="13230" ht="14.25" customHeight="1"/>
    <row r="13231" ht="14.25" customHeight="1"/>
    <row r="13232" ht="14.25" customHeight="1"/>
    <row r="13233" ht="14.25" customHeight="1"/>
    <row r="13234" ht="14.25" customHeight="1"/>
    <row r="13235" ht="14.25" customHeight="1"/>
    <row r="13236" ht="14.25" customHeight="1"/>
    <row r="13237" ht="14.25" customHeight="1"/>
    <row r="13238" ht="14.25" customHeight="1"/>
    <row r="13239" ht="14.25" customHeight="1"/>
    <row r="13240" ht="14.25" customHeight="1"/>
    <row r="13241" ht="14.25" customHeight="1"/>
    <row r="13242" ht="14.25" customHeight="1"/>
    <row r="13243" ht="14.25" customHeight="1"/>
    <row r="13244" ht="14.25" customHeight="1"/>
    <row r="13245" ht="14.25" customHeight="1"/>
    <row r="13246" ht="14.25" customHeight="1"/>
    <row r="13247" ht="14.25" customHeight="1"/>
    <row r="13248" ht="14.25" customHeight="1"/>
    <row r="13249" ht="14.25" customHeight="1"/>
    <row r="13250" ht="14.25" customHeight="1"/>
    <row r="13251" ht="14.25" customHeight="1"/>
    <row r="13252" ht="14.25" customHeight="1"/>
    <row r="13253" ht="14.25" customHeight="1"/>
    <row r="13254" ht="14.25" customHeight="1"/>
    <row r="13255" ht="14.25" customHeight="1"/>
    <row r="13256" ht="14.25" customHeight="1"/>
    <row r="13257" ht="14.25" customHeight="1"/>
    <row r="13258" ht="14.25" customHeight="1"/>
    <row r="13259" ht="14.25" customHeight="1"/>
    <row r="13260" ht="14.25" customHeight="1"/>
    <row r="13261" ht="14.25" customHeight="1"/>
    <row r="13262" ht="14.25" customHeight="1"/>
    <row r="13263" ht="14.25" customHeight="1"/>
    <row r="13264" ht="14.25" customHeight="1"/>
    <row r="13265" ht="14.25" customHeight="1"/>
    <row r="13266" ht="14.25" customHeight="1"/>
    <row r="13267" ht="14.25" customHeight="1"/>
    <row r="13268" ht="14.25" customHeight="1"/>
    <row r="13269" ht="14.25" customHeight="1"/>
    <row r="13270" ht="14.25" customHeight="1"/>
    <row r="13271" ht="14.25" customHeight="1"/>
    <row r="13272" ht="14.25" customHeight="1"/>
    <row r="13273" ht="14.25" customHeight="1"/>
    <row r="13274" ht="14.25" customHeight="1"/>
    <row r="13275" ht="14.25" customHeight="1"/>
    <row r="13276" ht="14.25" customHeight="1"/>
    <row r="13277" ht="14.25" customHeight="1"/>
    <row r="13278" ht="14.25" customHeight="1"/>
    <row r="13279" ht="14.25" customHeight="1"/>
    <row r="13280" ht="14.25" customHeight="1"/>
    <row r="13281" ht="14.25" customHeight="1"/>
    <row r="13282" ht="14.25" customHeight="1"/>
    <row r="13283" ht="14.25" customHeight="1"/>
    <row r="13284" ht="14.25" customHeight="1"/>
    <row r="13285" ht="14.25" customHeight="1"/>
    <row r="13286" ht="14.25" customHeight="1"/>
    <row r="13287" ht="14.25" customHeight="1"/>
    <row r="13288" ht="14.25" customHeight="1"/>
    <row r="13289" ht="14.25" customHeight="1"/>
    <row r="13290" ht="14.25" customHeight="1"/>
    <row r="13291" ht="14.25" customHeight="1"/>
    <row r="13292" ht="14.25" customHeight="1"/>
    <row r="13293" ht="14.25" customHeight="1"/>
    <row r="13294" ht="14.25" customHeight="1"/>
    <row r="13295" ht="14.25" customHeight="1"/>
    <row r="13296" ht="14.25" customHeight="1"/>
    <row r="13297" ht="14.25" customHeight="1"/>
    <row r="13298" ht="14.25" customHeight="1"/>
    <row r="13299" ht="14.25" customHeight="1"/>
    <row r="13300" ht="14.25" customHeight="1"/>
    <row r="13301" ht="14.25" customHeight="1"/>
    <row r="13302" ht="14.25" customHeight="1"/>
    <row r="13303" ht="14.25" customHeight="1"/>
    <row r="13304" ht="14.25" customHeight="1"/>
    <row r="13305" ht="14.25" customHeight="1"/>
    <row r="13306" ht="14.25" customHeight="1"/>
    <row r="13307" ht="14.25" customHeight="1"/>
    <row r="13308" ht="14.25" customHeight="1"/>
    <row r="13309" ht="14.25" customHeight="1"/>
    <row r="13310" ht="14.25" customHeight="1"/>
    <row r="13311" ht="14.25" customHeight="1"/>
    <row r="13312" ht="14.25" customHeight="1"/>
    <row r="13313" ht="14.25" customHeight="1"/>
    <row r="13314" ht="14.25" customHeight="1"/>
    <row r="13315" ht="14.25" customHeight="1"/>
    <row r="13316" ht="14.25" customHeight="1"/>
    <row r="13317" ht="14.25" customHeight="1"/>
    <row r="13318" ht="14.25" customHeight="1"/>
    <row r="13319" ht="14.25" customHeight="1"/>
    <row r="13320" ht="14.25" customHeight="1"/>
    <row r="13321" ht="14.25" customHeight="1"/>
    <row r="13322" ht="14.25" customHeight="1"/>
    <row r="13323" ht="14.25" customHeight="1"/>
    <row r="13324" ht="14.25" customHeight="1"/>
    <row r="13325" ht="14.25" customHeight="1"/>
    <row r="13326" ht="14.25" customHeight="1"/>
    <row r="13327" ht="14.25" customHeight="1"/>
    <row r="13328" ht="14.25" customHeight="1"/>
    <row r="13329" ht="14.25" customHeight="1"/>
    <row r="13330" ht="14.25" customHeight="1"/>
    <row r="13331" ht="14.25" customHeight="1"/>
    <row r="13332" ht="14.25" customHeight="1"/>
    <row r="13333" ht="14.25" customHeight="1"/>
    <row r="13334" ht="14.25" customHeight="1"/>
    <row r="13335" ht="14.25" customHeight="1"/>
    <row r="13336" ht="14.25" customHeight="1"/>
    <row r="13337" ht="14.25" customHeight="1"/>
    <row r="13338" ht="14.25" customHeight="1"/>
    <row r="13339" ht="14.25" customHeight="1"/>
    <row r="13340" ht="14.25" customHeight="1"/>
    <row r="13341" ht="14.25" customHeight="1"/>
    <row r="13342" ht="14.25" customHeight="1"/>
    <row r="13343" ht="14.25" customHeight="1"/>
    <row r="13344" ht="14.25" customHeight="1"/>
    <row r="13345" ht="14.25" customHeight="1"/>
    <row r="13346" ht="14.25" customHeight="1"/>
    <row r="13347" ht="14.25" customHeight="1"/>
    <row r="13348" ht="14.25" customHeight="1"/>
    <row r="13349" ht="14.25" customHeight="1"/>
    <row r="13350" ht="14.25" customHeight="1"/>
    <row r="13351" ht="14.25" customHeight="1"/>
    <row r="13352" ht="14.25" customHeight="1"/>
    <row r="13353" ht="14.25" customHeight="1"/>
    <row r="13354" ht="14.25" customHeight="1"/>
    <row r="13355" ht="14.25" customHeight="1"/>
    <row r="13356" ht="14.25" customHeight="1"/>
    <row r="13357" ht="14.25" customHeight="1"/>
    <row r="13358" ht="14.25" customHeight="1"/>
    <row r="13359" ht="14.25" customHeight="1"/>
    <row r="13360" ht="14.25" customHeight="1"/>
    <row r="13361" ht="14.25" customHeight="1"/>
    <row r="13362" ht="14.25" customHeight="1"/>
    <row r="13363" ht="14.25" customHeight="1"/>
    <row r="13364" ht="14.25" customHeight="1"/>
    <row r="13365" ht="14.25" customHeight="1"/>
    <row r="13366" ht="14.25" customHeight="1"/>
    <row r="13367" ht="14.25" customHeight="1"/>
    <row r="13368" ht="14.25" customHeight="1"/>
    <row r="13369" ht="14.25" customHeight="1"/>
    <row r="13370" ht="14.25" customHeight="1"/>
    <row r="13371" ht="14.25" customHeight="1"/>
    <row r="13372" ht="14.25" customHeight="1"/>
    <row r="13373" ht="14.25" customHeight="1"/>
    <row r="13374" ht="14.25" customHeight="1"/>
    <row r="13375" ht="14.25" customHeight="1"/>
    <row r="13376" ht="14.25" customHeight="1"/>
    <row r="13377" ht="14.25" customHeight="1"/>
    <row r="13378" ht="14.25" customHeight="1"/>
    <row r="13379" ht="14.25" customHeight="1"/>
    <row r="13380" ht="14.25" customHeight="1"/>
    <row r="13381" ht="14.25" customHeight="1"/>
    <row r="13382" ht="14.25" customHeight="1"/>
    <row r="13383" ht="14.25" customHeight="1"/>
    <row r="13384" ht="14.25" customHeight="1"/>
    <row r="13385" ht="14.25" customHeight="1"/>
    <row r="13386" ht="14.25" customHeight="1"/>
    <row r="13387" ht="14.25" customHeight="1"/>
    <row r="13388" ht="14.25" customHeight="1"/>
    <row r="13389" ht="14.25" customHeight="1"/>
    <row r="13390" ht="14.25" customHeight="1"/>
    <row r="13391" ht="14.25" customHeight="1"/>
    <row r="13392" ht="14.25" customHeight="1"/>
    <row r="13393" ht="14.25" customHeight="1"/>
    <row r="13394" ht="14.25" customHeight="1"/>
    <row r="13395" ht="14.25" customHeight="1"/>
    <row r="13396" ht="14.25" customHeight="1"/>
    <row r="13397" ht="14.25" customHeight="1"/>
    <row r="13398" ht="14.25" customHeight="1"/>
    <row r="13399" ht="14.25" customHeight="1"/>
    <row r="13400" ht="14.25" customHeight="1"/>
    <row r="13401" ht="14.25" customHeight="1"/>
    <row r="13402" ht="14.25" customHeight="1"/>
    <row r="13403" ht="14.25" customHeight="1"/>
    <row r="13404" ht="14.25" customHeight="1"/>
    <row r="13405" ht="14.25" customHeight="1"/>
    <row r="13406" ht="14.25" customHeight="1"/>
    <row r="13407" ht="14.25" customHeight="1"/>
    <row r="13408" ht="14.25" customHeight="1"/>
    <row r="13409" ht="14.25" customHeight="1"/>
    <row r="13410" ht="14.25" customHeight="1"/>
    <row r="13411" ht="14.25" customHeight="1"/>
    <row r="13412" ht="14.25" customHeight="1"/>
    <row r="13413" ht="14.25" customHeight="1"/>
    <row r="13414" ht="14.25" customHeight="1"/>
    <row r="13415" ht="14.25" customHeight="1"/>
    <row r="13416" ht="14.25" customHeight="1"/>
    <row r="13417" ht="14.25" customHeight="1"/>
    <row r="13418" ht="14.25" customHeight="1"/>
    <row r="13419" ht="14.25" customHeight="1"/>
    <row r="13420" ht="14.25" customHeight="1"/>
    <row r="13421" ht="14.25" customHeight="1"/>
    <row r="13422" ht="14.25" customHeight="1"/>
    <row r="13423" ht="14.25" customHeight="1"/>
    <row r="13424" ht="14.25" customHeight="1"/>
    <row r="13425" ht="14.25" customHeight="1"/>
    <row r="13426" ht="14.25" customHeight="1"/>
    <row r="13427" ht="14.25" customHeight="1"/>
    <row r="13428" ht="14.25" customHeight="1"/>
    <row r="13429" ht="14.25" customHeight="1"/>
    <row r="13430" ht="14.25" customHeight="1"/>
    <row r="13431" ht="14.25" customHeight="1"/>
    <row r="13432" ht="14.25" customHeight="1"/>
    <row r="13433" ht="14.25" customHeight="1"/>
    <row r="13434" ht="14.25" customHeight="1"/>
    <row r="13435" ht="14.25" customHeight="1"/>
    <row r="13436" ht="14.25" customHeight="1"/>
    <row r="13437" ht="14.25" customHeight="1"/>
    <row r="13438" ht="14.25" customHeight="1"/>
    <row r="13439" ht="14.25" customHeight="1"/>
    <row r="13440" ht="14.25" customHeight="1"/>
    <row r="13441" ht="14.25" customHeight="1"/>
    <row r="13442" ht="14.25" customHeight="1"/>
    <row r="13443" ht="14.25" customHeight="1"/>
    <row r="13444" ht="14.25" customHeight="1"/>
    <row r="13445" ht="14.25" customHeight="1"/>
    <row r="13446" ht="14.25" customHeight="1"/>
    <row r="13447" ht="14.25" customHeight="1"/>
    <row r="13448" ht="14.25" customHeight="1"/>
    <row r="13449" ht="14.25" customHeight="1"/>
    <row r="13450" ht="14.25" customHeight="1"/>
    <row r="13451" ht="14.25" customHeight="1"/>
    <row r="13452" ht="14.25" customHeight="1"/>
    <row r="13453" ht="14.25" customHeight="1"/>
    <row r="13454" ht="14.25" customHeight="1"/>
    <row r="13455" ht="14.25" customHeight="1"/>
    <row r="13456" ht="14.25" customHeight="1"/>
    <row r="13457" ht="14.25" customHeight="1"/>
    <row r="13458" ht="14.25" customHeight="1"/>
    <row r="13459" ht="14.25" customHeight="1"/>
    <row r="13460" ht="14.25" customHeight="1"/>
    <row r="13461" ht="14.25" customHeight="1"/>
    <row r="13462" ht="14.25" customHeight="1"/>
    <row r="13463" ht="14.25" customHeight="1"/>
    <row r="13464" ht="14.25" customHeight="1"/>
    <row r="13465" ht="14.25" customHeight="1"/>
    <row r="13466" ht="14.25" customHeight="1"/>
    <row r="13467" ht="14.25" customHeight="1"/>
    <row r="13468" ht="14.25" customHeight="1"/>
    <row r="13469" ht="14.25" customHeight="1"/>
    <row r="13470" ht="14.25" customHeight="1"/>
    <row r="13471" ht="14.25" customHeight="1"/>
    <row r="13472" ht="14.25" customHeight="1"/>
    <row r="13473" ht="14.25" customHeight="1"/>
    <row r="13474" ht="14.25" customHeight="1"/>
    <row r="13475" ht="14.25" customHeight="1"/>
    <row r="13476" ht="14.25" customHeight="1"/>
    <row r="13477" ht="14.25" customHeight="1"/>
    <row r="13478" ht="14.25" customHeight="1"/>
    <row r="13479" ht="14.25" customHeight="1"/>
    <row r="13480" ht="14.25" customHeight="1"/>
    <row r="13481" ht="14.25" customHeight="1"/>
    <row r="13482" ht="14.25" customHeight="1"/>
    <row r="13483" ht="14.25" customHeight="1"/>
    <row r="13484" ht="14.25" customHeight="1"/>
    <row r="13485" ht="14.25" customHeight="1"/>
    <row r="13486" ht="14.25" customHeight="1"/>
    <row r="13487" ht="14.25" customHeight="1"/>
    <row r="13488" ht="14.25" customHeight="1"/>
    <row r="13489" ht="14.25" customHeight="1"/>
    <row r="13490" ht="14.25" customHeight="1"/>
    <row r="13491" ht="14.25" customHeight="1"/>
    <row r="13492" ht="14.25" customHeight="1"/>
    <row r="13493" ht="14.25" customHeight="1"/>
    <row r="13494" ht="14.25" customHeight="1"/>
    <row r="13495" ht="14.25" customHeight="1"/>
    <row r="13496" ht="14.25" customHeight="1"/>
    <row r="13497" ht="14.25" customHeight="1"/>
    <row r="13498" ht="14.25" customHeight="1"/>
    <row r="13499" ht="14.25" customHeight="1"/>
    <row r="13500" ht="14.25" customHeight="1"/>
    <row r="13501" ht="14.25" customHeight="1"/>
    <row r="13502" ht="14.25" customHeight="1"/>
    <row r="13503" ht="14.25" customHeight="1"/>
    <row r="13504" ht="14.25" customHeight="1"/>
    <row r="13505" ht="14.25" customHeight="1"/>
    <row r="13506" ht="14.25" customHeight="1"/>
    <row r="13507" ht="14.25" customHeight="1"/>
    <row r="13508" ht="14.25" customHeight="1"/>
    <row r="13509" ht="14.25" customHeight="1"/>
    <row r="13510" ht="14.25" customHeight="1"/>
    <row r="13511" ht="14.25" customHeight="1"/>
    <row r="13512" ht="14.25" customHeight="1"/>
    <row r="13513" ht="14.25" customHeight="1"/>
    <row r="13514" ht="14.25" customHeight="1"/>
    <row r="13515" ht="14.25" customHeight="1"/>
    <row r="13516" ht="14.25" customHeight="1"/>
    <row r="13517" ht="14.25" customHeight="1"/>
    <row r="13518" ht="14.25" customHeight="1"/>
    <row r="13519" ht="14.25" customHeight="1"/>
    <row r="13520" ht="14.25" customHeight="1"/>
    <row r="13521" ht="14.25" customHeight="1"/>
    <row r="13522" ht="14.25" customHeight="1"/>
    <row r="13523" ht="14.25" customHeight="1"/>
    <row r="13524" ht="14.25" customHeight="1"/>
    <row r="13525" ht="14.25" customHeight="1"/>
    <row r="13526" ht="14.25" customHeight="1"/>
    <row r="13527" ht="14.25" customHeight="1"/>
    <row r="13528" ht="14.25" customHeight="1"/>
    <row r="13529" ht="14.25" customHeight="1"/>
    <row r="13530" ht="14.25" customHeight="1"/>
    <row r="13531" ht="14.25" customHeight="1"/>
    <row r="13532" ht="14.25" customHeight="1"/>
    <row r="13533" ht="14.25" customHeight="1"/>
    <row r="13534" ht="14.25" customHeight="1"/>
    <row r="13535" ht="14.25" customHeight="1"/>
    <row r="13536" ht="14.25" customHeight="1"/>
    <row r="13537" ht="14.25" customHeight="1"/>
    <row r="13538" ht="14.25" customHeight="1"/>
    <row r="13539" ht="14.25" customHeight="1"/>
    <row r="13540" ht="14.25" customHeight="1"/>
    <row r="13541" ht="14.25" customHeight="1"/>
    <row r="13542" ht="14.25" customHeight="1"/>
    <row r="13543" ht="14.25" customHeight="1"/>
    <row r="13544" ht="14.25" customHeight="1"/>
    <row r="13545" ht="14.25" customHeight="1"/>
    <row r="13546" ht="14.25" customHeight="1"/>
    <row r="13547" ht="14.25" customHeight="1"/>
    <row r="13548" ht="14.25" customHeight="1"/>
    <row r="13549" ht="14.25" customHeight="1"/>
    <row r="13550" ht="14.25" customHeight="1"/>
    <row r="13551" ht="14.25" customHeight="1"/>
    <row r="13552" ht="14.25" customHeight="1"/>
    <row r="13553" ht="14.25" customHeight="1"/>
    <row r="13554" ht="14.25" customHeight="1"/>
    <row r="13555" ht="14.25" customHeight="1"/>
    <row r="13556" ht="14.25" customHeight="1"/>
    <row r="13557" ht="14.25" customHeight="1"/>
    <row r="13558" ht="14.25" customHeight="1"/>
    <row r="13559" ht="14.25" customHeight="1"/>
    <row r="13560" ht="14.25" customHeight="1"/>
    <row r="13561" ht="14.25" customHeight="1"/>
    <row r="13562" ht="14.25" customHeight="1"/>
    <row r="13563" ht="14.25" customHeight="1"/>
    <row r="13564" ht="14.25" customHeight="1"/>
    <row r="13565" ht="14.25" customHeight="1"/>
    <row r="13566" ht="14.25" customHeight="1"/>
    <row r="13567" ht="14.25" customHeight="1"/>
    <row r="13568" ht="14.25" customHeight="1"/>
    <row r="13569" ht="14.25" customHeight="1"/>
    <row r="13570" ht="14.25" customHeight="1"/>
    <row r="13571" ht="14.25" customHeight="1"/>
    <row r="13572" ht="14.25" customHeight="1"/>
    <row r="13573" ht="14.25" customHeight="1"/>
    <row r="13574" ht="14.25" customHeight="1"/>
    <row r="13575" ht="14.25" customHeight="1"/>
    <row r="13576" ht="14.25" customHeight="1"/>
    <row r="13577" ht="14.25" customHeight="1"/>
    <row r="13578" ht="14.25" customHeight="1"/>
    <row r="13579" ht="14.25" customHeight="1"/>
    <row r="13580" ht="14.25" customHeight="1"/>
    <row r="13581" ht="14.25" customHeight="1"/>
    <row r="13582" ht="14.25" customHeight="1"/>
    <row r="13583" ht="14.25" customHeight="1"/>
    <row r="13584" ht="14.25" customHeight="1"/>
    <row r="13585" ht="14.25" customHeight="1"/>
    <row r="13586" ht="14.25" customHeight="1"/>
    <row r="13587" ht="14.25" customHeight="1"/>
    <row r="13588" ht="14.25" customHeight="1"/>
    <row r="13589" ht="14.25" customHeight="1"/>
    <row r="13590" ht="14.25" customHeight="1"/>
    <row r="13591" ht="14.25" customHeight="1"/>
    <row r="13592" ht="14.25" customHeight="1"/>
    <row r="13593" ht="14.25" customHeight="1"/>
    <row r="13594" ht="14.25" customHeight="1"/>
    <row r="13595" ht="14.25" customHeight="1"/>
    <row r="13596" ht="14.25" customHeight="1"/>
    <row r="13597" ht="14.25" customHeight="1"/>
    <row r="13598" ht="14.25" customHeight="1"/>
    <row r="13599" ht="14.25" customHeight="1"/>
    <row r="13600" ht="14.25" customHeight="1"/>
    <row r="13601" ht="14.25" customHeight="1"/>
    <row r="13602" ht="14.25" customHeight="1"/>
    <row r="13603" ht="14.25" customHeight="1"/>
    <row r="13604" ht="14.25" customHeight="1"/>
    <row r="13605" ht="14.25" customHeight="1"/>
    <row r="13606" ht="14.25" customHeight="1"/>
    <row r="13607" ht="14.25" customHeight="1"/>
    <row r="13608" ht="14.25" customHeight="1"/>
    <row r="13609" ht="14.25" customHeight="1"/>
    <row r="13610" ht="14.25" customHeight="1"/>
    <row r="13611" ht="14.25" customHeight="1"/>
    <row r="13612" ht="14.25" customHeight="1"/>
    <row r="13613" ht="14.25" customHeight="1"/>
    <row r="13614" ht="14.25" customHeight="1"/>
    <row r="13615" ht="14.25" customHeight="1"/>
    <row r="13616" ht="14.25" customHeight="1"/>
    <row r="13617" ht="14.25" customHeight="1"/>
    <row r="13618" ht="14.25" customHeight="1"/>
    <row r="13619" ht="14.25" customHeight="1"/>
    <row r="13620" ht="14.25" customHeight="1"/>
    <row r="13621" ht="14.25" customHeight="1"/>
    <row r="13622" ht="14.25" customHeight="1"/>
    <row r="13623" ht="14.25" customHeight="1"/>
    <row r="13624" ht="14.25" customHeight="1"/>
    <row r="13625" ht="14.25" customHeight="1"/>
    <row r="13626" ht="14.25" customHeight="1"/>
    <row r="13627" ht="14.25" customHeight="1"/>
    <row r="13628" ht="14.25" customHeight="1"/>
    <row r="13629" ht="14.25" customHeight="1"/>
    <row r="13630" ht="14.25" customHeight="1"/>
    <row r="13631" ht="14.25" customHeight="1"/>
    <row r="13632" ht="14.25" customHeight="1"/>
    <row r="13633" ht="14.25" customHeight="1"/>
    <row r="13634" ht="14.25" customHeight="1"/>
    <row r="13635" ht="14.25" customHeight="1"/>
    <row r="13636" ht="14.25" customHeight="1"/>
    <row r="13637" ht="14.25" customHeight="1"/>
    <row r="13638" ht="14.25" customHeight="1"/>
    <row r="13639" ht="14.25" customHeight="1"/>
    <row r="13640" ht="14.25" customHeight="1"/>
    <row r="13641" ht="14.25" customHeight="1"/>
    <row r="13642" ht="14.25" customHeight="1"/>
    <row r="13643" ht="14.25" customHeight="1"/>
    <row r="13644" ht="14.25" customHeight="1"/>
    <row r="13645" ht="14.25" customHeight="1"/>
    <row r="13646" ht="14.25" customHeight="1"/>
    <row r="13647" ht="14.25" customHeight="1"/>
    <row r="13648" ht="14.25" customHeight="1"/>
    <row r="13649" ht="14.25" customHeight="1"/>
    <row r="13650" ht="14.25" customHeight="1"/>
    <row r="13651" ht="14.25" customHeight="1"/>
    <row r="13652" ht="14.25" customHeight="1"/>
    <row r="13653" ht="14.25" customHeight="1"/>
    <row r="13654" ht="14.25" customHeight="1"/>
    <row r="13655" ht="14.25" customHeight="1"/>
    <row r="13656" ht="14.25" customHeight="1"/>
    <row r="13657" ht="14.25" customHeight="1"/>
    <row r="13658" ht="14.25" customHeight="1"/>
    <row r="13659" ht="14.25" customHeight="1"/>
    <row r="13660" ht="14.25" customHeight="1"/>
    <row r="13661" ht="14.25" customHeight="1"/>
    <row r="13662" ht="14.25" customHeight="1"/>
    <row r="13663" ht="14.25" customHeight="1"/>
    <row r="13664" ht="14.25" customHeight="1"/>
    <row r="13665" ht="14.25" customHeight="1"/>
    <row r="13666" ht="14.25" customHeight="1"/>
    <row r="13667" ht="14.25" customHeight="1"/>
    <row r="13668" ht="14.25" customHeight="1"/>
    <row r="13669" ht="14.25" customHeight="1"/>
    <row r="13670" ht="14.25" customHeight="1"/>
    <row r="13671" ht="14.25" customHeight="1"/>
    <row r="13672" ht="14.25" customHeight="1"/>
    <row r="13673" ht="14.25" customHeight="1"/>
    <row r="13674" ht="14.25" customHeight="1"/>
    <row r="13675" ht="14.25" customHeight="1"/>
    <row r="13676" ht="14.25" customHeight="1"/>
    <row r="13677" ht="14.25" customHeight="1"/>
    <row r="13678" ht="14.25" customHeight="1"/>
    <row r="13679" ht="14.25" customHeight="1"/>
    <row r="13680" ht="14.25" customHeight="1"/>
    <row r="13681" ht="14.25" customHeight="1"/>
    <row r="13682" ht="14.25" customHeight="1"/>
    <row r="13683" ht="14.25" customHeight="1"/>
    <row r="13684" ht="14.25" customHeight="1"/>
    <row r="13685" ht="14.25" customHeight="1"/>
    <row r="13686" ht="14.25" customHeight="1"/>
    <row r="13687" ht="14.25" customHeight="1"/>
    <row r="13688" ht="14.25" customHeight="1"/>
    <row r="13689" ht="14.25" customHeight="1"/>
    <row r="13690" ht="14.25" customHeight="1"/>
    <row r="13691" ht="14.25" customHeight="1"/>
    <row r="13692" ht="14.25" customHeight="1"/>
    <row r="13693" ht="14.25" customHeight="1"/>
    <row r="13694" ht="14.25" customHeight="1"/>
    <row r="13695" ht="14.25" customHeight="1"/>
    <row r="13696" ht="14.25" customHeight="1"/>
    <row r="13697" ht="14.25" customHeight="1"/>
    <row r="13698" ht="14.25" customHeight="1"/>
    <row r="13699" ht="14.25" customHeight="1"/>
    <row r="13700" ht="14.25" customHeight="1"/>
    <row r="13701" ht="14.25" customHeight="1"/>
    <row r="13702" ht="14.25" customHeight="1"/>
    <row r="13703" ht="14.25" customHeight="1"/>
    <row r="13704" ht="14.25" customHeight="1"/>
    <row r="13705" ht="14.25" customHeight="1"/>
    <row r="13706" ht="14.25" customHeight="1"/>
    <row r="13707" ht="14.25" customHeight="1"/>
    <row r="13708" ht="14.25" customHeight="1"/>
    <row r="13709" ht="14.25" customHeight="1"/>
    <row r="13710" ht="14.25" customHeight="1"/>
    <row r="13711" ht="14.25" customHeight="1"/>
    <row r="13712" ht="14.25" customHeight="1"/>
    <row r="13713" ht="14.25" customHeight="1"/>
    <row r="13714" ht="14.25" customHeight="1"/>
    <row r="13715" ht="14.25" customHeight="1"/>
    <row r="13716" ht="14.25" customHeight="1"/>
    <row r="13717" ht="14.25" customHeight="1"/>
    <row r="13718" ht="14.25" customHeight="1"/>
    <row r="13719" ht="14.25" customHeight="1"/>
    <row r="13720" ht="14.25" customHeight="1"/>
    <row r="13721" ht="14.25" customHeight="1"/>
    <row r="13722" ht="14.25" customHeight="1"/>
    <row r="13723" ht="14.25" customHeight="1"/>
    <row r="13724" ht="14.25" customHeight="1"/>
    <row r="13725" ht="14.25" customHeight="1"/>
    <row r="13726" ht="14.25" customHeight="1"/>
    <row r="13727" ht="14.25" customHeight="1"/>
    <row r="13728" ht="14.25" customHeight="1"/>
    <row r="13729" ht="14.25" customHeight="1"/>
    <row r="13730" ht="14.25" customHeight="1"/>
    <row r="13731" ht="14.25" customHeight="1"/>
    <row r="13732" ht="14.25" customHeight="1"/>
    <row r="13733" ht="14.25" customHeight="1"/>
    <row r="13734" ht="14.25" customHeight="1"/>
    <row r="13735" ht="14.25" customHeight="1"/>
    <row r="13736" ht="14.25" customHeight="1"/>
    <row r="13737" ht="14.25" customHeight="1"/>
    <row r="13738" ht="14.25" customHeight="1"/>
    <row r="13739" ht="14.25" customHeight="1"/>
    <row r="13740" ht="14.25" customHeight="1"/>
    <row r="13741" ht="14.25" customHeight="1"/>
    <row r="13742" ht="14.25" customHeight="1"/>
    <row r="13743" ht="14.25" customHeight="1"/>
    <row r="13744" ht="14.25" customHeight="1"/>
    <row r="13745" ht="14.25" customHeight="1"/>
    <row r="13746" ht="14.25" customHeight="1"/>
    <row r="13747" ht="14.25" customHeight="1"/>
    <row r="13748" ht="14.25" customHeight="1"/>
    <row r="13749" ht="14.25" customHeight="1"/>
    <row r="13750" ht="14.25" customHeight="1"/>
    <row r="13751" ht="14.25" customHeight="1"/>
    <row r="13752" ht="14.25" customHeight="1"/>
    <row r="13753" ht="14.25" customHeight="1"/>
    <row r="13754" ht="14.25" customHeight="1"/>
    <row r="13755" ht="14.25" customHeight="1"/>
    <row r="13756" ht="14.25" customHeight="1"/>
    <row r="13757" ht="14.25" customHeight="1"/>
    <row r="13758" ht="14.25" customHeight="1"/>
    <row r="13759" ht="14.25" customHeight="1"/>
    <row r="13760" ht="14.25" customHeight="1"/>
    <row r="13761" ht="14.25" customHeight="1"/>
    <row r="13762" ht="14.25" customHeight="1"/>
    <row r="13763" ht="14.25" customHeight="1"/>
    <row r="13764" ht="14.25" customHeight="1"/>
    <row r="13765" ht="14.25" customHeight="1"/>
    <row r="13766" ht="14.25" customHeight="1"/>
    <row r="13767" ht="14.25" customHeight="1"/>
    <row r="13768" ht="14.25" customHeight="1"/>
    <row r="13769" ht="14.25" customHeight="1"/>
    <row r="13770" ht="14.25" customHeight="1"/>
    <row r="13771" ht="14.25" customHeight="1"/>
    <row r="13772" ht="14.25" customHeight="1"/>
    <row r="13773" ht="14.25" customHeight="1"/>
    <row r="13774" ht="14.25" customHeight="1"/>
    <row r="13775" ht="14.25" customHeight="1"/>
    <row r="13776" ht="14.25" customHeight="1"/>
    <row r="13777" ht="14.25" customHeight="1"/>
    <row r="13778" ht="14.25" customHeight="1"/>
    <row r="13779" ht="14.25" customHeight="1"/>
    <row r="13780" ht="14.25" customHeight="1"/>
    <row r="13781" ht="14.25" customHeight="1"/>
    <row r="13782" ht="14.25" customHeight="1"/>
    <row r="13783" ht="14.25" customHeight="1"/>
    <row r="13784" ht="14.25" customHeight="1"/>
    <row r="13785" ht="14.25" customHeight="1"/>
    <row r="13786" ht="14.25" customHeight="1"/>
    <row r="13787" ht="14.25" customHeight="1"/>
    <row r="13788" ht="14.25" customHeight="1"/>
    <row r="13789" ht="14.25" customHeight="1"/>
    <row r="13790" ht="14.25" customHeight="1"/>
    <row r="13791" ht="14.25" customHeight="1"/>
    <row r="13792" ht="14.25" customHeight="1"/>
    <row r="13793" ht="14.25" customHeight="1"/>
    <row r="13794" ht="14.25" customHeight="1"/>
    <row r="13795" ht="14.25" customHeight="1"/>
    <row r="13796" ht="14.25" customHeight="1"/>
    <row r="13797" ht="14.25" customHeight="1"/>
    <row r="13798" ht="14.25" customHeight="1"/>
    <row r="13799" ht="14.25" customHeight="1"/>
    <row r="13800" ht="14.25" customHeight="1"/>
    <row r="13801" ht="14.25" customHeight="1"/>
    <row r="13802" ht="14.25" customHeight="1"/>
    <row r="13803" ht="14.25" customHeight="1"/>
    <row r="13804" ht="14.25" customHeight="1"/>
    <row r="13805" ht="14.25" customHeight="1"/>
    <row r="13806" ht="14.25" customHeight="1"/>
    <row r="13807" ht="14.25" customHeight="1"/>
    <row r="13808" ht="14.25" customHeight="1"/>
    <row r="13809" ht="14.25" customHeight="1"/>
    <row r="13810" ht="14.25" customHeight="1"/>
    <row r="13811" ht="14.25" customHeight="1"/>
    <row r="13812" ht="14.25" customHeight="1"/>
    <row r="13813" ht="14.25" customHeight="1"/>
    <row r="13814" ht="14.25" customHeight="1"/>
    <row r="13815" ht="14.25" customHeight="1"/>
    <row r="13816" ht="14.25" customHeight="1"/>
    <row r="13817" ht="14.25" customHeight="1"/>
    <row r="13818" ht="14.25" customHeight="1"/>
    <row r="13819" ht="14.25" customHeight="1"/>
    <row r="13820" ht="14.25" customHeight="1"/>
    <row r="13821" ht="14.25" customHeight="1"/>
    <row r="13822" ht="14.25" customHeight="1"/>
    <row r="13823" ht="14.25" customHeight="1"/>
    <row r="13824" ht="14.25" customHeight="1"/>
    <row r="13825" ht="14.25" customHeight="1"/>
    <row r="13826" ht="14.25" customHeight="1"/>
    <row r="13827" ht="14.25" customHeight="1"/>
    <row r="13828" ht="14.25" customHeight="1"/>
    <row r="13829" ht="14.25" customHeight="1"/>
    <row r="13830" ht="14.25" customHeight="1"/>
    <row r="13831" ht="14.25" customHeight="1"/>
    <row r="13832" ht="14.25" customHeight="1"/>
    <row r="13833" ht="14.25" customHeight="1"/>
    <row r="13834" ht="14.25" customHeight="1"/>
    <row r="13835" ht="14.25" customHeight="1"/>
    <row r="13836" ht="14.25" customHeight="1"/>
    <row r="13837" ht="14.25" customHeight="1"/>
    <row r="13838" ht="14.25" customHeight="1"/>
    <row r="13839" ht="14.25" customHeight="1"/>
    <row r="13840" ht="14.25" customHeight="1"/>
    <row r="13841" ht="14.25" customHeight="1"/>
    <row r="13842" ht="14.25" customHeight="1"/>
    <row r="13843" ht="14.25" customHeight="1"/>
    <row r="13844" ht="14.25" customHeight="1"/>
    <row r="13845" ht="14.25" customHeight="1"/>
    <row r="13846" ht="14.25" customHeight="1"/>
    <row r="13847" ht="14.25" customHeight="1"/>
    <row r="13848" ht="14.25" customHeight="1"/>
    <row r="13849" ht="14.25" customHeight="1"/>
    <row r="13850" ht="14.25" customHeight="1"/>
    <row r="13851" ht="14.25" customHeight="1"/>
    <row r="13852" ht="14.25" customHeight="1"/>
    <row r="13853" ht="14.25" customHeight="1"/>
    <row r="13854" ht="14.25" customHeight="1"/>
    <row r="13855" ht="14.25" customHeight="1"/>
    <row r="13856" ht="14.25" customHeight="1"/>
    <row r="13857" ht="14.25" customHeight="1"/>
    <row r="13858" ht="14.25" customHeight="1"/>
    <row r="13859" ht="14.25" customHeight="1"/>
    <row r="13860" ht="14.25" customHeight="1"/>
    <row r="13861" ht="14.25" customHeight="1"/>
    <row r="13862" ht="14.25" customHeight="1"/>
    <row r="13863" ht="14.25" customHeight="1"/>
    <row r="13864" ht="14.25" customHeight="1"/>
    <row r="13865" ht="14.25" customHeight="1"/>
    <row r="13866" ht="14.25" customHeight="1"/>
    <row r="13867" ht="14.25" customHeight="1"/>
    <row r="13868" ht="14.25" customHeight="1"/>
    <row r="13869" ht="14.25" customHeight="1"/>
    <row r="13870" ht="14.25" customHeight="1"/>
    <row r="13871" ht="14.25" customHeight="1"/>
    <row r="13872" ht="14.25" customHeight="1"/>
    <row r="13873" ht="14.25" customHeight="1"/>
    <row r="13874" ht="14.25" customHeight="1"/>
    <row r="13875" ht="14.25" customHeight="1"/>
    <row r="13876" ht="14.25" customHeight="1"/>
    <row r="13877" ht="14.25" customHeight="1"/>
    <row r="13878" ht="14.25" customHeight="1"/>
    <row r="13879" ht="14.25" customHeight="1"/>
    <row r="13880" ht="14.25" customHeight="1"/>
    <row r="13881" ht="14.25" customHeight="1"/>
    <row r="13882" ht="14.25" customHeight="1"/>
    <row r="13883" ht="14.25" customHeight="1"/>
    <row r="13884" ht="14.25" customHeight="1"/>
    <row r="13885" ht="14.25" customHeight="1"/>
    <row r="13886" ht="14.25" customHeight="1"/>
    <row r="13887" ht="14.25" customHeight="1"/>
    <row r="13888" ht="14.25" customHeight="1"/>
    <row r="13889" ht="14.25" customHeight="1"/>
    <row r="13890" ht="14.25" customHeight="1"/>
    <row r="13891" ht="14.25" customHeight="1"/>
    <row r="13892" ht="14.25" customHeight="1"/>
    <row r="13893" ht="14.25" customHeight="1"/>
    <row r="13894" ht="14.25" customHeight="1"/>
    <row r="13895" ht="14.25" customHeight="1"/>
    <row r="13896" ht="14.25" customHeight="1"/>
    <row r="13897" ht="14.25" customHeight="1"/>
    <row r="13898" ht="14.25" customHeight="1"/>
    <row r="13899" ht="14.25" customHeight="1"/>
    <row r="13900" ht="14.25" customHeight="1"/>
    <row r="13901" ht="14.25" customHeight="1"/>
    <row r="13902" ht="14.25" customHeight="1"/>
    <row r="13903" ht="14.25" customHeight="1"/>
    <row r="13904" ht="14.25" customHeight="1"/>
    <row r="13905" ht="14.25" customHeight="1"/>
    <row r="13906" ht="14.25" customHeight="1"/>
    <row r="13907" ht="14.25" customHeight="1"/>
    <row r="13908" ht="14.25" customHeight="1"/>
    <row r="13909" ht="14.25" customHeight="1"/>
    <row r="13910" ht="14.25" customHeight="1"/>
    <row r="13911" ht="14.25" customHeight="1"/>
    <row r="13912" ht="14.25" customHeight="1"/>
    <row r="13913" ht="14.25" customHeight="1"/>
    <row r="13914" ht="14.25" customHeight="1"/>
    <row r="13915" ht="14.25" customHeight="1"/>
    <row r="13916" ht="14.25" customHeight="1"/>
    <row r="13917" ht="14.25" customHeight="1"/>
    <row r="13918" ht="14.25" customHeight="1"/>
    <row r="13919" ht="14.25" customHeight="1"/>
    <row r="13920" ht="14.25" customHeight="1"/>
    <row r="13921" ht="14.25" customHeight="1"/>
    <row r="13922" ht="14.25" customHeight="1"/>
    <row r="13923" ht="14.25" customHeight="1"/>
    <row r="13924" ht="14.25" customHeight="1"/>
    <row r="13925" ht="14.25" customHeight="1"/>
    <row r="13926" ht="14.25" customHeight="1"/>
    <row r="13927" ht="14.25" customHeight="1"/>
    <row r="13928" ht="14.25" customHeight="1"/>
    <row r="13929" ht="14.25" customHeight="1"/>
    <row r="13930" ht="14.25" customHeight="1"/>
    <row r="13931" ht="14.25" customHeight="1"/>
    <row r="13932" ht="14.25" customHeight="1"/>
    <row r="13933" ht="14.25" customHeight="1"/>
    <row r="13934" ht="14.25" customHeight="1"/>
    <row r="13935" ht="14.25" customHeight="1"/>
    <row r="13936" ht="14.25" customHeight="1"/>
    <row r="13937" ht="14.25" customHeight="1"/>
    <row r="13938" ht="14.25" customHeight="1"/>
    <row r="13939" ht="14.25" customHeight="1"/>
    <row r="13940" ht="14.25" customHeight="1"/>
    <row r="13941" ht="14.25" customHeight="1"/>
    <row r="13942" ht="14.25" customHeight="1"/>
    <row r="13943" ht="14.25" customHeight="1"/>
    <row r="13944" ht="14.25" customHeight="1"/>
    <row r="13945" ht="14.25" customHeight="1"/>
    <row r="13946" ht="14.25" customHeight="1"/>
    <row r="13947" ht="14.25" customHeight="1"/>
    <row r="13948" ht="14.25" customHeight="1"/>
    <row r="13949" ht="14.25" customHeight="1"/>
    <row r="13950" ht="14.25" customHeight="1"/>
    <row r="13951" ht="14.25" customHeight="1"/>
    <row r="13952" ht="14.25" customHeight="1"/>
    <row r="13953" ht="14.25" customHeight="1"/>
    <row r="13954" ht="14.25" customHeight="1"/>
    <row r="13955" ht="14.25" customHeight="1"/>
    <row r="13956" ht="14.25" customHeight="1"/>
    <row r="13957" ht="14.25" customHeight="1"/>
    <row r="13958" ht="14.25" customHeight="1"/>
    <row r="13959" ht="14.25" customHeight="1"/>
    <row r="13960" ht="14.25" customHeight="1"/>
    <row r="13961" ht="14.25" customHeight="1"/>
    <row r="13962" ht="14.25" customHeight="1"/>
    <row r="13963" ht="14.25" customHeight="1"/>
    <row r="13964" ht="14.25" customHeight="1"/>
    <row r="13965" ht="14.25" customHeight="1"/>
    <row r="13966" ht="14.25" customHeight="1"/>
    <row r="13967" ht="14.25" customHeight="1"/>
    <row r="13968" ht="14.25" customHeight="1"/>
    <row r="13969" ht="14.25" customHeight="1"/>
    <row r="13970" ht="14.25" customHeight="1"/>
    <row r="13971" ht="14.25" customHeight="1"/>
    <row r="13972" ht="14.25" customHeight="1"/>
    <row r="13973" ht="14.25" customHeight="1"/>
    <row r="13974" ht="14.25" customHeight="1"/>
    <row r="13975" ht="14.25" customHeight="1"/>
    <row r="13976" ht="14.25" customHeight="1"/>
    <row r="13977" ht="14.25" customHeight="1"/>
    <row r="13978" ht="14.25" customHeight="1"/>
    <row r="13979" ht="14.25" customHeight="1"/>
    <row r="13980" ht="14.25" customHeight="1"/>
    <row r="13981" ht="14.25" customHeight="1"/>
    <row r="13982" ht="14.25" customHeight="1"/>
    <row r="13983" ht="14.25" customHeight="1"/>
    <row r="13984" ht="14.25" customHeight="1"/>
    <row r="13985" ht="14.25" customHeight="1"/>
    <row r="13986" ht="14.25" customHeight="1"/>
    <row r="13987" ht="14.25" customHeight="1"/>
    <row r="13988" ht="14.25" customHeight="1"/>
    <row r="13989" ht="14.25" customHeight="1"/>
    <row r="13990" ht="14.25" customHeight="1"/>
    <row r="13991" ht="14.25" customHeight="1"/>
    <row r="13992" ht="14.25" customHeight="1"/>
    <row r="13993" ht="14.25" customHeight="1"/>
    <row r="13994" ht="14.25" customHeight="1"/>
    <row r="13995" ht="14.25" customHeight="1"/>
    <row r="13996" ht="14.25" customHeight="1"/>
    <row r="13997" ht="14.25" customHeight="1"/>
    <row r="13998" ht="14.25" customHeight="1"/>
    <row r="13999" ht="14.25" customHeight="1"/>
    <row r="14000" ht="14.25" customHeight="1"/>
    <row r="14001" ht="14.25" customHeight="1"/>
    <row r="14002" ht="14.25" customHeight="1"/>
    <row r="14003" ht="14.25" customHeight="1"/>
    <row r="14004" ht="14.25" customHeight="1"/>
    <row r="14005" ht="14.25" customHeight="1"/>
    <row r="14006" ht="14.25" customHeight="1"/>
    <row r="14007" ht="14.25" customHeight="1"/>
    <row r="14008" ht="14.25" customHeight="1"/>
    <row r="14009" ht="14.25" customHeight="1"/>
    <row r="14010" ht="14.25" customHeight="1"/>
    <row r="14011" ht="14.25" customHeight="1"/>
    <row r="14012" ht="14.25" customHeight="1"/>
    <row r="14013" ht="14.25" customHeight="1"/>
    <row r="14014" ht="14.25" customHeight="1"/>
    <row r="14015" ht="14.25" customHeight="1"/>
    <row r="14016" ht="14.25" customHeight="1"/>
    <row r="14017" ht="14.25" customHeight="1"/>
    <row r="14018" ht="14.25" customHeight="1"/>
    <row r="14019" ht="14.25" customHeight="1"/>
    <row r="14020" ht="14.25" customHeight="1"/>
    <row r="14021" ht="14.25" customHeight="1"/>
    <row r="14022" ht="14.25" customHeight="1"/>
    <row r="14023" ht="14.25" customHeight="1"/>
    <row r="14024" ht="14.25" customHeight="1"/>
    <row r="14025" ht="14.25" customHeight="1"/>
    <row r="14026" ht="14.25" customHeight="1"/>
    <row r="14027" ht="14.25" customHeight="1"/>
    <row r="14028" ht="14.25" customHeight="1"/>
    <row r="14029" ht="14.25" customHeight="1"/>
    <row r="14030" ht="14.25" customHeight="1"/>
    <row r="14031" ht="14.25" customHeight="1"/>
    <row r="14032" ht="14.25" customHeight="1"/>
    <row r="14033" ht="14.25" customHeight="1"/>
    <row r="14034" ht="14.25" customHeight="1"/>
    <row r="14035" ht="14.25" customHeight="1"/>
    <row r="14036" ht="14.25" customHeight="1"/>
    <row r="14037" ht="14.25" customHeight="1"/>
    <row r="14038" ht="14.25" customHeight="1"/>
    <row r="14039" ht="14.25" customHeight="1"/>
    <row r="14040" ht="14.25" customHeight="1"/>
    <row r="14041" ht="14.25" customHeight="1"/>
    <row r="14042" ht="14.25" customHeight="1"/>
    <row r="14043" ht="14.25" customHeight="1"/>
    <row r="14044" ht="14.25" customHeight="1"/>
    <row r="14045" ht="14.25" customHeight="1"/>
    <row r="14046" ht="14.25" customHeight="1"/>
    <row r="14047" ht="14.25" customHeight="1"/>
    <row r="14048" ht="14.25" customHeight="1"/>
    <row r="14049" ht="14.25" customHeight="1"/>
    <row r="14050" ht="14.25" customHeight="1"/>
    <row r="14051" ht="14.25" customHeight="1"/>
    <row r="14052" ht="14.25" customHeight="1"/>
    <row r="14053" ht="14.25" customHeight="1"/>
    <row r="14054" ht="14.25" customHeight="1"/>
    <row r="14055" ht="14.25" customHeight="1"/>
    <row r="14056" ht="14.25" customHeight="1"/>
    <row r="14057" ht="14.25" customHeight="1"/>
    <row r="14058" ht="14.25" customHeight="1"/>
    <row r="14059" ht="14.25" customHeight="1"/>
    <row r="14060" ht="14.25" customHeight="1"/>
    <row r="14061" ht="14.25" customHeight="1"/>
    <row r="14062" ht="14.25" customHeight="1"/>
    <row r="14063" ht="14.25" customHeight="1"/>
    <row r="14064" ht="14.25" customHeight="1"/>
    <row r="14065" ht="14.25" customHeight="1"/>
    <row r="14066" ht="14.25" customHeight="1"/>
    <row r="14067" ht="14.25" customHeight="1"/>
    <row r="14068" ht="14.25" customHeight="1"/>
    <row r="14069" ht="14.25" customHeight="1"/>
    <row r="14070" ht="14.25" customHeight="1"/>
    <row r="14071" ht="14.25" customHeight="1"/>
    <row r="14072" ht="14.25" customHeight="1"/>
    <row r="14073" ht="14.25" customHeight="1"/>
    <row r="14074" ht="14.25" customHeight="1"/>
    <row r="14075" ht="14.25" customHeight="1"/>
    <row r="14076" ht="14.25" customHeight="1"/>
    <row r="14077" ht="14.25" customHeight="1"/>
    <row r="14078" ht="14.25" customHeight="1"/>
    <row r="14079" ht="14.25" customHeight="1"/>
    <row r="14080" ht="14.25" customHeight="1"/>
    <row r="14081" ht="14.25" customHeight="1"/>
    <row r="14082" ht="14.25" customHeight="1"/>
    <row r="14083" ht="14.25" customHeight="1"/>
    <row r="14084" ht="14.25" customHeight="1"/>
    <row r="14085" ht="14.25" customHeight="1"/>
    <row r="14086" ht="14.25" customHeight="1"/>
    <row r="14087" ht="14.25" customHeight="1"/>
    <row r="14088" ht="14.25" customHeight="1"/>
    <row r="14089" ht="14.25" customHeight="1"/>
    <row r="14090" ht="14.25" customHeight="1"/>
    <row r="14091" ht="14.25" customHeight="1"/>
    <row r="14092" ht="14.25" customHeight="1"/>
    <row r="14093" ht="14.25" customHeight="1"/>
    <row r="14094" ht="14.25" customHeight="1"/>
    <row r="14095" ht="14.25" customHeight="1"/>
    <row r="14096" ht="14.25" customHeight="1"/>
    <row r="14097" ht="14.25" customHeight="1"/>
    <row r="14098" ht="14.25" customHeight="1"/>
    <row r="14099" ht="14.25" customHeight="1"/>
    <row r="14100" ht="14.25" customHeight="1"/>
    <row r="14101" ht="14.25" customHeight="1"/>
    <row r="14102" ht="14.25" customHeight="1"/>
    <row r="14103" ht="14.25" customHeight="1"/>
    <row r="14104" ht="14.25" customHeight="1"/>
    <row r="14105" ht="14.25" customHeight="1"/>
    <row r="14106" ht="14.25" customHeight="1"/>
    <row r="14107" ht="14.25" customHeight="1"/>
    <row r="14108" ht="14.25" customHeight="1"/>
    <row r="14109" ht="14.25" customHeight="1"/>
    <row r="14110" ht="14.25" customHeight="1"/>
    <row r="14111" ht="14.25" customHeight="1"/>
    <row r="14112" ht="14.25" customHeight="1"/>
    <row r="14113" ht="14.25" customHeight="1"/>
    <row r="14114" ht="14.25" customHeight="1"/>
    <row r="14115" ht="14.25" customHeight="1"/>
    <row r="14116" ht="14.25" customHeight="1"/>
    <row r="14117" ht="14.25" customHeight="1"/>
    <row r="14118" ht="14.25" customHeight="1"/>
    <row r="14119" ht="14.25" customHeight="1"/>
    <row r="14120" ht="14.25" customHeight="1"/>
    <row r="14121" ht="14.25" customHeight="1"/>
    <row r="14122" ht="14.25" customHeight="1"/>
    <row r="14123" ht="14.25" customHeight="1"/>
    <row r="14124" ht="14.25" customHeight="1"/>
    <row r="14125" ht="14.25" customHeight="1"/>
    <row r="14126" ht="14.25" customHeight="1"/>
    <row r="14127" ht="14.25" customHeight="1"/>
    <row r="14128" ht="14.25" customHeight="1"/>
    <row r="14129" ht="14.25" customHeight="1"/>
    <row r="14130" ht="14.25" customHeight="1"/>
    <row r="14131" ht="14.25" customHeight="1"/>
    <row r="14132" ht="14.25" customHeight="1"/>
    <row r="14133" ht="14.25" customHeight="1"/>
    <row r="14134" ht="14.25" customHeight="1"/>
    <row r="14135" ht="14.25" customHeight="1"/>
    <row r="14136" ht="14.25" customHeight="1"/>
    <row r="14137" ht="14.25" customHeight="1"/>
    <row r="14138" ht="14.25" customHeight="1"/>
    <row r="14139" ht="14.25" customHeight="1"/>
    <row r="14140" ht="14.25" customHeight="1"/>
    <row r="14141" ht="14.25" customHeight="1"/>
    <row r="14142" ht="14.25" customHeight="1"/>
    <row r="14143" ht="14.25" customHeight="1"/>
    <row r="14144" ht="14.25" customHeight="1"/>
    <row r="14145" ht="14.25" customHeight="1"/>
    <row r="14146" ht="14.25" customHeight="1"/>
    <row r="14147" ht="14.25" customHeight="1"/>
    <row r="14148" ht="14.25" customHeight="1"/>
    <row r="14149" ht="14.25" customHeight="1"/>
    <row r="14150" ht="14.25" customHeight="1"/>
    <row r="14151" ht="14.25" customHeight="1"/>
    <row r="14152" ht="14.25" customHeight="1"/>
    <row r="14153" ht="14.25" customHeight="1"/>
    <row r="14154" ht="14.25" customHeight="1"/>
    <row r="14155" ht="14.25" customHeight="1"/>
    <row r="14156" ht="14.25" customHeight="1"/>
    <row r="14157" ht="14.25" customHeight="1"/>
    <row r="14158" ht="14.25" customHeight="1"/>
    <row r="14159" ht="14.25" customHeight="1"/>
    <row r="14160" ht="14.25" customHeight="1"/>
    <row r="14161" ht="14.25" customHeight="1"/>
    <row r="14162" ht="14.25" customHeight="1"/>
    <row r="14163" ht="14.25" customHeight="1"/>
    <row r="14164" ht="14.25" customHeight="1"/>
    <row r="14165" ht="14.25" customHeight="1"/>
    <row r="14166" ht="14.25" customHeight="1"/>
    <row r="14167" ht="14.25" customHeight="1"/>
    <row r="14168" ht="14.25" customHeight="1"/>
    <row r="14169" ht="14.25" customHeight="1"/>
    <row r="14170" ht="14.25" customHeight="1"/>
    <row r="14171" ht="14.25" customHeight="1"/>
    <row r="14172" ht="14.25" customHeight="1"/>
    <row r="14173" ht="14.25" customHeight="1"/>
    <row r="14174" ht="14.25" customHeight="1"/>
    <row r="14175" ht="14.25" customHeight="1"/>
    <row r="14176" ht="14.25" customHeight="1"/>
    <row r="14177" ht="14.25" customHeight="1"/>
    <row r="14178" ht="14.25" customHeight="1"/>
    <row r="14179" ht="14.25" customHeight="1"/>
    <row r="14180" ht="14.25" customHeight="1"/>
    <row r="14181" ht="14.25" customHeight="1"/>
    <row r="14182" ht="14.25" customHeight="1"/>
    <row r="14183" ht="14.25" customHeight="1"/>
    <row r="14184" ht="14.25" customHeight="1"/>
    <row r="14185" ht="14.25" customHeight="1"/>
    <row r="14186" ht="14.25" customHeight="1"/>
    <row r="14187" ht="14.25" customHeight="1"/>
    <row r="14188" ht="14.25" customHeight="1"/>
    <row r="14189" ht="14.25" customHeight="1"/>
    <row r="14190" ht="14.25" customHeight="1"/>
    <row r="14191" ht="14.25" customHeight="1"/>
    <row r="14192" ht="14.25" customHeight="1"/>
    <row r="14193" ht="14.25" customHeight="1"/>
    <row r="14194" ht="14.25" customHeight="1"/>
    <row r="14195" ht="14.25" customHeight="1"/>
    <row r="14196" ht="14.25" customHeight="1"/>
    <row r="14197" ht="14.25" customHeight="1"/>
    <row r="14198" ht="14.25" customHeight="1"/>
    <row r="14199" ht="14.25" customHeight="1"/>
    <row r="14200" ht="14.25" customHeight="1"/>
    <row r="14201" ht="14.25" customHeight="1"/>
    <row r="14202" ht="14.25" customHeight="1"/>
    <row r="14203" ht="14.25" customHeight="1"/>
    <row r="14204" ht="14.25" customHeight="1"/>
    <row r="14205" ht="14.25" customHeight="1"/>
    <row r="14206" ht="14.25" customHeight="1"/>
    <row r="14207" ht="14.25" customHeight="1"/>
    <row r="14208" ht="14.25" customHeight="1"/>
    <row r="14209" ht="14.25" customHeight="1"/>
    <row r="14210" ht="14.25" customHeight="1"/>
    <row r="14211" ht="14.25" customHeight="1"/>
    <row r="14212" ht="14.25" customHeight="1"/>
    <row r="14213" ht="14.25" customHeight="1"/>
    <row r="14214" ht="14.25" customHeight="1"/>
    <row r="14215" ht="14.25" customHeight="1"/>
    <row r="14216" ht="14.25" customHeight="1"/>
    <row r="14217" ht="14.25" customHeight="1"/>
    <row r="14218" ht="14.25" customHeight="1"/>
    <row r="14219" ht="14.25" customHeight="1"/>
    <row r="14220" ht="14.25" customHeight="1"/>
    <row r="14221" ht="14.25" customHeight="1"/>
    <row r="14222" ht="14.25" customHeight="1"/>
    <row r="14223" ht="14.25" customHeight="1"/>
    <row r="14224" ht="14.25" customHeight="1"/>
    <row r="14225" ht="14.25" customHeight="1"/>
    <row r="14226" ht="14.25" customHeight="1"/>
    <row r="14227" ht="14.25" customHeight="1"/>
    <row r="14228" ht="14.25" customHeight="1"/>
    <row r="14229" ht="14.25" customHeight="1"/>
    <row r="14230" ht="14.25" customHeight="1"/>
    <row r="14231" ht="14.25" customHeight="1"/>
    <row r="14232" ht="14.25" customHeight="1"/>
    <row r="14233" ht="14.25" customHeight="1"/>
    <row r="14234" ht="14.25" customHeight="1"/>
    <row r="14235" ht="14.25" customHeight="1"/>
    <row r="14236" ht="14.25" customHeight="1"/>
    <row r="14237" ht="14.25" customHeight="1"/>
    <row r="14238" ht="14.25" customHeight="1"/>
    <row r="14239" ht="14.25" customHeight="1"/>
    <row r="14240" ht="14.25" customHeight="1"/>
    <row r="14241" ht="14.25" customHeight="1"/>
    <row r="14242" ht="14.25" customHeight="1"/>
    <row r="14243" ht="14.25" customHeight="1"/>
    <row r="14244" ht="14.25" customHeight="1"/>
    <row r="14245" ht="14.25" customHeight="1"/>
    <row r="14246" ht="14.25" customHeight="1"/>
    <row r="14247" ht="14.25" customHeight="1"/>
    <row r="14248" ht="14.25" customHeight="1"/>
    <row r="14249" ht="14.25" customHeight="1"/>
    <row r="14250" ht="14.25" customHeight="1"/>
    <row r="14251" ht="14.25" customHeight="1"/>
    <row r="14252" ht="14.25" customHeight="1"/>
    <row r="14253" ht="14.25" customHeight="1"/>
    <row r="14254" ht="14.25" customHeight="1"/>
    <row r="14255" ht="14.25" customHeight="1"/>
    <row r="14256" ht="14.25" customHeight="1"/>
    <row r="14257" ht="14.25" customHeight="1"/>
    <row r="14258" ht="14.25" customHeight="1"/>
    <row r="14259" ht="14.25" customHeight="1"/>
    <row r="14260" ht="14.25" customHeight="1"/>
    <row r="14261" ht="14.25" customHeight="1"/>
    <row r="14262" ht="14.25" customHeight="1"/>
    <row r="14263" ht="14.25" customHeight="1"/>
    <row r="14264" ht="14.25" customHeight="1"/>
    <row r="14265" ht="14.25" customHeight="1"/>
    <row r="14266" ht="14.25" customHeight="1"/>
    <row r="14267" ht="14.25" customHeight="1"/>
    <row r="14268" ht="14.25" customHeight="1"/>
    <row r="14269" ht="14.25" customHeight="1"/>
    <row r="14270" ht="14.25" customHeight="1"/>
    <row r="14271" ht="14.25" customHeight="1"/>
    <row r="14272" ht="14.25" customHeight="1"/>
    <row r="14273" ht="14.25" customHeight="1"/>
    <row r="14274" ht="14.25" customHeight="1"/>
    <row r="14275" ht="14.25" customHeight="1"/>
    <row r="14276" ht="14.25" customHeight="1"/>
    <row r="14277" ht="14.25" customHeight="1"/>
    <row r="14278" ht="14.25" customHeight="1"/>
    <row r="14279" ht="14.25" customHeight="1"/>
    <row r="14280" ht="14.25" customHeight="1"/>
    <row r="14281" ht="14.25" customHeight="1"/>
    <row r="14282" ht="14.25" customHeight="1"/>
    <row r="14283" ht="14.25" customHeight="1"/>
    <row r="14284" ht="14.25" customHeight="1"/>
    <row r="14285" ht="14.25" customHeight="1"/>
    <row r="14286" ht="14.25" customHeight="1"/>
    <row r="14287" ht="14.25" customHeight="1"/>
    <row r="14288" ht="14.25" customHeight="1"/>
    <row r="14289" ht="14.25" customHeight="1"/>
    <row r="14290" ht="14.25" customHeight="1"/>
    <row r="14291" ht="14.25" customHeight="1"/>
    <row r="14292" ht="14.25" customHeight="1"/>
    <row r="14293" ht="14.25" customHeight="1"/>
    <row r="14294" ht="14.25" customHeight="1"/>
    <row r="14295" ht="14.25" customHeight="1"/>
    <row r="14296" ht="14.25" customHeight="1"/>
    <row r="14297" ht="14.25" customHeight="1"/>
    <row r="14298" ht="14.25" customHeight="1"/>
    <row r="14299" ht="14.25" customHeight="1"/>
    <row r="14300" ht="14.25" customHeight="1"/>
    <row r="14301" ht="14.25" customHeight="1"/>
    <row r="14302" ht="14.25" customHeight="1"/>
    <row r="14303" ht="14.25" customHeight="1"/>
    <row r="14304" ht="14.25" customHeight="1"/>
    <row r="14305" ht="14.25" customHeight="1"/>
    <row r="14306" ht="14.25" customHeight="1"/>
    <row r="14307" ht="14.25" customHeight="1"/>
    <row r="14308" ht="14.25" customHeight="1"/>
    <row r="14309" ht="14.25" customHeight="1"/>
    <row r="14310" ht="14.25" customHeight="1"/>
    <row r="14311" ht="14.25" customHeight="1"/>
    <row r="14312" ht="14.25" customHeight="1"/>
    <row r="14313" ht="14.25" customHeight="1"/>
    <row r="14314" ht="14.25" customHeight="1"/>
    <row r="14315" ht="14.25" customHeight="1"/>
    <row r="14316" ht="14.25" customHeight="1"/>
    <row r="14317" ht="14.25" customHeight="1"/>
    <row r="14318" ht="14.25" customHeight="1"/>
    <row r="14319" ht="14.25" customHeight="1"/>
    <row r="14320" ht="14.25" customHeight="1"/>
    <row r="14321" ht="14.25" customHeight="1"/>
    <row r="14322" ht="14.25" customHeight="1"/>
    <row r="14323" ht="14.25" customHeight="1"/>
    <row r="14324" ht="14.25" customHeight="1"/>
    <row r="14325" ht="14.25" customHeight="1"/>
    <row r="14326" ht="14.25" customHeight="1"/>
    <row r="14327" ht="14.25" customHeight="1"/>
    <row r="14328" ht="14.25" customHeight="1"/>
    <row r="14329" ht="14.25" customHeight="1"/>
    <row r="14330" ht="14.25" customHeight="1"/>
    <row r="14331" ht="14.25" customHeight="1"/>
    <row r="14332" ht="14.25" customHeight="1"/>
    <row r="14333" ht="14.25" customHeight="1"/>
    <row r="14334" ht="14.25" customHeight="1"/>
    <row r="14335" ht="14.25" customHeight="1"/>
    <row r="14336" ht="14.25" customHeight="1"/>
    <row r="14337" ht="14.25" customHeight="1"/>
    <row r="14338" ht="14.25" customHeight="1"/>
    <row r="14339" ht="14.25" customHeight="1"/>
    <row r="14340" ht="14.25" customHeight="1"/>
    <row r="14341" ht="14.25" customHeight="1"/>
    <row r="14342" ht="14.25" customHeight="1"/>
    <row r="14343" ht="14.25" customHeight="1"/>
    <row r="14344" ht="14.25" customHeight="1"/>
    <row r="14345" ht="14.25" customHeight="1"/>
    <row r="14346" ht="14.25" customHeight="1"/>
    <row r="14347" ht="14.25" customHeight="1"/>
    <row r="14348" ht="14.25" customHeight="1"/>
    <row r="14349" ht="14.25" customHeight="1"/>
    <row r="14350" ht="14.25" customHeight="1"/>
    <row r="14351" ht="14.25" customHeight="1"/>
    <row r="14352" ht="14.25" customHeight="1"/>
    <row r="14353" ht="14.25" customHeight="1"/>
    <row r="14354" ht="14.25" customHeight="1"/>
    <row r="14355" ht="14.25" customHeight="1"/>
    <row r="14356" ht="14.25" customHeight="1"/>
    <row r="14357" ht="14.25" customHeight="1"/>
    <row r="14358" ht="14.25" customHeight="1"/>
    <row r="14359" ht="14.25" customHeight="1"/>
    <row r="14360" ht="14.25" customHeight="1"/>
    <row r="14361" ht="14.25" customHeight="1"/>
    <row r="14362" ht="14.25" customHeight="1"/>
    <row r="14363" ht="14.25" customHeight="1"/>
    <row r="14364" ht="14.25" customHeight="1"/>
    <row r="14365" ht="14.25" customHeight="1"/>
    <row r="14366" ht="14.25" customHeight="1"/>
    <row r="14367" ht="14.25" customHeight="1"/>
    <row r="14368" ht="14.25" customHeight="1"/>
    <row r="14369" ht="14.25" customHeight="1"/>
    <row r="14370" ht="14.25" customHeight="1"/>
    <row r="14371" ht="14.25" customHeight="1"/>
    <row r="14372" ht="14.25" customHeight="1"/>
    <row r="14373" ht="14.25" customHeight="1"/>
    <row r="14374" ht="14.25" customHeight="1"/>
    <row r="14375" ht="14.25" customHeight="1"/>
    <row r="14376" ht="14.25" customHeight="1"/>
    <row r="14377" ht="14.25" customHeight="1"/>
    <row r="14378" ht="14.25" customHeight="1"/>
    <row r="14379" ht="14.25" customHeight="1"/>
    <row r="14380" ht="14.25" customHeight="1"/>
    <row r="14381" ht="14.25" customHeight="1"/>
    <row r="14382" ht="14.25" customHeight="1"/>
    <row r="14383" ht="14.25" customHeight="1"/>
    <row r="14384" ht="14.25" customHeight="1"/>
    <row r="14385" ht="14.25" customHeight="1"/>
    <row r="14386" ht="14.25" customHeight="1"/>
    <row r="14387" ht="14.25" customHeight="1"/>
    <row r="14388" ht="14.25" customHeight="1"/>
    <row r="14389" ht="14.25" customHeight="1"/>
    <row r="14390" ht="14.25" customHeight="1"/>
    <row r="14391" ht="14.25" customHeight="1"/>
    <row r="14392" ht="14.25" customHeight="1"/>
    <row r="14393" ht="14.25" customHeight="1"/>
    <row r="14394" ht="14.25" customHeight="1"/>
    <row r="14395" ht="14.25" customHeight="1"/>
    <row r="14396" ht="14.25" customHeight="1"/>
    <row r="14397" ht="14.25" customHeight="1"/>
    <row r="14398" ht="14.25" customHeight="1"/>
    <row r="14399" ht="14.25" customHeight="1"/>
    <row r="14400" ht="14.25" customHeight="1"/>
    <row r="14401" ht="14.25" customHeight="1"/>
    <row r="14402" ht="14.25" customHeight="1"/>
    <row r="14403" ht="14.25" customHeight="1"/>
    <row r="14404" ht="14.25" customHeight="1"/>
    <row r="14405" ht="14.25" customHeight="1"/>
    <row r="14406" ht="14.25" customHeight="1"/>
    <row r="14407" ht="14.25" customHeight="1"/>
    <row r="14408" ht="14.25" customHeight="1"/>
    <row r="14409" ht="14.25" customHeight="1"/>
    <row r="14410" ht="14.25" customHeight="1"/>
    <row r="14411" ht="14.25" customHeight="1"/>
    <row r="14412" ht="14.25" customHeight="1"/>
    <row r="14413" ht="14.25" customHeight="1"/>
    <row r="14414" ht="14.25" customHeight="1"/>
    <row r="14415" ht="14.25" customHeight="1"/>
    <row r="14416" ht="14.25" customHeight="1"/>
    <row r="14417" ht="14.25" customHeight="1"/>
    <row r="14418" ht="14.25" customHeight="1"/>
    <row r="14419" ht="14.25" customHeight="1"/>
    <row r="14420" ht="14.25" customHeight="1"/>
    <row r="14421" ht="14.25" customHeight="1"/>
    <row r="14422" ht="14.25" customHeight="1"/>
    <row r="14423" ht="14.25" customHeight="1"/>
    <row r="14424" ht="14.25" customHeight="1"/>
    <row r="14425" ht="14.25" customHeight="1"/>
    <row r="14426" ht="14.25" customHeight="1"/>
    <row r="14427" ht="14.25" customHeight="1"/>
    <row r="14428" ht="14.25" customHeight="1"/>
    <row r="14429" ht="14.25" customHeight="1"/>
    <row r="14430" ht="14.25" customHeight="1"/>
    <row r="14431" ht="14.25" customHeight="1"/>
    <row r="14432" ht="14.25" customHeight="1"/>
    <row r="14433" ht="14.25" customHeight="1"/>
    <row r="14434" ht="14.25" customHeight="1"/>
    <row r="14435" ht="14.25" customHeight="1"/>
    <row r="14436" ht="14.25" customHeight="1"/>
    <row r="14437" ht="14.25" customHeight="1"/>
    <row r="14438" ht="14.25" customHeight="1"/>
    <row r="14439" ht="14.25" customHeight="1"/>
    <row r="14440" ht="14.25" customHeight="1"/>
    <row r="14441" ht="14.25" customHeight="1"/>
    <row r="14442" ht="14.25" customHeight="1"/>
    <row r="14443" ht="14.25" customHeight="1"/>
    <row r="14444" ht="14.25" customHeight="1"/>
    <row r="14445" ht="14.25" customHeight="1"/>
    <row r="14446" ht="14.25" customHeight="1"/>
    <row r="14447" ht="14.25" customHeight="1"/>
    <row r="14448" ht="14.25" customHeight="1"/>
    <row r="14449" ht="14.25" customHeight="1"/>
    <row r="14450" ht="14.25" customHeight="1"/>
    <row r="14451" ht="14.25" customHeight="1"/>
    <row r="14452" ht="14.25" customHeight="1"/>
    <row r="14453" ht="14.25" customHeight="1"/>
    <row r="14454" ht="14.25" customHeight="1"/>
    <row r="14455" ht="14.25" customHeight="1"/>
    <row r="14456" ht="14.25" customHeight="1"/>
    <row r="14457" ht="14.25" customHeight="1"/>
    <row r="14458" ht="14.25" customHeight="1"/>
    <row r="14459" ht="14.25" customHeight="1"/>
    <row r="14460" ht="14.25" customHeight="1"/>
    <row r="14461" ht="14.25" customHeight="1"/>
    <row r="14462" ht="14.25" customHeight="1"/>
    <row r="14463" ht="14.25" customHeight="1"/>
    <row r="14464" ht="14.25" customHeight="1"/>
    <row r="14465" ht="14.25" customHeight="1"/>
    <row r="14466" ht="14.25" customHeight="1"/>
    <row r="14467" ht="14.25" customHeight="1"/>
    <row r="14468" ht="14.25" customHeight="1"/>
    <row r="14469" ht="14.25" customHeight="1"/>
    <row r="14470" ht="14.25" customHeight="1"/>
    <row r="14471" ht="14.25" customHeight="1"/>
    <row r="14472" ht="14.25" customHeight="1"/>
    <row r="14473" ht="14.25" customHeight="1"/>
    <row r="14474" ht="14.25" customHeight="1"/>
    <row r="14475" ht="14.25" customHeight="1"/>
    <row r="14476" ht="14.25" customHeight="1"/>
    <row r="14477" ht="14.25" customHeight="1"/>
    <row r="14478" ht="14.25" customHeight="1"/>
    <row r="14479" ht="14.25" customHeight="1"/>
    <row r="14480" ht="14.25" customHeight="1"/>
    <row r="14481" ht="14.25" customHeight="1"/>
    <row r="14482" ht="14.25" customHeight="1"/>
    <row r="14483" ht="14.25" customHeight="1"/>
    <row r="14484" ht="14.25" customHeight="1"/>
    <row r="14485" ht="14.25" customHeight="1"/>
    <row r="14486" ht="14.25" customHeight="1"/>
    <row r="14487" ht="14.25" customHeight="1"/>
    <row r="14488" ht="14.25" customHeight="1"/>
    <row r="14489" ht="14.25" customHeight="1"/>
    <row r="14490" ht="14.25" customHeight="1"/>
    <row r="14491" ht="14.25" customHeight="1"/>
    <row r="14492" ht="14.25" customHeight="1"/>
    <row r="14493" ht="14.25" customHeight="1"/>
    <row r="14494" ht="14.25" customHeight="1"/>
    <row r="14495" ht="14.25" customHeight="1"/>
    <row r="14496" ht="14.25" customHeight="1"/>
    <row r="14497" ht="14.25" customHeight="1"/>
    <row r="14498" ht="14.25" customHeight="1"/>
    <row r="14499" ht="14.25" customHeight="1"/>
    <row r="14500" ht="14.25" customHeight="1"/>
    <row r="14501" ht="14.25" customHeight="1"/>
    <row r="14502" ht="14.25" customHeight="1"/>
    <row r="14503" ht="14.25" customHeight="1"/>
    <row r="14504" ht="14.25" customHeight="1"/>
    <row r="14505" ht="14.25" customHeight="1"/>
    <row r="14506" ht="14.25" customHeight="1"/>
    <row r="14507" ht="14.25" customHeight="1"/>
    <row r="14508" ht="14.25" customHeight="1"/>
    <row r="14509" ht="14.25" customHeight="1"/>
    <row r="14510" ht="14.25" customHeight="1"/>
    <row r="14511" ht="14.25" customHeight="1"/>
    <row r="14512" ht="14.25" customHeight="1"/>
    <row r="14513" ht="14.25" customHeight="1"/>
    <row r="14514" ht="14.25" customHeight="1"/>
    <row r="14515" ht="14.25" customHeight="1"/>
    <row r="14516" ht="14.25" customHeight="1"/>
    <row r="14517" ht="14.25" customHeight="1"/>
    <row r="14518" ht="14.25" customHeight="1"/>
    <row r="14519" ht="14.25" customHeight="1"/>
    <row r="14520" ht="14.25" customHeight="1"/>
    <row r="14521" ht="14.25" customHeight="1"/>
    <row r="14522" ht="14.25" customHeight="1"/>
    <row r="14523" ht="14.25" customHeight="1"/>
    <row r="14524" ht="14.25" customHeight="1"/>
    <row r="14525" ht="14.25" customHeight="1"/>
    <row r="14526" ht="14.25" customHeight="1"/>
    <row r="14527" ht="14.25" customHeight="1"/>
    <row r="14528" ht="14.25" customHeight="1"/>
    <row r="14529" ht="14.25" customHeight="1"/>
    <row r="14530" ht="14.25" customHeight="1"/>
    <row r="14531" ht="14.25" customHeight="1"/>
    <row r="14532" ht="14.25" customHeight="1"/>
    <row r="14533" ht="14.25" customHeight="1"/>
    <row r="14534" ht="14.25" customHeight="1"/>
    <row r="14535" ht="14.25" customHeight="1"/>
    <row r="14536" ht="14.25" customHeight="1"/>
    <row r="14537" ht="14.25" customHeight="1"/>
    <row r="14538" ht="14.25" customHeight="1"/>
    <row r="14539" ht="14.25" customHeight="1"/>
    <row r="14540" ht="14.25" customHeight="1"/>
    <row r="14541" ht="14.25" customHeight="1"/>
    <row r="14542" ht="14.25" customHeight="1"/>
    <row r="14543" ht="14.25" customHeight="1"/>
    <row r="14544" ht="14.25" customHeight="1"/>
    <row r="14545" ht="14.25" customHeight="1"/>
    <row r="14546" ht="14.25" customHeight="1"/>
    <row r="14547" ht="14.25" customHeight="1"/>
    <row r="14548" ht="14.25" customHeight="1"/>
    <row r="14549" ht="14.25" customHeight="1"/>
    <row r="14550" ht="14.25" customHeight="1"/>
    <row r="14551" ht="14.25" customHeight="1"/>
    <row r="14552" ht="14.25" customHeight="1"/>
    <row r="14553" ht="14.25" customHeight="1"/>
    <row r="14554" ht="14.25" customHeight="1"/>
    <row r="14555" ht="14.25" customHeight="1"/>
    <row r="14556" ht="14.25" customHeight="1"/>
    <row r="14557" ht="14.25" customHeight="1"/>
    <row r="14558" ht="14.25" customHeight="1"/>
    <row r="14559" ht="14.25" customHeight="1"/>
    <row r="14560" ht="14.25" customHeight="1"/>
    <row r="14561" ht="14.25" customHeight="1"/>
    <row r="14562" ht="14.25" customHeight="1"/>
    <row r="14563" ht="14.25" customHeight="1"/>
    <row r="14564" ht="14.25" customHeight="1"/>
    <row r="14565" ht="14.25" customHeight="1"/>
    <row r="14566" ht="14.25" customHeight="1"/>
    <row r="14567" ht="14.25" customHeight="1"/>
    <row r="14568" ht="14.25" customHeight="1"/>
    <row r="14569" ht="14.25" customHeight="1"/>
    <row r="14570" ht="14.25" customHeight="1"/>
    <row r="14571" ht="14.25" customHeight="1"/>
    <row r="14572" ht="14.25" customHeight="1"/>
    <row r="14573" ht="14.25" customHeight="1"/>
    <row r="14574" ht="14.25" customHeight="1"/>
    <row r="14575" ht="14.25" customHeight="1"/>
    <row r="14576" ht="14.25" customHeight="1"/>
    <row r="14577" ht="14.25" customHeight="1"/>
    <row r="14578" ht="14.25" customHeight="1"/>
    <row r="14579" ht="14.25" customHeight="1"/>
    <row r="14580" ht="14.25" customHeight="1"/>
    <row r="14581" ht="14.25" customHeight="1"/>
    <row r="14582" ht="14.25" customHeight="1"/>
    <row r="14583" ht="14.25" customHeight="1"/>
    <row r="14584" ht="14.25" customHeight="1"/>
    <row r="14585" ht="14.25" customHeight="1"/>
    <row r="14586" ht="14.25" customHeight="1"/>
    <row r="14587" ht="14.25" customHeight="1"/>
    <row r="14588" ht="14.25" customHeight="1"/>
    <row r="14589" ht="14.25" customHeight="1"/>
    <row r="14590" ht="14.25" customHeight="1"/>
    <row r="14591" ht="14.25" customHeight="1"/>
    <row r="14592" ht="14.25" customHeight="1"/>
    <row r="14593" ht="14.25" customHeight="1"/>
    <row r="14594" ht="14.25" customHeight="1"/>
    <row r="14595" ht="14.25" customHeight="1"/>
    <row r="14596" ht="14.25" customHeight="1"/>
    <row r="14597" ht="14.25" customHeight="1"/>
    <row r="14598" ht="14.25" customHeight="1"/>
    <row r="14599" ht="14.25" customHeight="1"/>
    <row r="14600" ht="14.25" customHeight="1"/>
    <row r="14601" ht="14.25" customHeight="1"/>
    <row r="14602" ht="14.25" customHeight="1"/>
    <row r="14603" ht="14.25" customHeight="1"/>
    <row r="14604" ht="14.25" customHeight="1"/>
    <row r="14605" ht="14.25" customHeight="1"/>
    <row r="14606" ht="14.25" customHeight="1"/>
    <row r="14607" ht="14.25" customHeight="1"/>
    <row r="14608" ht="14.25" customHeight="1"/>
    <row r="14609" ht="14.25" customHeight="1"/>
    <row r="14610" ht="14.25" customHeight="1"/>
    <row r="14611" ht="14.25" customHeight="1"/>
    <row r="14612" ht="14.25" customHeight="1"/>
    <row r="14613" ht="14.25" customHeight="1"/>
    <row r="14614" ht="14.25" customHeight="1"/>
    <row r="14615" ht="14.25" customHeight="1"/>
    <row r="14616" ht="14.25" customHeight="1"/>
    <row r="14617" ht="14.25" customHeight="1"/>
    <row r="14618" ht="14.25" customHeight="1"/>
    <row r="14619" ht="14.25" customHeight="1"/>
    <row r="14620" ht="14.25" customHeight="1"/>
    <row r="14621" ht="14.25" customHeight="1"/>
    <row r="14622" ht="14.25" customHeight="1"/>
    <row r="14623" ht="14.25" customHeight="1"/>
    <row r="14624" ht="14.25" customHeight="1"/>
    <row r="14625" ht="14.25" customHeight="1"/>
    <row r="14626" ht="14.25" customHeight="1"/>
    <row r="14627" ht="14.25" customHeight="1"/>
    <row r="14628" ht="14.25" customHeight="1"/>
    <row r="14629" ht="14.25" customHeight="1"/>
    <row r="14630" ht="14.25" customHeight="1"/>
    <row r="14631" ht="14.25" customHeight="1"/>
    <row r="14632" ht="14.25" customHeight="1"/>
    <row r="14633" ht="14.25" customHeight="1"/>
    <row r="14634" ht="14.25" customHeight="1"/>
    <row r="14635" ht="14.25" customHeight="1"/>
    <row r="14636" ht="14.25" customHeight="1"/>
    <row r="14637" ht="14.25" customHeight="1"/>
    <row r="14638" ht="14.25" customHeight="1"/>
    <row r="14639" ht="14.25" customHeight="1"/>
    <row r="14640" ht="14.25" customHeight="1"/>
    <row r="14641" ht="14.25" customHeight="1"/>
    <row r="14642" ht="14.25" customHeight="1"/>
    <row r="14643" ht="14.25" customHeight="1"/>
    <row r="14644" ht="14.25" customHeight="1"/>
    <row r="14645" ht="14.25" customHeight="1"/>
    <row r="14646" ht="14.25" customHeight="1"/>
    <row r="14647" ht="14.25" customHeight="1"/>
    <row r="14648" ht="14.25" customHeight="1"/>
    <row r="14649" ht="14.25" customHeight="1"/>
    <row r="14650" ht="14.25" customHeight="1"/>
    <row r="14651" ht="14.25" customHeight="1"/>
    <row r="14652" ht="14.25" customHeight="1"/>
    <row r="14653" ht="14.25" customHeight="1"/>
    <row r="14654" ht="14.25" customHeight="1"/>
    <row r="14655" ht="14.25" customHeight="1"/>
    <row r="14656" ht="14.25" customHeight="1"/>
    <row r="14657" ht="14.25" customHeight="1"/>
    <row r="14658" ht="14.25" customHeight="1"/>
    <row r="14659" ht="14.25" customHeight="1"/>
    <row r="14660" ht="14.25" customHeight="1"/>
    <row r="14661" ht="14.25" customHeight="1"/>
    <row r="14662" ht="14.25" customHeight="1"/>
    <row r="14663" ht="14.25" customHeight="1"/>
    <row r="14664" ht="14.25" customHeight="1"/>
    <row r="14665" ht="14.25" customHeight="1"/>
    <row r="14666" ht="14.25" customHeight="1"/>
    <row r="14667" ht="14.25" customHeight="1"/>
    <row r="14668" ht="14.25" customHeight="1"/>
    <row r="14669" ht="14.25" customHeight="1"/>
    <row r="14670" ht="14.25" customHeight="1"/>
    <row r="14671" ht="14.25" customHeight="1"/>
    <row r="14672" ht="14.25" customHeight="1"/>
    <row r="14673" ht="14.25" customHeight="1"/>
    <row r="14674" ht="14.25" customHeight="1"/>
    <row r="14675" ht="14.25" customHeight="1"/>
    <row r="14676" ht="14.25" customHeight="1"/>
    <row r="14677" ht="14.25" customHeight="1"/>
    <row r="14678" ht="14.25" customHeight="1"/>
    <row r="14679" ht="14.25" customHeight="1"/>
    <row r="14680" ht="14.25" customHeight="1"/>
    <row r="14681" ht="14.25" customHeight="1"/>
    <row r="14682" ht="14.25" customHeight="1"/>
    <row r="14683" ht="14.25" customHeight="1"/>
    <row r="14684" ht="14.25" customHeight="1"/>
    <row r="14685" ht="14.25" customHeight="1"/>
    <row r="14686" ht="14.25" customHeight="1"/>
    <row r="14687" ht="14.25" customHeight="1"/>
    <row r="14688" ht="14.25" customHeight="1"/>
    <row r="14689" ht="14.25" customHeight="1"/>
    <row r="14690" ht="14.25" customHeight="1"/>
    <row r="14691" ht="14.25" customHeight="1"/>
    <row r="14692" ht="14.25" customHeight="1"/>
    <row r="14693" ht="14.25" customHeight="1"/>
    <row r="14694" ht="14.25" customHeight="1"/>
    <row r="14695" ht="14.25" customHeight="1"/>
    <row r="14696" ht="14.25" customHeight="1"/>
    <row r="14697" ht="14.25" customHeight="1"/>
    <row r="14698" ht="14.25" customHeight="1"/>
    <row r="14699" ht="14.25" customHeight="1"/>
    <row r="14700" ht="14.25" customHeight="1"/>
    <row r="14701" ht="14.25" customHeight="1"/>
    <row r="14702" ht="14.25" customHeight="1"/>
    <row r="14703" ht="14.25" customHeight="1"/>
    <row r="14704" ht="14.25" customHeight="1"/>
    <row r="14705" ht="14.25" customHeight="1"/>
    <row r="14706" ht="14.25" customHeight="1"/>
    <row r="14707" ht="14.25" customHeight="1"/>
    <row r="14708" ht="14.25" customHeight="1"/>
    <row r="14709" ht="14.25" customHeight="1"/>
    <row r="14710" ht="14.25" customHeight="1"/>
    <row r="14711" ht="14.25" customHeight="1"/>
    <row r="14712" ht="14.25" customHeight="1"/>
    <row r="14713" ht="14.25" customHeight="1"/>
    <row r="14714" ht="14.25" customHeight="1"/>
    <row r="14715" ht="14.25" customHeight="1"/>
    <row r="14716" ht="14.25" customHeight="1"/>
    <row r="14717" ht="14.25" customHeight="1"/>
    <row r="14718" ht="14.25" customHeight="1"/>
    <row r="14719" ht="14.25" customHeight="1"/>
    <row r="14720" ht="14.25" customHeight="1"/>
    <row r="14721" ht="14.25" customHeight="1"/>
    <row r="14722" ht="14.25" customHeight="1"/>
    <row r="14723" ht="14.25" customHeight="1"/>
    <row r="14724" ht="14.25" customHeight="1"/>
    <row r="14725" ht="14.25" customHeight="1"/>
    <row r="14726" ht="14.25" customHeight="1"/>
    <row r="14727" ht="14.25" customHeight="1"/>
    <row r="14728" ht="14.25" customHeight="1"/>
    <row r="14729" ht="14.25" customHeight="1"/>
    <row r="14730" ht="14.25" customHeight="1"/>
    <row r="14731" ht="14.25" customHeight="1"/>
    <row r="14732" ht="14.25" customHeight="1"/>
    <row r="14733" ht="14.25" customHeight="1"/>
    <row r="14734" ht="14.25" customHeight="1"/>
    <row r="14735" ht="14.25" customHeight="1"/>
    <row r="14736" ht="14.25" customHeight="1"/>
    <row r="14737" ht="14.25" customHeight="1"/>
    <row r="14738" ht="14.25" customHeight="1"/>
    <row r="14739" ht="14.25" customHeight="1"/>
    <row r="14740" ht="14.25" customHeight="1"/>
    <row r="14741" ht="14.25" customHeight="1"/>
    <row r="14742" ht="14.25" customHeight="1"/>
    <row r="14743" ht="14.25" customHeight="1"/>
    <row r="14744" ht="14.25" customHeight="1"/>
    <row r="14745" ht="14.25" customHeight="1"/>
    <row r="14746" ht="14.25" customHeight="1"/>
    <row r="14747" ht="14.25" customHeight="1"/>
    <row r="14748" ht="14.25" customHeight="1"/>
    <row r="14749" ht="14.25" customHeight="1"/>
    <row r="14750" ht="14.25" customHeight="1"/>
    <row r="14751" ht="14.25" customHeight="1"/>
    <row r="14752" ht="14.25" customHeight="1"/>
    <row r="14753" ht="14.25" customHeight="1"/>
    <row r="14754" ht="14.25" customHeight="1"/>
    <row r="14755" ht="14.25" customHeight="1"/>
    <row r="14756" ht="14.25" customHeight="1"/>
    <row r="14757" ht="14.25" customHeight="1"/>
    <row r="14758" ht="14.25" customHeight="1"/>
    <row r="14759" ht="14.25" customHeight="1"/>
    <row r="14760" ht="14.25" customHeight="1"/>
    <row r="14761" ht="14.25" customHeight="1"/>
    <row r="14762" ht="14.25" customHeight="1"/>
    <row r="14763" ht="14.25" customHeight="1"/>
    <row r="14764" ht="14.25" customHeight="1"/>
    <row r="14765" ht="14.25" customHeight="1"/>
    <row r="14766" ht="14.25" customHeight="1"/>
    <row r="14767" ht="14.25" customHeight="1"/>
    <row r="14768" ht="14.25" customHeight="1"/>
    <row r="14769" ht="14.25" customHeight="1"/>
    <row r="14770" ht="14.25" customHeight="1"/>
    <row r="14771" ht="14.25" customHeight="1"/>
    <row r="14772" ht="14.25" customHeight="1"/>
    <row r="14773" ht="14.25" customHeight="1"/>
    <row r="14774" ht="14.25" customHeight="1"/>
    <row r="14775" ht="14.25" customHeight="1"/>
    <row r="14776" ht="14.25" customHeight="1"/>
    <row r="14777" ht="14.25" customHeight="1"/>
    <row r="14778" ht="14.25" customHeight="1"/>
    <row r="14779" ht="14.25" customHeight="1"/>
    <row r="14780" ht="14.25" customHeight="1"/>
    <row r="14781" ht="14.25" customHeight="1"/>
    <row r="14782" ht="14.25" customHeight="1"/>
    <row r="14783" ht="14.25" customHeight="1"/>
    <row r="14784" ht="14.25" customHeight="1"/>
    <row r="14785" ht="14.25" customHeight="1"/>
    <row r="14786" ht="14.25" customHeight="1"/>
    <row r="14787" ht="14.25" customHeight="1"/>
    <row r="14788" ht="14.25" customHeight="1"/>
    <row r="14789" ht="14.25" customHeight="1"/>
    <row r="14790" ht="14.25" customHeight="1"/>
    <row r="14791" ht="14.25" customHeight="1"/>
    <row r="14792" ht="14.25" customHeight="1"/>
    <row r="14793" ht="14.25" customHeight="1"/>
    <row r="14794" ht="14.25" customHeight="1"/>
    <row r="14795" ht="14.25" customHeight="1"/>
    <row r="14796" ht="14.25" customHeight="1"/>
    <row r="14797" ht="14.25" customHeight="1"/>
    <row r="14798" ht="14.25" customHeight="1"/>
    <row r="14799" ht="14.25" customHeight="1"/>
    <row r="14800" ht="14.25" customHeight="1"/>
    <row r="14801" ht="14.25" customHeight="1"/>
    <row r="14802" ht="14.25" customHeight="1"/>
    <row r="14803" ht="14.25" customHeight="1"/>
    <row r="14804" ht="14.25" customHeight="1"/>
    <row r="14805" ht="14.25" customHeight="1"/>
    <row r="14806" ht="14.25" customHeight="1"/>
    <row r="14807" ht="14.25" customHeight="1"/>
    <row r="14808" ht="14.25" customHeight="1"/>
    <row r="14809" ht="14.25" customHeight="1"/>
    <row r="14810" ht="14.25" customHeight="1"/>
    <row r="14811" ht="14.25" customHeight="1"/>
    <row r="14812" ht="14.25" customHeight="1"/>
    <row r="14813" ht="14.25" customHeight="1"/>
    <row r="14814" ht="14.25" customHeight="1"/>
    <row r="14815" ht="14.25" customHeight="1"/>
    <row r="14816" ht="14.25" customHeight="1"/>
    <row r="14817" ht="14.25" customHeight="1"/>
    <row r="14818" ht="14.25" customHeight="1"/>
    <row r="14819" ht="14.25" customHeight="1"/>
    <row r="14820" ht="14.25" customHeight="1"/>
    <row r="14821" ht="14.25" customHeight="1"/>
    <row r="14822" ht="14.25" customHeight="1"/>
    <row r="14823" ht="14.25" customHeight="1"/>
    <row r="14824" ht="14.25" customHeight="1"/>
    <row r="14825" ht="14.25" customHeight="1"/>
    <row r="14826" ht="14.25" customHeight="1"/>
    <row r="14827" ht="14.25" customHeight="1"/>
    <row r="14828" ht="14.25" customHeight="1"/>
    <row r="14829" ht="14.25" customHeight="1"/>
    <row r="14830" ht="14.25" customHeight="1"/>
    <row r="14831" ht="14.25" customHeight="1"/>
    <row r="14832" ht="14.25" customHeight="1"/>
    <row r="14833" ht="14.25" customHeight="1"/>
    <row r="14834" ht="14.25" customHeight="1"/>
    <row r="14835" ht="14.25" customHeight="1"/>
    <row r="14836" ht="14.25" customHeight="1"/>
    <row r="14837" ht="14.25" customHeight="1"/>
    <row r="14838" ht="14.25" customHeight="1"/>
    <row r="14839" ht="14.25" customHeight="1"/>
    <row r="14840" ht="14.25" customHeight="1"/>
    <row r="14841" ht="14.25" customHeight="1"/>
    <row r="14842" ht="14.25" customHeight="1"/>
    <row r="14843" ht="14.25" customHeight="1"/>
    <row r="14844" ht="14.25" customHeight="1"/>
    <row r="14845" ht="14.25" customHeight="1"/>
    <row r="14846" ht="14.25" customHeight="1"/>
    <row r="14847" ht="14.25" customHeight="1"/>
    <row r="14848" ht="14.25" customHeight="1"/>
    <row r="14849" ht="14.25" customHeight="1"/>
    <row r="14850" ht="14.25" customHeight="1"/>
    <row r="14851" ht="14.25" customHeight="1"/>
    <row r="14852" ht="14.25" customHeight="1"/>
    <row r="14853" ht="14.25" customHeight="1"/>
    <row r="14854" ht="14.25" customHeight="1"/>
    <row r="14855" ht="14.25" customHeight="1"/>
    <row r="14856" ht="14.25" customHeight="1"/>
    <row r="14857" ht="14.25" customHeight="1"/>
    <row r="14858" ht="14.25" customHeight="1"/>
    <row r="14859" ht="14.25" customHeight="1"/>
    <row r="14860" ht="14.25" customHeight="1"/>
    <row r="14861" ht="14.25" customHeight="1"/>
    <row r="14862" ht="14.25" customHeight="1"/>
    <row r="14863" ht="14.25" customHeight="1"/>
    <row r="14864" ht="14.25" customHeight="1"/>
    <row r="14865" ht="14.25" customHeight="1"/>
    <row r="14866" ht="14.25" customHeight="1"/>
    <row r="14867" ht="14.25" customHeight="1"/>
    <row r="14868" ht="14.25" customHeight="1"/>
    <row r="14869" ht="14.25" customHeight="1"/>
    <row r="14870" ht="14.25" customHeight="1"/>
    <row r="14871" ht="14.25" customHeight="1"/>
    <row r="14872" ht="14.25" customHeight="1"/>
    <row r="14873" ht="14.25" customHeight="1"/>
    <row r="14874" ht="14.25" customHeight="1"/>
    <row r="14875" ht="14.25" customHeight="1"/>
    <row r="14876" ht="14.25" customHeight="1"/>
    <row r="14877" ht="14.25" customHeight="1"/>
    <row r="14878" ht="14.25" customHeight="1"/>
    <row r="14879" ht="14.25" customHeight="1"/>
    <row r="14880" ht="14.25" customHeight="1"/>
    <row r="14881" ht="14.25" customHeight="1"/>
    <row r="14882" ht="14.25" customHeight="1"/>
    <row r="14883" ht="14.25" customHeight="1"/>
    <row r="14884" ht="14.25" customHeight="1"/>
    <row r="14885" ht="14.25" customHeight="1"/>
    <row r="14886" ht="14.25" customHeight="1"/>
    <row r="14887" ht="14.25" customHeight="1"/>
    <row r="14888" ht="14.25" customHeight="1"/>
    <row r="14889" ht="14.25" customHeight="1"/>
    <row r="14890" ht="14.25" customHeight="1"/>
    <row r="14891" ht="14.25" customHeight="1"/>
    <row r="14892" ht="14.25" customHeight="1"/>
    <row r="14893" ht="14.25" customHeight="1"/>
    <row r="14894" ht="14.25" customHeight="1"/>
    <row r="14895" ht="14.25" customHeight="1"/>
    <row r="14896" ht="14.25" customHeight="1"/>
    <row r="14897" ht="14.25" customHeight="1"/>
    <row r="14898" ht="14.25" customHeight="1"/>
    <row r="14899" ht="14.25" customHeight="1"/>
    <row r="14900" ht="14.25" customHeight="1"/>
    <row r="14901" ht="14.25" customHeight="1"/>
    <row r="14902" ht="14.25" customHeight="1"/>
    <row r="14903" ht="14.25" customHeight="1"/>
    <row r="14904" ht="14.25" customHeight="1"/>
    <row r="14905" ht="14.25" customHeight="1"/>
    <row r="14906" ht="14.25" customHeight="1"/>
    <row r="14907" ht="14.25" customHeight="1"/>
    <row r="14908" ht="14.25" customHeight="1"/>
    <row r="14909" ht="14.25" customHeight="1"/>
    <row r="14910" ht="14.25" customHeight="1"/>
    <row r="14911" ht="14.25" customHeight="1"/>
    <row r="14912" ht="14.25" customHeight="1"/>
    <row r="14913" ht="14.25" customHeight="1"/>
    <row r="14914" ht="14.25" customHeight="1"/>
    <row r="14915" ht="14.25" customHeight="1"/>
    <row r="14916" ht="14.25" customHeight="1"/>
    <row r="14917" ht="14.25" customHeight="1"/>
    <row r="14918" ht="14.25" customHeight="1"/>
    <row r="14919" ht="14.25" customHeight="1"/>
    <row r="14920" ht="14.25" customHeight="1"/>
    <row r="14921" ht="14.25" customHeight="1"/>
    <row r="14922" ht="14.25" customHeight="1"/>
    <row r="14923" ht="14.25" customHeight="1"/>
    <row r="14924" ht="14.25" customHeight="1"/>
    <row r="14925" ht="14.25" customHeight="1"/>
    <row r="14926" ht="14.25" customHeight="1"/>
    <row r="14927" ht="14.25" customHeight="1"/>
    <row r="14928" ht="14.25" customHeight="1"/>
    <row r="14929" ht="14.25" customHeight="1"/>
    <row r="14930" ht="14.25" customHeight="1"/>
    <row r="14931" ht="14.25" customHeight="1"/>
    <row r="14932" ht="14.25" customHeight="1"/>
    <row r="14933" ht="14.25" customHeight="1"/>
    <row r="14934" ht="14.25" customHeight="1"/>
    <row r="14935" ht="14.25" customHeight="1"/>
    <row r="14936" ht="14.25" customHeight="1"/>
    <row r="14937" ht="14.25" customHeight="1"/>
    <row r="14938" ht="14.25" customHeight="1"/>
    <row r="14939" ht="14.25" customHeight="1"/>
    <row r="14940" ht="14.25" customHeight="1"/>
    <row r="14941" ht="14.25" customHeight="1"/>
    <row r="14942" ht="14.25" customHeight="1"/>
    <row r="14943" ht="14.25" customHeight="1"/>
    <row r="14944" ht="14.25" customHeight="1"/>
    <row r="14945" ht="14.25" customHeight="1"/>
    <row r="14946" ht="14.25" customHeight="1"/>
    <row r="14947" ht="14.25" customHeight="1"/>
    <row r="14948" ht="14.25" customHeight="1"/>
    <row r="14949" ht="14.25" customHeight="1"/>
    <row r="14950" ht="14.25" customHeight="1"/>
    <row r="14951" ht="14.25" customHeight="1"/>
    <row r="14952" ht="14.25" customHeight="1"/>
    <row r="14953" ht="14.25" customHeight="1"/>
    <row r="14954" ht="14.25" customHeight="1"/>
    <row r="14955" ht="14.25" customHeight="1"/>
    <row r="14956" ht="14.25" customHeight="1"/>
    <row r="14957" ht="14.25" customHeight="1"/>
    <row r="14958" ht="14.25" customHeight="1"/>
    <row r="14959" ht="14.25" customHeight="1"/>
    <row r="14960" ht="14.25" customHeight="1"/>
    <row r="14961" ht="14.25" customHeight="1"/>
    <row r="14962" ht="14.25" customHeight="1"/>
    <row r="14963" ht="14.25" customHeight="1"/>
    <row r="14964" ht="14.25" customHeight="1"/>
    <row r="14965" ht="14.25" customHeight="1"/>
    <row r="14966" ht="14.25" customHeight="1"/>
    <row r="14967" ht="14.25" customHeight="1"/>
    <row r="14968" ht="14.25" customHeight="1"/>
    <row r="14969" ht="14.25" customHeight="1"/>
    <row r="14970" ht="14.25" customHeight="1"/>
    <row r="14971" ht="14.25" customHeight="1"/>
    <row r="14972" ht="14.25" customHeight="1"/>
    <row r="14973" ht="14.25" customHeight="1"/>
    <row r="14974" ht="14.25" customHeight="1"/>
    <row r="14975" ht="14.25" customHeight="1"/>
    <row r="14976" ht="14.25" customHeight="1"/>
    <row r="14977" ht="14.25" customHeight="1"/>
    <row r="14978" ht="14.25" customHeight="1"/>
    <row r="14979" ht="14.25" customHeight="1"/>
    <row r="14980" ht="14.25" customHeight="1"/>
    <row r="14981" ht="14.25" customHeight="1"/>
    <row r="14982" ht="14.25" customHeight="1"/>
    <row r="14983" ht="14.25" customHeight="1"/>
    <row r="14984" ht="14.25" customHeight="1"/>
    <row r="14985" ht="14.25" customHeight="1"/>
    <row r="14986" ht="14.25" customHeight="1"/>
    <row r="14987" ht="14.25" customHeight="1"/>
    <row r="14988" ht="14.25" customHeight="1"/>
    <row r="14989" ht="14.25" customHeight="1"/>
    <row r="14990" ht="14.25" customHeight="1"/>
    <row r="14991" ht="14.25" customHeight="1"/>
    <row r="14992" ht="14.25" customHeight="1"/>
    <row r="14993" ht="14.25" customHeight="1"/>
    <row r="14994" ht="14.25" customHeight="1"/>
    <row r="14995" ht="14.25" customHeight="1"/>
    <row r="14996" ht="14.25" customHeight="1"/>
    <row r="14997" ht="14.25" customHeight="1"/>
    <row r="14998" ht="14.25" customHeight="1"/>
    <row r="14999" ht="14.25" customHeight="1"/>
    <row r="15000" ht="14.25" customHeight="1"/>
    <row r="15001" ht="14.25" customHeight="1"/>
    <row r="15002" ht="14.25" customHeight="1"/>
    <row r="15003" ht="14.25" customHeight="1"/>
    <row r="15004" ht="14.25" customHeight="1"/>
    <row r="15005" ht="14.25" customHeight="1"/>
    <row r="15006" ht="14.25" customHeight="1"/>
    <row r="15007" ht="14.25" customHeight="1"/>
    <row r="15008" ht="14.25" customHeight="1"/>
    <row r="15009" ht="14.25" customHeight="1"/>
    <row r="15010" ht="14.25" customHeight="1"/>
    <row r="15011" ht="14.25" customHeight="1"/>
    <row r="15012" ht="14.25" customHeight="1"/>
    <row r="15013" ht="14.25" customHeight="1"/>
    <row r="15014" ht="14.25" customHeight="1"/>
    <row r="15015" ht="14.25" customHeight="1"/>
    <row r="15016" ht="14.25" customHeight="1"/>
    <row r="15017" ht="14.25" customHeight="1"/>
    <row r="15018" ht="14.25" customHeight="1"/>
    <row r="15019" ht="14.25" customHeight="1"/>
    <row r="15020" ht="14.25" customHeight="1"/>
    <row r="15021" ht="14.25" customHeight="1"/>
    <row r="15022" ht="14.25" customHeight="1"/>
    <row r="15023" ht="14.25" customHeight="1"/>
    <row r="15024" ht="14.25" customHeight="1"/>
    <row r="15025" ht="14.25" customHeight="1"/>
    <row r="15026" ht="14.25" customHeight="1"/>
    <row r="15027" ht="14.25" customHeight="1"/>
    <row r="15028" ht="14.25" customHeight="1"/>
    <row r="15029" ht="14.25" customHeight="1"/>
    <row r="15030" ht="14.25" customHeight="1"/>
    <row r="15031" ht="14.25" customHeight="1"/>
    <row r="15032" ht="14.25" customHeight="1"/>
    <row r="15033" ht="14.25" customHeight="1"/>
    <row r="15034" ht="14.25" customHeight="1"/>
    <row r="15035" ht="14.25" customHeight="1"/>
    <row r="15036" ht="14.25" customHeight="1"/>
    <row r="15037" ht="14.25" customHeight="1"/>
    <row r="15038" ht="14.25" customHeight="1"/>
    <row r="15039" ht="14.25" customHeight="1"/>
    <row r="15040" ht="14.25" customHeight="1"/>
    <row r="15041" ht="14.25" customHeight="1"/>
    <row r="15042" ht="14.25" customHeight="1"/>
    <row r="15043" ht="14.25" customHeight="1"/>
    <row r="15044" ht="14.25" customHeight="1"/>
    <row r="15045" ht="14.25" customHeight="1"/>
    <row r="15046" ht="14.25" customHeight="1"/>
    <row r="15047" ht="14.25" customHeight="1"/>
    <row r="15048" ht="14.25" customHeight="1"/>
    <row r="15049" ht="14.25" customHeight="1"/>
    <row r="15050" ht="14.25" customHeight="1"/>
    <row r="15051" ht="14.25" customHeight="1"/>
    <row r="15052" ht="14.25" customHeight="1"/>
    <row r="15053" ht="14.25" customHeight="1"/>
    <row r="15054" ht="14.25" customHeight="1"/>
    <row r="15055" ht="14.25" customHeight="1"/>
    <row r="15056" ht="14.25" customHeight="1"/>
    <row r="15057" ht="14.25" customHeight="1"/>
    <row r="15058" ht="14.25" customHeight="1"/>
    <row r="15059" ht="14.25" customHeight="1"/>
    <row r="15060" ht="14.25" customHeight="1"/>
    <row r="15061" ht="14.25" customHeight="1"/>
    <row r="15062" ht="14.25" customHeight="1"/>
    <row r="15063" ht="14.25" customHeight="1"/>
    <row r="15064" ht="14.25" customHeight="1"/>
    <row r="15065" ht="14.25" customHeight="1"/>
    <row r="15066" ht="14.25" customHeight="1"/>
    <row r="15067" ht="14.25" customHeight="1"/>
    <row r="15068" ht="14.25" customHeight="1"/>
    <row r="15069" ht="14.25" customHeight="1"/>
    <row r="15070" ht="14.25" customHeight="1"/>
    <row r="15071" ht="14.25" customHeight="1"/>
    <row r="15072" ht="14.25" customHeight="1"/>
    <row r="15073" ht="14.25" customHeight="1"/>
    <row r="15074" ht="14.25" customHeight="1"/>
    <row r="15075" ht="14.25" customHeight="1"/>
    <row r="15076" ht="14.25" customHeight="1"/>
    <row r="15077" ht="14.25" customHeight="1"/>
    <row r="15078" ht="14.25" customHeight="1"/>
    <row r="15079" ht="14.25" customHeight="1"/>
    <row r="15080" ht="14.25" customHeight="1"/>
    <row r="15081" ht="14.25" customHeight="1"/>
    <row r="15082" ht="14.25" customHeight="1"/>
    <row r="15083" ht="14.25" customHeight="1"/>
    <row r="15084" ht="14.25" customHeight="1"/>
    <row r="15085" ht="14.25" customHeight="1"/>
    <row r="15086" ht="14.25" customHeight="1"/>
    <row r="15087" ht="14.25" customHeight="1"/>
    <row r="15088" ht="14.25" customHeight="1"/>
    <row r="15089" ht="14.25" customHeight="1"/>
    <row r="15090" ht="14.25" customHeight="1"/>
    <row r="15091" ht="14.25" customHeight="1"/>
    <row r="15092" ht="14.25" customHeight="1"/>
    <row r="15093" ht="14.25" customHeight="1"/>
    <row r="15094" ht="14.25" customHeight="1"/>
    <row r="15095" ht="14.25" customHeight="1"/>
    <row r="15096" ht="14.25" customHeight="1"/>
    <row r="15097" ht="14.25" customHeight="1"/>
    <row r="15098" ht="14.25" customHeight="1"/>
    <row r="15099" ht="14.25" customHeight="1"/>
    <row r="15100" ht="14.25" customHeight="1"/>
    <row r="15101" ht="14.25" customHeight="1"/>
    <row r="15102" ht="14.25" customHeight="1"/>
    <row r="15103" ht="14.25" customHeight="1"/>
    <row r="15104" ht="14.25" customHeight="1"/>
    <row r="15105" ht="14.25" customHeight="1"/>
    <row r="15106" ht="14.25" customHeight="1"/>
    <row r="15107" ht="14.25" customHeight="1"/>
    <row r="15108" ht="14.25" customHeight="1"/>
    <row r="15109" ht="14.25" customHeight="1"/>
    <row r="15110" ht="14.25" customHeight="1"/>
    <row r="15111" ht="14.25" customHeight="1"/>
    <row r="15112" ht="14.25" customHeight="1"/>
    <row r="15113" ht="14.25" customHeight="1"/>
    <row r="15114" ht="14.25" customHeight="1"/>
    <row r="15115" ht="14.25" customHeight="1"/>
    <row r="15116" ht="14.25" customHeight="1"/>
    <row r="15117" ht="14.25" customHeight="1"/>
    <row r="15118" ht="14.25" customHeight="1"/>
    <row r="15119" ht="14.25" customHeight="1"/>
    <row r="15120" ht="14.25" customHeight="1"/>
    <row r="15121" ht="14.25" customHeight="1"/>
    <row r="15122" ht="14.25" customHeight="1"/>
    <row r="15123" ht="14.25" customHeight="1"/>
    <row r="15124" ht="14.25" customHeight="1"/>
    <row r="15125" ht="14.25" customHeight="1"/>
    <row r="15126" ht="14.25" customHeight="1"/>
    <row r="15127" ht="14.25" customHeight="1"/>
    <row r="15128" ht="14.25" customHeight="1"/>
    <row r="15129" ht="14.25" customHeight="1"/>
    <row r="15130" ht="14.25" customHeight="1"/>
    <row r="15131" ht="14.25" customHeight="1"/>
    <row r="15132" ht="14.25" customHeight="1"/>
    <row r="15133" ht="14.25" customHeight="1"/>
    <row r="15134" ht="14.25" customHeight="1"/>
    <row r="15135" ht="14.25" customHeight="1"/>
    <row r="15136" ht="14.25" customHeight="1"/>
    <row r="15137" ht="14.25" customHeight="1"/>
    <row r="15138" ht="14.25" customHeight="1"/>
    <row r="15139" ht="14.25" customHeight="1"/>
    <row r="15140" ht="14.25" customHeight="1"/>
    <row r="15141" ht="14.25" customHeight="1"/>
    <row r="15142" ht="14.25" customHeight="1"/>
    <row r="15143" ht="14.25" customHeight="1"/>
    <row r="15144" ht="14.25" customHeight="1"/>
    <row r="15145" ht="14.25" customHeight="1"/>
    <row r="15146" ht="14.25" customHeight="1"/>
    <row r="15147" ht="14.25" customHeight="1"/>
    <row r="15148" ht="14.25" customHeight="1"/>
    <row r="15149" ht="14.25" customHeight="1"/>
    <row r="15150" ht="14.25" customHeight="1"/>
    <row r="15151" ht="14.25" customHeight="1"/>
    <row r="15152" ht="14.25" customHeight="1"/>
    <row r="15153" ht="14.25" customHeight="1"/>
    <row r="15154" ht="14.25" customHeight="1"/>
    <row r="15155" ht="14.25" customHeight="1"/>
    <row r="15156" ht="14.25" customHeight="1"/>
    <row r="15157" ht="14.25" customHeight="1"/>
    <row r="15158" ht="14.25" customHeight="1"/>
    <row r="15159" ht="14.25" customHeight="1"/>
    <row r="15160" ht="14.25" customHeight="1"/>
    <row r="15161" ht="14.25" customHeight="1"/>
    <row r="15162" ht="14.25" customHeight="1"/>
    <row r="15163" ht="14.25" customHeight="1"/>
    <row r="15164" ht="14.25" customHeight="1"/>
    <row r="15165" ht="14.25" customHeight="1"/>
    <row r="15166" ht="14.25" customHeight="1"/>
    <row r="15167" ht="14.25" customHeight="1"/>
    <row r="15168" ht="14.25" customHeight="1"/>
    <row r="15169" ht="14.25" customHeight="1"/>
    <row r="15170" ht="14.25" customHeight="1"/>
    <row r="15171" ht="14.25" customHeight="1"/>
    <row r="15172" ht="14.25" customHeight="1"/>
    <row r="15173" ht="14.25" customHeight="1"/>
    <row r="15174" ht="14.25" customHeight="1"/>
    <row r="15175" ht="14.25" customHeight="1"/>
    <row r="15176" ht="14.25" customHeight="1"/>
    <row r="15177" ht="14.25" customHeight="1"/>
    <row r="15178" ht="14.25" customHeight="1"/>
    <row r="15179" ht="14.25" customHeight="1"/>
    <row r="15180" ht="14.25" customHeight="1"/>
    <row r="15181" ht="14.25" customHeight="1"/>
    <row r="15182" ht="14.25" customHeight="1"/>
    <row r="15183" ht="14.25" customHeight="1"/>
    <row r="15184" ht="14.25" customHeight="1"/>
    <row r="15185" ht="14.25" customHeight="1"/>
    <row r="15186" ht="14.25" customHeight="1"/>
    <row r="15187" ht="14.25" customHeight="1"/>
    <row r="15188" ht="14.25" customHeight="1"/>
    <row r="15189" ht="14.25" customHeight="1"/>
    <row r="15190" ht="14.25" customHeight="1"/>
    <row r="15191" ht="14.25" customHeight="1"/>
    <row r="15192" ht="14.25" customHeight="1"/>
    <row r="15193" ht="14.25" customHeight="1"/>
    <row r="15194" ht="14.25" customHeight="1"/>
    <row r="15195" ht="14.25" customHeight="1"/>
    <row r="15196" ht="14.25" customHeight="1"/>
    <row r="15197" ht="14.25" customHeight="1"/>
    <row r="15198" ht="14.25" customHeight="1"/>
    <row r="15199" ht="14.25" customHeight="1"/>
    <row r="15200" ht="14.25" customHeight="1"/>
    <row r="15201" ht="14.25" customHeight="1"/>
    <row r="15202" ht="14.25" customHeight="1"/>
    <row r="15203" ht="14.25" customHeight="1"/>
    <row r="15204" ht="14.25" customHeight="1"/>
    <row r="15205" ht="14.25" customHeight="1"/>
    <row r="15206" ht="14.25" customHeight="1"/>
    <row r="15207" ht="14.25" customHeight="1"/>
    <row r="15208" ht="14.25" customHeight="1"/>
    <row r="15209" ht="14.25" customHeight="1"/>
    <row r="15210" ht="14.25" customHeight="1"/>
    <row r="15211" ht="14.25" customHeight="1"/>
    <row r="15212" ht="14.25" customHeight="1"/>
    <row r="15213" ht="14.25" customHeight="1"/>
    <row r="15214" ht="14.25" customHeight="1"/>
    <row r="15215" ht="14.25" customHeight="1"/>
    <row r="15216" ht="14.25" customHeight="1"/>
    <row r="15217" ht="14.25" customHeight="1"/>
    <row r="15218" ht="14.25" customHeight="1"/>
    <row r="15219" ht="14.25" customHeight="1"/>
    <row r="15220" ht="14.25" customHeight="1"/>
    <row r="15221" ht="14.25" customHeight="1"/>
    <row r="15222" ht="14.25" customHeight="1"/>
    <row r="15223" ht="14.25" customHeight="1"/>
    <row r="15224" ht="14.25" customHeight="1"/>
    <row r="15225" ht="14.25" customHeight="1"/>
    <row r="15226" ht="14.25" customHeight="1"/>
    <row r="15227" ht="14.25" customHeight="1"/>
    <row r="15228" ht="14.25" customHeight="1"/>
    <row r="15229" ht="14.25" customHeight="1"/>
    <row r="15230" ht="14.25" customHeight="1"/>
    <row r="15231" ht="14.25" customHeight="1"/>
    <row r="15232" ht="14.25" customHeight="1"/>
    <row r="15233" ht="14.25" customHeight="1"/>
    <row r="15234" ht="14.25" customHeight="1"/>
    <row r="15235" ht="14.25" customHeight="1"/>
    <row r="15236" ht="14.25" customHeight="1"/>
    <row r="15237" ht="14.25" customHeight="1"/>
    <row r="15238" ht="14.25" customHeight="1"/>
    <row r="15239" ht="14.25" customHeight="1"/>
    <row r="15240" ht="14.25" customHeight="1"/>
    <row r="15241" ht="14.25" customHeight="1"/>
    <row r="15242" ht="14.25" customHeight="1"/>
    <row r="15243" ht="14.25" customHeight="1"/>
    <row r="15244" ht="14.25" customHeight="1"/>
    <row r="15245" ht="14.25" customHeight="1"/>
    <row r="15246" ht="14.25" customHeight="1"/>
    <row r="15247" ht="14.25" customHeight="1"/>
    <row r="15248" ht="14.25" customHeight="1"/>
    <row r="15249" ht="14.25" customHeight="1"/>
    <row r="15250" ht="14.25" customHeight="1"/>
    <row r="15251" ht="14.25" customHeight="1"/>
    <row r="15252" ht="14.25" customHeight="1"/>
    <row r="15253" ht="14.25" customHeight="1"/>
    <row r="15254" ht="14.25" customHeight="1"/>
    <row r="15255" ht="14.25" customHeight="1"/>
    <row r="15256" ht="14.25" customHeight="1"/>
    <row r="15257" ht="14.25" customHeight="1"/>
    <row r="15258" ht="14.25" customHeight="1"/>
    <row r="15259" ht="14.25" customHeight="1"/>
    <row r="15260" ht="14.25" customHeight="1"/>
    <row r="15261" ht="14.25" customHeight="1"/>
    <row r="15262" ht="14.25" customHeight="1"/>
    <row r="15263" ht="14.25" customHeight="1"/>
    <row r="15264" ht="14.25" customHeight="1"/>
    <row r="15265" ht="14.25" customHeight="1"/>
    <row r="15266" ht="14.25" customHeight="1"/>
    <row r="15267" ht="14.25" customHeight="1"/>
    <row r="15268" ht="14.25" customHeight="1"/>
    <row r="15269" ht="14.25" customHeight="1"/>
    <row r="15270" ht="14.25" customHeight="1"/>
    <row r="15271" ht="14.25" customHeight="1"/>
    <row r="15272" ht="14.25" customHeight="1"/>
    <row r="15273" ht="14.25" customHeight="1"/>
    <row r="15274" ht="14.25" customHeight="1"/>
    <row r="15275" ht="14.25" customHeight="1"/>
    <row r="15276" ht="14.25" customHeight="1"/>
    <row r="15277" ht="14.25" customHeight="1"/>
    <row r="15278" ht="14.25" customHeight="1"/>
    <row r="15279" ht="14.25" customHeight="1"/>
    <row r="15280" ht="14.25" customHeight="1"/>
    <row r="15281" ht="14.25" customHeight="1"/>
    <row r="15282" ht="14.25" customHeight="1"/>
    <row r="15283" ht="14.25" customHeight="1"/>
    <row r="15284" ht="14.25" customHeight="1"/>
    <row r="15285" ht="14.25" customHeight="1"/>
    <row r="15286" ht="14.25" customHeight="1"/>
    <row r="15287" ht="14.25" customHeight="1"/>
    <row r="15288" ht="14.25" customHeight="1"/>
    <row r="15289" ht="14.25" customHeight="1"/>
    <row r="15290" ht="14.25" customHeight="1"/>
    <row r="15291" ht="14.25" customHeight="1"/>
    <row r="15292" ht="14.25" customHeight="1"/>
    <row r="15293" ht="14.25" customHeight="1"/>
    <row r="15294" ht="14.25" customHeight="1"/>
    <row r="15295" ht="14.25" customHeight="1"/>
    <row r="15296" ht="14.25" customHeight="1"/>
    <row r="15297" ht="14.25" customHeight="1"/>
    <row r="15298" ht="14.25" customHeight="1"/>
    <row r="15299" ht="14.25" customHeight="1"/>
    <row r="15300" ht="14.25" customHeight="1"/>
    <row r="15301" ht="14.25" customHeight="1"/>
    <row r="15302" ht="14.25" customHeight="1"/>
    <row r="15303" ht="14.25" customHeight="1"/>
    <row r="15304" ht="14.25" customHeight="1"/>
    <row r="15305" ht="14.25" customHeight="1"/>
    <row r="15306" ht="14.25" customHeight="1"/>
    <row r="15307" ht="14.25" customHeight="1"/>
    <row r="15308" ht="14.25" customHeight="1"/>
    <row r="15309" ht="14.25" customHeight="1"/>
    <row r="15310" ht="14.25" customHeight="1"/>
    <row r="15311" ht="14.25" customHeight="1"/>
    <row r="15312" ht="14.25" customHeight="1"/>
    <row r="15313" ht="14.25" customHeight="1"/>
    <row r="15314" ht="14.25" customHeight="1"/>
    <row r="15315" ht="14.25" customHeight="1"/>
    <row r="15316" ht="14.25" customHeight="1"/>
    <row r="15317" ht="14.25" customHeight="1"/>
    <row r="15318" ht="14.25" customHeight="1"/>
    <row r="15319" ht="14.25" customHeight="1"/>
    <row r="15320" ht="14.25" customHeight="1"/>
    <row r="15321" ht="14.25" customHeight="1"/>
    <row r="15322" ht="14.25" customHeight="1"/>
    <row r="15323" ht="14.25" customHeight="1"/>
    <row r="15324" ht="14.25" customHeight="1"/>
    <row r="15325" ht="14.25" customHeight="1"/>
    <row r="15326" ht="14.25" customHeight="1"/>
    <row r="15327" ht="14.25" customHeight="1"/>
    <row r="15328" ht="14.25" customHeight="1"/>
    <row r="15329" ht="14.25" customHeight="1"/>
    <row r="15330" ht="14.25" customHeight="1"/>
    <row r="15331" ht="14.25" customHeight="1"/>
    <row r="15332" ht="14.25" customHeight="1"/>
    <row r="15333" ht="14.25" customHeight="1"/>
    <row r="15334" ht="14.25" customHeight="1"/>
    <row r="15335" ht="14.25" customHeight="1"/>
    <row r="15336" ht="14.25" customHeight="1"/>
    <row r="15337" ht="14.25" customHeight="1"/>
    <row r="15338" ht="14.25" customHeight="1"/>
    <row r="15339" ht="14.25" customHeight="1"/>
    <row r="15340" ht="14.25" customHeight="1"/>
    <row r="15341" ht="14.25" customHeight="1"/>
    <row r="15342" ht="14.25" customHeight="1"/>
    <row r="15343" ht="14.25" customHeight="1"/>
    <row r="15344" ht="14.25" customHeight="1"/>
    <row r="15345" ht="14.25" customHeight="1"/>
    <row r="15346" ht="14.25" customHeight="1"/>
    <row r="15347" ht="14.25" customHeight="1"/>
    <row r="15348" ht="14.25" customHeight="1"/>
    <row r="15349" ht="14.25" customHeight="1"/>
    <row r="15350" ht="14.25" customHeight="1"/>
    <row r="15351" ht="14.25" customHeight="1"/>
    <row r="15352" ht="14.25" customHeight="1"/>
    <row r="15353" ht="14.25" customHeight="1"/>
    <row r="15354" ht="14.25" customHeight="1"/>
    <row r="15355" ht="14.25" customHeight="1"/>
    <row r="15356" ht="14.25" customHeight="1"/>
    <row r="15357" ht="14.25" customHeight="1"/>
    <row r="15358" ht="14.25" customHeight="1"/>
    <row r="15359" ht="14.25" customHeight="1"/>
    <row r="15360" ht="14.25" customHeight="1"/>
    <row r="15361" ht="14.25" customHeight="1"/>
    <row r="15362" ht="14.25" customHeight="1"/>
    <row r="15363" ht="14.25" customHeight="1"/>
    <row r="15364" ht="14.25" customHeight="1"/>
    <row r="15365" ht="14.25" customHeight="1"/>
    <row r="15366" ht="14.25" customHeight="1"/>
    <row r="15367" ht="14.25" customHeight="1"/>
    <row r="15368" ht="14.25" customHeight="1"/>
    <row r="15369" ht="14.25" customHeight="1"/>
    <row r="15370" ht="14.25" customHeight="1"/>
    <row r="15371" ht="14.25" customHeight="1"/>
    <row r="15372" ht="14.25" customHeight="1"/>
    <row r="15373" ht="14.25" customHeight="1"/>
    <row r="15374" ht="14.25" customHeight="1"/>
    <row r="15375" ht="14.25" customHeight="1"/>
    <row r="15376" ht="14.25" customHeight="1"/>
    <row r="15377" ht="14.25" customHeight="1"/>
    <row r="15378" ht="14.25" customHeight="1"/>
    <row r="15379" ht="14.25" customHeight="1"/>
    <row r="15380" ht="14.25" customHeight="1"/>
    <row r="15381" ht="14.25" customHeight="1"/>
    <row r="15382" ht="14.25" customHeight="1"/>
    <row r="15383" ht="14.25" customHeight="1"/>
    <row r="15384" ht="14.25" customHeight="1"/>
    <row r="15385" ht="14.25" customHeight="1"/>
    <row r="15386" ht="14.25" customHeight="1"/>
    <row r="15387" ht="14.25" customHeight="1"/>
    <row r="15388" ht="14.25" customHeight="1"/>
    <row r="15389" ht="14.25" customHeight="1"/>
    <row r="15390" ht="14.25" customHeight="1"/>
    <row r="15391" ht="14.25" customHeight="1"/>
    <row r="15392" ht="14.25" customHeight="1"/>
    <row r="15393" ht="14.25" customHeight="1"/>
    <row r="15394" ht="14.25" customHeight="1"/>
    <row r="15395" ht="14.25" customHeight="1"/>
    <row r="15396" ht="14.25" customHeight="1"/>
    <row r="15397" ht="14.25" customHeight="1"/>
    <row r="15398" ht="14.25" customHeight="1"/>
    <row r="15399" ht="14.25" customHeight="1"/>
    <row r="15400" ht="14.25" customHeight="1"/>
    <row r="15401" ht="14.25" customHeight="1"/>
    <row r="15402" ht="14.25" customHeight="1"/>
    <row r="15403" ht="14.25" customHeight="1"/>
    <row r="15404" ht="14.25" customHeight="1"/>
    <row r="15405" ht="14.25" customHeight="1"/>
    <row r="15406" ht="14.25" customHeight="1"/>
    <row r="15407" ht="14.25" customHeight="1"/>
    <row r="15408" ht="14.25" customHeight="1"/>
    <row r="15409" ht="14.25" customHeight="1"/>
    <row r="15410" ht="14.25" customHeight="1"/>
    <row r="15411" ht="14.25" customHeight="1"/>
    <row r="15412" ht="14.25" customHeight="1"/>
    <row r="15413" ht="14.25" customHeight="1"/>
    <row r="15414" ht="14.25" customHeight="1"/>
    <row r="15415" ht="14.25" customHeight="1"/>
    <row r="15416" ht="14.25" customHeight="1"/>
    <row r="15417" ht="14.25" customHeight="1"/>
    <row r="15418" ht="14.25" customHeight="1"/>
    <row r="15419" ht="14.25" customHeight="1"/>
    <row r="15420" ht="14.25" customHeight="1"/>
    <row r="15421" ht="14.25" customHeight="1"/>
    <row r="15422" ht="14.25" customHeight="1"/>
    <row r="15423" ht="14.25" customHeight="1"/>
    <row r="15424" ht="14.25" customHeight="1"/>
    <row r="15425" ht="14.25" customHeight="1"/>
    <row r="15426" ht="14.25" customHeight="1"/>
    <row r="15427" ht="14.25" customHeight="1"/>
    <row r="15428" ht="14.25" customHeight="1"/>
    <row r="15429" ht="14.25" customHeight="1"/>
    <row r="15430" ht="14.25" customHeight="1"/>
    <row r="15431" ht="14.25" customHeight="1"/>
    <row r="15432" ht="14.25" customHeight="1"/>
    <row r="15433" ht="14.25" customHeight="1"/>
    <row r="15434" ht="14.25" customHeight="1"/>
    <row r="15435" ht="14.25" customHeight="1"/>
    <row r="15436" ht="14.25" customHeight="1"/>
    <row r="15437" ht="14.25" customHeight="1"/>
    <row r="15438" ht="14.25" customHeight="1"/>
    <row r="15439" ht="14.25" customHeight="1"/>
    <row r="15440" ht="14.25" customHeight="1"/>
    <row r="15441" ht="14.25" customHeight="1"/>
    <row r="15442" ht="14.25" customHeight="1"/>
    <row r="15443" ht="14.25" customHeight="1"/>
    <row r="15444" ht="14.25" customHeight="1"/>
    <row r="15445" ht="14.25" customHeight="1"/>
    <row r="15446" ht="14.25" customHeight="1"/>
    <row r="15447" ht="14.25" customHeight="1"/>
    <row r="15448" ht="14.25" customHeight="1"/>
    <row r="15449" ht="14.25" customHeight="1"/>
    <row r="15450" ht="14.25" customHeight="1"/>
    <row r="15451" ht="14.25" customHeight="1"/>
    <row r="15452" ht="14.25" customHeight="1"/>
    <row r="15453" ht="14.25" customHeight="1"/>
    <row r="15454" ht="14.25" customHeight="1"/>
    <row r="15455" ht="14.25" customHeight="1"/>
    <row r="15456" ht="14.25" customHeight="1"/>
    <row r="15457" ht="14.25" customHeight="1"/>
    <row r="15458" ht="14.25" customHeight="1"/>
    <row r="15459" ht="14.25" customHeight="1"/>
    <row r="15460" ht="14.25" customHeight="1"/>
    <row r="15461" ht="14.25" customHeight="1"/>
    <row r="15462" ht="14.25" customHeight="1"/>
    <row r="15463" ht="14.25" customHeight="1"/>
    <row r="15464" ht="14.25" customHeight="1"/>
    <row r="15465" ht="14.25" customHeight="1"/>
    <row r="15466" ht="14.25" customHeight="1"/>
    <row r="15467" ht="14.25" customHeight="1"/>
    <row r="15468" ht="14.25" customHeight="1"/>
    <row r="15469" ht="14.25" customHeight="1"/>
    <row r="15470" ht="14.25" customHeight="1"/>
    <row r="15471" ht="14.25" customHeight="1"/>
    <row r="15472" ht="14.25" customHeight="1"/>
    <row r="15473" ht="14.25" customHeight="1"/>
    <row r="15474" ht="14.25" customHeight="1"/>
    <row r="15475" ht="14.25" customHeight="1"/>
    <row r="15476" ht="14.25" customHeight="1"/>
    <row r="15477" ht="14.25" customHeight="1"/>
    <row r="15478" ht="14.25" customHeight="1"/>
    <row r="15479" ht="14.25" customHeight="1"/>
    <row r="15480" ht="14.25" customHeight="1"/>
    <row r="15481" ht="14.25" customHeight="1"/>
    <row r="15482" ht="14.25" customHeight="1"/>
    <row r="15483" ht="14.25" customHeight="1"/>
    <row r="15484" ht="14.25" customHeight="1"/>
    <row r="15485" ht="14.25" customHeight="1"/>
    <row r="15486" ht="14.25" customHeight="1"/>
    <row r="15487" ht="14.25" customHeight="1"/>
    <row r="15488" ht="14.25" customHeight="1"/>
    <row r="15489" ht="14.25" customHeight="1"/>
    <row r="15490" ht="14.25" customHeight="1"/>
    <row r="15491" ht="14.25" customHeight="1"/>
    <row r="15492" ht="14.25" customHeight="1"/>
    <row r="15493" ht="14.25" customHeight="1"/>
    <row r="15494" ht="14.25" customHeight="1"/>
    <row r="15495" ht="14.25" customHeight="1"/>
    <row r="15496" ht="14.25" customHeight="1"/>
    <row r="15497" ht="14.25" customHeight="1"/>
    <row r="15498" ht="14.25" customHeight="1"/>
    <row r="15499" ht="14.25" customHeight="1"/>
    <row r="15500" ht="14.25" customHeight="1"/>
    <row r="15501" ht="14.25" customHeight="1"/>
    <row r="15502" ht="14.25" customHeight="1"/>
    <row r="15503" ht="14.25" customHeight="1"/>
    <row r="15504" ht="14.25" customHeight="1"/>
    <row r="15505" ht="14.25" customHeight="1"/>
    <row r="15506" ht="14.25" customHeight="1"/>
    <row r="15507" ht="14.25" customHeight="1"/>
    <row r="15508" ht="14.25" customHeight="1"/>
    <row r="15509" ht="14.25" customHeight="1"/>
    <row r="15510" ht="14.25" customHeight="1"/>
    <row r="15511" ht="14.25" customHeight="1"/>
    <row r="15512" ht="14.25" customHeight="1"/>
    <row r="15513" ht="14.25" customHeight="1"/>
    <row r="15514" ht="14.25" customHeight="1"/>
    <row r="15515" ht="14.25" customHeight="1"/>
    <row r="15516" ht="14.25" customHeight="1"/>
    <row r="15517" ht="14.25" customHeight="1"/>
    <row r="15518" ht="14.25" customHeight="1"/>
    <row r="15519" ht="14.25" customHeight="1"/>
    <row r="15520" ht="14.25" customHeight="1"/>
    <row r="15521" ht="14.25" customHeight="1"/>
    <row r="15522" ht="14.25" customHeight="1"/>
    <row r="15523" ht="14.25" customHeight="1"/>
    <row r="15524" ht="14.25" customHeight="1"/>
    <row r="15525" ht="14.25" customHeight="1"/>
    <row r="15526" ht="14.25" customHeight="1"/>
    <row r="15527" ht="14.25" customHeight="1"/>
    <row r="15528" ht="14.25" customHeight="1"/>
    <row r="15529" ht="14.25" customHeight="1"/>
    <row r="15530" ht="14.25" customHeight="1"/>
    <row r="15531" ht="14.25" customHeight="1"/>
    <row r="15532" ht="14.25" customHeight="1"/>
    <row r="15533" ht="14.25" customHeight="1"/>
    <row r="15534" ht="14.25" customHeight="1"/>
    <row r="15535" ht="14.25" customHeight="1"/>
    <row r="15536" ht="14.25" customHeight="1"/>
    <row r="15537" ht="14.25" customHeight="1"/>
    <row r="15538" ht="14.25" customHeight="1"/>
    <row r="15539" ht="14.25" customHeight="1"/>
    <row r="15540" ht="14.25" customHeight="1"/>
    <row r="15541" ht="14.25" customHeight="1"/>
    <row r="15542" ht="14.25" customHeight="1"/>
    <row r="15543" ht="14.25" customHeight="1"/>
    <row r="15544" ht="14.25" customHeight="1"/>
    <row r="15545" ht="14.25" customHeight="1"/>
    <row r="15546" ht="14.25" customHeight="1"/>
    <row r="15547" ht="14.25" customHeight="1"/>
    <row r="15548" ht="14.25" customHeight="1"/>
    <row r="15549" ht="14.25" customHeight="1"/>
    <row r="15550" ht="14.25" customHeight="1"/>
    <row r="15551" ht="14.25" customHeight="1"/>
    <row r="15552" ht="14.25" customHeight="1"/>
    <row r="15553" ht="14.25" customHeight="1"/>
    <row r="15554" ht="14.25" customHeight="1"/>
    <row r="15555" ht="14.25" customHeight="1"/>
    <row r="15556" ht="14.25" customHeight="1"/>
    <row r="15557" ht="14.25" customHeight="1"/>
    <row r="15558" ht="14.25" customHeight="1"/>
    <row r="15559" ht="14.25" customHeight="1"/>
    <row r="15560" ht="14.25" customHeight="1"/>
    <row r="15561" ht="14.25" customHeight="1"/>
    <row r="15562" ht="14.25" customHeight="1"/>
    <row r="15563" ht="14.25" customHeight="1"/>
    <row r="15564" ht="14.25" customHeight="1"/>
    <row r="15565" ht="14.25" customHeight="1"/>
    <row r="15566" ht="14.25" customHeight="1"/>
    <row r="15567" ht="14.25" customHeight="1"/>
    <row r="15568" ht="14.25" customHeight="1"/>
    <row r="15569" ht="14.25" customHeight="1"/>
    <row r="15570" ht="14.25" customHeight="1"/>
    <row r="15571" ht="14.25" customHeight="1"/>
    <row r="15572" ht="14.25" customHeight="1"/>
    <row r="15573" ht="14.25" customHeight="1"/>
    <row r="15574" ht="14.25" customHeight="1"/>
    <row r="15575" ht="14.25" customHeight="1"/>
    <row r="15576" ht="14.25" customHeight="1"/>
    <row r="15577" ht="14.25" customHeight="1"/>
    <row r="15578" ht="14.25" customHeight="1"/>
    <row r="15579" ht="14.25" customHeight="1"/>
    <row r="15580" ht="14.25" customHeight="1"/>
    <row r="15581" ht="14.25" customHeight="1"/>
    <row r="15582" ht="14.25" customHeight="1"/>
    <row r="15583" ht="14.25" customHeight="1"/>
    <row r="15584" ht="14.25" customHeight="1"/>
    <row r="15585" ht="14.25" customHeight="1"/>
    <row r="15586" ht="14.25" customHeight="1"/>
    <row r="15587" ht="14.25" customHeight="1"/>
    <row r="15588" ht="14.25" customHeight="1"/>
    <row r="15589" ht="14.25" customHeight="1"/>
    <row r="15590" ht="14.25" customHeight="1"/>
    <row r="15591" ht="14.25" customHeight="1"/>
    <row r="15592" ht="14.25" customHeight="1"/>
    <row r="15593" ht="14.25" customHeight="1"/>
    <row r="15594" ht="14.25" customHeight="1"/>
    <row r="15595" ht="14.25" customHeight="1"/>
    <row r="15596" ht="14.25" customHeight="1"/>
    <row r="15597" ht="14.25" customHeight="1"/>
    <row r="15598" ht="14.25" customHeight="1"/>
    <row r="15599" ht="14.25" customHeight="1"/>
    <row r="15600" ht="14.25" customHeight="1"/>
    <row r="15601" ht="14.25" customHeight="1"/>
    <row r="15602" ht="14.25" customHeight="1"/>
    <row r="15603" ht="14.25" customHeight="1"/>
    <row r="15604" ht="14.25" customHeight="1"/>
    <row r="15605" ht="14.25" customHeight="1"/>
    <row r="15606" ht="14.25" customHeight="1"/>
    <row r="15607" ht="14.25" customHeight="1"/>
    <row r="15608" ht="14.25" customHeight="1"/>
    <row r="15609" ht="14.25" customHeight="1"/>
    <row r="15610" ht="14.25" customHeight="1"/>
    <row r="15611" ht="14.25" customHeight="1"/>
    <row r="15612" ht="14.25" customHeight="1"/>
    <row r="15613" ht="14.25" customHeight="1"/>
    <row r="15614" ht="14.25" customHeight="1"/>
    <row r="15615" ht="14.25" customHeight="1"/>
    <row r="15616" ht="14.25" customHeight="1"/>
    <row r="15617" ht="14.25" customHeight="1"/>
    <row r="15618" ht="14.25" customHeight="1"/>
    <row r="15619" ht="14.25" customHeight="1"/>
    <row r="15620" ht="14.25" customHeight="1"/>
    <row r="15621" ht="14.25" customHeight="1"/>
    <row r="15622" ht="14.25" customHeight="1"/>
    <row r="15623" ht="14.25" customHeight="1"/>
    <row r="15624" ht="14.25" customHeight="1"/>
    <row r="15625" ht="14.25" customHeight="1"/>
    <row r="15626" ht="14.25" customHeight="1"/>
    <row r="15627" ht="14.25" customHeight="1"/>
    <row r="15628" ht="14.25" customHeight="1"/>
    <row r="15629" ht="14.25" customHeight="1"/>
    <row r="15630" ht="14.25" customHeight="1"/>
    <row r="15631" ht="14.25" customHeight="1"/>
    <row r="15632" ht="14.25" customHeight="1"/>
    <row r="15633" ht="14.25" customHeight="1"/>
    <row r="15634" ht="14.25" customHeight="1"/>
    <row r="15635" ht="14.25" customHeight="1"/>
    <row r="15636" ht="14.25" customHeight="1"/>
    <row r="15637" ht="14.25" customHeight="1"/>
    <row r="15638" ht="14.25" customHeight="1"/>
    <row r="15639" ht="14.25" customHeight="1"/>
    <row r="15640" ht="14.25" customHeight="1"/>
    <row r="15641" ht="14.25" customHeight="1"/>
    <row r="15642" ht="14.25" customHeight="1"/>
    <row r="15643" ht="14.25" customHeight="1"/>
    <row r="15644" ht="14.25" customHeight="1"/>
    <row r="15645" ht="14.25" customHeight="1"/>
    <row r="15646" ht="14.25" customHeight="1"/>
    <row r="15647" ht="14.25" customHeight="1"/>
    <row r="15648" ht="14.25" customHeight="1"/>
    <row r="15649" ht="14.25" customHeight="1"/>
    <row r="15650" ht="14.25" customHeight="1"/>
    <row r="15651" ht="14.25" customHeight="1"/>
    <row r="15652" ht="14.25" customHeight="1"/>
    <row r="15653" ht="14.25" customHeight="1"/>
    <row r="15654" ht="14.25" customHeight="1"/>
    <row r="15655" ht="14.25" customHeight="1"/>
    <row r="15656" ht="14.25" customHeight="1"/>
    <row r="15657" ht="14.25" customHeight="1"/>
    <row r="15658" ht="14.25" customHeight="1"/>
    <row r="15659" ht="14.25" customHeight="1"/>
    <row r="15660" ht="14.25" customHeight="1"/>
    <row r="15661" ht="14.25" customHeight="1"/>
    <row r="15662" ht="14.25" customHeight="1"/>
    <row r="15663" ht="14.25" customHeight="1"/>
    <row r="15664" ht="14.25" customHeight="1"/>
    <row r="15665" ht="14.25" customHeight="1"/>
    <row r="15666" ht="14.25" customHeight="1"/>
    <row r="15667" ht="14.25" customHeight="1"/>
    <row r="15668" ht="14.25" customHeight="1"/>
    <row r="15669" ht="14.25" customHeight="1"/>
    <row r="15670" ht="14.25" customHeight="1"/>
    <row r="15671" ht="14.25" customHeight="1"/>
    <row r="15672" ht="14.25" customHeight="1"/>
    <row r="15673" ht="14.25" customHeight="1"/>
    <row r="15674" ht="14.25" customHeight="1"/>
    <row r="15675" ht="14.25" customHeight="1"/>
    <row r="15676" ht="14.25" customHeight="1"/>
    <row r="15677" ht="14.25" customHeight="1"/>
    <row r="15678" ht="14.25" customHeight="1"/>
    <row r="15679" ht="14.25" customHeight="1"/>
    <row r="15680" ht="14.25" customHeight="1"/>
    <row r="15681" ht="14.25" customHeight="1"/>
    <row r="15682" ht="14.25" customHeight="1"/>
    <row r="15683" ht="14.25" customHeight="1"/>
    <row r="15684" ht="14.25" customHeight="1"/>
    <row r="15685" ht="14.25" customHeight="1"/>
    <row r="15686" ht="14.25" customHeight="1"/>
    <row r="15687" ht="14.25" customHeight="1"/>
    <row r="15688" ht="14.25" customHeight="1"/>
    <row r="15689" ht="14.25" customHeight="1"/>
    <row r="15690" ht="14.25" customHeight="1"/>
    <row r="15691" ht="14.25" customHeight="1"/>
    <row r="15692" ht="14.25" customHeight="1"/>
    <row r="15693" ht="14.25" customHeight="1"/>
    <row r="15694" ht="14.25" customHeight="1"/>
    <row r="15695" ht="14.25" customHeight="1"/>
    <row r="15696" ht="14.25" customHeight="1"/>
    <row r="15697" ht="14.25" customHeight="1"/>
    <row r="15698" ht="14.25" customHeight="1"/>
    <row r="15699" ht="14.25" customHeight="1"/>
    <row r="15700" ht="14.25" customHeight="1"/>
    <row r="15701" ht="14.25" customHeight="1"/>
    <row r="15702" ht="14.25" customHeight="1"/>
    <row r="15703" ht="14.25" customHeight="1"/>
    <row r="15704" ht="14.25" customHeight="1"/>
    <row r="15705" ht="14.25" customHeight="1"/>
    <row r="15706" ht="14.25" customHeight="1"/>
    <row r="15707" ht="14.25" customHeight="1"/>
    <row r="15708" ht="14.25" customHeight="1"/>
    <row r="15709" ht="14.25" customHeight="1"/>
    <row r="15710" ht="14.25" customHeight="1"/>
    <row r="15711" ht="14.25" customHeight="1"/>
    <row r="15712" ht="14.25" customHeight="1"/>
    <row r="15713" ht="14.25" customHeight="1"/>
    <row r="15714" ht="14.25" customHeight="1"/>
    <row r="15715" ht="14.25" customHeight="1"/>
    <row r="15716" ht="14.25" customHeight="1"/>
    <row r="15717" ht="14.25" customHeight="1"/>
    <row r="15718" ht="14.25" customHeight="1"/>
    <row r="15719" ht="14.25" customHeight="1"/>
    <row r="15720" ht="14.25" customHeight="1"/>
    <row r="15721" ht="14.25" customHeight="1"/>
    <row r="15722" ht="14.25" customHeight="1"/>
    <row r="15723" ht="14.25" customHeight="1"/>
    <row r="15724" ht="14.25" customHeight="1"/>
    <row r="15725" ht="14.25" customHeight="1"/>
    <row r="15726" ht="14.25" customHeight="1"/>
    <row r="15727" ht="14.25" customHeight="1"/>
    <row r="15728" ht="14.25" customHeight="1"/>
    <row r="15729" ht="14.25" customHeight="1"/>
    <row r="15730" ht="14.25" customHeight="1"/>
    <row r="15731" ht="14.25" customHeight="1"/>
    <row r="15732" ht="14.25" customHeight="1"/>
    <row r="15733" ht="14.25" customHeight="1"/>
    <row r="15734" ht="14.25" customHeight="1"/>
    <row r="15735" ht="14.25" customHeight="1"/>
    <row r="15736" ht="14.25" customHeight="1"/>
    <row r="15737" ht="14.25" customHeight="1"/>
    <row r="15738" ht="14.25" customHeight="1"/>
    <row r="15739" ht="14.25" customHeight="1"/>
    <row r="15740" ht="14.25" customHeight="1"/>
    <row r="15741" ht="14.25" customHeight="1"/>
    <row r="15742" ht="14.25" customHeight="1"/>
    <row r="15743" ht="14.25" customHeight="1"/>
    <row r="15744" ht="14.25" customHeight="1"/>
    <row r="15745" ht="14.25" customHeight="1"/>
    <row r="15746" ht="14.25" customHeight="1"/>
    <row r="15747" ht="14.25" customHeight="1"/>
    <row r="15748" ht="14.25" customHeight="1"/>
    <row r="15749" ht="14.25" customHeight="1"/>
    <row r="15750" ht="14.25" customHeight="1"/>
    <row r="15751" ht="14.25" customHeight="1"/>
    <row r="15752" ht="14.25" customHeight="1"/>
    <row r="15753" ht="14.25" customHeight="1"/>
    <row r="15754" ht="14.25" customHeight="1"/>
    <row r="15755" ht="14.25" customHeight="1"/>
    <row r="15756" ht="14.25" customHeight="1"/>
    <row r="15757" ht="14.25" customHeight="1"/>
    <row r="15758" ht="14.25" customHeight="1"/>
    <row r="15759" ht="14.25" customHeight="1"/>
    <row r="15760" ht="14.25" customHeight="1"/>
    <row r="15761" ht="14.25" customHeight="1"/>
    <row r="15762" ht="14.25" customHeight="1"/>
    <row r="15763" ht="14.25" customHeight="1"/>
    <row r="15764" ht="14.25" customHeight="1"/>
    <row r="15765" ht="14.25" customHeight="1"/>
    <row r="15766" ht="14.25" customHeight="1"/>
    <row r="15767" ht="14.25" customHeight="1"/>
    <row r="15768" ht="14.25" customHeight="1"/>
    <row r="15769" ht="14.25" customHeight="1"/>
    <row r="15770" ht="14.25" customHeight="1"/>
    <row r="15771" ht="14.25" customHeight="1"/>
    <row r="15772" ht="14.25" customHeight="1"/>
    <row r="15773" ht="14.25" customHeight="1"/>
    <row r="15774" ht="14.25" customHeight="1"/>
    <row r="15775" ht="14.25" customHeight="1"/>
    <row r="15776" ht="14.25" customHeight="1"/>
    <row r="15777" ht="14.25" customHeight="1"/>
    <row r="15778" ht="14.25" customHeight="1"/>
    <row r="15779" ht="14.25" customHeight="1"/>
    <row r="15780" ht="14.25" customHeight="1"/>
    <row r="15781" ht="14.25" customHeight="1"/>
    <row r="15782" ht="14.25" customHeight="1"/>
    <row r="15783" ht="14.25" customHeight="1"/>
    <row r="15784" ht="14.25" customHeight="1"/>
    <row r="15785" ht="14.25" customHeight="1"/>
    <row r="15786" ht="14.25" customHeight="1"/>
    <row r="15787" ht="14.25" customHeight="1"/>
    <row r="15788" ht="14.25" customHeight="1"/>
    <row r="15789" ht="14.25" customHeight="1"/>
    <row r="15790" ht="14.25" customHeight="1"/>
    <row r="15791" ht="14.25" customHeight="1"/>
    <row r="15792" ht="14.25" customHeight="1"/>
    <row r="15793" ht="14.25" customHeight="1"/>
    <row r="15794" ht="14.25" customHeight="1"/>
    <row r="15795" ht="14.25" customHeight="1"/>
    <row r="15796" ht="14.25" customHeight="1"/>
    <row r="15797" ht="14.25" customHeight="1"/>
    <row r="15798" ht="14.25" customHeight="1"/>
    <row r="15799" ht="14.25" customHeight="1"/>
    <row r="15800" ht="14.25" customHeight="1"/>
    <row r="15801" ht="14.25" customHeight="1"/>
    <row r="15802" ht="14.25" customHeight="1"/>
    <row r="15803" ht="14.25" customHeight="1"/>
    <row r="15804" ht="14.25" customHeight="1"/>
    <row r="15805" ht="14.25" customHeight="1"/>
    <row r="15806" ht="14.25" customHeight="1"/>
    <row r="15807" ht="14.25" customHeight="1"/>
    <row r="15808" ht="14.25" customHeight="1"/>
    <row r="15809" ht="14.25" customHeight="1"/>
    <row r="15810" ht="14.25" customHeight="1"/>
    <row r="15811" ht="14.25" customHeight="1"/>
    <row r="15812" ht="14.25" customHeight="1"/>
    <row r="15813" ht="14.25" customHeight="1"/>
    <row r="15814" ht="14.25" customHeight="1"/>
    <row r="15815" ht="14.25" customHeight="1"/>
    <row r="15816" ht="14.25" customHeight="1"/>
    <row r="15817" ht="14.25" customHeight="1"/>
    <row r="15818" ht="14.25" customHeight="1"/>
    <row r="15819" ht="14.25" customHeight="1"/>
    <row r="15820" ht="14.25" customHeight="1"/>
    <row r="15821" ht="14.25" customHeight="1"/>
    <row r="15822" ht="14.25" customHeight="1"/>
    <row r="15823" ht="14.25" customHeight="1"/>
    <row r="15824" ht="14.25" customHeight="1"/>
    <row r="15825" ht="14.25" customHeight="1"/>
    <row r="15826" ht="14.25" customHeight="1"/>
    <row r="15827" ht="14.25" customHeight="1"/>
    <row r="15828" ht="14.25" customHeight="1"/>
    <row r="15829" ht="14.25" customHeight="1"/>
    <row r="15830" ht="14.25" customHeight="1"/>
    <row r="15831" ht="14.25" customHeight="1"/>
    <row r="15832" ht="14.25" customHeight="1"/>
    <row r="15833" ht="14.25" customHeight="1"/>
    <row r="15834" ht="14.25" customHeight="1"/>
    <row r="15835" ht="14.25" customHeight="1"/>
    <row r="15836" ht="14.25" customHeight="1"/>
    <row r="15837" ht="14.25" customHeight="1"/>
    <row r="15838" ht="14.25" customHeight="1"/>
    <row r="15839" ht="14.25" customHeight="1"/>
    <row r="15840" ht="14.25" customHeight="1"/>
    <row r="15841" ht="14.25" customHeight="1"/>
    <row r="15842" ht="14.25" customHeight="1"/>
    <row r="15843" ht="14.25" customHeight="1"/>
    <row r="15844" ht="14.25" customHeight="1"/>
    <row r="15845" ht="14.25" customHeight="1"/>
    <row r="15846" ht="14.25" customHeight="1"/>
    <row r="15847" ht="14.25" customHeight="1"/>
    <row r="15848" ht="14.25" customHeight="1"/>
    <row r="15849" ht="14.25" customHeight="1"/>
    <row r="15850" ht="14.25" customHeight="1"/>
    <row r="15851" ht="14.25" customHeight="1"/>
    <row r="15852" ht="14.25" customHeight="1"/>
    <row r="15853" ht="14.25" customHeight="1"/>
    <row r="15854" ht="14.25" customHeight="1"/>
    <row r="15855" ht="14.25" customHeight="1"/>
    <row r="15856" ht="14.25" customHeight="1"/>
    <row r="15857" ht="14.25" customHeight="1"/>
    <row r="15858" ht="14.25" customHeight="1"/>
    <row r="15859" ht="14.25" customHeight="1"/>
    <row r="15860" ht="14.25" customHeight="1"/>
    <row r="15861" ht="14.25" customHeight="1"/>
    <row r="15862" ht="14.25" customHeight="1"/>
    <row r="15863" ht="14.25" customHeight="1"/>
    <row r="15864" ht="14.25" customHeight="1"/>
    <row r="15865" ht="14.25" customHeight="1"/>
    <row r="15866" ht="14.25" customHeight="1"/>
    <row r="15867" ht="14.25" customHeight="1"/>
    <row r="15868" ht="14.25" customHeight="1"/>
    <row r="15869" ht="14.25" customHeight="1"/>
    <row r="15870" ht="14.25" customHeight="1"/>
    <row r="15871" ht="14.25" customHeight="1"/>
    <row r="15872" ht="14.25" customHeight="1"/>
    <row r="15873" ht="14.25" customHeight="1"/>
    <row r="15874" ht="14.25" customHeight="1"/>
    <row r="15875" ht="14.25" customHeight="1"/>
    <row r="15876" ht="14.25" customHeight="1"/>
    <row r="15877" ht="14.25" customHeight="1"/>
    <row r="15878" ht="14.25" customHeight="1"/>
    <row r="15879" ht="14.25" customHeight="1"/>
    <row r="15880" ht="14.25" customHeight="1"/>
    <row r="15881" ht="14.25" customHeight="1"/>
    <row r="15882" ht="14.25" customHeight="1"/>
    <row r="15883" ht="14.25" customHeight="1"/>
    <row r="15884" ht="14.25" customHeight="1"/>
    <row r="15885" ht="14.25" customHeight="1"/>
    <row r="15886" ht="14.25" customHeight="1"/>
    <row r="15887" ht="14.25" customHeight="1"/>
    <row r="15888" ht="14.25" customHeight="1"/>
    <row r="15889" ht="14.25" customHeight="1"/>
    <row r="15890" ht="14.25" customHeight="1"/>
    <row r="15891" ht="14.25" customHeight="1"/>
    <row r="15892" ht="14.25" customHeight="1"/>
    <row r="15893" ht="14.25" customHeight="1"/>
    <row r="15894" ht="14.25" customHeight="1"/>
    <row r="15895" ht="14.25" customHeight="1"/>
    <row r="15896" ht="14.25" customHeight="1"/>
    <row r="15897" ht="14.25" customHeight="1"/>
    <row r="15898" ht="14.25" customHeight="1"/>
    <row r="15899" ht="14.25" customHeight="1"/>
    <row r="15900" ht="14.25" customHeight="1"/>
    <row r="15901" ht="14.25" customHeight="1"/>
    <row r="15902" ht="14.25" customHeight="1"/>
    <row r="15903" ht="14.25" customHeight="1"/>
    <row r="15904" ht="14.25" customHeight="1"/>
    <row r="15905" ht="14.25" customHeight="1"/>
    <row r="15906" ht="14.25" customHeight="1"/>
    <row r="15907" ht="14.25" customHeight="1"/>
    <row r="15908" ht="14.25" customHeight="1"/>
    <row r="15909" ht="14.25" customHeight="1"/>
    <row r="15910" ht="14.25" customHeight="1"/>
    <row r="15911" ht="14.25" customHeight="1"/>
    <row r="15912" ht="14.25" customHeight="1"/>
    <row r="15913" ht="14.25" customHeight="1"/>
    <row r="15914" ht="14.25" customHeight="1"/>
    <row r="15915" ht="14.25" customHeight="1"/>
    <row r="15916" ht="14.25" customHeight="1"/>
    <row r="15917" ht="14.25" customHeight="1"/>
    <row r="15918" ht="14.25" customHeight="1"/>
    <row r="15919" ht="14.25" customHeight="1"/>
    <row r="15920" ht="14.25" customHeight="1"/>
    <row r="15921" ht="14.25" customHeight="1"/>
    <row r="15922" ht="14.25" customHeight="1"/>
    <row r="15923" ht="14.25" customHeight="1"/>
    <row r="15924" ht="14.25" customHeight="1"/>
    <row r="15925" ht="14.25" customHeight="1"/>
    <row r="15926" ht="14.25" customHeight="1"/>
    <row r="15927" ht="14.25" customHeight="1"/>
    <row r="15928" ht="14.25" customHeight="1"/>
    <row r="15929" ht="14.25" customHeight="1"/>
    <row r="15930" ht="14.25" customHeight="1"/>
    <row r="15931" ht="14.25" customHeight="1"/>
    <row r="15932" ht="14.25" customHeight="1"/>
    <row r="15933" ht="14.25" customHeight="1"/>
    <row r="15934" ht="14.25" customHeight="1"/>
    <row r="15935" ht="14.25" customHeight="1"/>
    <row r="15936" ht="14.25" customHeight="1"/>
    <row r="15937" ht="14.25" customHeight="1"/>
    <row r="15938" ht="14.25" customHeight="1"/>
    <row r="15939" ht="14.25" customHeight="1"/>
    <row r="15940" ht="14.25" customHeight="1"/>
    <row r="15941" ht="14.25" customHeight="1"/>
    <row r="15942" ht="14.25" customHeight="1"/>
    <row r="15943" ht="14.25" customHeight="1"/>
    <row r="15944" ht="14.25" customHeight="1"/>
    <row r="15945" ht="14.25" customHeight="1"/>
    <row r="15946" ht="14.25" customHeight="1"/>
    <row r="15947" ht="14.25" customHeight="1"/>
    <row r="15948" ht="14.25" customHeight="1"/>
    <row r="15949" ht="14.25" customHeight="1"/>
    <row r="15950" ht="14.25" customHeight="1"/>
    <row r="15951" ht="14.25" customHeight="1"/>
    <row r="15952" ht="14.25" customHeight="1"/>
    <row r="15953" ht="14.25" customHeight="1"/>
    <row r="15954" ht="14.25" customHeight="1"/>
    <row r="15955" ht="14.25" customHeight="1"/>
    <row r="15956" ht="14.25" customHeight="1"/>
    <row r="15957" ht="14.25" customHeight="1"/>
    <row r="15958" ht="14.25" customHeight="1"/>
    <row r="15959" ht="14.25" customHeight="1"/>
    <row r="15960" ht="14.25" customHeight="1"/>
    <row r="15961" ht="14.25" customHeight="1"/>
    <row r="15962" ht="14.25" customHeight="1"/>
    <row r="15963" ht="14.25" customHeight="1"/>
    <row r="15964" ht="14.25" customHeight="1"/>
    <row r="15965" ht="14.25" customHeight="1"/>
    <row r="15966" ht="14.25" customHeight="1"/>
    <row r="15967" ht="14.25" customHeight="1"/>
    <row r="15968" ht="14.25" customHeight="1"/>
    <row r="15969" ht="14.25" customHeight="1"/>
    <row r="15970" ht="14.25" customHeight="1"/>
    <row r="15971" ht="14.25" customHeight="1"/>
    <row r="15972" ht="14.25" customHeight="1"/>
    <row r="15973" ht="14.25" customHeight="1"/>
    <row r="15974" ht="14.25" customHeight="1"/>
    <row r="15975" ht="14.25" customHeight="1"/>
    <row r="15976" ht="14.25" customHeight="1"/>
    <row r="15977" ht="14.25" customHeight="1"/>
    <row r="15978" ht="14.25" customHeight="1"/>
    <row r="15979" ht="14.25" customHeight="1"/>
    <row r="15980" ht="14.25" customHeight="1"/>
    <row r="15981" ht="14.25" customHeight="1"/>
    <row r="15982" ht="14.25" customHeight="1"/>
    <row r="15983" ht="14.25" customHeight="1"/>
    <row r="15984" ht="14.25" customHeight="1"/>
    <row r="15985" ht="14.25" customHeight="1"/>
    <row r="15986" ht="14.25" customHeight="1"/>
    <row r="15987" ht="14.25" customHeight="1"/>
    <row r="15988" ht="14.25" customHeight="1"/>
    <row r="15989" ht="14.25" customHeight="1"/>
    <row r="15990" ht="14.25" customHeight="1"/>
    <row r="15991" ht="14.25" customHeight="1"/>
    <row r="15992" ht="14.25" customHeight="1"/>
    <row r="15993" ht="14.25" customHeight="1"/>
    <row r="15994" ht="14.25" customHeight="1"/>
    <row r="15995" ht="14.25" customHeight="1"/>
    <row r="15996" ht="14.25" customHeight="1"/>
    <row r="15997" ht="14.25" customHeight="1"/>
    <row r="15998" ht="14.25" customHeight="1"/>
    <row r="15999" ht="14.25" customHeight="1"/>
    <row r="16000" ht="14.25" customHeight="1"/>
    <row r="16001" ht="14.25" customHeight="1"/>
    <row r="16002" ht="14.25" customHeight="1"/>
    <row r="16003" ht="14.25" customHeight="1"/>
    <row r="16004" ht="14.25" customHeight="1"/>
    <row r="16005" ht="14.25" customHeight="1"/>
    <row r="16006" ht="14.25" customHeight="1"/>
    <row r="16007" ht="14.25" customHeight="1"/>
    <row r="16008" ht="14.25" customHeight="1"/>
    <row r="16009" ht="14.25" customHeight="1"/>
    <row r="16010" ht="14.25" customHeight="1"/>
    <row r="16011" ht="14.25" customHeight="1"/>
    <row r="16012" ht="14.25" customHeight="1"/>
    <row r="16013" ht="14.25" customHeight="1"/>
    <row r="16014" ht="14.25" customHeight="1"/>
    <row r="16015" ht="14.25" customHeight="1"/>
    <row r="16016" ht="14.25" customHeight="1"/>
    <row r="16017" ht="14.25" customHeight="1"/>
    <row r="16018" ht="14.25" customHeight="1"/>
    <row r="16019" ht="14.25" customHeight="1"/>
    <row r="16020" ht="14.25" customHeight="1"/>
    <row r="16021" ht="14.25" customHeight="1"/>
    <row r="16022" ht="14.25" customHeight="1"/>
    <row r="16023" ht="14.25" customHeight="1"/>
    <row r="16024" ht="14.25" customHeight="1"/>
    <row r="16025" ht="14.25" customHeight="1"/>
    <row r="16026" ht="14.25" customHeight="1"/>
    <row r="16027" ht="14.25" customHeight="1"/>
    <row r="16028" ht="14.25" customHeight="1"/>
    <row r="16029" ht="14.25" customHeight="1"/>
    <row r="16030" ht="14.25" customHeight="1"/>
    <row r="16031" ht="14.25" customHeight="1"/>
    <row r="16032" ht="14.25" customHeight="1"/>
    <row r="16033" ht="14.25" customHeight="1"/>
    <row r="16034" ht="14.25" customHeight="1"/>
    <row r="16035" ht="14.25" customHeight="1"/>
    <row r="16036" ht="14.25" customHeight="1"/>
    <row r="16037" ht="14.25" customHeight="1"/>
    <row r="16038" ht="14.25" customHeight="1"/>
    <row r="16039" ht="14.25" customHeight="1"/>
    <row r="16040" ht="14.25" customHeight="1"/>
    <row r="16041" ht="14.25" customHeight="1"/>
    <row r="16042" ht="14.25" customHeight="1"/>
    <row r="16043" ht="14.25" customHeight="1"/>
    <row r="16044" ht="14.25" customHeight="1"/>
    <row r="16045" ht="14.25" customHeight="1"/>
    <row r="16046" ht="14.25" customHeight="1"/>
    <row r="16047" ht="14.25" customHeight="1"/>
    <row r="16048" ht="14.25" customHeight="1"/>
    <row r="16049" ht="14.25" customHeight="1"/>
    <row r="16050" ht="14.25" customHeight="1"/>
    <row r="16051" ht="14.25" customHeight="1"/>
    <row r="16052" ht="14.25" customHeight="1"/>
    <row r="16053" ht="14.25" customHeight="1"/>
    <row r="16054" ht="14.25" customHeight="1"/>
    <row r="16055" ht="14.25" customHeight="1"/>
    <row r="16056" ht="14.25" customHeight="1"/>
    <row r="16057" ht="14.25" customHeight="1"/>
    <row r="16058" ht="14.25" customHeight="1"/>
    <row r="16059" ht="14.25" customHeight="1"/>
    <row r="16060" ht="14.25" customHeight="1"/>
    <row r="16061" ht="14.25" customHeight="1"/>
    <row r="16062" ht="14.25" customHeight="1"/>
    <row r="16063" ht="14.25" customHeight="1"/>
    <row r="16064" ht="14.25" customHeight="1"/>
    <row r="16065" ht="14.25" customHeight="1"/>
    <row r="16066" ht="14.25" customHeight="1"/>
    <row r="16067" ht="14.25" customHeight="1"/>
    <row r="16068" ht="14.25" customHeight="1"/>
    <row r="16069" ht="14.25" customHeight="1"/>
    <row r="16070" ht="14.25" customHeight="1"/>
    <row r="16071" ht="14.25" customHeight="1"/>
    <row r="16072" ht="14.25" customHeight="1"/>
    <row r="16073" ht="14.25" customHeight="1"/>
    <row r="16074" ht="14.25" customHeight="1"/>
    <row r="16075" ht="14.25" customHeight="1"/>
    <row r="16076" ht="14.25" customHeight="1"/>
    <row r="16077" ht="14.25" customHeight="1"/>
    <row r="16078" ht="14.25" customHeight="1"/>
    <row r="16079" ht="14.25" customHeight="1"/>
    <row r="16080" ht="14.25" customHeight="1"/>
    <row r="16081" ht="14.25" customHeight="1"/>
    <row r="16082" ht="14.25" customHeight="1"/>
    <row r="16083" ht="14.25" customHeight="1"/>
    <row r="16084" ht="14.25" customHeight="1"/>
    <row r="16085" ht="14.25" customHeight="1"/>
    <row r="16086" ht="14.25" customHeight="1"/>
    <row r="16087" ht="14.25" customHeight="1"/>
    <row r="16088" ht="14.25" customHeight="1"/>
    <row r="16089" ht="14.25" customHeight="1"/>
    <row r="16090" ht="14.25" customHeight="1"/>
    <row r="16091" ht="14.25" customHeight="1"/>
    <row r="16092" ht="14.25" customHeight="1"/>
    <row r="16093" ht="14.25" customHeight="1"/>
    <row r="16094" ht="14.25" customHeight="1"/>
    <row r="16095" ht="14.25" customHeight="1"/>
    <row r="16096" ht="14.25" customHeight="1"/>
    <row r="16097" ht="14.25" customHeight="1"/>
    <row r="16098" ht="14.25" customHeight="1"/>
    <row r="16099" ht="14.25" customHeight="1"/>
    <row r="16100" ht="14.25" customHeight="1"/>
    <row r="16101" ht="14.25" customHeight="1"/>
    <row r="16102" ht="14.25" customHeight="1"/>
    <row r="16103" ht="14.25" customHeight="1"/>
    <row r="16104" ht="14.25" customHeight="1"/>
    <row r="16105" ht="14.25" customHeight="1"/>
    <row r="16106" ht="14.25" customHeight="1"/>
    <row r="16107" ht="14.25" customHeight="1"/>
    <row r="16108" ht="14.25" customHeight="1"/>
    <row r="16109" ht="14.25" customHeight="1"/>
    <row r="16110" ht="14.25" customHeight="1"/>
    <row r="16111" ht="14.25" customHeight="1"/>
    <row r="16112" ht="14.25" customHeight="1"/>
    <row r="16113" ht="14.25" customHeight="1"/>
    <row r="16114" ht="14.25" customHeight="1"/>
    <row r="16115" ht="14.25" customHeight="1"/>
    <row r="16116" ht="14.25" customHeight="1"/>
    <row r="16117" ht="14.25" customHeight="1"/>
    <row r="16118" ht="14.25" customHeight="1"/>
    <row r="16119" ht="14.25" customHeight="1"/>
    <row r="16120" ht="14.25" customHeight="1"/>
    <row r="16121" ht="14.25" customHeight="1"/>
    <row r="16122" ht="14.25" customHeight="1"/>
    <row r="16123" ht="14.25" customHeight="1"/>
    <row r="16124" ht="14.25" customHeight="1"/>
    <row r="16125" ht="14.25" customHeight="1"/>
    <row r="16126" ht="14.25" customHeight="1"/>
    <row r="16127" ht="14.25" customHeight="1"/>
    <row r="16128" ht="14.25" customHeight="1"/>
    <row r="16129" ht="14.25" customHeight="1"/>
    <row r="16130" ht="14.25" customHeight="1"/>
    <row r="16131" ht="14.25" customHeight="1"/>
    <row r="16132" ht="14.25" customHeight="1"/>
    <row r="16133" ht="14.25" customHeight="1"/>
    <row r="16134" ht="14.25" customHeight="1"/>
    <row r="16135" ht="14.25" customHeight="1"/>
    <row r="16136" ht="14.25" customHeight="1"/>
    <row r="16137" ht="14.25" customHeight="1"/>
    <row r="16138" ht="14.25" customHeight="1"/>
    <row r="16139" ht="14.25" customHeight="1"/>
    <row r="16140" ht="14.25" customHeight="1"/>
    <row r="16141" ht="14.25" customHeight="1"/>
    <row r="16142" ht="14.25" customHeight="1"/>
    <row r="16143" ht="14.25" customHeight="1"/>
    <row r="16144" ht="14.25" customHeight="1"/>
    <row r="16145" ht="14.25" customHeight="1"/>
    <row r="16146" ht="14.25" customHeight="1"/>
    <row r="16147" ht="14.25" customHeight="1"/>
    <row r="16148" ht="14.25" customHeight="1"/>
    <row r="16149" ht="14.25" customHeight="1"/>
    <row r="16150" ht="14.25" customHeight="1"/>
    <row r="16151" ht="14.25" customHeight="1"/>
    <row r="16152" ht="14.25" customHeight="1"/>
    <row r="16153" ht="14.25" customHeight="1"/>
    <row r="16154" ht="14.25" customHeight="1"/>
    <row r="16155" ht="14.25" customHeight="1"/>
    <row r="16156" ht="14.25" customHeight="1"/>
    <row r="16157" ht="14.25" customHeight="1"/>
    <row r="16158" ht="14.25" customHeight="1"/>
    <row r="16159" ht="14.25" customHeight="1"/>
    <row r="16160" ht="14.25" customHeight="1"/>
    <row r="16161" ht="14.25" customHeight="1"/>
    <row r="16162" ht="14.25" customHeight="1"/>
    <row r="16163" ht="14.25" customHeight="1"/>
    <row r="16164" ht="14.25" customHeight="1"/>
    <row r="16165" ht="14.25" customHeight="1"/>
    <row r="16166" ht="14.25" customHeight="1"/>
    <row r="16167" ht="14.25" customHeight="1"/>
    <row r="16168" ht="14.25" customHeight="1"/>
    <row r="16169" ht="14.25" customHeight="1"/>
    <row r="16170" ht="14.25" customHeight="1"/>
    <row r="16171" ht="14.25" customHeight="1"/>
    <row r="16172" ht="14.25" customHeight="1"/>
    <row r="16173" ht="14.25" customHeight="1"/>
    <row r="16174" ht="14.25" customHeight="1"/>
    <row r="16175" ht="14.25" customHeight="1"/>
    <row r="16176" ht="14.25" customHeight="1"/>
    <row r="16177" ht="14.25" customHeight="1"/>
    <row r="16178" ht="14.25" customHeight="1"/>
    <row r="16179" ht="14.25" customHeight="1"/>
    <row r="16180" ht="14.25" customHeight="1"/>
    <row r="16181" ht="14.25" customHeight="1"/>
    <row r="16182" ht="14.25" customHeight="1"/>
    <row r="16183" ht="14.25" customHeight="1"/>
    <row r="16184" ht="14.25" customHeight="1"/>
    <row r="16185" ht="14.25" customHeight="1"/>
    <row r="16186" ht="14.25" customHeight="1"/>
    <row r="16187" ht="14.25" customHeight="1"/>
    <row r="16188" ht="14.25" customHeight="1"/>
    <row r="16189" ht="14.25" customHeight="1"/>
    <row r="16190" ht="14.25" customHeight="1"/>
    <row r="16191" ht="14.25" customHeight="1"/>
    <row r="16192" ht="14.25" customHeight="1"/>
    <row r="16193" ht="14.25" customHeight="1"/>
    <row r="16194" ht="14.25" customHeight="1"/>
    <row r="16195" ht="14.25" customHeight="1"/>
    <row r="16196" ht="14.25" customHeight="1"/>
    <row r="16197" ht="14.25" customHeight="1"/>
    <row r="16198" ht="14.25" customHeight="1"/>
    <row r="16199" ht="14.25" customHeight="1"/>
    <row r="16200" ht="14.25" customHeight="1"/>
    <row r="16201" ht="14.25" customHeight="1"/>
    <row r="16202" ht="14.25" customHeight="1"/>
    <row r="16203" ht="14.25" customHeight="1"/>
    <row r="16204" ht="14.25" customHeight="1"/>
    <row r="16205" ht="14.25" customHeight="1"/>
    <row r="16206" ht="14.25" customHeight="1"/>
    <row r="16207" ht="14.25" customHeight="1"/>
    <row r="16208" ht="14.25" customHeight="1"/>
    <row r="16209" ht="14.25" customHeight="1"/>
    <row r="16210" ht="14.25" customHeight="1"/>
    <row r="16211" ht="14.25" customHeight="1"/>
    <row r="16212" ht="14.25" customHeight="1"/>
    <row r="16213" ht="14.25" customHeight="1"/>
    <row r="16214" ht="14.25" customHeight="1"/>
    <row r="16215" ht="14.25" customHeight="1"/>
    <row r="16216" ht="14.25" customHeight="1"/>
    <row r="16217" ht="14.25" customHeight="1"/>
    <row r="16218" ht="14.25" customHeight="1"/>
    <row r="16219" ht="14.25" customHeight="1"/>
    <row r="16220" ht="14.25" customHeight="1"/>
    <row r="16221" ht="14.25" customHeight="1"/>
    <row r="16222" ht="14.25" customHeight="1"/>
    <row r="16223" ht="14.25" customHeight="1"/>
    <row r="16224" ht="14.25" customHeight="1"/>
    <row r="16225" ht="14.25" customHeight="1"/>
    <row r="16226" ht="14.25" customHeight="1"/>
    <row r="16227" ht="14.25" customHeight="1"/>
    <row r="16228" ht="14.25" customHeight="1"/>
    <row r="16229" ht="14.25" customHeight="1"/>
    <row r="16230" ht="14.25" customHeight="1"/>
    <row r="16231" ht="14.25" customHeight="1"/>
    <row r="16232" ht="14.25" customHeight="1"/>
    <row r="16233" ht="14.25" customHeight="1"/>
    <row r="16234" ht="14.25" customHeight="1"/>
    <row r="16235" ht="14.25" customHeight="1"/>
    <row r="16236" ht="14.25" customHeight="1"/>
    <row r="16237" ht="14.25" customHeight="1"/>
    <row r="16238" ht="14.25" customHeight="1"/>
    <row r="16239" ht="14.25" customHeight="1"/>
    <row r="16240" ht="14.25" customHeight="1"/>
    <row r="16241" ht="14.25" customHeight="1"/>
    <row r="16242" ht="14.25" customHeight="1"/>
    <row r="16243" ht="14.25" customHeight="1"/>
    <row r="16244" ht="14.25" customHeight="1"/>
    <row r="16245" ht="14.25" customHeight="1"/>
    <row r="16246" ht="14.25" customHeight="1"/>
    <row r="16247" ht="14.25" customHeight="1"/>
    <row r="16248" ht="14.25" customHeight="1"/>
    <row r="16249" ht="14.25" customHeight="1"/>
    <row r="16250" ht="14.25" customHeight="1"/>
    <row r="16251" ht="14.25" customHeight="1"/>
    <row r="16252" ht="14.25" customHeight="1"/>
    <row r="16253" ht="14.25" customHeight="1"/>
    <row r="16254" ht="14.25" customHeight="1"/>
    <row r="16255" ht="14.25" customHeight="1"/>
    <row r="16256" ht="14.25" customHeight="1"/>
    <row r="16257" ht="14.25" customHeight="1"/>
    <row r="16258" ht="14.25" customHeight="1"/>
    <row r="16259" ht="14.25" customHeight="1"/>
    <row r="16260" ht="14.25" customHeight="1"/>
    <row r="16261" ht="14.25" customHeight="1"/>
    <row r="16262" ht="14.25" customHeight="1"/>
    <row r="16263" ht="14.25" customHeight="1"/>
    <row r="16264" ht="14.25" customHeight="1"/>
    <row r="16265" ht="14.25" customHeight="1"/>
    <row r="16266" ht="14.25" customHeight="1"/>
    <row r="16267" ht="14.25" customHeight="1"/>
    <row r="16268" ht="14.25" customHeight="1"/>
    <row r="16269" ht="14.25" customHeight="1"/>
    <row r="16270" ht="14.25" customHeight="1"/>
    <row r="16271" ht="14.25" customHeight="1"/>
    <row r="16272" ht="14.25" customHeight="1"/>
    <row r="16273" ht="14.25" customHeight="1"/>
    <row r="16274" ht="14.25" customHeight="1"/>
    <row r="16275" ht="14.25" customHeight="1"/>
    <row r="16276" ht="14.25" customHeight="1"/>
    <row r="16277" ht="14.25" customHeight="1"/>
    <row r="16278" ht="14.25" customHeight="1"/>
    <row r="16279" ht="14.25" customHeight="1"/>
    <row r="16280" ht="14.25" customHeight="1"/>
    <row r="16281" ht="14.25" customHeight="1"/>
    <row r="16282" ht="14.25" customHeight="1"/>
    <row r="16283" ht="14.25" customHeight="1"/>
    <row r="16284" ht="14.25" customHeight="1"/>
    <row r="16285" ht="14.25" customHeight="1"/>
    <row r="16286" ht="14.25" customHeight="1"/>
    <row r="16287" ht="14.25" customHeight="1"/>
    <row r="16288" ht="14.25" customHeight="1"/>
    <row r="16289" ht="14.25" customHeight="1"/>
    <row r="16290" ht="14.25" customHeight="1"/>
    <row r="16291" ht="14.25" customHeight="1"/>
    <row r="16292" ht="14.25" customHeight="1"/>
    <row r="16293" ht="14.25" customHeight="1"/>
    <row r="16294" ht="14.25" customHeight="1"/>
    <row r="16295" ht="14.25" customHeight="1"/>
    <row r="16296" ht="14.25" customHeight="1"/>
    <row r="16297" ht="14.25" customHeight="1"/>
    <row r="16298" ht="14.25" customHeight="1"/>
    <row r="16299" ht="14.25" customHeight="1"/>
    <row r="16300" ht="14.25" customHeight="1"/>
    <row r="16301" ht="14.25" customHeight="1"/>
    <row r="16302" ht="14.25" customHeight="1"/>
    <row r="16303" ht="14.25" customHeight="1"/>
    <row r="16304" ht="14.25" customHeight="1"/>
    <row r="16305" ht="14.25" customHeight="1"/>
    <row r="16306" ht="14.25" customHeight="1"/>
    <row r="16307" ht="14.25" customHeight="1"/>
    <row r="16308" ht="14.25" customHeight="1"/>
    <row r="16309" ht="14.25" customHeight="1"/>
    <row r="16310" ht="14.25" customHeight="1"/>
    <row r="16311" ht="14.25" customHeight="1"/>
    <row r="16312" ht="14.25" customHeight="1"/>
    <row r="16313" ht="14.25" customHeight="1"/>
    <row r="16314" ht="14.25" customHeight="1"/>
    <row r="16315" ht="14.25" customHeight="1"/>
    <row r="16316" ht="14.25" customHeight="1"/>
    <row r="16317" ht="14.25" customHeight="1"/>
    <row r="16318" ht="14.25" customHeight="1"/>
    <row r="16319" ht="14.25" customHeight="1"/>
    <row r="16320" ht="14.25" customHeight="1"/>
    <row r="16321" ht="14.25" customHeight="1"/>
    <row r="16322" ht="14.25" customHeight="1"/>
    <row r="16323" ht="14.25" customHeight="1"/>
    <row r="16324" ht="14.25" customHeight="1"/>
    <row r="16325" ht="14.25" customHeight="1"/>
    <row r="16326" ht="14.25" customHeight="1"/>
    <row r="16327" ht="14.25" customHeight="1"/>
    <row r="16328" ht="14.25" customHeight="1"/>
    <row r="16329" ht="14.25" customHeight="1"/>
    <row r="16330" ht="14.25" customHeight="1"/>
    <row r="16331" ht="14.25" customHeight="1"/>
    <row r="16332" ht="14.25" customHeight="1"/>
    <row r="16333" ht="14.25" customHeight="1"/>
    <row r="16334" ht="14.25" customHeight="1"/>
    <row r="16335" ht="14.25" customHeight="1"/>
    <row r="16336" ht="14.25" customHeight="1"/>
    <row r="16337" ht="14.25" customHeight="1"/>
    <row r="16338" ht="14.25" customHeight="1"/>
    <row r="16339" ht="14.25" customHeight="1"/>
    <row r="16340" ht="14.25" customHeight="1"/>
    <row r="16341" ht="14.25" customHeight="1"/>
    <row r="16342" ht="14.25" customHeight="1"/>
    <row r="16343" ht="14.25" customHeight="1"/>
    <row r="16344" ht="14.25" customHeight="1"/>
    <row r="16345" ht="14.25" customHeight="1"/>
    <row r="16346" ht="14.25" customHeight="1"/>
    <row r="16347" ht="14.25" customHeight="1"/>
    <row r="16348" ht="14.25" customHeight="1"/>
    <row r="16349" ht="14.25" customHeight="1"/>
    <row r="16350" ht="14.25" customHeight="1"/>
    <row r="16351" ht="14.25" customHeight="1"/>
    <row r="16352" ht="14.25" customHeight="1"/>
    <row r="16353" ht="14.25" customHeight="1"/>
    <row r="16354" ht="14.25" customHeight="1"/>
    <row r="16355" ht="14.25" customHeight="1"/>
    <row r="16356" ht="14.25" customHeight="1"/>
    <row r="16357" ht="14.25" customHeight="1"/>
    <row r="16358" ht="14.25" customHeight="1"/>
    <row r="16359" ht="14.25" customHeight="1"/>
    <row r="16360" ht="14.25" customHeight="1"/>
    <row r="16361" ht="14.25" customHeight="1"/>
    <row r="16362" ht="14.25" customHeight="1"/>
    <row r="16363" ht="14.25" customHeight="1"/>
    <row r="16364" ht="14.25" customHeight="1"/>
    <row r="16365" ht="14.25" customHeight="1"/>
    <row r="16366" ht="14.25" customHeight="1"/>
    <row r="16367" ht="14.25" customHeight="1"/>
    <row r="16368" ht="14.25" customHeight="1"/>
    <row r="16369" ht="14.25" customHeight="1"/>
    <row r="16370" ht="14.25" customHeight="1"/>
    <row r="16371" ht="14.25" customHeight="1"/>
    <row r="16372" ht="14.25" customHeight="1"/>
    <row r="16373" ht="14.25" customHeight="1"/>
    <row r="16374" ht="14.25" customHeight="1"/>
    <row r="16375" ht="14.25" customHeight="1"/>
    <row r="16376" ht="14.25" customHeight="1"/>
    <row r="16377" ht="14.25" customHeight="1"/>
    <row r="16378" ht="14.25" customHeight="1"/>
    <row r="16379" ht="14.25" customHeight="1"/>
    <row r="16380" ht="14.25" customHeight="1"/>
    <row r="16381" ht="14.25" customHeight="1"/>
    <row r="16382" ht="14.25" customHeight="1"/>
    <row r="16383" ht="14.25" customHeight="1"/>
    <row r="16384" ht="14.25" customHeight="1"/>
    <row r="16385" ht="14.25" customHeight="1"/>
    <row r="16386" ht="14.25" customHeight="1"/>
    <row r="16387" ht="14.25" customHeight="1"/>
    <row r="16388" ht="14.25" customHeight="1"/>
    <row r="16389" ht="14.25" customHeight="1"/>
    <row r="16390" ht="14.25" customHeight="1"/>
    <row r="16391" ht="14.25" customHeight="1"/>
    <row r="16392" ht="14.25" customHeight="1"/>
    <row r="16393" ht="14.25" customHeight="1"/>
    <row r="16394" ht="14.25" customHeight="1"/>
    <row r="16395" ht="14.25" customHeight="1"/>
    <row r="16396" ht="14.25" customHeight="1"/>
    <row r="16397" ht="14.25" customHeight="1"/>
    <row r="16398" ht="14.25" customHeight="1"/>
    <row r="16399" ht="14.25" customHeight="1"/>
    <row r="16400" ht="14.25" customHeight="1"/>
    <row r="16401" ht="14.25" customHeight="1"/>
    <row r="16402" ht="14.25" customHeight="1"/>
    <row r="16403" ht="14.25" customHeight="1"/>
    <row r="16404" ht="14.25" customHeight="1"/>
    <row r="16405" ht="14.25" customHeight="1"/>
    <row r="16406" ht="14.25" customHeight="1"/>
    <row r="16407" ht="14.25" customHeight="1"/>
    <row r="16408" ht="14.25" customHeight="1"/>
    <row r="16409" ht="14.25" customHeight="1"/>
    <row r="16410" ht="14.25" customHeight="1"/>
    <row r="16411" ht="14.25" customHeight="1"/>
    <row r="16412" ht="14.25" customHeight="1"/>
    <row r="16413" ht="14.25" customHeight="1"/>
    <row r="16414" ht="14.25" customHeight="1"/>
    <row r="16415" ht="14.25" customHeight="1"/>
    <row r="16416" ht="14.25" customHeight="1"/>
    <row r="16417" ht="14.25" customHeight="1"/>
    <row r="16418" ht="14.25" customHeight="1"/>
    <row r="16419" ht="14.25" customHeight="1"/>
    <row r="16420" ht="14.25" customHeight="1"/>
    <row r="16421" ht="14.25" customHeight="1"/>
    <row r="16422" ht="14.25" customHeight="1"/>
    <row r="16423" ht="14.25" customHeight="1"/>
    <row r="16424" ht="14.25" customHeight="1"/>
    <row r="16425" ht="14.25" customHeight="1"/>
    <row r="16426" ht="14.25" customHeight="1"/>
    <row r="16427" ht="14.25" customHeight="1"/>
    <row r="16428" ht="14.25" customHeight="1"/>
    <row r="16429" ht="14.25" customHeight="1"/>
    <row r="16430" ht="14.25" customHeight="1"/>
    <row r="16431" ht="14.25" customHeight="1"/>
    <row r="16432" ht="14.25" customHeight="1"/>
    <row r="16433" ht="14.25" customHeight="1"/>
    <row r="16434" ht="14.25" customHeight="1"/>
    <row r="16435" ht="14.25" customHeight="1"/>
    <row r="16436" ht="14.25" customHeight="1"/>
    <row r="16437" ht="14.25" customHeight="1"/>
    <row r="16438" ht="14.25" customHeight="1"/>
    <row r="16439" ht="14.25" customHeight="1"/>
    <row r="16440" ht="14.25" customHeight="1"/>
    <row r="16441" ht="14.25" customHeight="1"/>
    <row r="16442" ht="14.25" customHeight="1"/>
    <row r="16443" ht="14.25" customHeight="1"/>
    <row r="16444" ht="14.25" customHeight="1"/>
    <row r="16445" ht="14.25" customHeight="1"/>
    <row r="16446" ht="14.25" customHeight="1"/>
    <row r="16447" ht="14.25" customHeight="1"/>
    <row r="16448" ht="14.25" customHeight="1"/>
    <row r="16449" ht="14.25" customHeight="1"/>
    <row r="16450" ht="14.25" customHeight="1"/>
    <row r="16451" ht="14.25" customHeight="1"/>
    <row r="16452" ht="14.25" customHeight="1"/>
    <row r="16453" ht="14.25" customHeight="1"/>
    <row r="16454" ht="14.25" customHeight="1"/>
    <row r="16455" ht="14.25" customHeight="1"/>
    <row r="16456" ht="14.25" customHeight="1"/>
    <row r="16457" ht="14.25" customHeight="1"/>
    <row r="16458" ht="14.25" customHeight="1"/>
    <row r="16459" ht="14.25" customHeight="1"/>
    <row r="16460" ht="14.25" customHeight="1"/>
    <row r="16461" ht="14.25" customHeight="1"/>
    <row r="16462" ht="14.25" customHeight="1"/>
    <row r="16463" ht="14.25" customHeight="1"/>
    <row r="16464" ht="14.25" customHeight="1"/>
    <row r="16465" ht="14.25" customHeight="1"/>
    <row r="16466" ht="14.25" customHeight="1"/>
    <row r="16467" ht="14.25" customHeight="1"/>
    <row r="16468" ht="14.25" customHeight="1"/>
    <row r="16469" ht="14.25" customHeight="1"/>
    <row r="16470" ht="14.25" customHeight="1"/>
    <row r="16471" ht="14.25" customHeight="1"/>
    <row r="16472" ht="14.25" customHeight="1"/>
    <row r="16473" ht="14.25" customHeight="1"/>
    <row r="16474" ht="14.25" customHeight="1"/>
    <row r="16475" ht="14.25" customHeight="1"/>
    <row r="16476" ht="14.25" customHeight="1"/>
    <row r="16477" ht="14.25" customHeight="1"/>
    <row r="16478" ht="14.25" customHeight="1"/>
    <row r="16479" ht="14.25" customHeight="1"/>
    <row r="16480" ht="14.25" customHeight="1"/>
    <row r="16481" ht="14.25" customHeight="1"/>
    <row r="16482" ht="14.25" customHeight="1"/>
    <row r="16483" ht="14.25" customHeight="1"/>
    <row r="16484" ht="14.25" customHeight="1"/>
    <row r="16485" ht="14.25" customHeight="1"/>
    <row r="16486" ht="14.25" customHeight="1"/>
    <row r="16487" ht="14.25" customHeight="1"/>
    <row r="16488" ht="14.25" customHeight="1"/>
    <row r="16489" ht="14.25" customHeight="1"/>
    <row r="16490" ht="14.25" customHeight="1"/>
    <row r="16491" ht="14.25" customHeight="1"/>
    <row r="16492" ht="14.25" customHeight="1"/>
    <row r="16493" ht="14.25" customHeight="1"/>
    <row r="16494" ht="14.25" customHeight="1"/>
    <row r="16495" ht="14.25" customHeight="1"/>
    <row r="16496" ht="14.25" customHeight="1"/>
    <row r="16497" ht="14.25" customHeight="1"/>
    <row r="16498" ht="14.25" customHeight="1"/>
    <row r="16499" ht="14.25" customHeight="1"/>
    <row r="16500" ht="14.25" customHeight="1"/>
    <row r="16501" ht="14.25" customHeight="1"/>
    <row r="16502" ht="14.25" customHeight="1"/>
    <row r="16503" ht="14.25" customHeight="1"/>
    <row r="16504" ht="14.25" customHeight="1"/>
    <row r="16505" ht="14.25" customHeight="1"/>
    <row r="16506" ht="14.25" customHeight="1"/>
    <row r="16507" ht="14.25" customHeight="1"/>
    <row r="16508" ht="14.25" customHeight="1"/>
    <row r="16509" ht="14.25" customHeight="1"/>
    <row r="16510" ht="14.25" customHeight="1"/>
    <row r="16511" ht="14.25" customHeight="1"/>
    <row r="16512" ht="14.25" customHeight="1"/>
    <row r="16513" ht="14.25" customHeight="1"/>
    <row r="16514" ht="14.25" customHeight="1"/>
    <row r="16515" ht="14.25" customHeight="1"/>
    <row r="16516" ht="14.25" customHeight="1"/>
    <row r="16517" ht="14.25" customHeight="1"/>
    <row r="16518" ht="14.25" customHeight="1"/>
    <row r="16519" ht="14.25" customHeight="1"/>
    <row r="16520" ht="14.25" customHeight="1"/>
    <row r="16521" ht="14.25" customHeight="1"/>
    <row r="16522" ht="14.25" customHeight="1"/>
    <row r="16523" ht="14.25" customHeight="1"/>
    <row r="16524" ht="14.25" customHeight="1"/>
    <row r="16525" ht="14.25" customHeight="1"/>
    <row r="16526" ht="14.25" customHeight="1"/>
    <row r="16527" ht="14.25" customHeight="1"/>
    <row r="16528" ht="14.25" customHeight="1"/>
    <row r="16529" ht="14.25" customHeight="1"/>
    <row r="16530" ht="14.25" customHeight="1"/>
    <row r="16531" ht="14.25" customHeight="1"/>
    <row r="16532" ht="14.25" customHeight="1"/>
    <row r="16533" ht="14.25" customHeight="1"/>
    <row r="16534" ht="14.25" customHeight="1"/>
    <row r="16535" ht="14.25" customHeight="1"/>
    <row r="16536" ht="14.25" customHeight="1"/>
    <row r="16537" ht="14.25" customHeight="1"/>
    <row r="16538" ht="14.25" customHeight="1"/>
    <row r="16539" ht="14.25" customHeight="1"/>
    <row r="16540" ht="14.25" customHeight="1"/>
    <row r="16541" ht="14.25" customHeight="1"/>
    <row r="16542" ht="14.25" customHeight="1"/>
    <row r="16543" ht="14.25" customHeight="1"/>
    <row r="16544" ht="14.25" customHeight="1"/>
    <row r="16545" ht="14.25" customHeight="1"/>
    <row r="16546" ht="14.25" customHeight="1"/>
    <row r="16547" ht="14.25" customHeight="1"/>
    <row r="16548" ht="14.25" customHeight="1"/>
    <row r="16549" ht="14.25" customHeight="1"/>
    <row r="16550" ht="14.25" customHeight="1"/>
    <row r="16551" ht="14.25" customHeight="1"/>
    <row r="16552" ht="14.25" customHeight="1"/>
    <row r="16553" ht="14.25" customHeight="1"/>
    <row r="16554" ht="14.25" customHeight="1"/>
    <row r="16555" ht="14.25" customHeight="1"/>
    <row r="16556" ht="14.25" customHeight="1"/>
    <row r="16557" ht="14.25" customHeight="1"/>
    <row r="16558" ht="14.25" customHeight="1"/>
    <row r="16559" ht="14.25" customHeight="1"/>
    <row r="16560" ht="14.25" customHeight="1"/>
    <row r="16561" ht="14.25" customHeight="1"/>
    <row r="16562" ht="14.25" customHeight="1"/>
    <row r="16563" ht="14.25" customHeight="1"/>
    <row r="16564" ht="14.25" customHeight="1"/>
    <row r="16565" ht="14.25" customHeight="1"/>
    <row r="16566" ht="14.25" customHeight="1"/>
    <row r="16567" ht="14.25" customHeight="1"/>
    <row r="16568" ht="14.25" customHeight="1"/>
    <row r="16569" ht="14.25" customHeight="1"/>
    <row r="16570" ht="14.25" customHeight="1"/>
    <row r="16571" ht="14.25" customHeight="1"/>
    <row r="16572" ht="14.25" customHeight="1"/>
    <row r="16573" ht="14.25" customHeight="1"/>
    <row r="16574" ht="14.25" customHeight="1"/>
    <row r="16575" ht="14.25" customHeight="1"/>
    <row r="16576" ht="14.25" customHeight="1"/>
    <row r="16577" ht="14.25" customHeight="1"/>
    <row r="16578" ht="14.25" customHeight="1"/>
    <row r="16579" ht="14.25" customHeight="1"/>
    <row r="16580" ht="14.25" customHeight="1"/>
    <row r="16581" ht="14.25" customHeight="1"/>
    <row r="16582" ht="14.25" customHeight="1"/>
    <row r="16583" ht="14.25" customHeight="1"/>
    <row r="16584" ht="14.25" customHeight="1"/>
    <row r="16585" ht="14.25" customHeight="1"/>
    <row r="16586" ht="14.25" customHeight="1"/>
    <row r="16587" ht="14.25" customHeight="1"/>
    <row r="16588" ht="14.25" customHeight="1"/>
    <row r="16589" ht="14.25" customHeight="1"/>
    <row r="16590" ht="14.25" customHeight="1"/>
    <row r="16591" ht="14.25" customHeight="1"/>
    <row r="16592" ht="14.25" customHeight="1"/>
    <row r="16593" ht="14.25" customHeight="1"/>
    <row r="16594" ht="14.25" customHeight="1"/>
    <row r="16595" ht="14.25" customHeight="1"/>
    <row r="16596" ht="14.25" customHeight="1"/>
    <row r="16597" ht="14.25" customHeight="1"/>
    <row r="16598" ht="14.25" customHeight="1"/>
    <row r="16599" ht="14.25" customHeight="1"/>
    <row r="16600" ht="14.25" customHeight="1"/>
    <row r="16601" ht="14.25" customHeight="1"/>
    <row r="16602" ht="14.25" customHeight="1"/>
    <row r="16603" ht="14.25" customHeight="1"/>
    <row r="16604" ht="14.25" customHeight="1"/>
    <row r="16605" ht="14.25" customHeight="1"/>
    <row r="16606" ht="14.25" customHeight="1"/>
    <row r="16607" ht="14.25" customHeight="1"/>
    <row r="16608" ht="14.25" customHeight="1"/>
    <row r="16609" ht="14.25" customHeight="1"/>
    <row r="16610" ht="14.25" customHeight="1"/>
    <row r="16611" ht="14.25" customHeight="1"/>
    <row r="16612" ht="14.25" customHeight="1"/>
    <row r="16613" ht="14.25" customHeight="1"/>
    <row r="16614" ht="14.25" customHeight="1"/>
    <row r="16615" ht="14.25" customHeight="1"/>
    <row r="16616" ht="14.25" customHeight="1"/>
    <row r="16617" ht="14.25" customHeight="1"/>
    <row r="16618" ht="14.25" customHeight="1"/>
    <row r="16619" ht="14.25" customHeight="1"/>
    <row r="16620" ht="14.25" customHeight="1"/>
    <row r="16621" ht="14.25" customHeight="1"/>
    <row r="16622" ht="14.25" customHeight="1"/>
    <row r="16623" ht="14.25" customHeight="1"/>
    <row r="16624" ht="14.25" customHeight="1"/>
    <row r="16625" ht="14.25" customHeight="1"/>
    <row r="16626" ht="14.25" customHeight="1"/>
    <row r="16627" ht="14.25" customHeight="1"/>
    <row r="16628" ht="14.25" customHeight="1"/>
    <row r="16629" ht="14.25" customHeight="1"/>
    <row r="16630" ht="14.25" customHeight="1"/>
    <row r="16631" ht="14.25" customHeight="1"/>
    <row r="16632" ht="14.25" customHeight="1"/>
    <row r="16633" ht="14.25" customHeight="1"/>
    <row r="16634" ht="14.25" customHeight="1"/>
    <row r="16635" ht="14.25" customHeight="1"/>
    <row r="16636" ht="14.25" customHeight="1"/>
    <row r="16637" ht="14.25" customHeight="1"/>
    <row r="16638" ht="14.25" customHeight="1"/>
    <row r="16639" ht="14.25" customHeight="1"/>
    <row r="16640" ht="14.25" customHeight="1"/>
    <row r="16641" ht="14.25" customHeight="1"/>
    <row r="16642" ht="14.25" customHeight="1"/>
    <row r="16643" ht="14.25" customHeight="1"/>
    <row r="16644" ht="14.25" customHeight="1"/>
    <row r="16645" ht="14.25" customHeight="1"/>
    <row r="16646" ht="14.25" customHeight="1"/>
    <row r="16647" ht="14.25" customHeight="1"/>
    <row r="16648" ht="14.25" customHeight="1"/>
    <row r="16649" ht="14.25" customHeight="1"/>
    <row r="16650" ht="14.25" customHeight="1"/>
    <row r="16651" ht="14.25" customHeight="1"/>
    <row r="16652" ht="14.25" customHeight="1"/>
    <row r="16653" ht="14.25" customHeight="1"/>
    <row r="16654" ht="14.25" customHeight="1"/>
    <row r="16655" ht="14.25" customHeight="1"/>
    <row r="16656" ht="14.25" customHeight="1"/>
    <row r="16657" ht="14.25" customHeight="1"/>
    <row r="16658" ht="14.25" customHeight="1"/>
    <row r="16659" ht="14.25" customHeight="1"/>
    <row r="16660" ht="14.25" customHeight="1"/>
    <row r="16661" ht="14.25" customHeight="1"/>
    <row r="16662" ht="14.25" customHeight="1"/>
    <row r="16663" ht="14.25" customHeight="1"/>
    <row r="16664" ht="14.25" customHeight="1"/>
    <row r="16665" ht="14.25" customHeight="1"/>
    <row r="16666" ht="14.25" customHeight="1"/>
    <row r="16667" ht="14.25" customHeight="1"/>
    <row r="16668" ht="14.25" customHeight="1"/>
    <row r="16669" ht="14.25" customHeight="1"/>
    <row r="16670" ht="14.25" customHeight="1"/>
    <row r="16671" ht="14.25" customHeight="1"/>
    <row r="16672" ht="14.25" customHeight="1"/>
    <row r="16673" ht="14.25" customHeight="1"/>
    <row r="16674" ht="14.25" customHeight="1"/>
    <row r="16675" ht="14.25" customHeight="1"/>
    <row r="16676" ht="14.25" customHeight="1"/>
    <row r="16677" ht="14.25" customHeight="1"/>
    <row r="16678" ht="14.25" customHeight="1"/>
    <row r="16679" ht="14.25" customHeight="1"/>
    <row r="16680" ht="14.25" customHeight="1"/>
    <row r="16681" ht="14.25" customHeight="1"/>
    <row r="16682" ht="14.25" customHeight="1"/>
    <row r="16683" ht="14.25" customHeight="1"/>
    <row r="16684" ht="14.25" customHeight="1"/>
    <row r="16685" ht="14.25" customHeight="1"/>
    <row r="16686" ht="14.25" customHeight="1"/>
    <row r="16687" ht="14.25" customHeight="1"/>
    <row r="16688" ht="14.25" customHeight="1"/>
    <row r="16689" ht="14.25" customHeight="1"/>
    <row r="16690" ht="14.25" customHeight="1"/>
    <row r="16691" ht="14.25" customHeight="1"/>
    <row r="16692" ht="14.25" customHeight="1"/>
    <row r="16693" ht="14.25" customHeight="1"/>
    <row r="16694" ht="14.25" customHeight="1"/>
    <row r="16695" ht="14.25" customHeight="1"/>
    <row r="16696" ht="14.25" customHeight="1"/>
    <row r="16697" ht="14.25" customHeight="1"/>
    <row r="16698" ht="14.25" customHeight="1"/>
    <row r="16699" ht="14.25" customHeight="1"/>
    <row r="16700" ht="14.25" customHeight="1"/>
    <row r="16701" ht="14.25" customHeight="1"/>
    <row r="16702" ht="14.25" customHeight="1"/>
    <row r="16703" ht="14.25" customHeight="1"/>
    <row r="16704" ht="14.25" customHeight="1"/>
    <row r="16705" ht="14.25" customHeight="1"/>
    <row r="16706" ht="14.25" customHeight="1"/>
    <row r="16707" ht="14.25" customHeight="1"/>
    <row r="16708" ht="14.25" customHeight="1"/>
    <row r="16709" ht="14.25" customHeight="1"/>
    <row r="16710" ht="14.25" customHeight="1"/>
    <row r="16711" ht="14.25" customHeight="1"/>
    <row r="16712" ht="14.25" customHeight="1"/>
    <row r="16713" ht="14.25" customHeight="1"/>
    <row r="16714" ht="14.25" customHeight="1"/>
    <row r="16715" ht="14.25" customHeight="1"/>
    <row r="16716" ht="14.25" customHeight="1"/>
    <row r="16717" ht="14.25" customHeight="1"/>
    <row r="16718" ht="14.25" customHeight="1"/>
    <row r="16719" ht="14.25" customHeight="1"/>
    <row r="16720" ht="14.25" customHeight="1"/>
    <row r="16721" ht="14.25" customHeight="1"/>
    <row r="16722" ht="14.25" customHeight="1"/>
    <row r="16723" ht="14.25" customHeight="1"/>
    <row r="16724" ht="14.25" customHeight="1"/>
    <row r="16725" ht="14.25" customHeight="1"/>
    <row r="16726" ht="14.25" customHeight="1"/>
    <row r="16727" ht="14.25" customHeight="1"/>
    <row r="16728" ht="14.25" customHeight="1"/>
    <row r="16729" ht="14.25" customHeight="1"/>
    <row r="16730" ht="14.25" customHeight="1"/>
    <row r="16731" ht="14.25" customHeight="1"/>
    <row r="16732" ht="14.25" customHeight="1"/>
    <row r="16733" ht="14.25" customHeight="1"/>
    <row r="16734" ht="14.25" customHeight="1"/>
    <row r="16735" ht="14.25" customHeight="1"/>
    <row r="16736" ht="14.25" customHeight="1"/>
    <row r="16737" ht="14.25" customHeight="1"/>
    <row r="16738" ht="14.25" customHeight="1"/>
    <row r="16739" ht="14.25" customHeight="1"/>
    <row r="16740" ht="14.25" customHeight="1"/>
    <row r="16741" ht="14.25" customHeight="1"/>
    <row r="16742" ht="14.25" customHeight="1"/>
    <row r="16743" ht="14.25" customHeight="1"/>
    <row r="16744" ht="14.25" customHeight="1"/>
    <row r="16745" ht="14.25" customHeight="1"/>
    <row r="16746" ht="14.25" customHeight="1"/>
    <row r="16747" ht="14.25" customHeight="1"/>
    <row r="16748" ht="14.25" customHeight="1"/>
    <row r="16749" ht="14.25" customHeight="1"/>
    <row r="16750" ht="14.25" customHeight="1"/>
    <row r="16751" ht="14.25" customHeight="1"/>
    <row r="16752" ht="14.25" customHeight="1"/>
    <row r="16753" ht="14.25" customHeight="1"/>
    <row r="16754" ht="14.25" customHeight="1"/>
    <row r="16755" ht="14.25" customHeight="1"/>
    <row r="16756" ht="14.25" customHeight="1"/>
    <row r="16757" ht="14.25" customHeight="1"/>
    <row r="16758" ht="14.25" customHeight="1"/>
    <row r="16759" ht="14.25" customHeight="1"/>
    <row r="16760" ht="14.25" customHeight="1"/>
    <row r="16761" ht="14.25" customHeight="1"/>
    <row r="16762" ht="14.25" customHeight="1"/>
    <row r="16763" ht="14.25" customHeight="1"/>
    <row r="16764" ht="14.25" customHeight="1"/>
    <row r="16765" ht="14.25" customHeight="1"/>
    <row r="16766" ht="14.25" customHeight="1"/>
    <row r="16767" ht="14.25" customHeight="1"/>
    <row r="16768" ht="14.25" customHeight="1"/>
    <row r="16769" ht="14.25" customHeight="1"/>
    <row r="16770" ht="14.25" customHeight="1"/>
    <row r="16771" ht="14.25" customHeight="1"/>
    <row r="16772" ht="14.25" customHeight="1"/>
    <row r="16773" ht="14.25" customHeight="1"/>
    <row r="16774" ht="14.25" customHeight="1"/>
    <row r="16775" ht="14.25" customHeight="1"/>
    <row r="16776" ht="14.25" customHeight="1"/>
    <row r="16777" ht="14.25" customHeight="1"/>
    <row r="16778" ht="14.25" customHeight="1"/>
    <row r="16779" ht="14.25" customHeight="1"/>
    <row r="16780" ht="14.25" customHeight="1"/>
    <row r="16781" ht="14.25" customHeight="1"/>
    <row r="16782" ht="14.25" customHeight="1"/>
    <row r="16783" ht="14.25" customHeight="1"/>
    <row r="16784" ht="14.25" customHeight="1"/>
    <row r="16785" ht="14.25" customHeight="1"/>
    <row r="16786" ht="14.25" customHeight="1"/>
    <row r="16787" ht="14.25" customHeight="1"/>
    <row r="16788" ht="14.25" customHeight="1"/>
    <row r="16789" ht="14.25" customHeight="1"/>
    <row r="16790" ht="14.25" customHeight="1"/>
    <row r="16791" ht="14.25" customHeight="1"/>
    <row r="16792" ht="14.25" customHeight="1"/>
    <row r="16793" ht="14.25" customHeight="1"/>
    <row r="16794" ht="14.25" customHeight="1"/>
    <row r="16795" ht="14.25" customHeight="1"/>
    <row r="16796" ht="14.25" customHeight="1"/>
    <row r="16797" ht="14.25" customHeight="1"/>
    <row r="16798" ht="14.25" customHeight="1"/>
    <row r="16799" ht="14.25" customHeight="1"/>
    <row r="16800" ht="14.25" customHeight="1"/>
    <row r="16801" ht="14.25" customHeight="1"/>
    <row r="16802" ht="14.25" customHeight="1"/>
    <row r="16803" ht="14.25" customHeight="1"/>
    <row r="16804" ht="14.25" customHeight="1"/>
    <row r="16805" ht="14.25" customHeight="1"/>
    <row r="16806" ht="14.25" customHeight="1"/>
    <row r="16807" ht="14.25" customHeight="1"/>
    <row r="16808" ht="14.25" customHeight="1"/>
    <row r="16809" ht="14.25" customHeight="1"/>
    <row r="16810" ht="14.25" customHeight="1"/>
    <row r="16811" ht="14.25" customHeight="1"/>
    <row r="16812" ht="14.25" customHeight="1"/>
    <row r="16813" ht="14.25" customHeight="1"/>
    <row r="16814" ht="14.25" customHeight="1"/>
    <row r="16815" ht="14.25" customHeight="1"/>
    <row r="16816" ht="14.25" customHeight="1"/>
    <row r="16817" ht="14.25" customHeight="1"/>
    <row r="16818" ht="14.25" customHeight="1"/>
    <row r="16819" ht="14.25" customHeight="1"/>
    <row r="16820" ht="14.25" customHeight="1"/>
    <row r="16821" ht="14.25" customHeight="1"/>
    <row r="16822" ht="14.25" customHeight="1"/>
    <row r="16823" ht="14.25" customHeight="1"/>
    <row r="16824" ht="14.25" customHeight="1"/>
    <row r="16825" ht="14.25" customHeight="1"/>
    <row r="16826" ht="14.25" customHeight="1"/>
    <row r="16827" ht="14.25" customHeight="1"/>
    <row r="16828" ht="14.25" customHeight="1"/>
    <row r="16829" ht="14.25" customHeight="1"/>
    <row r="16830" ht="14.25" customHeight="1"/>
    <row r="16831" ht="14.25" customHeight="1"/>
    <row r="16832" ht="14.25" customHeight="1"/>
    <row r="16833" ht="14.25" customHeight="1"/>
    <row r="16834" ht="14.25" customHeight="1"/>
    <row r="16835" ht="14.25" customHeight="1"/>
    <row r="16836" ht="14.25" customHeight="1"/>
    <row r="16837" ht="14.25" customHeight="1"/>
    <row r="16838" ht="14.25" customHeight="1"/>
    <row r="16839" ht="14.25" customHeight="1"/>
    <row r="16840" ht="14.25" customHeight="1"/>
    <row r="16841" ht="14.25" customHeight="1"/>
    <row r="16842" ht="14.25" customHeight="1"/>
    <row r="16843" ht="14.25" customHeight="1"/>
    <row r="16844" ht="14.25" customHeight="1"/>
    <row r="16845" ht="14.25" customHeight="1"/>
    <row r="16846" ht="14.25" customHeight="1"/>
    <row r="16847" ht="14.25" customHeight="1"/>
    <row r="16848" ht="14.25" customHeight="1"/>
    <row r="16849" ht="14.25" customHeight="1"/>
    <row r="16850" ht="14.25" customHeight="1"/>
    <row r="16851" ht="14.25" customHeight="1"/>
    <row r="16852" ht="14.25" customHeight="1"/>
    <row r="16853" ht="14.25" customHeight="1"/>
    <row r="16854" ht="14.25" customHeight="1"/>
    <row r="16855" ht="14.25" customHeight="1"/>
    <row r="16856" ht="14.25" customHeight="1"/>
    <row r="16857" ht="14.25" customHeight="1"/>
    <row r="16858" ht="14.25" customHeight="1"/>
    <row r="16859" ht="14.25" customHeight="1"/>
    <row r="16860" ht="14.25" customHeight="1"/>
    <row r="16861" ht="14.25" customHeight="1"/>
    <row r="16862" ht="14.25" customHeight="1"/>
    <row r="16863" ht="14.25" customHeight="1"/>
    <row r="16864" ht="14.25" customHeight="1"/>
    <row r="16865" ht="14.25" customHeight="1"/>
    <row r="16866" ht="14.25" customHeight="1"/>
    <row r="16867" ht="14.25" customHeight="1"/>
    <row r="16868" ht="14.25" customHeight="1"/>
    <row r="16869" ht="14.25" customHeight="1"/>
    <row r="16870" ht="14.25" customHeight="1"/>
    <row r="16871" ht="14.25" customHeight="1"/>
    <row r="16872" ht="14.25" customHeight="1"/>
    <row r="16873" ht="14.25" customHeight="1"/>
    <row r="16874" ht="14.25" customHeight="1"/>
    <row r="16875" ht="14.25" customHeight="1"/>
    <row r="16876" ht="14.25" customHeight="1"/>
    <row r="16877" ht="14.25" customHeight="1"/>
    <row r="16878" ht="14.25" customHeight="1"/>
    <row r="16879" ht="14.25" customHeight="1"/>
    <row r="16880" ht="14.25" customHeight="1"/>
    <row r="16881" ht="14.25" customHeight="1"/>
    <row r="16882" ht="14.25" customHeight="1"/>
    <row r="16883" ht="14.25" customHeight="1"/>
    <row r="16884" ht="14.25" customHeight="1"/>
    <row r="16885" ht="14.25" customHeight="1"/>
    <row r="16886" ht="14.25" customHeight="1"/>
    <row r="16887" ht="14.25" customHeight="1"/>
    <row r="16888" ht="14.25" customHeight="1"/>
    <row r="16889" ht="14.25" customHeight="1"/>
    <row r="16890" ht="14.25" customHeight="1"/>
    <row r="16891" ht="14.25" customHeight="1"/>
    <row r="16892" ht="14.25" customHeight="1"/>
    <row r="16893" ht="14.25" customHeight="1"/>
    <row r="16894" ht="14.25" customHeight="1"/>
    <row r="16895" ht="14.25" customHeight="1"/>
    <row r="16896" ht="14.25" customHeight="1"/>
    <row r="16897" ht="14.25" customHeight="1"/>
    <row r="16898" ht="14.25" customHeight="1"/>
    <row r="16899" ht="14.25" customHeight="1"/>
    <row r="16900" ht="14.25" customHeight="1"/>
    <row r="16901" ht="14.25" customHeight="1"/>
    <row r="16902" ht="14.25" customHeight="1"/>
    <row r="16903" ht="14.25" customHeight="1"/>
    <row r="16904" ht="14.25" customHeight="1"/>
    <row r="16905" ht="14.25" customHeight="1"/>
    <row r="16906" ht="14.25" customHeight="1"/>
    <row r="16907" ht="14.25" customHeight="1"/>
    <row r="16908" ht="14.25" customHeight="1"/>
    <row r="16909" ht="14.25" customHeight="1"/>
    <row r="16910" ht="14.25" customHeight="1"/>
    <row r="16911" ht="14.25" customHeight="1"/>
    <row r="16912" ht="14.25" customHeight="1"/>
    <row r="16913" ht="14.25" customHeight="1"/>
    <row r="16914" ht="14.25" customHeight="1"/>
    <row r="16915" ht="14.25" customHeight="1"/>
    <row r="16916" ht="14.25" customHeight="1"/>
    <row r="16917" ht="14.25" customHeight="1"/>
    <row r="16918" ht="14.25" customHeight="1"/>
    <row r="16919" ht="14.25" customHeight="1"/>
    <row r="16920" ht="14.25" customHeight="1"/>
    <row r="16921" ht="14.25" customHeight="1"/>
    <row r="16922" ht="14.25" customHeight="1"/>
    <row r="16923" ht="14.25" customHeight="1"/>
    <row r="16924" ht="14.25" customHeight="1"/>
    <row r="16925" ht="14.25" customHeight="1"/>
    <row r="16926" ht="14.25" customHeight="1"/>
    <row r="16927" ht="14.25" customHeight="1"/>
    <row r="16928" ht="14.25" customHeight="1"/>
    <row r="16929" ht="14.25" customHeight="1"/>
    <row r="16930" ht="14.25" customHeight="1"/>
    <row r="16931" ht="14.25" customHeight="1"/>
    <row r="16932" ht="14.25" customHeight="1"/>
    <row r="16933" ht="14.25" customHeight="1"/>
    <row r="16934" ht="14.25" customHeight="1"/>
    <row r="16935" ht="14.25" customHeight="1"/>
    <row r="16936" ht="14.25" customHeight="1"/>
    <row r="16937" ht="14.25" customHeight="1"/>
    <row r="16938" ht="14.25" customHeight="1"/>
    <row r="16939" ht="14.25" customHeight="1"/>
    <row r="16940" ht="14.25" customHeight="1"/>
    <row r="16941" ht="14.25" customHeight="1"/>
    <row r="16942" ht="14.25" customHeight="1"/>
    <row r="16943" ht="14.25" customHeight="1"/>
    <row r="16944" ht="14.25" customHeight="1"/>
    <row r="16945" ht="14.25" customHeight="1"/>
    <row r="16946" ht="14.25" customHeight="1"/>
    <row r="16947" ht="14.25" customHeight="1"/>
    <row r="16948" ht="14.25" customHeight="1"/>
    <row r="16949" ht="14.25" customHeight="1"/>
    <row r="16950" ht="14.25" customHeight="1"/>
    <row r="16951" ht="14.25" customHeight="1"/>
    <row r="16952" ht="14.25" customHeight="1"/>
    <row r="16953" ht="14.25" customHeight="1"/>
    <row r="16954" ht="14.25" customHeight="1"/>
    <row r="16955" ht="14.25" customHeight="1"/>
    <row r="16956" ht="14.25" customHeight="1"/>
    <row r="16957" ht="14.25" customHeight="1"/>
    <row r="16958" ht="14.25" customHeight="1"/>
    <row r="16959" ht="14.25" customHeight="1"/>
    <row r="16960" ht="14.25" customHeight="1"/>
    <row r="16961" ht="14.25" customHeight="1"/>
    <row r="16962" ht="14.25" customHeight="1"/>
    <row r="16963" ht="14.25" customHeight="1"/>
    <row r="16964" ht="14.25" customHeight="1"/>
    <row r="16965" ht="14.25" customHeight="1"/>
    <row r="16966" ht="14.25" customHeight="1"/>
    <row r="16967" ht="14.25" customHeight="1"/>
    <row r="16968" ht="14.25" customHeight="1"/>
    <row r="16969" ht="14.25" customHeight="1"/>
    <row r="16970" ht="14.25" customHeight="1"/>
    <row r="16971" ht="14.25" customHeight="1"/>
    <row r="16972" ht="14.25" customHeight="1"/>
    <row r="16973" ht="14.25" customHeight="1"/>
    <row r="16974" ht="14.25" customHeight="1"/>
    <row r="16975" ht="14.25" customHeight="1"/>
    <row r="16976" ht="14.25" customHeight="1"/>
    <row r="16977" ht="14.25" customHeight="1"/>
    <row r="16978" ht="14.25" customHeight="1"/>
    <row r="16979" ht="14.25" customHeight="1"/>
    <row r="16980" ht="14.25" customHeight="1"/>
    <row r="16981" ht="14.25" customHeight="1"/>
    <row r="16982" ht="14.25" customHeight="1"/>
    <row r="16983" ht="14.25" customHeight="1"/>
    <row r="16984" ht="14.25" customHeight="1"/>
    <row r="16985" ht="14.25" customHeight="1"/>
    <row r="16986" ht="14.25" customHeight="1"/>
    <row r="16987" ht="14.25" customHeight="1"/>
    <row r="16988" ht="14.25" customHeight="1"/>
    <row r="16989" ht="14.25" customHeight="1"/>
    <row r="16990" ht="14.25" customHeight="1"/>
    <row r="16991" ht="14.25" customHeight="1"/>
    <row r="16992" ht="14.25" customHeight="1"/>
    <row r="16993" ht="14.25" customHeight="1"/>
    <row r="16994" ht="14.25" customHeight="1"/>
    <row r="16995" ht="14.25" customHeight="1"/>
    <row r="16996" ht="14.25" customHeight="1"/>
    <row r="16997" ht="14.25" customHeight="1"/>
    <row r="16998" ht="14.25" customHeight="1"/>
    <row r="16999" ht="14.25" customHeight="1"/>
    <row r="17000" ht="14.25" customHeight="1"/>
    <row r="17001" ht="14.25" customHeight="1"/>
    <row r="17002" ht="14.25" customHeight="1"/>
    <row r="17003" ht="14.25" customHeight="1"/>
    <row r="17004" ht="14.25" customHeight="1"/>
    <row r="17005" ht="14.25" customHeight="1"/>
    <row r="17006" ht="14.25" customHeight="1"/>
    <row r="17007" ht="14.25" customHeight="1"/>
    <row r="17008" ht="14.25" customHeight="1"/>
    <row r="17009" ht="14.25" customHeight="1"/>
    <row r="17010" ht="14.25" customHeight="1"/>
    <row r="17011" ht="14.25" customHeight="1"/>
    <row r="17012" ht="14.25" customHeight="1"/>
    <row r="17013" ht="14.25" customHeight="1"/>
    <row r="17014" ht="14.25" customHeight="1"/>
    <row r="17015" ht="14.25" customHeight="1"/>
    <row r="17016" ht="14.25" customHeight="1"/>
    <row r="17017" ht="14.25" customHeight="1"/>
    <row r="17018" ht="14.25" customHeight="1"/>
    <row r="17019" ht="14.25" customHeight="1"/>
    <row r="17020" ht="14.25" customHeight="1"/>
    <row r="17021" ht="14.25" customHeight="1"/>
    <row r="17022" ht="14.25" customHeight="1"/>
    <row r="17023" ht="14.25" customHeight="1"/>
    <row r="17024" ht="14.25" customHeight="1"/>
    <row r="17025" ht="14.25" customHeight="1"/>
    <row r="17026" ht="14.25" customHeight="1"/>
    <row r="17027" ht="14.25" customHeight="1"/>
    <row r="17028" ht="14.25" customHeight="1"/>
    <row r="17029" ht="14.25" customHeight="1"/>
    <row r="17030" ht="14.25" customHeight="1"/>
    <row r="17031" ht="14.25" customHeight="1"/>
    <row r="17032" ht="14.25" customHeight="1"/>
    <row r="17033" ht="14.25" customHeight="1"/>
    <row r="17034" ht="14.25" customHeight="1"/>
    <row r="17035" ht="14.25" customHeight="1"/>
    <row r="17036" ht="14.25" customHeight="1"/>
    <row r="17037" ht="14.25" customHeight="1"/>
    <row r="17038" ht="14.25" customHeight="1"/>
    <row r="17039" ht="14.25" customHeight="1"/>
    <row r="17040" ht="14.25" customHeight="1"/>
    <row r="17041" ht="14.25" customHeight="1"/>
    <row r="17042" ht="14.25" customHeight="1"/>
    <row r="17043" ht="14.25" customHeight="1"/>
    <row r="17044" ht="14.25" customHeight="1"/>
    <row r="17045" ht="14.25" customHeight="1"/>
    <row r="17046" ht="14.25" customHeight="1"/>
    <row r="17047" ht="14.25" customHeight="1"/>
    <row r="17048" ht="14.25" customHeight="1"/>
    <row r="17049" ht="14.25" customHeight="1"/>
    <row r="17050" ht="14.25" customHeight="1"/>
    <row r="17051" ht="14.25" customHeight="1"/>
    <row r="17052" ht="14.25" customHeight="1"/>
    <row r="17053" ht="14.25" customHeight="1"/>
    <row r="17054" ht="14.25" customHeight="1"/>
    <row r="17055" ht="14.25" customHeight="1"/>
    <row r="17056" ht="14.25" customHeight="1"/>
    <row r="17057" ht="14.25" customHeight="1"/>
    <row r="17058" ht="14.25" customHeight="1"/>
    <row r="17059" ht="14.25" customHeight="1"/>
    <row r="17060" ht="14.25" customHeight="1"/>
    <row r="17061" ht="14.25" customHeight="1"/>
    <row r="17062" ht="14.25" customHeight="1"/>
    <row r="17063" ht="14.25" customHeight="1"/>
    <row r="17064" ht="14.25" customHeight="1"/>
    <row r="17065" ht="14.25" customHeight="1"/>
    <row r="17066" ht="14.25" customHeight="1"/>
    <row r="17067" ht="14.25" customHeight="1"/>
    <row r="17068" ht="14.25" customHeight="1"/>
    <row r="17069" ht="14.25" customHeight="1"/>
    <row r="17070" ht="14.25" customHeight="1"/>
    <row r="17071" ht="14.25" customHeight="1"/>
    <row r="17072" ht="14.25" customHeight="1"/>
    <row r="17073" ht="14.25" customHeight="1"/>
    <row r="17074" ht="14.25" customHeight="1"/>
    <row r="17075" ht="14.25" customHeight="1"/>
    <row r="17076" ht="14.25" customHeight="1"/>
    <row r="17077" ht="14.25" customHeight="1"/>
    <row r="17078" ht="14.25" customHeight="1"/>
    <row r="17079" ht="14.25" customHeight="1"/>
    <row r="17080" ht="14.25" customHeight="1"/>
    <row r="17081" ht="14.25" customHeight="1"/>
    <row r="17082" ht="14.25" customHeight="1"/>
    <row r="17083" ht="14.25" customHeight="1"/>
    <row r="17084" ht="14.25" customHeight="1"/>
    <row r="17085" ht="14.25" customHeight="1"/>
    <row r="17086" ht="14.25" customHeight="1"/>
    <row r="17087" ht="14.25" customHeight="1"/>
    <row r="17088" ht="14.25" customHeight="1"/>
    <row r="17089" ht="14.25" customHeight="1"/>
    <row r="17090" ht="14.25" customHeight="1"/>
    <row r="17091" ht="14.25" customHeight="1"/>
    <row r="17092" ht="14.25" customHeight="1"/>
    <row r="17093" ht="14.25" customHeight="1"/>
    <row r="17094" ht="14.25" customHeight="1"/>
    <row r="17095" ht="14.25" customHeight="1"/>
    <row r="17096" ht="14.25" customHeight="1"/>
    <row r="17097" ht="14.25" customHeight="1"/>
    <row r="17098" ht="14.25" customHeight="1"/>
    <row r="17099" ht="14.25" customHeight="1"/>
    <row r="17100" ht="14.25" customHeight="1"/>
    <row r="17101" ht="14.25" customHeight="1"/>
    <row r="17102" ht="14.25" customHeight="1"/>
    <row r="17103" ht="14.25" customHeight="1"/>
    <row r="17104" ht="14.25" customHeight="1"/>
    <row r="17105" ht="14.25" customHeight="1"/>
    <row r="17106" ht="14.25" customHeight="1"/>
    <row r="17107" ht="14.25" customHeight="1"/>
    <row r="17108" ht="14.25" customHeight="1"/>
    <row r="17109" ht="14.25" customHeight="1"/>
    <row r="17110" ht="14.25" customHeight="1"/>
    <row r="17111" ht="14.25" customHeight="1"/>
    <row r="17112" ht="14.25" customHeight="1"/>
    <row r="17113" ht="14.25" customHeight="1"/>
    <row r="17114" ht="14.25" customHeight="1"/>
    <row r="17115" ht="14.25" customHeight="1"/>
    <row r="17116" ht="14.25" customHeight="1"/>
    <row r="17117" ht="14.25" customHeight="1"/>
    <row r="17118" ht="14.25" customHeight="1"/>
    <row r="17119" ht="14.25" customHeight="1"/>
    <row r="17120" ht="14.25" customHeight="1"/>
    <row r="17121" ht="14.25" customHeight="1"/>
    <row r="17122" ht="14.25" customHeight="1"/>
    <row r="17123" ht="14.25" customHeight="1"/>
    <row r="17124" ht="14.25" customHeight="1"/>
    <row r="17125" ht="14.25" customHeight="1"/>
    <row r="17126" ht="14.25" customHeight="1"/>
    <row r="17127" ht="14.25" customHeight="1"/>
    <row r="17128" ht="14.25" customHeight="1"/>
    <row r="17129" ht="14.25" customHeight="1"/>
    <row r="17130" ht="14.25" customHeight="1"/>
    <row r="17131" ht="14.25" customHeight="1"/>
    <row r="17132" ht="14.25" customHeight="1"/>
    <row r="17133" ht="14.25" customHeight="1"/>
    <row r="17134" ht="14.25" customHeight="1"/>
    <row r="17135" ht="14.25" customHeight="1"/>
    <row r="17136" ht="14.25" customHeight="1"/>
    <row r="17137" ht="14.25" customHeight="1"/>
    <row r="17138" ht="14.25" customHeight="1"/>
    <row r="17139" ht="14.25" customHeight="1"/>
    <row r="17140" ht="14.25" customHeight="1"/>
    <row r="17141" ht="14.25" customHeight="1"/>
    <row r="17142" ht="14.25" customHeight="1"/>
    <row r="17143" ht="14.25" customHeight="1"/>
    <row r="17144" ht="14.25" customHeight="1"/>
    <row r="17145" ht="14.25" customHeight="1"/>
    <row r="17146" ht="14.25" customHeight="1"/>
    <row r="17147" ht="14.25" customHeight="1"/>
    <row r="17148" ht="14.25" customHeight="1"/>
    <row r="17149" ht="14.25" customHeight="1"/>
    <row r="17150" ht="14.25" customHeight="1"/>
    <row r="17151" ht="14.25" customHeight="1"/>
    <row r="17152" ht="14.25" customHeight="1"/>
    <row r="17153" ht="14.25" customHeight="1"/>
    <row r="17154" ht="14.25" customHeight="1"/>
    <row r="17155" ht="14.25" customHeight="1"/>
    <row r="17156" ht="14.25" customHeight="1"/>
    <row r="17157" ht="14.25" customHeight="1"/>
    <row r="17158" ht="14.25" customHeight="1"/>
    <row r="17159" ht="14.25" customHeight="1"/>
    <row r="17160" ht="14.25" customHeight="1"/>
    <row r="17161" ht="14.25" customHeight="1"/>
    <row r="17162" ht="14.25" customHeight="1"/>
    <row r="17163" ht="14.25" customHeight="1"/>
    <row r="17164" ht="14.25" customHeight="1"/>
    <row r="17165" ht="14.25" customHeight="1"/>
    <row r="17166" ht="14.25" customHeight="1"/>
    <row r="17167" ht="14.25" customHeight="1"/>
    <row r="17168" ht="14.25" customHeight="1"/>
    <row r="17169" ht="14.25" customHeight="1"/>
    <row r="17170" ht="14.25" customHeight="1"/>
    <row r="17171" ht="14.25" customHeight="1"/>
    <row r="17172" ht="14.25" customHeight="1"/>
    <row r="17173" ht="14.25" customHeight="1"/>
    <row r="17174" ht="14.25" customHeight="1"/>
    <row r="17175" ht="14.25" customHeight="1"/>
    <row r="17176" ht="14.25" customHeight="1"/>
    <row r="17177" ht="14.25" customHeight="1"/>
    <row r="17178" ht="14.25" customHeight="1"/>
    <row r="17179" ht="14.25" customHeight="1"/>
    <row r="17180" ht="14.25" customHeight="1"/>
    <row r="17181" ht="14.25" customHeight="1"/>
    <row r="17182" ht="14.25" customHeight="1"/>
    <row r="17183" ht="14.25" customHeight="1"/>
    <row r="17184" ht="14.25" customHeight="1"/>
    <row r="17185" ht="14.25" customHeight="1"/>
    <row r="17186" ht="14.25" customHeight="1"/>
    <row r="17187" ht="14.25" customHeight="1"/>
    <row r="17188" ht="14.25" customHeight="1"/>
    <row r="17189" ht="14.25" customHeight="1"/>
    <row r="17190" ht="14.25" customHeight="1"/>
    <row r="17191" ht="14.25" customHeight="1"/>
    <row r="17192" ht="14.25" customHeight="1"/>
    <row r="17193" ht="14.25" customHeight="1"/>
    <row r="17194" ht="14.25" customHeight="1"/>
    <row r="17195" ht="14.25" customHeight="1"/>
    <row r="17196" ht="14.25" customHeight="1"/>
    <row r="17197" ht="14.25" customHeight="1"/>
    <row r="17198" ht="14.25" customHeight="1"/>
    <row r="17199" ht="14.25" customHeight="1"/>
    <row r="17200" ht="14.25" customHeight="1"/>
    <row r="17201" ht="14.25" customHeight="1"/>
    <row r="17202" ht="14.25" customHeight="1"/>
    <row r="17203" ht="14.25" customHeight="1"/>
    <row r="17204" ht="14.25" customHeight="1"/>
    <row r="17205" ht="14.25" customHeight="1"/>
    <row r="17206" ht="14.25" customHeight="1"/>
    <row r="17207" ht="14.25" customHeight="1"/>
    <row r="17208" ht="14.25" customHeight="1"/>
    <row r="17209" ht="14.25" customHeight="1"/>
    <row r="17210" ht="14.25" customHeight="1"/>
    <row r="17211" ht="14.25" customHeight="1"/>
    <row r="17212" ht="14.25" customHeight="1"/>
    <row r="17213" ht="14.25" customHeight="1"/>
    <row r="17214" ht="14.25" customHeight="1"/>
    <row r="17215" ht="14.25" customHeight="1"/>
    <row r="17216" ht="14.25" customHeight="1"/>
    <row r="17217" ht="14.25" customHeight="1"/>
    <row r="17218" ht="14.25" customHeight="1"/>
    <row r="17219" ht="14.25" customHeight="1"/>
    <row r="17220" ht="14.25" customHeight="1"/>
    <row r="17221" ht="14.25" customHeight="1"/>
    <row r="17222" ht="14.25" customHeight="1"/>
    <row r="17223" ht="14.25" customHeight="1"/>
    <row r="17224" ht="14.25" customHeight="1"/>
    <row r="17225" ht="14.25" customHeight="1"/>
    <row r="17226" ht="14.25" customHeight="1"/>
    <row r="17227" ht="14.25" customHeight="1"/>
    <row r="17228" ht="14.25" customHeight="1"/>
    <row r="17229" ht="14.25" customHeight="1"/>
    <row r="17230" ht="14.25" customHeight="1"/>
    <row r="17231" ht="14.25" customHeight="1"/>
    <row r="17232" ht="14.25" customHeight="1"/>
    <row r="17233" ht="14.25" customHeight="1"/>
    <row r="17234" ht="14.25" customHeight="1"/>
    <row r="17235" ht="14.25" customHeight="1"/>
    <row r="17236" ht="14.25" customHeight="1"/>
    <row r="17237" ht="14.25" customHeight="1"/>
    <row r="17238" ht="14.25" customHeight="1"/>
    <row r="17239" ht="14.25" customHeight="1"/>
    <row r="17240" ht="14.25" customHeight="1"/>
    <row r="17241" ht="14.25" customHeight="1"/>
    <row r="17242" ht="14.25" customHeight="1"/>
    <row r="17243" ht="14.25" customHeight="1"/>
    <row r="17244" ht="14.25" customHeight="1"/>
    <row r="17245" ht="14.25" customHeight="1"/>
    <row r="17246" ht="14.25" customHeight="1"/>
    <row r="17247" ht="14.25" customHeight="1"/>
    <row r="17248" ht="14.25" customHeight="1"/>
    <row r="17249" ht="14.25" customHeight="1"/>
    <row r="17250" ht="14.25" customHeight="1"/>
    <row r="17251" ht="14.25" customHeight="1"/>
    <row r="17252" ht="14.25" customHeight="1"/>
    <row r="17253" ht="14.25" customHeight="1"/>
    <row r="17254" ht="14.25" customHeight="1"/>
    <row r="17255" ht="14.25" customHeight="1"/>
    <row r="17256" ht="14.25" customHeight="1"/>
    <row r="17257" ht="14.25" customHeight="1"/>
    <row r="17258" ht="14.25" customHeight="1"/>
    <row r="17259" ht="14.25" customHeight="1"/>
    <row r="17260" ht="14.25" customHeight="1"/>
    <row r="17261" ht="14.25" customHeight="1"/>
    <row r="17262" ht="14.25" customHeight="1"/>
    <row r="17263" ht="14.25" customHeight="1"/>
    <row r="17264" ht="14.25" customHeight="1"/>
    <row r="17265" ht="14.25" customHeight="1"/>
    <row r="17266" ht="14.25" customHeight="1"/>
    <row r="17267" ht="14.25" customHeight="1"/>
    <row r="17268" ht="14.25" customHeight="1"/>
    <row r="17269" ht="14.25" customHeight="1"/>
    <row r="17270" ht="14.25" customHeight="1"/>
    <row r="17271" ht="14.25" customHeight="1"/>
    <row r="17272" ht="14.25" customHeight="1"/>
    <row r="17273" ht="14.25" customHeight="1"/>
    <row r="17274" ht="14.25" customHeight="1"/>
    <row r="17275" ht="14.25" customHeight="1"/>
    <row r="17276" ht="14.25" customHeight="1"/>
    <row r="17277" ht="14.25" customHeight="1"/>
    <row r="17278" ht="14.25" customHeight="1"/>
    <row r="17279" ht="14.25" customHeight="1"/>
    <row r="17280" ht="14.25" customHeight="1"/>
    <row r="17281" ht="14.25" customHeight="1"/>
    <row r="17282" ht="14.25" customHeight="1"/>
    <row r="17283" ht="14.25" customHeight="1"/>
    <row r="17284" ht="14.25" customHeight="1"/>
    <row r="17285" ht="14.25" customHeight="1"/>
    <row r="17286" ht="14.25" customHeight="1"/>
    <row r="17287" ht="14.25" customHeight="1"/>
    <row r="17288" ht="14.25" customHeight="1"/>
    <row r="17289" ht="14.25" customHeight="1"/>
    <row r="17290" ht="14.25" customHeight="1"/>
    <row r="17291" ht="14.25" customHeight="1"/>
    <row r="17292" ht="14.25" customHeight="1"/>
    <row r="17293" ht="14.25" customHeight="1"/>
    <row r="17294" ht="14.25" customHeight="1"/>
    <row r="17295" ht="14.25" customHeight="1"/>
    <row r="17296" ht="14.25" customHeight="1"/>
    <row r="17297" ht="14.25" customHeight="1"/>
    <row r="17298" ht="14.25" customHeight="1"/>
    <row r="17299" ht="14.25" customHeight="1"/>
    <row r="17300" ht="14.25" customHeight="1"/>
    <row r="17301" ht="14.25" customHeight="1"/>
    <row r="17302" ht="14.25" customHeight="1"/>
    <row r="17303" ht="14.25" customHeight="1"/>
    <row r="17304" ht="14.25" customHeight="1"/>
    <row r="17305" ht="14.25" customHeight="1"/>
    <row r="17306" ht="14.25" customHeight="1"/>
    <row r="17307" ht="14.25" customHeight="1"/>
    <row r="17308" ht="14.25" customHeight="1"/>
    <row r="17309" ht="14.25" customHeight="1"/>
    <row r="17310" ht="14.25" customHeight="1"/>
    <row r="17311" ht="14.25" customHeight="1"/>
    <row r="17312" ht="14.25" customHeight="1"/>
    <row r="17313" ht="14.25" customHeight="1"/>
    <row r="17314" ht="14.25" customHeight="1"/>
    <row r="17315" ht="14.25" customHeight="1"/>
    <row r="17316" ht="14.25" customHeight="1"/>
    <row r="17317" ht="14.25" customHeight="1"/>
    <row r="17318" ht="14.25" customHeight="1"/>
    <row r="17319" ht="14.25" customHeight="1"/>
    <row r="17320" ht="14.25" customHeight="1"/>
    <row r="17321" ht="14.25" customHeight="1"/>
    <row r="17322" ht="14.25" customHeight="1"/>
    <row r="17323" ht="14.25" customHeight="1"/>
    <row r="17324" ht="14.25" customHeight="1"/>
    <row r="17325" ht="14.25" customHeight="1"/>
    <row r="17326" ht="14.25" customHeight="1"/>
    <row r="17327" ht="14.25" customHeight="1"/>
    <row r="17328" ht="14.25" customHeight="1"/>
    <row r="17329" ht="14.25" customHeight="1"/>
    <row r="17330" ht="14.25" customHeight="1"/>
    <row r="17331" ht="14.25" customHeight="1"/>
    <row r="17332" ht="14.25" customHeight="1"/>
    <row r="17333" ht="14.25" customHeight="1"/>
    <row r="17334" ht="14.25" customHeight="1"/>
    <row r="17335" ht="14.25" customHeight="1"/>
    <row r="17336" ht="14.25" customHeight="1"/>
    <row r="17337" ht="14.25" customHeight="1"/>
    <row r="17338" ht="14.25" customHeight="1"/>
    <row r="17339" ht="14.25" customHeight="1"/>
    <row r="17340" ht="14.25" customHeight="1"/>
    <row r="17341" ht="14.25" customHeight="1"/>
    <row r="17342" ht="14.25" customHeight="1"/>
    <row r="17343" ht="14.25" customHeight="1"/>
    <row r="17344" ht="14.25" customHeight="1"/>
    <row r="17345" ht="14.25" customHeight="1"/>
    <row r="17346" ht="14.25" customHeight="1"/>
    <row r="17347" ht="14.25" customHeight="1"/>
    <row r="17348" ht="14.25" customHeight="1"/>
    <row r="17349" ht="14.25" customHeight="1"/>
    <row r="17350" ht="14.25" customHeight="1"/>
    <row r="17351" ht="14.25" customHeight="1"/>
    <row r="17352" ht="14.25" customHeight="1"/>
    <row r="17353" ht="14.25" customHeight="1"/>
    <row r="17354" ht="14.25" customHeight="1"/>
    <row r="17355" ht="14.25" customHeight="1"/>
    <row r="17356" ht="14.25" customHeight="1"/>
    <row r="17357" ht="14.25" customHeight="1"/>
    <row r="17358" ht="14.25" customHeight="1"/>
    <row r="17359" ht="14.25" customHeight="1"/>
    <row r="17360" ht="14.25" customHeight="1"/>
    <row r="17361" ht="14.25" customHeight="1"/>
    <row r="17362" ht="14.25" customHeight="1"/>
    <row r="17363" ht="14.25" customHeight="1"/>
    <row r="17364" ht="14.25" customHeight="1"/>
    <row r="17365" ht="14.25" customHeight="1"/>
    <row r="17366" ht="14.25" customHeight="1"/>
    <row r="17367" ht="14.25" customHeight="1"/>
    <row r="17368" ht="14.25" customHeight="1"/>
    <row r="17369" ht="14.25" customHeight="1"/>
    <row r="17370" ht="14.25" customHeight="1"/>
    <row r="17371" ht="14.25" customHeight="1"/>
    <row r="17372" ht="14.25" customHeight="1"/>
    <row r="17373" ht="14.25" customHeight="1"/>
    <row r="17374" ht="14.25" customHeight="1"/>
    <row r="17375" ht="14.25" customHeight="1"/>
    <row r="17376" ht="14.25" customHeight="1"/>
    <row r="17377" ht="14.25" customHeight="1"/>
    <row r="17378" ht="14.25" customHeight="1"/>
    <row r="17379" ht="14.25" customHeight="1"/>
    <row r="17380" ht="14.25" customHeight="1"/>
    <row r="17381" ht="14.25" customHeight="1"/>
    <row r="17382" ht="14.25" customHeight="1"/>
    <row r="17383" ht="14.25" customHeight="1"/>
    <row r="17384" ht="14.25" customHeight="1"/>
    <row r="17385" ht="14.25" customHeight="1"/>
    <row r="17386" ht="14.25" customHeight="1"/>
    <row r="17387" ht="14.25" customHeight="1"/>
    <row r="17388" ht="14.25" customHeight="1"/>
    <row r="17389" ht="14.25" customHeight="1"/>
    <row r="17390" ht="14.25" customHeight="1"/>
    <row r="17391" ht="14.25" customHeight="1"/>
    <row r="17392" ht="14.25" customHeight="1"/>
    <row r="17393" ht="14.25" customHeight="1"/>
    <row r="17394" ht="14.25" customHeight="1"/>
    <row r="17395" ht="14.25" customHeight="1"/>
    <row r="17396" ht="14.25" customHeight="1"/>
    <row r="17397" ht="14.25" customHeight="1"/>
    <row r="17398" ht="14.25" customHeight="1"/>
    <row r="17399" ht="14.25" customHeight="1"/>
    <row r="17400" ht="14.25" customHeight="1"/>
    <row r="17401" ht="14.25" customHeight="1"/>
    <row r="17402" ht="14.25" customHeight="1"/>
    <row r="17403" ht="14.25" customHeight="1"/>
    <row r="17404" ht="14.25" customHeight="1"/>
    <row r="17405" ht="14.25" customHeight="1"/>
    <row r="17406" ht="14.25" customHeight="1"/>
    <row r="17407" ht="14.25" customHeight="1"/>
    <row r="17408" ht="14.25" customHeight="1"/>
    <row r="17409" ht="14.25" customHeight="1"/>
    <row r="17410" ht="14.25" customHeight="1"/>
    <row r="17411" ht="14.25" customHeight="1"/>
    <row r="17412" ht="14.25" customHeight="1"/>
    <row r="17413" ht="14.25" customHeight="1"/>
    <row r="17414" ht="14.25" customHeight="1"/>
    <row r="17415" ht="14.25" customHeight="1"/>
    <row r="17416" ht="14.25" customHeight="1"/>
    <row r="17417" ht="14.25" customHeight="1"/>
    <row r="17418" ht="14.25" customHeight="1"/>
    <row r="17419" ht="14.25" customHeight="1"/>
    <row r="17420" ht="14.25" customHeight="1"/>
    <row r="17421" ht="14.25" customHeight="1"/>
    <row r="17422" ht="14.25" customHeight="1"/>
    <row r="17423" ht="14.25" customHeight="1"/>
    <row r="17424" ht="14.25" customHeight="1"/>
    <row r="17425" ht="14.25" customHeight="1"/>
    <row r="17426" ht="14.25" customHeight="1"/>
    <row r="17427" ht="14.25" customHeight="1"/>
    <row r="17428" ht="14.25" customHeight="1"/>
    <row r="17429" ht="14.25" customHeight="1"/>
    <row r="17430" ht="14.25" customHeight="1"/>
    <row r="17431" ht="14.25" customHeight="1"/>
    <row r="17432" ht="14.25" customHeight="1"/>
    <row r="17433" ht="14.25" customHeight="1"/>
    <row r="17434" ht="14.25" customHeight="1"/>
    <row r="17435" ht="14.25" customHeight="1"/>
    <row r="17436" ht="14.25" customHeight="1"/>
    <row r="17437" ht="14.25" customHeight="1"/>
    <row r="17438" ht="14.25" customHeight="1"/>
    <row r="17439" ht="14.25" customHeight="1"/>
    <row r="17440" ht="14.25" customHeight="1"/>
    <row r="17441" ht="14.25" customHeight="1"/>
    <row r="17442" ht="14.25" customHeight="1"/>
    <row r="17443" ht="14.25" customHeight="1"/>
    <row r="17444" ht="14.25" customHeight="1"/>
    <row r="17445" ht="14.25" customHeight="1"/>
    <row r="17446" ht="14.25" customHeight="1"/>
    <row r="17447" ht="14.25" customHeight="1"/>
    <row r="17448" ht="14.25" customHeight="1"/>
    <row r="17449" ht="14.25" customHeight="1"/>
    <row r="17450" ht="14.25" customHeight="1"/>
    <row r="17451" ht="14.25" customHeight="1"/>
    <row r="17452" ht="14.25" customHeight="1"/>
    <row r="17453" ht="14.25" customHeight="1"/>
    <row r="17454" ht="14.25" customHeight="1"/>
    <row r="17455" ht="14.25" customHeight="1"/>
    <row r="17456" ht="14.25" customHeight="1"/>
    <row r="17457" ht="14.25" customHeight="1"/>
    <row r="17458" ht="14.25" customHeight="1"/>
    <row r="17459" ht="14.25" customHeight="1"/>
    <row r="17460" ht="14.25" customHeight="1"/>
    <row r="17461" ht="14.25" customHeight="1"/>
    <row r="17462" ht="14.25" customHeight="1"/>
    <row r="17463" ht="14.25" customHeight="1"/>
    <row r="17464" ht="14.25" customHeight="1"/>
    <row r="17465" ht="14.25" customHeight="1"/>
    <row r="17466" ht="14.25" customHeight="1"/>
    <row r="17467" ht="14.25" customHeight="1"/>
    <row r="17468" ht="14.25" customHeight="1"/>
    <row r="17469" ht="14.25" customHeight="1"/>
    <row r="17470" ht="14.25" customHeight="1"/>
    <row r="17471" ht="14.25" customHeight="1"/>
    <row r="17472" ht="14.25" customHeight="1"/>
    <row r="17473" ht="14.25" customHeight="1"/>
    <row r="17474" ht="14.25" customHeight="1"/>
    <row r="17475" ht="14.25" customHeight="1"/>
    <row r="17476" ht="14.25" customHeight="1"/>
    <row r="17477" ht="14.25" customHeight="1"/>
    <row r="17478" ht="14.25" customHeight="1"/>
    <row r="17479" ht="14.25" customHeight="1"/>
    <row r="17480" ht="14.25" customHeight="1"/>
    <row r="17481" ht="14.25" customHeight="1"/>
    <row r="17482" ht="14.25" customHeight="1"/>
    <row r="17483" ht="14.25" customHeight="1"/>
    <row r="17484" ht="14.25" customHeight="1"/>
    <row r="17485" ht="14.25" customHeight="1"/>
    <row r="17486" ht="14.25" customHeight="1"/>
    <row r="17487" ht="14.25" customHeight="1"/>
    <row r="17488" ht="14.25" customHeight="1"/>
    <row r="17489" ht="14.25" customHeight="1"/>
    <row r="17490" ht="14.25" customHeight="1"/>
    <row r="17491" ht="14.25" customHeight="1"/>
    <row r="17492" ht="14.25" customHeight="1"/>
    <row r="17493" ht="14.25" customHeight="1"/>
    <row r="17494" ht="14.25" customHeight="1"/>
    <row r="17495" ht="14.25" customHeight="1"/>
    <row r="17496" ht="14.25" customHeight="1"/>
    <row r="17497" ht="14.25" customHeight="1"/>
    <row r="17498" ht="14.25" customHeight="1"/>
    <row r="17499" ht="14.25" customHeight="1"/>
    <row r="17500" ht="14.25" customHeight="1"/>
    <row r="17501" ht="14.25" customHeight="1"/>
    <row r="17502" ht="14.25" customHeight="1"/>
    <row r="17503" ht="14.25" customHeight="1"/>
    <row r="17504" ht="14.25" customHeight="1"/>
    <row r="17505" ht="14.25" customHeight="1"/>
    <row r="17506" ht="14.25" customHeight="1"/>
    <row r="17507" ht="14.25" customHeight="1"/>
    <row r="17508" ht="14.25" customHeight="1"/>
    <row r="17509" ht="14.25" customHeight="1"/>
    <row r="17510" ht="14.25" customHeight="1"/>
    <row r="17511" ht="14.25" customHeight="1"/>
    <row r="17512" ht="14.25" customHeight="1"/>
    <row r="17513" ht="14.25" customHeight="1"/>
    <row r="17514" ht="14.25" customHeight="1"/>
    <row r="17515" ht="14.25" customHeight="1"/>
    <row r="17516" ht="14.25" customHeight="1"/>
    <row r="17517" ht="14.25" customHeight="1"/>
    <row r="17518" ht="14.25" customHeight="1"/>
    <row r="17519" ht="14.25" customHeight="1"/>
    <row r="17520" ht="14.25" customHeight="1"/>
    <row r="17521" ht="14.25" customHeight="1"/>
    <row r="17522" ht="14.25" customHeight="1"/>
    <row r="17523" ht="14.25" customHeight="1"/>
    <row r="17524" ht="14.25" customHeight="1"/>
    <row r="17525" ht="14.25" customHeight="1"/>
    <row r="17526" ht="14.25" customHeight="1"/>
    <row r="17527" ht="14.25" customHeight="1"/>
    <row r="17528" ht="14.25" customHeight="1"/>
    <row r="17529" ht="14.25" customHeight="1"/>
    <row r="17530" ht="14.25" customHeight="1"/>
    <row r="17531" ht="14.25" customHeight="1"/>
    <row r="17532" ht="14.25" customHeight="1"/>
    <row r="17533" ht="14.25" customHeight="1"/>
    <row r="17534" ht="14.25" customHeight="1"/>
    <row r="17535" ht="14.25" customHeight="1"/>
    <row r="17536" ht="14.25" customHeight="1"/>
    <row r="17537" ht="14.25" customHeight="1"/>
    <row r="17538" ht="14.25" customHeight="1"/>
    <row r="17539" ht="14.25" customHeight="1"/>
    <row r="17540" ht="14.25" customHeight="1"/>
    <row r="17541" ht="14.25" customHeight="1"/>
    <row r="17542" ht="14.25" customHeight="1"/>
    <row r="17543" ht="14.25" customHeight="1"/>
    <row r="17544" ht="14.25" customHeight="1"/>
    <row r="17545" ht="14.25" customHeight="1"/>
    <row r="17546" ht="14.25" customHeight="1"/>
    <row r="17547" ht="14.25" customHeight="1"/>
    <row r="17548" ht="14.25" customHeight="1"/>
    <row r="17549" ht="14.25" customHeight="1"/>
    <row r="17550" ht="14.25" customHeight="1"/>
    <row r="17551" ht="14.25" customHeight="1"/>
    <row r="17552" ht="14.25" customHeight="1"/>
    <row r="17553" ht="14.25" customHeight="1"/>
    <row r="17554" ht="14.25" customHeight="1"/>
    <row r="17555" ht="14.25" customHeight="1"/>
    <row r="17556" ht="14.25" customHeight="1"/>
    <row r="17557" ht="14.25" customHeight="1"/>
    <row r="17558" ht="14.25" customHeight="1"/>
    <row r="17559" ht="14.25" customHeight="1"/>
    <row r="17560" ht="14.25" customHeight="1"/>
    <row r="17561" ht="14.25" customHeight="1"/>
    <row r="17562" ht="14.25" customHeight="1"/>
    <row r="17563" ht="14.25" customHeight="1"/>
    <row r="17564" ht="14.25" customHeight="1"/>
    <row r="17565" ht="14.25" customHeight="1"/>
    <row r="17566" ht="14.25" customHeight="1"/>
    <row r="17567" ht="14.25" customHeight="1"/>
    <row r="17568" ht="14.25" customHeight="1"/>
    <row r="17569" ht="14.25" customHeight="1"/>
    <row r="17570" ht="14.25" customHeight="1"/>
    <row r="17571" ht="14.25" customHeight="1"/>
    <row r="17572" ht="14.25" customHeight="1"/>
    <row r="17573" ht="14.25" customHeight="1"/>
    <row r="17574" ht="14.25" customHeight="1"/>
    <row r="17575" ht="14.25" customHeight="1"/>
    <row r="17576" ht="14.25" customHeight="1"/>
    <row r="17577" ht="14.25" customHeight="1"/>
    <row r="17578" ht="14.25" customHeight="1"/>
    <row r="17579" ht="14.25" customHeight="1"/>
    <row r="17580" ht="14.25" customHeight="1"/>
    <row r="17581" ht="14.25" customHeight="1"/>
    <row r="17582" ht="14.25" customHeight="1"/>
    <row r="17583" ht="14.25" customHeight="1"/>
    <row r="17584" ht="14.25" customHeight="1"/>
    <row r="17585" ht="14.25" customHeight="1"/>
    <row r="17586" ht="14.25" customHeight="1"/>
    <row r="17587" ht="14.25" customHeight="1"/>
    <row r="17588" ht="14.25" customHeight="1"/>
    <row r="17589" ht="14.25" customHeight="1"/>
    <row r="17590" ht="14.25" customHeight="1"/>
    <row r="17591" ht="14.25" customHeight="1"/>
    <row r="17592" ht="14.25" customHeight="1"/>
    <row r="17593" ht="14.25" customHeight="1"/>
    <row r="17594" ht="14.25" customHeight="1"/>
    <row r="17595" ht="14.25" customHeight="1"/>
    <row r="17596" ht="14.25" customHeight="1"/>
    <row r="17597" ht="14.25" customHeight="1"/>
    <row r="17598" ht="14.25" customHeight="1"/>
    <row r="17599" ht="14.25" customHeight="1"/>
    <row r="17600" ht="14.25" customHeight="1"/>
    <row r="17601" ht="14.25" customHeight="1"/>
    <row r="17602" ht="14.25" customHeight="1"/>
    <row r="17603" ht="14.25" customHeight="1"/>
    <row r="17604" ht="14.25" customHeight="1"/>
    <row r="17605" ht="14.25" customHeight="1"/>
    <row r="17606" ht="14.25" customHeight="1"/>
    <row r="17607" ht="14.25" customHeight="1"/>
    <row r="17608" ht="14.25" customHeight="1"/>
    <row r="17609" ht="14.25" customHeight="1"/>
    <row r="17610" ht="14.25" customHeight="1"/>
    <row r="17611" ht="14.25" customHeight="1"/>
    <row r="17612" ht="14.25" customHeight="1"/>
    <row r="17613" ht="14.25" customHeight="1"/>
    <row r="17614" ht="14.25" customHeight="1"/>
    <row r="17615" ht="14.25" customHeight="1"/>
    <row r="17616" ht="14.25" customHeight="1"/>
    <row r="17617" ht="14.25" customHeight="1"/>
    <row r="17618" ht="14.25" customHeight="1"/>
    <row r="17619" ht="14.25" customHeight="1"/>
    <row r="17620" ht="14.25" customHeight="1"/>
    <row r="17621" ht="14.25" customHeight="1"/>
    <row r="17622" ht="14.25" customHeight="1"/>
    <row r="17623" ht="14.25" customHeight="1"/>
    <row r="17624" ht="14.25" customHeight="1"/>
    <row r="17625" ht="14.25" customHeight="1"/>
    <row r="17626" ht="14.25" customHeight="1"/>
    <row r="17627" ht="14.25" customHeight="1"/>
    <row r="17628" ht="14.25" customHeight="1"/>
    <row r="17629" ht="14.25" customHeight="1"/>
    <row r="17630" ht="14.25" customHeight="1"/>
    <row r="17631" ht="14.25" customHeight="1"/>
    <row r="17632" ht="14.25" customHeight="1"/>
    <row r="17633" ht="14.25" customHeight="1"/>
    <row r="17634" ht="14.25" customHeight="1"/>
    <row r="17635" ht="14.25" customHeight="1"/>
    <row r="17636" ht="14.25" customHeight="1"/>
    <row r="17637" ht="14.25" customHeight="1"/>
    <row r="17638" ht="14.25" customHeight="1"/>
    <row r="17639" ht="14.25" customHeight="1"/>
    <row r="17640" ht="14.25" customHeight="1"/>
    <row r="17641" ht="14.25" customHeight="1"/>
    <row r="17642" ht="14.25" customHeight="1"/>
    <row r="17643" ht="14.25" customHeight="1"/>
    <row r="17644" ht="14.25" customHeight="1"/>
    <row r="17645" ht="14.25" customHeight="1"/>
    <row r="17646" ht="14.25" customHeight="1"/>
    <row r="17647" ht="14.25" customHeight="1"/>
    <row r="17648" ht="14.25" customHeight="1"/>
    <row r="17649" ht="14.25" customHeight="1"/>
    <row r="17650" ht="14.25" customHeight="1"/>
    <row r="17651" ht="14.25" customHeight="1"/>
    <row r="17652" ht="14.25" customHeight="1"/>
    <row r="17653" ht="14.25" customHeight="1"/>
    <row r="17654" ht="14.25" customHeight="1"/>
    <row r="17655" ht="14.25" customHeight="1"/>
    <row r="17656" ht="14.25" customHeight="1"/>
    <row r="17657" ht="14.25" customHeight="1"/>
    <row r="17658" ht="14.25" customHeight="1"/>
    <row r="17659" ht="14.25" customHeight="1"/>
    <row r="17660" ht="14.25" customHeight="1"/>
    <row r="17661" ht="14.25" customHeight="1"/>
    <row r="17662" ht="14.25" customHeight="1"/>
    <row r="17663" ht="14.25" customHeight="1"/>
    <row r="17664" ht="14.25" customHeight="1"/>
    <row r="17665" ht="14.25" customHeight="1"/>
    <row r="17666" ht="14.25" customHeight="1"/>
    <row r="17667" ht="14.25" customHeight="1"/>
    <row r="17668" ht="14.25" customHeight="1"/>
    <row r="17669" ht="14.25" customHeight="1"/>
    <row r="17670" ht="14.25" customHeight="1"/>
    <row r="17671" ht="14.25" customHeight="1"/>
    <row r="17672" ht="14.25" customHeight="1"/>
    <row r="17673" ht="14.25" customHeight="1"/>
    <row r="17674" ht="14.25" customHeight="1"/>
    <row r="17675" ht="14.25" customHeight="1"/>
    <row r="17676" ht="14.25" customHeight="1"/>
    <row r="17677" ht="14.25" customHeight="1"/>
    <row r="17678" ht="14.25" customHeight="1"/>
    <row r="17679" ht="14.25" customHeight="1"/>
    <row r="17680" ht="14.25" customHeight="1"/>
    <row r="17681" ht="14.25" customHeight="1"/>
    <row r="17682" ht="14.25" customHeight="1"/>
    <row r="17683" ht="14.25" customHeight="1"/>
    <row r="17684" ht="14.25" customHeight="1"/>
    <row r="17685" ht="14.25" customHeight="1"/>
    <row r="17686" ht="14.25" customHeight="1"/>
    <row r="17687" ht="14.25" customHeight="1"/>
    <row r="17688" ht="14.25" customHeight="1"/>
    <row r="17689" ht="14.25" customHeight="1"/>
    <row r="17690" ht="14.25" customHeight="1"/>
    <row r="17691" ht="14.25" customHeight="1"/>
    <row r="17692" ht="14.25" customHeight="1"/>
    <row r="17693" ht="14.25" customHeight="1"/>
    <row r="17694" ht="14.25" customHeight="1"/>
    <row r="17695" ht="14.25" customHeight="1"/>
    <row r="17696" ht="14.25" customHeight="1"/>
    <row r="17697" ht="14.25" customHeight="1"/>
    <row r="17698" ht="14.25" customHeight="1"/>
    <row r="17699" ht="14.25" customHeight="1"/>
    <row r="17700" ht="14.25" customHeight="1"/>
    <row r="17701" ht="14.25" customHeight="1"/>
    <row r="17702" ht="14.25" customHeight="1"/>
    <row r="17703" ht="14.25" customHeight="1"/>
    <row r="17704" ht="14.25" customHeight="1"/>
    <row r="17705" ht="14.25" customHeight="1"/>
    <row r="17706" ht="14.25" customHeight="1"/>
    <row r="17707" ht="14.25" customHeight="1"/>
    <row r="17708" ht="14.25" customHeight="1"/>
    <row r="17709" ht="14.25" customHeight="1"/>
    <row r="17710" ht="14.25" customHeight="1"/>
    <row r="17711" ht="14.25" customHeight="1"/>
    <row r="17712" ht="14.25" customHeight="1"/>
    <row r="17713" ht="14.25" customHeight="1"/>
    <row r="17714" ht="14.25" customHeight="1"/>
    <row r="17715" ht="14.25" customHeight="1"/>
    <row r="17716" ht="14.25" customHeight="1"/>
    <row r="17717" ht="14.25" customHeight="1"/>
    <row r="17718" ht="14.25" customHeight="1"/>
    <row r="17719" ht="14.25" customHeight="1"/>
    <row r="17720" ht="14.25" customHeight="1"/>
    <row r="17721" ht="14.25" customHeight="1"/>
    <row r="17722" ht="14.25" customHeight="1"/>
    <row r="17723" ht="14.25" customHeight="1"/>
    <row r="17724" ht="14.25" customHeight="1"/>
    <row r="17725" ht="14.25" customHeight="1"/>
    <row r="17726" ht="14.25" customHeight="1"/>
    <row r="17727" ht="14.25" customHeight="1"/>
    <row r="17728" ht="14.25" customHeight="1"/>
    <row r="17729" ht="14.25" customHeight="1"/>
    <row r="17730" ht="14.25" customHeight="1"/>
    <row r="17731" ht="14.25" customHeight="1"/>
    <row r="17732" ht="14.25" customHeight="1"/>
    <row r="17733" ht="14.25" customHeight="1"/>
    <row r="17734" ht="14.25" customHeight="1"/>
    <row r="17735" ht="14.25" customHeight="1"/>
    <row r="17736" ht="14.25" customHeight="1"/>
    <row r="17737" ht="14.25" customHeight="1"/>
    <row r="17738" ht="14.25" customHeight="1"/>
    <row r="17739" ht="14.25" customHeight="1"/>
    <row r="17740" ht="14.25" customHeight="1"/>
    <row r="17741" ht="14.25" customHeight="1"/>
    <row r="17742" ht="14.25" customHeight="1"/>
    <row r="17743" ht="14.25" customHeight="1"/>
    <row r="17744" ht="14.25" customHeight="1"/>
    <row r="17745" ht="14.25" customHeight="1"/>
    <row r="17746" ht="14.25" customHeight="1"/>
    <row r="17747" ht="14.25" customHeight="1"/>
    <row r="17748" ht="14.25" customHeight="1"/>
    <row r="17749" ht="14.25" customHeight="1"/>
    <row r="17750" ht="14.25" customHeight="1"/>
    <row r="17751" ht="14.25" customHeight="1"/>
    <row r="17752" ht="14.25" customHeight="1"/>
    <row r="17753" ht="14.25" customHeight="1"/>
    <row r="17754" ht="14.25" customHeight="1"/>
    <row r="17755" ht="14.25" customHeight="1"/>
    <row r="17756" ht="14.25" customHeight="1"/>
    <row r="17757" ht="14.25" customHeight="1"/>
    <row r="17758" ht="14.25" customHeight="1"/>
    <row r="17759" ht="14.25" customHeight="1"/>
    <row r="17760" ht="14.25" customHeight="1"/>
    <row r="17761" ht="14.25" customHeight="1"/>
    <row r="17762" ht="14.25" customHeight="1"/>
    <row r="17763" ht="14.25" customHeight="1"/>
    <row r="17764" ht="14.25" customHeight="1"/>
    <row r="17765" ht="14.25" customHeight="1"/>
    <row r="17766" ht="14.25" customHeight="1"/>
    <row r="17767" ht="14.25" customHeight="1"/>
    <row r="17768" ht="14.25" customHeight="1"/>
    <row r="17769" ht="14.25" customHeight="1"/>
    <row r="17770" ht="14.25" customHeight="1"/>
    <row r="17771" ht="14.25" customHeight="1"/>
    <row r="17772" ht="14.25" customHeight="1"/>
    <row r="17773" ht="14.25" customHeight="1"/>
    <row r="17774" ht="14.25" customHeight="1"/>
    <row r="17775" ht="14.25" customHeight="1"/>
    <row r="17776" ht="14.25" customHeight="1"/>
    <row r="17777" ht="14.25" customHeight="1"/>
    <row r="17778" ht="14.25" customHeight="1"/>
    <row r="17779" ht="14.25" customHeight="1"/>
    <row r="17780" ht="14.25" customHeight="1"/>
    <row r="17781" ht="14.25" customHeight="1"/>
    <row r="17782" ht="14.25" customHeight="1"/>
    <row r="17783" ht="14.25" customHeight="1"/>
    <row r="17784" ht="14.25" customHeight="1"/>
    <row r="17785" ht="14.25" customHeight="1"/>
    <row r="17786" ht="14.25" customHeight="1"/>
    <row r="17787" ht="14.25" customHeight="1"/>
    <row r="17788" ht="14.25" customHeight="1"/>
    <row r="17789" ht="14.25" customHeight="1"/>
    <row r="17790" ht="14.25" customHeight="1"/>
    <row r="17791" ht="14.25" customHeight="1"/>
    <row r="17792" ht="14.25" customHeight="1"/>
    <row r="17793" ht="14.25" customHeight="1"/>
    <row r="17794" ht="14.25" customHeight="1"/>
    <row r="17795" ht="14.25" customHeight="1"/>
    <row r="17796" ht="14.25" customHeight="1"/>
    <row r="17797" ht="14.25" customHeight="1"/>
    <row r="17798" ht="14.25" customHeight="1"/>
    <row r="17799" ht="14.25" customHeight="1"/>
    <row r="17800" ht="14.25" customHeight="1"/>
    <row r="17801" ht="14.25" customHeight="1"/>
    <row r="17802" ht="14.25" customHeight="1"/>
    <row r="17803" ht="14.25" customHeight="1"/>
    <row r="17804" ht="14.25" customHeight="1"/>
    <row r="17805" ht="14.25" customHeight="1"/>
    <row r="17806" ht="14.25" customHeight="1"/>
    <row r="17807" ht="14.25" customHeight="1"/>
    <row r="17808" ht="14.25" customHeight="1"/>
    <row r="17809" ht="14.25" customHeight="1"/>
    <row r="17810" ht="14.25" customHeight="1"/>
    <row r="17811" ht="14.25" customHeight="1"/>
    <row r="17812" ht="14.25" customHeight="1"/>
    <row r="17813" ht="14.25" customHeight="1"/>
    <row r="17814" ht="14.25" customHeight="1"/>
    <row r="17815" ht="14.25" customHeight="1"/>
    <row r="17816" ht="14.25" customHeight="1"/>
    <row r="17817" ht="14.25" customHeight="1"/>
    <row r="17818" ht="14.25" customHeight="1"/>
    <row r="17819" ht="14.25" customHeight="1"/>
    <row r="17820" ht="14.25" customHeight="1"/>
    <row r="17821" ht="14.25" customHeight="1"/>
    <row r="17822" ht="14.25" customHeight="1"/>
    <row r="17823" ht="14.25" customHeight="1"/>
    <row r="17824" ht="14.25" customHeight="1"/>
    <row r="17825" ht="14.25" customHeight="1"/>
    <row r="17826" ht="14.25" customHeight="1"/>
    <row r="17827" ht="14.25" customHeight="1"/>
    <row r="17828" ht="14.25" customHeight="1"/>
    <row r="17829" ht="14.25" customHeight="1"/>
    <row r="17830" ht="14.25" customHeight="1"/>
    <row r="17831" ht="14.25" customHeight="1"/>
    <row r="17832" ht="14.25" customHeight="1"/>
    <row r="17833" ht="14.25" customHeight="1"/>
    <row r="17834" ht="14.25" customHeight="1"/>
    <row r="17835" ht="14.25" customHeight="1"/>
    <row r="17836" ht="14.25" customHeight="1"/>
    <row r="17837" ht="14.25" customHeight="1"/>
    <row r="17838" ht="14.25" customHeight="1"/>
    <row r="17839" ht="14.25" customHeight="1"/>
    <row r="17840" ht="14.25" customHeight="1"/>
    <row r="17841" ht="14.25" customHeight="1"/>
    <row r="17842" ht="14.25" customHeight="1"/>
    <row r="17843" ht="14.25" customHeight="1"/>
    <row r="17844" ht="14.25" customHeight="1"/>
    <row r="17845" ht="14.25" customHeight="1"/>
    <row r="17846" ht="14.25" customHeight="1"/>
    <row r="17847" ht="14.25" customHeight="1"/>
    <row r="17848" ht="14.25" customHeight="1"/>
    <row r="17849" ht="14.25" customHeight="1"/>
    <row r="17850" ht="14.25" customHeight="1"/>
    <row r="17851" ht="14.25" customHeight="1"/>
    <row r="17852" ht="14.25" customHeight="1"/>
    <row r="17853" ht="14.25" customHeight="1"/>
    <row r="17854" ht="14.25" customHeight="1"/>
    <row r="17855" ht="14.25" customHeight="1"/>
    <row r="17856" ht="14.25" customHeight="1"/>
    <row r="17857" ht="14.25" customHeight="1"/>
    <row r="17858" ht="14.25" customHeight="1"/>
    <row r="17859" ht="14.25" customHeight="1"/>
    <row r="17860" ht="14.25" customHeight="1"/>
    <row r="17861" ht="14.25" customHeight="1"/>
    <row r="17862" ht="14.25" customHeight="1"/>
    <row r="17863" ht="14.25" customHeight="1"/>
    <row r="17864" ht="14.25" customHeight="1"/>
    <row r="17865" ht="14.25" customHeight="1"/>
    <row r="17866" ht="14.25" customHeight="1"/>
    <row r="17867" ht="14.25" customHeight="1"/>
    <row r="17868" ht="14.25" customHeight="1"/>
    <row r="17869" ht="14.25" customHeight="1"/>
    <row r="17870" ht="14.25" customHeight="1"/>
    <row r="17871" ht="14.25" customHeight="1"/>
    <row r="17872" ht="14.25" customHeight="1"/>
    <row r="17873" ht="14.25" customHeight="1"/>
    <row r="17874" ht="14.25" customHeight="1"/>
    <row r="17875" ht="14.25" customHeight="1"/>
    <row r="17876" ht="14.25" customHeight="1"/>
    <row r="17877" ht="14.25" customHeight="1"/>
    <row r="17878" ht="14.25" customHeight="1"/>
    <row r="17879" ht="14.25" customHeight="1"/>
    <row r="17880" ht="14.25" customHeight="1"/>
    <row r="17881" ht="14.25" customHeight="1"/>
    <row r="17882" ht="14.25" customHeight="1"/>
    <row r="17883" ht="14.25" customHeight="1"/>
    <row r="17884" ht="14.25" customHeight="1"/>
    <row r="17885" ht="14.25" customHeight="1"/>
    <row r="17886" ht="14.25" customHeight="1"/>
    <row r="17887" ht="14.25" customHeight="1"/>
    <row r="17888" ht="14.25" customHeight="1"/>
    <row r="17889" ht="14.25" customHeight="1"/>
    <row r="17890" ht="14.25" customHeight="1"/>
    <row r="17891" ht="14.25" customHeight="1"/>
    <row r="17892" ht="14.25" customHeight="1"/>
    <row r="17893" ht="14.25" customHeight="1"/>
    <row r="17894" ht="14.25" customHeight="1"/>
    <row r="17895" ht="14.25" customHeight="1"/>
    <row r="17896" ht="14.25" customHeight="1"/>
    <row r="17897" ht="14.25" customHeight="1"/>
    <row r="17898" ht="14.25" customHeight="1"/>
    <row r="17899" ht="14.25" customHeight="1"/>
    <row r="17900" ht="14.25" customHeight="1"/>
    <row r="17901" ht="14.25" customHeight="1"/>
    <row r="17902" ht="14.25" customHeight="1"/>
    <row r="17903" ht="14.25" customHeight="1"/>
    <row r="17904" ht="14.25" customHeight="1"/>
    <row r="17905" ht="14.25" customHeight="1"/>
    <row r="17906" ht="14.25" customHeight="1"/>
    <row r="17907" ht="14.25" customHeight="1"/>
    <row r="17908" ht="14.25" customHeight="1"/>
    <row r="17909" ht="14.25" customHeight="1"/>
    <row r="17910" ht="14.25" customHeight="1"/>
    <row r="17911" ht="14.25" customHeight="1"/>
    <row r="17912" ht="14.25" customHeight="1"/>
    <row r="17913" ht="14.25" customHeight="1"/>
    <row r="17914" ht="14.25" customHeight="1"/>
    <row r="17915" ht="14.25" customHeight="1"/>
    <row r="17916" ht="14.25" customHeight="1"/>
    <row r="17917" ht="14.25" customHeight="1"/>
    <row r="17918" ht="14.25" customHeight="1"/>
    <row r="17919" ht="14.25" customHeight="1"/>
    <row r="17920" ht="14.25" customHeight="1"/>
    <row r="17921" ht="14.25" customHeight="1"/>
    <row r="17922" ht="14.25" customHeight="1"/>
    <row r="17923" ht="14.25" customHeight="1"/>
    <row r="17924" ht="14.25" customHeight="1"/>
    <row r="17925" ht="14.25" customHeight="1"/>
    <row r="17926" ht="14.25" customHeight="1"/>
    <row r="17927" ht="14.25" customHeight="1"/>
    <row r="17928" ht="14.25" customHeight="1"/>
    <row r="17929" ht="14.25" customHeight="1"/>
    <row r="17930" ht="14.25" customHeight="1"/>
    <row r="17931" ht="14.25" customHeight="1"/>
    <row r="17932" ht="14.25" customHeight="1"/>
    <row r="17933" ht="14.25" customHeight="1"/>
    <row r="17934" ht="14.25" customHeight="1"/>
    <row r="17935" ht="14.25" customHeight="1"/>
    <row r="17936" ht="14.25" customHeight="1"/>
    <row r="17937" ht="14.25" customHeight="1"/>
    <row r="17938" ht="14.25" customHeight="1"/>
    <row r="17939" ht="14.25" customHeight="1"/>
    <row r="17940" ht="14.25" customHeight="1"/>
    <row r="17941" ht="14.25" customHeight="1"/>
    <row r="17942" ht="14.25" customHeight="1"/>
    <row r="17943" ht="14.25" customHeight="1"/>
    <row r="17944" ht="14.25" customHeight="1"/>
    <row r="17945" ht="14.25" customHeight="1"/>
    <row r="17946" ht="14.25" customHeight="1"/>
    <row r="17947" ht="14.25" customHeight="1"/>
    <row r="17948" ht="14.25" customHeight="1"/>
    <row r="17949" ht="14.25" customHeight="1"/>
    <row r="17950" ht="14.25" customHeight="1"/>
    <row r="17951" ht="14.25" customHeight="1"/>
    <row r="17952" ht="14.25" customHeight="1"/>
    <row r="17953" ht="14.25" customHeight="1"/>
    <row r="17954" ht="14.25" customHeight="1"/>
    <row r="17955" ht="14.25" customHeight="1"/>
    <row r="17956" ht="14.25" customHeight="1"/>
    <row r="17957" ht="14.25" customHeight="1"/>
    <row r="17958" ht="14.25" customHeight="1"/>
    <row r="17959" ht="14.25" customHeight="1"/>
    <row r="17960" ht="14.25" customHeight="1"/>
    <row r="17961" ht="14.25" customHeight="1"/>
    <row r="17962" ht="14.25" customHeight="1"/>
    <row r="17963" ht="14.25" customHeight="1"/>
    <row r="17964" ht="14.25" customHeight="1"/>
    <row r="17965" ht="14.25" customHeight="1"/>
    <row r="17966" ht="14.25" customHeight="1"/>
    <row r="17967" ht="14.25" customHeight="1"/>
    <row r="17968" ht="14.25" customHeight="1"/>
    <row r="17969" ht="14.25" customHeight="1"/>
    <row r="17970" ht="14.25" customHeight="1"/>
    <row r="17971" ht="14.25" customHeight="1"/>
    <row r="17972" ht="14.25" customHeight="1"/>
    <row r="17973" ht="14.25" customHeight="1"/>
    <row r="17974" ht="14.25" customHeight="1"/>
    <row r="17975" ht="14.25" customHeight="1"/>
    <row r="17976" ht="14.25" customHeight="1"/>
    <row r="17977" ht="14.25" customHeight="1"/>
    <row r="17978" ht="14.25" customHeight="1"/>
    <row r="17979" ht="14.25" customHeight="1"/>
    <row r="17980" ht="14.25" customHeight="1"/>
    <row r="17981" ht="14.25" customHeight="1"/>
    <row r="17982" ht="14.25" customHeight="1"/>
    <row r="17983" ht="14.25" customHeight="1"/>
    <row r="17984" ht="14.25" customHeight="1"/>
    <row r="17985" ht="14.25" customHeight="1"/>
    <row r="17986" ht="14.25" customHeight="1"/>
    <row r="17987" ht="14.25" customHeight="1"/>
    <row r="17988" ht="14.25" customHeight="1"/>
    <row r="17989" ht="14.25" customHeight="1"/>
    <row r="17990" ht="14.25" customHeight="1"/>
    <row r="17991" ht="14.25" customHeight="1"/>
    <row r="17992" ht="14.25" customHeight="1"/>
    <row r="17993" ht="14.25" customHeight="1"/>
    <row r="17994" ht="14.25" customHeight="1"/>
    <row r="17995" ht="14.25" customHeight="1"/>
    <row r="17996" ht="14.25" customHeight="1"/>
    <row r="17997" ht="14.25" customHeight="1"/>
    <row r="17998" ht="14.25" customHeight="1"/>
    <row r="17999" ht="14.25" customHeight="1"/>
    <row r="18000" ht="14.25" customHeight="1"/>
    <row r="18001" ht="14.25" customHeight="1"/>
    <row r="18002" ht="14.25" customHeight="1"/>
    <row r="18003" ht="14.25" customHeight="1"/>
    <row r="18004" ht="14.25" customHeight="1"/>
    <row r="18005" ht="14.25" customHeight="1"/>
    <row r="18006" ht="14.25" customHeight="1"/>
    <row r="18007" ht="14.25" customHeight="1"/>
    <row r="18008" ht="14.25" customHeight="1"/>
    <row r="18009" ht="14.25" customHeight="1"/>
    <row r="18010" ht="14.25" customHeight="1"/>
    <row r="18011" ht="14.25" customHeight="1"/>
    <row r="18012" ht="14.25" customHeight="1"/>
    <row r="18013" ht="14.25" customHeight="1"/>
    <row r="18014" ht="14.25" customHeight="1"/>
    <row r="18015" ht="14.25" customHeight="1"/>
    <row r="18016" ht="14.25" customHeight="1"/>
    <row r="18017" ht="14.25" customHeight="1"/>
    <row r="18018" ht="14.25" customHeight="1"/>
    <row r="18019" ht="14.25" customHeight="1"/>
    <row r="18020" ht="14.25" customHeight="1"/>
    <row r="18021" ht="14.25" customHeight="1"/>
    <row r="18022" ht="14.25" customHeight="1"/>
    <row r="18023" ht="14.25" customHeight="1"/>
    <row r="18024" ht="14.25" customHeight="1"/>
    <row r="18025" ht="14.25" customHeight="1"/>
    <row r="18026" ht="14.25" customHeight="1"/>
    <row r="18027" ht="14.25" customHeight="1"/>
    <row r="18028" ht="14.25" customHeight="1"/>
    <row r="18029" ht="14.25" customHeight="1"/>
    <row r="18030" ht="14.25" customHeight="1"/>
    <row r="18031" ht="14.25" customHeight="1"/>
    <row r="18032" ht="14.25" customHeight="1"/>
    <row r="18033" ht="14.25" customHeight="1"/>
    <row r="18034" ht="14.25" customHeight="1"/>
    <row r="18035" ht="14.25" customHeight="1"/>
    <row r="18036" ht="14.25" customHeight="1"/>
    <row r="18037" ht="14.25" customHeight="1"/>
    <row r="18038" ht="14.25" customHeight="1"/>
    <row r="18039" ht="14.25" customHeight="1"/>
    <row r="18040" ht="14.25" customHeight="1"/>
    <row r="18041" ht="14.25" customHeight="1"/>
    <row r="18042" ht="14.25" customHeight="1"/>
    <row r="18043" ht="14.25" customHeight="1"/>
    <row r="18044" ht="14.25" customHeight="1"/>
    <row r="18045" ht="14.25" customHeight="1"/>
    <row r="18046" ht="14.25" customHeight="1"/>
    <row r="18047" ht="14.25" customHeight="1"/>
    <row r="18048" ht="14.25" customHeight="1"/>
    <row r="18049" ht="14.25" customHeight="1"/>
    <row r="18050" ht="14.25" customHeight="1"/>
    <row r="18051" ht="14.25" customHeight="1"/>
    <row r="18052" ht="14.25" customHeight="1"/>
    <row r="18053" ht="14.25" customHeight="1"/>
    <row r="18054" ht="14.25" customHeight="1"/>
    <row r="18055" ht="14.25" customHeight="1"/>
    <row r="18056" ht="14.25" customHeight="1"/>
    <row r="18057" ht="14.25" customHeight="1"/>
    <row r="18058" ht="14.25" customHeight="1"/>
    <row r="18059" ht="14.25" customHeight="1"/>
    <row r="18060" ht="14.25" customHeight="1"/>
    <row r="18061" ht="14.25" customHeight="1"/>
    <row r="18062" ht="14.25" customHeight="1"/>
    <row r="18063" ht="14.25" customHeight="1"/>
    <row r="18064" ht="14.25" customHeight="1"/>
    <row r="18065" ht="14.25" customHeight="1"/>
    <row r="18066" ht="14.25" customHeight="1"/>
    <row r="18067" ht="14.25" customHeight="1"/>
    <row r="18068" ht="14.25" customHeight="1"/>
    <row r="18069" ht="14.25" customHeight="1"/>
    <row r="18070" ht="14.25" customHeight="1"/>
    <row r="18071" ht="14.25" customHeight="1"/>
    <row r="18072" ht="14.25" customHeight="1"/>
    <row r="18073" ht="14.25" customHeight="1"/>
    <row r="18074" ht="14.25" customHeight="1"/>
    <row r="18075" ht="14.25" customHeight="1"/>
    <row r="18076" ht="14.25" customHeight="1"/>
    <row r="18077" ht="14.25" customHeight="1"/>
    <row r="18078" ht="14.25" customHeight="1"/>
    <row r="18079" ht="14.25" customHeight="1"/>
    <row r="18080" ht="14.25" customHeight="1"/>
    <row r="18081" ht="14.25" customHeight="1"/>
    <row r="18082" ht="14.25" customHeight="1"/>
    <row r="18083" ht="14.25" customHeight="1"/>
    <row r="18084" ht="14.25" customHeight="1"/>
    <row r="18085" ht="14.25" customHeight="1"/>
    <row r="18086" ht="14.25" customHeight="1"/>
    <row r="18087" ht="14.25" customHeight="1"/>
    <row r="18088" ht="14.25" customHeight="1"/>
    <row r="18089" ht="14.25" customHeight="1"/>
    <row r="18090" ht="14.25" customHeight="1"/>
    <row r="18091" ht="14.25" customHeight="1"/>
    <row r="18092" ht="14.25" customHeight="1"/>
    <row r="18093" ht="14.25" customHeight="1"/>
    <row r="18094" ht="14.25" customHeight="1"/>
    <row r="18095" ht="14.25" customHeight="1"/>
    <row r="18096" ht="14.25" customHeight="1"/>
    <row r="18097" ht="14.25" customHeight="1"/>
    <row r="18098" ht="14.25" customHeight="1"/>
    <row r="18099" ht="14.25" customHeight="1"/>
    <row r="18100" ht="14.25" customHeight="1"/>
    <row r="18101" ht="14.25" customHeight="1"/>
    <row r="18102" ht="14.25" customHeight="1"/>
    <row r="18103" ht="14.25" customHeight="1"/>
    <row r="18104" ht="14.25" customHeight="1"/>
    <row r="18105" ht="14.25" customHeight="1"/>
    <row r="18106" ht="14.25" customHeight="1"/>
    <row r="18107" ht="14.25" customHeight="1"/>
    <row r="18108" ht="14.25" customHeight="1"/>
    <row r="18109" ht="14.25" customHeight="1"/>
    <row r="18110" ht="14.25" customHeight="1"/>
    <row r="18111" ht="14.25" customHeight="1"/>
    <row r="18112" ht="14.25" customHeight="1"/>
    <row r="18113" ht="14.25" customHeight="1"/>
    <row r="18114" ht="14.25" customHeight="1"/>
    <row r="18115" ht="14.25" customHeight="1"/>
    <row r="18116" ht="14.25" customHeight="1"/>
    <row r="18117" ht="14.25" customHeight="1"/>
    <row r="18118" ht="14.25" customHeight="1"/>
    <row r="18119" ht="14.25" customHeight="1"/>
    <row r="18120" ht="14.25" customHeight="1"/>
    <row r="18121" ht="14.25" customHeight="1"/>
    <row r="18122" ht="14.25" customHeight="1"/>
    <row r="18123" ht="14.25" customHeight="1"/>
    <row r="18124" ht="14.25" customHeight="1"/>
    <row r="18125" ht="14.25" customHeight="1"/>
    <row r="18126" ht="14.25" customHeight="1"/>
    <row r="18127" ht="14.25" customHeight="1"/>
    <row r="18128" ht="14.25" customHeight="1"/>
    <row r="18129" ht="14.25" customHeight="1"/>
    <row r="18130" ht="14.25" customHeight="1"/>
    <row r="18131" ht="14.25" customHeight="1"/>
    <row r="18132" ht="14.25" customHeight="1"/>
    <row r="18133" ht="14.25" customHeight="1"/>
    <row r="18134" ht="14.25" customHeight="1"/>
    <row r="18135" ht="14.25" customHeight="1"/>
    <row r="18136" ht="14.25" customHeight="1"/>
    <row r="18137" ht="14.25" customHeight="1"/>
    <row r="18138" ht="14.25" customHeight="1"/>
    <row r="18139" ht="14.25" customHeight="1"/>
    <row r="18140" ht="14.25" customHeight="1"/>
    <row r="18141" ht="14.25" customHeight="1"/>
    <row r="18142" ht="14.25" customHeight="1"/>
    <row r="18143" ht="14.25" customHeight="1"/>
    <row r="18144" ht="14.25" customHeight="1"/>
    <row r="18145" ht="14.25" customHeight="1"/>
    <row r="18146" ht="14.25" customHeight="1"/>
    <row r="18147" ht="14.25" customHeight="1"/>
    <row r="18148" ht="14.25" customHeight="1"/>
    <row r="18149" ht="14.25" customHeight="1"/>
    <row r="18150" ht="14.25" customHeight="1"/>
    <row r="18151" ht="14.25" customHeight="1"/>
    <row r="18152" ht="14.25" customHeight="1"/>
    <row r="18153" ht="14.25" customHeight="1"/>
    <row r="18154" ht="14.25" customHeight="1"/>
    <row r="18155" ht="14.25" customHeight="1"/>
    <row r="18156" ht="14.25" customHeight="1"/>
    <row r="18157" ht="14.25" customHeight="1"/>
    <row r="18158" ht="14.25" customHeight="1"/>
    <row r="18159" ht="14.25" customHeight="1"/>
    <row r="18160" ht="14.25" customHeight="1"/>
    <row r="18161" ht="14.25" customHeight="1"/>
    <row r="18162" ht="14.25" customHeight="1"/>
    <row r="18163" ht="14.25" customHeight="1"/>
    <row r="18164" ht="14.25" customHeight="1"/>
    <row r="18165" ht="14.25" customHeight="1"/>
    <row r="18166" ht="14.25" customHeight="1"/>
    <row r="18167" ht="14.25" customHeight="1"/>
    <row r="18168" ht="14.25" customHeight="1"/>
    <row r="18169" ht="14.25" customHeight="1"/>
    <row r="18170" ht="14.25" customHeight="1"/>
    <row r="18171" ht="14.25" customHeight="1"/>
    <row r="18172" ht="14.25" customHeight="1"/>
    <row r="18173" ht="14.25" customHeight="1"/>
    <row r="18174" ht="14.25" customHeight="1"/>
    <row r="18175" ht="14.25" customHeight="1"/>
    <row r="18176" ht="14.25" customHeight="1"/>
    <row r="18177" ht="14.25" customHeight="1"/>
    <row r="18178" ht="14.25" customHeight="1"/>
    <row r="18179" ht="14.25" customHeight="1"/>
    <row r="18180" ht="14.25" customHeight="1"/>
    <row r="18181" ht="14.25" customHeight="1"/>
    <row r="18182" ht="14.25" customHeight="1"/>
    <row r="18183" ht="14.25" customHeight="1"/>
    <row r="18184" ht="14.25" customHeight="1"/>
    <row r="18185" ht="14.25" customHeight="1"/>
    <row r="18186" ht="14.25" customHeight="1"/>
    <row r="18187" ht="14.25" customHeight="1"/>
    <row r="18188" ht="14.25" customHeight="1"/>
    <row r="18189" ht="14.25" customHeight="1"/>
    <row r="18190" ht="14.25" customHeight="1"/>
    <row r="18191" ht="14.25" customHeight="1"/>
    <row r="18192" ht="14.25" customHeight="1"/>
    <row r="18193" ht="14.25" customHeight="1"/>
    <row r="18194" ht="14.25" customHeight="1"/>
    <row r="18195" ht="14.25" customHeight="1"/>
    <row r="18196" ht="14.25" customHeight="1"/>
    <row r="18197" ht="14.25" customHeight="1"/>
    <row r="18198" ht="14.25" customHeight="1"/>
    <row r="18199" ht="14.25" customHeight="1"/>
    <row r="18200" ht="14.25" customHeight="1"/>
    <row r="18201" ht="14.25" customHeight="1"/>
    <row r="18202" ht="14.25" customHeight="1"/>
    <row r="18203" ht="14.25" customHeight="1"/>
    <row r="18204" ht="14.25" customHeight="1"/>
    <row r="18205" ht="14.25" customHeight="1"/>
    <row r="18206" ht="14.25" customHeight="1"/>
    <row r="18207" ht="14.25" customHeight="1"/>
    <row r="18208" ht="14.25" customHeight="1"/>
    <row r="18209" ht="14.25" customHeight="1"/>
    <row r="18210" ht="14.25" customHeight="1"/>
    <row r="18211" ht="14.25" customHeight="1"/>
    <row r="18212" ht="14.25" customHeight="1"/>
    <row r="18213" ht="14.25" customHeight="1"/>
    <row r="18214" ht="14.25" customHeight="1"/>
    <row r="18215" ht="14.25" customHeight="1"/>
    <row r="18216" ht="14.25" customHeight="1"/>
    <row r="18217" ht="14.25" customHeight="1"/>
    <row r="18218" ht="14.25" customHeight="1"/>
    <row r="18219" ht="14.25" customHeight="1"/>
    <row r="18220" ht="14.25" customHeight="1"/>
    <row r="18221" ht="14.25" customHeight="1"/>
    <row r="18222" ht="14.25" customHeight="1"/>
    <row r="18223" ht="14.25" customHeight="1"/>
    <row r="18224" ht="14.25" customHeight="1"/>
    <row r="18225" ht="14.25" customHeight="1"/>
    <row r="18226" ht="14.25" customHeight="1"/>
    <row r="18227" ht="14.25" customHeight="1"/>
    <row r="18228" ht="14.25" customHeight="1"/>
    <row r="18229" ht="14.25" customHeight="1"/>
    <row r="18230" ht="14.25" customHeight="1"/>
    <row r="18231" ht="14.25" customHeight="1"/>
    <row r="18232" ht="14.25" customHeight="1"/>
    <row r="18233" ht="14.25" customHeight="1"/>
    <row r="18234" ht="14.25" customHeight="1"/>
    <row r="18235" ht="14.25" customHeight="1"/>
    <row r="18236" ht="14.25" customHeight="1"/>
    <row r="18237" ht="14.25" customHeight="1"/>
    <row r="18238" ht="14.25" customHeight="1"/>
    <row r="18239" ht="14.25" customHeight="1"/>
    <row r="18240" ht="14.25" customHeight="1"/>
    <row r="18241" ht="14.25" customHeight="1"/>
    <row r="18242" ht="14.25" customHeight="1"/>
    <row r="18243" ht="14.25" customHeight="1"/>
    <row r="18244" ht="14.25" customHeight="1"/>
    <row r="18245" ht="14.25" customHeight="1"/>
    <row r="18246" ht="14.25" customHeight="1"/>
    <row r="18247" ht="14.25" customHeight="1"/>
    <row r="18248" ht="14.25" customHeight="1"/>
    <row r="18249" ht="14.25" customHeight="1"/>
    <row r="18250" ht="14.25" customHeight="1"/>
    <row r="18251" ht="14.25" customHeight="1"/>
    <row r="18252" ht="14.25" customHeight="1"/>
    <row r="18253" ht="14.25" customHeight="1"/>
    <row r="18254" ht="14.25" customHeight="1"/>
    <row r="18255" ht="14.25" customHeight="1"/>
    <row r="18256" ht="14.25" customHeight="1"/>
    <row r="18257" ht="14.25" customHeight="1"/>
    <row r="18258" ht="14.25" customHeight="1"/>
    <row r="18259" ht="14.25" customHeight="1"/>
    <row r="18260" ht="14.25" customHeight="1"/>
    <row r="18261" ht="14.25" customHeight="1"/>
    <row r="18262" ht="14.25" customHeight="1"/>
    <row r="18263" ht="14.25" customHeight="1"/>
    <row r="18264" ht="14.25" customHeight="1"/>
    <row r="18265" ht="14.25" customHeight="1"/>
    <row r="18266" ht="14.25" customHeight="1"/>
    <row r="18267" ht="14.25" customHeight="1"/>
    <row r="18268" ht="14.25" customHeight="1"/>
    <row r="18269" ht="14.25" customHeight="1"/>
    <row r="18270" ht="14.25" customHeight="1"/>
    <row r="18271" ht="14.25" customHeight="1"/>
    <row r="18272" ht="14.25" customHeight="1"/>
    <row r="18273" ht="14.25" customHeight="1"/>
    <row r="18274" ht="14.25" customHeight="1"/>
    <row r="18275" ht="14.25" customHeight="1"/>
    <row r="18276" ht="14.25" customHeight="1"/>
    <row r="18277" ht="14.25" customHeight="1"/>
    <row r="18278" ht="14.25" customHeight="1"/>
    <row r="18279" ht="14.25" customHeight="1"/>
    <row r="18280" ht="14.25" customHeight="1"/>
    <row r="18281" ht="14.25" customHeight="1"/>
    <row r="18282" ht="14.25" customHeight="1"/>
    <row r="18283" ht="14.25" customHeight="1"/>
    <row r="18284" ht="14.25" customHeight="1"/>
    <row r="18285" ht="14.25" customHeight="1"/>
    <row r="18286" ht="14.25" customHeight="1"/>
    <row r="18287" ht="14.25" customHeight="1"/>
    <row r="18288" ht="14.25" customHeight="1"/>
    <row r="18289" ht="14.25" customHeight="1"/>
    <row r="18290" ht="14.25" customHeight="1"/>
    <row r="18291" ht="14.25" customHeight="1"/>
    <row r="18292" ht="14.25" customHeight="1"/>
    <row r="18293" ht="14.25" customHeight="1"/>
    <row r="18294" ht="14.25" customHeight="1"/>
    <row r="18295" ht="14.25" customHeight="1"/>
    <row r="18296" ht="14.25" customHeight="1"/>
    <row r="18297" ht="14.25" customHeight="1"/>
    <row r="18298" ht="14.25" customHeight="1"/>
    <row r="18299" ht="14.25" customHeight="1"/>
    <row r="18300" ht="14.25" customHeight="1"/>
    <row r="18301" ht="14.25" customHeight="1"/>
    <row r="18302" ht="14.25" customHeight="1"/>
    <row r="18303" ht="14.25" customHeight="1"/>
    <row r="18304" ht="14.25" customHeight="1"/>
    <row r="18305" ht="14.25" customHeight="1"/>
    <row r="18306" ht="14.25" customHeight="1"/>
    <row r="18307" ht="14.25" customHeight="1"/>
    <row r="18308" ht="14.25" customHeight="1"/>
    <row r="18309" ht="14.25" customHeight="1"/>
    <row r="18310" ht="14.25" customHeight="1"/>
    <row r="18311" ht="14.25" customHeight="1"/>
    <row r="18312" ht="14.25" customHeight="1"/>
    <row r="18313" ht="14.25" customHeight="1"/>
    <row r="18314" ht="14.25" customHeight="1"/>
    <row r="18315" ht="14.25" customHeight="1"/>
    <row r="18316" ht="14.25" customHeight="1"/>
    <row r="18317" ht="14.25" customHeight="1"/>
    <row r="18318" ht="14.25" customHeight="1"/>
    <row r="18319" ht="14.25" customHeight="1"/>
    <row r="18320" ht="14.25" customHeight="1"/>
    <row r="18321" ht="14.25" customHeight="1"/>
    <row r="18322" ht="14.25" customHeight="1"/>
    <row r="18323" ht="14.25" customHeight="1"/>
    <row r="18324" ht="14.25" customHeight="1"/>
    <row r="18325" ht="14.25" customHeight="1"/>
    <row r="18326" ht="14.25" customHeight="1"/>
    <row r="18327" ht="14.25" customHeight="1"/>
    <row r="18328" ht="14.25" customHeight="1"/>
    <row r="18329" ht="14.25" customHeight="1"/>
    <row r="18330" ht="14.25" customHeight="1"/>
    <row r="18331" ht="14.25" customHeight="1"/>
    <row r="18332" ht="14.25" customHeight="1"/>
    <row r="18333" ht="14.25" customHeight="1"/>
    <row r="18334" ht="14.25" customHeight="1"/>
    <row r="18335" ht="14.25" customHeight="1"/>
    <row r="18336" ht="14.25" customHeight="1"/>
    <row r="18337" ht="14.25" customHeight="1"/>
    <row r="18338" ht="14.25" customHeight="1"/>
    <row r="18339" ht="14.25" customHeight="1"/>
    <row r="18340" ht="14.25" customHeight="1"/>
    <row r="18341" ht="14.25" customHeight="1"/>
    <row r="18342" ht="14.25" customHeight="1"/>
    <row r="18343" ht="14.25" customHeight="1"/>
    <row r="18344" ht="14.25" customHeight="1"/>
    <row r="18345" ht="14.25" customHeight="1"/>
    <row r="18346" ht="14.25" customHeight="1"/>
    <row r="18347" ht="14.25" customHeight="1"/>
    <row r="18348" ht="14.25" customHeight="1"/>
    <row r="18349" ht="14.25" customHeight="1"/>
    <row r="18350" ht="14.25" customHeight="1"/>
    <row r="18351" ht="14.25" customHeight="1"/>
    <row r="18352" ht="14.25" customHeight="1"/>
    <row r="18353" ht="14.25" customHeight="1"/>
    <row r="18354" ht="14.25" customHeight="1"/>
    <row r="18355" ht="14.25" customHeight="1"/>
    <row r="18356" ht="14.25" customHeight="1"/>
    <row r="18357" ht="14.25" customHeight="1"/>
    <row r="18358" ht="14.25" customHeight="1"/>
    <row r="18359" ht="14.25" customHeight="1"/>
    <row r="18360" ht="14.25" customHeight="1"/>
    <row r="18361" ht="14.25" customHeight="1"/>
    <row r="18362" ht="14.25" customHeight="1"/>
    <row r="18363" ht="14.25" customHeight="1"/>
    <row r="18364" ht="14.25" customHeight="1"/>
    <row r="18365" ht="14.25" customHeight="1"/>
    <row r="18366" ht="14.25" customHeight="1"/>
    <row r="18367" ht="14.25" customHeight="1"/>
    <row r="18368" ht="14.25" customHeight="1"/>
    <row r="18369" ht="14.25" customHeight="1"/>
    <row r="18370" ht="14.25" customHeight="1"/>
    <row r="18371" ht="14.25" customHeight="1"/>
    <row r="18372" ht="14.25" customHeight="1"/>
    <row r="18373" ht="14.25" customHeight="1"/>
    <row r="18374" ht="14.25" customHeight="1"/>
    <row r="18375" ht="14.25" customHeight="1"/>
    <row r="18376" ht="14.25" customHeight="1"/>
    <row r="18377" ht="14.25" customHeight="1"/>
    <row r="18378" ht="14.25" customHeight="1"/>
    <row r="18379" ht="14.25" customHeight="1"/>
    <row r="18380" ht="14.25" customHeight="1"/>
    <row r="18381" ht="14.25" customHeight="1"/>
    <row r="18382" ht="14.25" customHeight="1"/>
    <row r="18383" ht="14.25" customHeight="1"/>
    <row r="18384" ht="14.25" customHeight="1"/>
    <row r="18385" ht="14.25" customHeight="1"/>
    <row r="18386" ht="14.25" customHeight="1"/>
    <row r="18387" ht="14.25" customHeight="1"/>
    <row r="18388" ht="14.25" customHeight="1"/>
    <row r="18389" ht="14.25" customHeight="1"/>
    <row r="18390" ht="14.25" customHeight="1"/>
    <row r="18391" ht="14.25" customHeight="1"/>
    <row r="18392" ht="14.25" customHeight="1"/>
    <row r="18393" ht="14.25" customHeight="1"/>
    <row r="18394" ht="14.25" customHeight="1"/>
    <row r="18395" ht="14.25" customHeight="1"/>
    <row r="18396" ht="14.25" customHeight="1"/>
    <row r="18397" ht="14.25" customHeight="1"/>
    <row r="18398" ht="14.25" customHeight="1"/>
    <row r="18399" ht="14.25" customHeight="1"/>
    <row r="18400" ht="14.25" customHeight="1"/>
    <row r="18401" ht="14.25" customHeight="1"/>
    <row r="18402" ht="14.25" customHeight="1"/>
    <row r="18403" ht="14.25" customHeight="1"/>
    <row r="18404" ht="14.25" customHeight="1"/>
    <row r="18405" ht="14.25" customHeight="1"/>
    <row r="18406" ht="14.25" customHeight="1"/>
    <row r="18407" ht="14.25" customHeight="1"/>
    <row r="18408" ht="14.25" customHeight="1"/>
    <row r="18409" ht="14.25" customHeight="1"/>
    <row r="18410" ht="14.25" customHeight="1"/>
    <row r="18411" ht="14.25" customHeight="1"/>
    <row r="18412" ht="14.25" customHeight="1"/>
    <row r="18413" ht="14.25" customHeight="1"/>
    <row r="18414" ht="14.25" customHeight="1"/>
    <row r="18415" ht="14.25" customHeight="1"/>
    <row r="18416" ht="14.25" customHeight="1"/>
    <row r="18417" ht="14.25" customHeight="1"/>
    <row r="18418" ht="14.25" customHeight="1"/>
    <row r="18419" ht="14.25" customHeight="1"/>
    <row r="18420" ht="14.25" customHeight="1"/>
    <row r="18421" ht="14.25" customHeight="1"/>
    <row r="18422" ht="14.25" customHeight="1"/>
    <row r="18423" ht="14.25" customHeight="1"/>
    <row r="18424" ht="14.25" customHeight="1"/>
    <row r="18425" ht="14.25" customHeight="1"/>
    <row r="18426" ht="14.25" customHeight="1"/>
    <row r="18427" ht="14.25" customHeight="1"/>
    <row r="18428" ht="14.25" customHeight="1"/>
    <row r="18429" ht="14.25" customHeight="1"/>
    <row r="18430" ht="14.25" customHeight="1"/>
    <row r="18431" ht="14.25" customHeight="1"/>
    <row r="18432" ht="14.25" customHeight="1"/>
    <row r="18433" ht="14.25" customHeight="1"/>
    <row r="18434" ht="14.25" customHeight="1"/>
    <row r="18435" ht="14.25" customHeight="1"/>
    <row r="18436" ht="14.25" customHeight="1"/>
    <row r="18437" ht="14.25" customHeight="1"/>
    <row r="18438" ht="14.25" customHeight="1"/>
    <row r="18439" ht="14.25" customHeight="1"/>
    <row r="18440" ht="14.25" customHeight="1"/>
    <row r="18441" ht="14.25" customHeight="1"/>
    <row r="18442" ht="14.25" customHeight="1"/>
    <row r="18443" ht="14.25" customHeight="1"/>
    <row r="18444" ht="14.25" customHeight="1"/>
    <row r="18445" ht="14.25" customHeight="1"/>
    <row r="18446" ht="14.25" customHeight="1"/>
    <row r="18447" ht="14.25" customHeight="1"/>
    <row r="18448" ht="14.25" customHeight="1"/>
    <row r="18449" ht="14.25" customHeight="1"/>
    <row r="18450" ht="14.25" customHeight="1"/>
    <row r="18451" ht="14.25" customHeight="1"/>
    <row r="18452" ht="14.25" customHeight="1"/>
    <row r="18453" ht="14.25" customHeight="1"/>
    <row r="18454" ht="14.25" customHeight="1"/>
    <row r="18455" ht="14.25" customHeight="1"/>
    <row r="18456" ht="14.25" customHeight="1"/>
    <row r="18457" ht="14.25" customHeight="1"/>
    <row r="18458" ht="14.25" customHeight="1"/>
    <row r="18459" ht="14.25" customHeight="1"/>
    <row r="18460" ht="14.25" customHeight="1"/>
    <row r="18461" ht="14.25" customHeight="1"/>
    <row r="18462" ht="14.25" customHeight="1"/>
    <row r="18463" ht="14.25" customHeight="1"/>
    <row r="18464" ht="14.25" customHeight="1"/>
    <row r="18465" ht="14.25" customHeight="1"/>
    <row r="18466" ht="14.25" customHeight="1"/>
    <row r="18467" ht="14.25" customHeight="1"/>
    <row r="18468" ht="14.25" customHeight="1"/>
    <row r="18469" ht="14.25" customHeight="1"/>
    <row r="18470" ht="14.25" customHeight="1"/>
    <row r="18471" ht="14.25" customHeight="1"/>
    <row r="18472" ht="14.25" customHeight="1"/>
    <row r="18473" ht="14.25" customHeight="1"/>
    <row r="18474" ht="14.25" customHeight="1"/>
    <row r="18475" ht="14.25" customHeight="1"/>
    <row r="18476" ht="14.25" customHeight="1"/>
    <row r="18477" ht="14.25" customHeight="1"/>
    <row r="18478" ht="14.25" customHeight="1"/>
    <row r="18479" ht="14.25" customHeight="1"/>
    <row r="18480" ht="14.25" customHeight="1"/>
    <row r="18481" ht="14.25" customHeight="1"/>
    <row r="18482" ht="14.25" customHeight="1"/>
    <row r="18483" ht="14.25" customHeight="1"/>
    <row r="18484" ht="14.25" customHeight="1"/>
    <row r="18485" ht="14.25" customHeight="1"/>
    <row r="18486" ht="14.25" customHeight="1"/>
    <row r="18487" ht="14.25" customHeight="1"/>
    <row r="18488" ht="14.25" customHeight="1"/>
    <row r="18489" ht="14.25" customHeight="1"/>
    <row r="18490" ht="14.25" customHeight="1"/>
    <row r="18491" ht="14.25" customHeight="1"/>
    <row r="18492" ht="14.25" customHeight="1"/>
    <row r="18493" ht="14.25" customHeight="1"/>
    <row r="18494" ht="14.25" customHeight="1"/>
    <row r="18495" ht="14.25" customHeight="1"/>
    <row r="18496" ht="14.25" customHeight="1"/>
    <row r="18497" ht="14.25" customHeight="1"/>
    <row r="18498" ht="14.25" customHeight="1"/>
    <row r="18499" ht="14.25" customHeight="1"/>
    <row r="18500" ht="14.25" customHeight="1"/>
    <row r="18501" ht="14.25" customHeight="1"/>
    <row r="18502" ht="14.25" customHeight="1"/>
    <row r="18503" ht="14.25" customHeight="1"/>
    <row r="18504" ht="14.25" customHeight="1"/>
    <row r="18505" ht="14.25" customHeight="1"/>
    <row r="18506" ht="14.25" customHeight="1"/>
    <row r="18507" ht="14.25" customHeight="1"/>
    <row r="18508" ht="14.25" customHeight="1"/>
    <row r="18509" ht="14.25" customHeight="1"/>
    <row r="18510" ht="14.25" customHeight="1"/>
    <row r="18511" ht="14.25" customHeight="1"/>
    <row r="18512" ht="14.25" customHeight="1"/>
    <row r="18513" ht="14.25" customHeight="1"/>
    <row r="18514" ht="14.25" customHeight="1"/>
    <row r="18515" ht="14.25" customHeight="1"/>
    <row r="18516" ht="14.25" customHeight="1"/>
    <row r="18517" ht="14.25" customHeight="1"/>
    <row r="18518" ht="14.25" customHeight="1"/>
    <row r="18519" ht="14.25" customHeight="1"/>
    <row r="18520" ht="14.25" customHeight="1"/>
    <row r="18521" ht="14.25" customHeight="1"/>
    <row r="18522" ht="14.25" customHeight="1"/>
    <row r="18523" ht="14.25" customHeight="1"/>
    <row r="18524" ht="14.25" customHeight="1"/>
    <row r="18525" ht="14.25" customHeight="1"/>
    <row r="18526" ht="14.25" customHeight="1"/>
    <row r="18527" ht="14.25" customHeight="1"/>
    <row r="18528" ht="14.25" customHeight="1"/>
    <row r="18529" ht="14.25" customHeight="1"/>
    <row r="18530" ht="14.25" customHeight="1"/>
    <row r="18531" ht="14.25" customHeight="1"/>
    <row r="18532" ht="14.25" customHeight="1"/>
    <row r="18533" ht="14.25" customHeight="1"/>
    <row r="18534" ht="14.25" customHeight="1"/>
    <row r="18535" ht="14.25" customHeight="1"/>
    <row r="18536" ht="14.25" customHeight="1"/>
    <row r="18537" ht="14.25" customHeight="1"/>
    <row r="18538" ht="14.25" customHeight="1"/>
    <row r="18539" ht="14.25" customHeight="1"/>
    <row r="18540" ht="14.25" customHeight="1"/>
    <row r="18541" ht="14.25" customHeight="1"/>
    <row r="18542" ht="14.25" customHeight="1"/>
    <row r="18543" ht="14.25" customHeight="1"/>
    <row r="18544" ht="14.25" customHeight="1"/>
    <row r="18545" ht="14.25" customHeight="1"/>
    <row r="18546" ht="14.25" customHeight="1"/>
    <row r="18547" ht="14.25" customHeight="1"/>
    <row r="18548" ht="14.25" customHeight="1"/>
    <row r="18549" ht="14.25" customHeight="1"/>
    <row r="18550" ht="14.25" customHeight="1"/>
    <row r="18551" ht="14.25" customHeight="1"/>
    <row r="18552" ht="14.25" customHeight="1"/>
    <row r="18553" ht="14.25" customHeight="1"/>
    <row r="18554" ht="14.25" customHeight="1"/>
    <row r="18555" ht="14.25" customHeight="1"/>
    <row r="18556" ht="14.25" customHeight="1"/>
    <row r="18557" ht="14.25" customHeight="1"/>
    <row r="18558" ht="14.25" customHeight="1"/>
    <row r="18559" ht="14.25" customHeight="1"/>
    <row r="18560" ht="14.25" customHeight="1"/>
    <row r="18561" ht="14.25" customHeight="1"/>
    <row r="18562" ht="14.25" customHeight="1"/>
    <row r="18563" ht="14.25" customHeight="1"/>
    <row r="18564" ht="14.25" customHeight="1"/>
    <row r="18565" ht="14.25" customHeight="1"/>
    <row r="18566" ht="14.25" customHeight="1"/>
    <row r="18567" ht="14.25" customHeight="1"/>
    <row r="18568" ht="14.25" customHeight="1"/>
    <row r="18569" ht="14.25" customHeight="1"/>
    <row r="18570" ht="14.25" customHeight="1"/>
    <row r="18571" ht="14.25" customHeight="1"/>
    <row r="18572" ht="14.25" customHeight="1"/>
    <row r="18573" ht="14.25" customHeight="1"/>
    <row r="18574" ht="14.25" customHeight="1"/>
    <row r="18575" ht="14.25" customHeight="1"/>
    <row r="18576" ht="14.25" customHeight="1"/>
    <row r="18577" ht="14.25" customHeight="1"/>
    <row r="18578" ht="14.25" customHeight="1"/>
    <row r="18579" ht="14.25" customHeight="1"/>
    <row r="18580" ht="14.25" customHeight="1"/>
    <row r="18581" ht="14.25" customHeight="1"/>
    <row r="18582" ht="14.25" customHeight="1"/>
    <row r="18583" ht="14.25" customHeight="1"/>
    <row r="18584" ht="14.25" customHeight="1"/>
    <row r="18585" ht="14.25" customHeight="1"/>
    <row r="18586" ht="14.25" customHeight="1"/>
    <row r="18587" ht="14.25" customHeight="1"/>
    <row r="18588" ht="14.25" customHeight="1"/>
    <row r="18589" ht="14.25" customHeight="1"/>
    <row r="18590" ht="14.25" customHeight="1"/>
    <row r="18591" ht="14.25" customHeight="1"/>
    <row r="18592" ht="14.25" customHeight="1"/>
    <row r="18593" ht="14.25" customHeight="1"/>
    <row r="18594" ht="14.25" customHeight="1"/>
    <row r="18595" ht="14.25" customHeight="1"/>
    <row r="18596" ht="14.25" customHeight="1"/>
    <row r="18597" ht="14.25" customHeight="1"/>
    <row r="18598" ht="14.25" customHeight="1"/>
    <row r="18599" ht="14.25" customHeight="1"/>
    <row r="18600" ht="14.25" customHeight="1"/>
    <row r="18601" ht="14.25" customHeight="1"/>
    <row r="18602" ht="14.25" customHeight="1"/>
    <row r="18603" ht="14.25" customHeight="1"/>
    <row r="18604" ht="14.25" customHeight="1"/>
    <row r="18605" ht="14.25" customHeight="1"/>
    <row r="18606" ht="14.25" customHeight="1"/>
    <row r="18607" ht="14.25" customHeight="1"/>
    <row r="18608" ht="14.25" customHeight="1"/>
    <row r="18609" ht="14.25" customHeight="1"/>
    <row r="18610" ht="14.25" customHeight="1"/>
    <row r="18611" ht="14.25" customHeight="1"/>
    <row r="18612" ht="14.25" customHeight="1"/>
    <row r="18613" ht="14.25" customHeight="1"/>
    <row r="18614" ht="14.25" customHeight="1"/>
    <row r="18615" ht="14.25" customHeight="1"/>
    <row r="18616" ht="14.25" customHeight="1"/>
    <row r="18617" ht="14.25" customHeight="1"/>
    <row r="18618" ht="14.25" customHeight="1"/>
    <row r="18619" ht="14.25" customHeight="1"/>
    <row r="18620" ht="14.25" customHeight="1"/>
    <row r="18621" ht="14.25" customHeight="1"/>
    <row r="18622" ht="14.25" customHeight="1"/>
    <row r="18623" ht="14.25" customHeight="1"/>
    <row r="18624" ht="14.25" customHeight="1"/>
    <row r="18625" ht="14.25" customHeight="1"/>
    <row r="18626" ht="14.25" customHeight="1"/>
    <row r="18627" ht="14.25" customHeight="1"/>
    <row r="18628" ht="14.25" customHeight="1"/>
    <row r="18629" ht="14.25" customHeight="1"/>
    <row r="18630" ht="14.25" customHeight="1"/>
    <row r="18631" ht="14.25" customHeight="1"/>
    <row r="18632" ht="14.25" customHeight="1"/>
    <row r="18633" ht="14.25" customHeight="1"/>
    <row r="18634" ht="14.25" customHeight="1"/>
    <row r="18635" ht="14.25" customHeight="1"/>
    <row r="18636" ht="14.25" customHeight="1"/>
    <row r="18637" ht="14.25" customHeight="1"/>
    <row r="18638" ht="14.25" customHeight="1"/>
    <row r="18639" ht="14.25" customHeight="1"/>
    <row r="18640" ht="14.25" customHeight="1"/>
    <row r="18641" ht="14.25" customHeight="1"/>
    <row r="18642" ht="14.25" customHeight="1"/>
    <row r="18643" ht="14.25" customHeight="1"/>
    <row r="18644" ht="14.25" customHeight="1"/>
    <row r="18645" ht="14.25" customHeight="1"/>
    <row r="18646" ht="14.25" customHeight="1"/>
    <row r="18647" ht="14.25" customHeight="1"/>
    <row r="18648" ht="14.25" customHeight="1"/>
    <row r="18649" ht="14.25" customHeight="1"/>
    <row r="18650" ht="14.25" customHeight="1"/>
    <row r="18651" ht="14.25" customHeight="1"/>
    <row r="18652" ht="14.25" customHeight="1"/>
    <row r="18653" ht="14.25" customHeight="1"/>
    <row r="18654" ht="14.25" customHeight="1"/>
    <row r="18655" ht="14.25" customHeight="1"/>
    <row r="18656" ht="14.25" customHeight="1"/>
    <row r="18657" ht="14.25" customHeight="1"/>
    <row r="18658" ht="14.25" customHeight="1"/>
    <row r="18659" ht="14.25" customHeight="1"/>
    <row r="18660" ht="14.25" customHeight="1"/>
    <row r="18661" ht="14.25" customHeight="1"/>
    <row r="18662" ht="14.25" customHeight="1"/>
    <row r="18663" ht="14.25" customHeight="1"/>
    <row r="18664" ht="14.25" customHeight="1"/>
    <row r="18665" ht="14.25" customHeight="1"/>
    <row r="18666" ht="14.25" customHeight="1"/>
    <row r="18667" ht="14.25" customHeight="1"/>
    <row r="18668" ht="14.25" customHeight="1"/>
    <row r="18669" ht="14.25" customHeight="1"/>
    <row r="18670" ht="14.25" customHeight="1"/>
    <row r="18671" ht="14.25" customHeight="1"/>
    <row r="18672" ht="14.25" customHeight="1"/>
    <row r="18673" ht="14.25" customHeight="1"/>
    <row r="18674" ht="14.25" customHeight="1"/>
    <row r="18675" ht="14.25" customHeight="1"/>
    <row r="18676" ht="14.25" customHeight="1"/>
    <row r="18677" ht="14.25" customHeight="1"/>
    <row r="18678" ht="14.25" customHeight="1"/>
    <row r="18679" ht="14.25" customHeight="1"/>
    <row r="18680" ht="14.25" customHeight="1"/>
    <row r="18681" ht="14.25" customHeight="1"/>
    <row r="18682" ht="14.25" customHeight="1"/>
    <row r="18683" ht="14.25" customHeight="1"/>
    <row r="18684" ht="14.25" customHeight="1"/>
    <row r="18685" ht="14.25" customHeight="1"/>
    <row r="18686" ht="14.25" customHeight="1"/>
    <row r="18687" ht="14.25" customHeight="1"/>
    <row r="18688" ht="14.25" customHeight="1"/>
    <row r="18689" ht="14.25" customHeight="1"/>
    <row r="18690" ht="14.25" customHeight="1"/>
    <row r="18691" ht="14.25" customHeight="1"/>
    <row r="18692" ht="14.25" customHeight="1"/>
    <row r="18693" ht="14.25" customHeight="1"/>
    <row r="18694" ht="14.25" customHeight="1"/>
    <row r="18695" ht="14.25" customHeight="1"/>
    <row r="18696" ht="14.25" customHeight="1"/>
    <row r="18697" ht="14.25" customHeight="1"/>
    <row r="18698" ht="14.25" customHeight="1"/>
    <row r="18699" ht="14.25" customHeight="1"/>
    <row r="18700" ht="14.25" customHeight="1"/>
    <row r="18701" ht="14.25" customHeight="1"/>
    <row r="18702" ht="14.25" customHeight="1"/>
    <row r="18703" ht="14.25" customHeight="1"/>
    <row r="18704" ht="14.25" customHeight="1"/>
    <row r="18705" ht="14.25" customHeight="1"/>
    <row r="18706" ht="14.25" customHeight="1"/>
    <row r="18707" ht="14.25" customHeight="1"/>
    <row r="18708" ht="14.25" customHeight="1"/>
    <row r="18709" ht="14.25" customHeight="1"/>
    <row r="18710" ht="14.25" customHeight="1"/>
    <row r="18711" ht="14.25" customHeight="1"/>
    <row r="18712" ht="14.25" customHeight="1"/>
    <row r="18713" ht="14.25" customHeight="1"/>
    <row r="18714" ht="14.25" customHeight="1"/>
    <row r="18715" ht="14.25" customHeight="1"/>
    <row r="18716" ht="14.25" customHeight="1"/>
    <row r="18717" ht="14.25" customHeight="1"/>
    <row r="18718" ht="14.25" customHeight="1"/>
    <row r="18719" ht="14.25" customHeight="1"/>
    <row r="18720" ht="14.25" customHeight="1"/>
    <row r="18721" ht="14.25" customHeight="1"/>
    <row r="18722" ht="14.25" customHeight="1"/>
    <row r="18723" ht="14.25" customHeight="1"/>
    <row r="18724" ht="14.25" customHeight="1"/>
    <row r="18725" ht="14.25" customHeight="1"/>
    <row r="18726" ht="14.25" customHeight="1"/>
    <row r="18727" ht="14.25" customHeight="1"/>
    <row r="18728" ht="14.25" customHeight="1"/>
    <row r="18729" ht="14.25" customHeight="1"/>
    <row r="18730" ht="14.25" customHeight="1"/>
    <row r="18731" ht="14.25" customHeight="1"/>
    <row r="18732" ht="14.25" customHeight="1"/>
    <row r="18733" ht="14.25" customHeight="1"/>
    <row r="18734" ht="14.25" customHeight="1"/>
    <row r="18735" ht="14.25" customHeight="1"/>
    <row r="18736" ht="14.25" customHeight="1"/>
    <row r="18737" ht="14.25" customHeight="1"/>
    <row r="18738" ht="14.25" customHeight="1"/>
    <row r="18739" ht="14.25" customHeight="1"/>
    <row r="18740" ht="14.25" customHeight="1"/>
    <row r="18741" ht="14.25" customHeight="1"/>
    <row r="18742" ht="14.25" customHeight="1"/>
    <row r="18743" ht="14.25" customHeight="1"/>
    <row r="18744" ht="14.25" customHeight="1"/>
    <row r="18745" ht="14.25" customHeight="1"/>
    <row r="18746" ht="14.25" customHeight="1"/>
    <row r="18747" ht="14.25" customHeight="1"/>
    <row r="18748" ht="14.25" customHeight="1"/>
    <row r="18749" ht="14.25" customHeight="1"/>
    <row r="18750" ht="14.25" customHeight="1"/>
    <row r="18751" ht="14.25" customHeight="1"/>
    <row r="18752" ht="14.25" customHeight="1"/>
    <row r="18753" ht="14.25" customHeight="1"/>
    <row r="18754" ht="14.25" customHeight="1"/>
    <row r="18755" ht="14.25" customHeight="1"/>
    <row r="18756" ht="14.25" customHeight="1"/>
    <row r="18757" ht="14.25" customHeight="1"/>
    <row r="18758" ht="14.25" customHeight="1"/>
    <row r="18759" ht="14.25" customHeight="1"/>
    <row r="18760" ht="14.25" customHeight="1"/>
    <row r="18761" ht="14.25" customHeight="1"/>
    <row r="18762" ht="14.25" customHeight="1"/>
    <row r="18763" ht="14.25" customHeight="1"/>
    <row r="18764" ht="14.25" customHeight="1"/>
    <row r="18765" ht="14.25" customHeight="1"/>
    <row r="18766" ht="14.25" customHeight="1"/>
    <row r="18767" ht="14.25" customHeight="1"/>
    <row r="18768" ht="14.25" customHeight="1"/>
    <row r="18769" ht="14.25" customHeight="1"/>
    <row r="18770" ht="14.25" customHeight="1"/>
    <row r="18771" ht="14.25" customHeight="1"/>
    <row r="18772" ht="14.25" customHeight="1"/>
    <row r="18773" ht="14.25" customHeight="1"/>
    <row r="18774" ht="14.25" customHeight="1"/>
    <row r="18775" ht="14.25" customHeight="1"/>
    <row r="18776" ht="14.25" customHeight="1"/>
    <row r="18777" ht="14.25" customHeight="1"/>
    <row r="18778" ht="14.25" customHeight="1"/>
    <row r="18779" ht="14.25" customHeight="1"/>
    <row r="18780" ht="14.25" customHeight="1"/>
    <row r="18781" ht="14.25" customHeight="1"/>
    <row r="18782" ht="14.25" customHeight="1"/>
    <row r="18783" ht="14.25" customHeight="1"/>
    <row r="18784" ht="14.25" customHeight="1"/>
    <row r="18785" ht="14.25" customHeight="1"/>
    <row r="18786" ht="14.25" customHeight="1"/>
    <row r="18787" ht="14.25" customHeight="1"/>
    <row r="18788" ht="14.25" customHeight="1"/>
    <row r="18789" ht="14.25" customHeight="1"/>
    <row r="18790" ht="14.25" customHeight="1"/>
    <row r="18791" ht="14.25" customHeight="1"/>
    <row r="18792" ht="14.25" customHeight="1"/>
    <row r="18793" ht="14.25" customHeight="1"/>
    <row r="18794" ht="14.25" customHeight="1"/>
    <row r="18795" ht="14.25" customHeight="1"/>
    <row r="18796" ht="14.25" customHeight="1"/>
    <row r="18797" ht="14.25" customHeight="1"/>
    <row r="18798" ht="14.25" customHeight="1"/>
    <row r="18799" ht="14.25" customHeight="1"/>
    <row r="18800" ht="14.25" customHeight="1"/>
    <row r="18801" ht="14.25" customHeight="1"/>
    <row r="18802" ht="14.25" customHeight="1"/>
    <row r="18803" ht="14.25" customHeight="1"/>
    <row r="18804" ht="14.25" customHeight="1"/>
    <row r="18805" ht="14.25" customHeight="1"/>
    <row r="18806" ht="14.25" customHeight="1"/>
    <row r="18807" ht="14.25" customHeight="1"/>
    <row r="18808" ht="14.25" customHeight="1"/>
    <row r="18809" ht="14.25" customHeight="1"/>
    <row r="18810" ht="14.25" customHeight="1"/>
    <row r="18811" ht="14.25" customHeight="1"/>
    <row r="18812" ht="14.25" customHeight="1"/>
    <row r="18813" ht="14.25" customHeight="1"/>
    <row r="18814" ht="14.25" customHeight="1"/>
    <row r="18815" ht="14.25" customHeight="1"/>
    <row r="18816" ht="14.25" customHeight="1"/>
    <row r="18817" ht="14.25" customHeight="1"/>
    <row r="18818" ht="14.25" customHeight="1"/>
    <row r="18819" ht="14.25" customHeight="1"/>
    <row r="18820" ht="14.25" customHeight="1"/>
    <row r="18821" ht="14.25" customHeight="1"/>
    <row r="18822" ht="14.25" customHeight="1"/>
    <row r="18823" ht="14.25" customHeight="1"/>
    <row r="18824" ht="14.25" customHeight="1"/>
    <row r="18825" ht="14.25" customHeight="1"/>
    <row r="18826" ht="14.25" customHeight="1"/>
    <row r="18827" ht="14.25" customHeight="1"/>
    <row r="18828" ht="14.25" customHeight="1"/>
    <row r="18829" ht="14.25" customHeight="1"/>
    <row r="18830" ht="14.25" customHeight="1"/>
    <row r="18831" ht="14.25" customHeight="1"/>
    <row r="18832" ht="14.25" customHeight="1"/>
    <row r="18833" ht="14.25" customHeight="1"/>
    <row r="18834" ht="14.25" customHeight="1"/>
    <row r="18835" ht="14.25" customHeight="1"/>
    <row r="18836" ht="14.25" customHeight="1"/>
    <row r="18837" ht="14.25" customHeight="1"/>
    <row r="18838" ht="14.25" customHeight="1"/>
    <row r="18839" ht="14.25" customHeight="1"/>
    <row r="18840" ht="14.25" customHeight="1"/>
    <row r="18841" ht="14.25" customHeight="1"/>
    <row r="18842" ht="14.25" customHeight="1"/>
    <row r="18843" ht="14.25" customHeight="1"/>
    <row r="18844" ht="14.25" customHeight="1"/>
    <row r="18845" ht="14.25" customHeight="1"/>
    <row r="18846" ht="14.25" customHeight="1"/>
    <row r="18847" ht="14.25" customHeight="1"/>
    <row r="18848" ht="14.25" customHeight="1"/>
    <row r="18849" ht="14.25" customHeight="1"/>
    <row r="18850" ht="14.25" customHeight="1"/>
    <row r="18851" ht="14.25" customHeight="1"/>
    <row r="18852" ht="14.25" customHeight="1"/>
    <row r="18853" ht="14.25" customHeight="1"/>
    <row r="18854" ht="14.25" customHeight="1"/>
    <row r="18855" ht="14.25" customHeight="1"/>
    <row r="18856" ht="14.25" customHeight="1"/>
    <row r="18857" ht="14.25" customHeight="1"/>
    <row r="18858" ht="14.25" customHeight="1"/>
    <row r="18859" ht="14.25" customHeight="1"/>
    <row r="18860" ht="14.25" customHeight="1"/>
    <row r="18861" ht="14.25" customHeight="1"/>
    <row r="18862" ht="14.25" customHeight="1"/>
    <row r="18863" ht="14.25" customHeight="1"/>
    <row r="18864" ht="14.25" customHeight="1"/>
    <row r="18865" ht="14.25" customHeight="1"/>
    <row r="18866" ht="14.25" customHeight="1"/>
    <row r="18867" ht="14.25" customHeight="1"/>
    <row r="18868" ht="14.25" customHeight="1"/>
    <row r="18869" ht="14.25" customHeight="1"/>
    <row r="18870" ht="14.25" customHeight="1"/>
    <row r="18871" ht="14.25" customHeight="1"/>
    <row r="18872" ht="14.25" customHeight="1"/>
    <row r="18873" ht="14.25" customHeight="1"/>
    <row r="18874" ht="14.25" customHeight="1"/>
    <row r="18875" ht="14.25" customHeight="1"/>
    <row r="18876" ht="14.25" customHeight="1"/>
    <row r="18877" ht="14.25" customHeight="1"/>
    <row r="18878" ht="14.25" customHeight="1"/>
    <row r="18879" ht="14.25" customHeight="1"/>
    <row r="18880" ht="14.25" customHeight="1"/>
    <row r="18881" ht="14.25" customHeight="1"/>
    <row r="18882" ht="14.25" customHeight="1"/>
    <row r="18883" ht="14.25" customHeight="1"/>
    <row r="18884" ht="14.25" customHeight="1"/>
    <row r="18885" ht="14.25" customHeight="1"/>
    <row r="18886" ht="14.25" customHeight="1"/>
    <row r="18887" ht="14.25" customHeight="1"/>
    <row r="18888" ht="14.25" customHeight="1"/>
    <row r="18889" ht="14.25" customHeight="1"/>
    <row r="18890" ht="14.25" customHeight="1"/>
    <row r="18891" ht="14.25" customHeight="1"/>
    <row r="18892" ht="14.25" customHeight="1"/>
    <row r="18893" ht="14.25" customHeight="1"/>
    <row r="18894" ht="14.25" customHeight="1"/>
    <row r="18895" ht="14.25" customHeight="1"/>
    <row r="18896" ht="14.25" customHeight="1"/>
    <row r="18897" ht="14.25" customHeight="1"/>
    <row r="18898" ht="14.25" customHeight="1"/>
    <row r="18899" ht="14.25" customHeight="1"/>
    <row r="18900" ht="14.25" customHeight="1"/>
    <row r="18901" ht="14.25" customHeight="1"/>
    <row r="18902" ht="14.25" customHeight="1"/>
    <row r="18903" ht="14.25" customHeight="1"/>
    <row r="18904" ht="14.25" customHeight="1"/>
    <row r="18905" ht="14.25" customHeight="1"/>
    <row r="18906" ht="14.25" customHeight="1"/>
    <row r="18907" ht="14.25" customHeight="1"/>
    <row r="18908" ht="14.25" customHeight="1"/>
    <row r="18909" ht="14.25" customHeight="1"/>
    <row r="18910" ht="14.25" customHeight="1"/>
    <row r="18911" ht="14.25" customHeight="1"/>
    <row r="18912" ht="14.25" customHeight="1"/>
    <row r="18913" ht="14.25" customHeight="1"/>
    <row r="18914" ht="14.25" customHeight="1"/>
    <row r="18915" ht="14.25" customHeight="1"/>
    <row r="18916" ht="14.25" customHeight="1"/>
    <row r="18917" ht="14.25" customHeight="1"/>
    <row r="18918" ht="14.25" customHeight="1"/>
    <row r="18919" ht="14.25" customHeight="1"/>
    <row r="18920" ht="14.25" customHeight="1"/>
    <row r="18921" ht="14.25" customHeight="1"/>
    <row r="18922" ht="14.25" customHeight="1"/>
    <row r="18923" ht="14.25" customHeight="1"/>
    <row r="18924" ht="14.25" customHeight="1"/>
    <row r="18925" ht="14.25" customHeight="1"/>
    <row r="18926" ht="14.25" customHeight="1"/>
    <row r="18927" ht="14.25" customHeight="1"/>
    <row r="18928" ht="14.25" customHeight="1"/>
    <row r="18929" ht="14.25" customHeight="1"/>
    <row r="18930" ht="14.25" customHeight="1"/>
    <row r="18931" ht="14.25" customHeight="1"/>
    <row r="18932" ht="14.25" customHeight="1"/>
    <row r="18933" ht="14.25" customHeight="1"/>
    <row r="18934" ht="14.25" customHeight="1"/>
    <row r="18935" ht="14.25" customHeight="1"/>
    <row r="18936" ht="14.25" customHeight="1"/>
    <row r="18937" ht="14.25" customHeight="1"/>
    <row r="18938" ht="14.25" customHeight="1"/>
    <row r="18939" ht="14.25" customHeight="1"/>
    <row r="18940" ht="14.25" customHeight="1"/>
    <row r="18941" ht="14.25" customHeight="1"/>
    <row r="18942" ht="14.25" customHeight="1"/>
    <row r="18943" ht="14.25" customHeight="1"/>
    <row r="18944" ht="14.25" customHeight="1"/>
    <row r="18945" ht="14.25" customHeight="1"/>
    <row r="18946" ht="14.25" customHeight="1"/>
    <row r="18947" ht="14.25" customHeight="1"/>
    <row r="18948" ht="14.25" customHeight="1"/>
    <row r="18949" ht="14.25" customHeight="1"/>
    <row r="18950" ht="14.25" customHeight="1"/>
    <row r="18951" ht="14.25" customHeight="1"/>
    <row r="18952" ht="14.25" customHeight="1"/>
    <row r="18953" ht="14.25" customHeight="1"/>
    <row r="18954" ht="14.25" customHeight="1"/>
    <row r="18955" ht="14.25" customHeight="1"/>
    <row r="18956" ht="14.25" customHeight="1"/>
    <row r="18957" ht="14.25" customHeight="1"/>
    <row r="18958" ht="14.25" customHeight="1"/>
    <row r="18959" ht="14.25" customHeight="1"/>
    <row r="18960" ht="14.25" customHeight="1"/>
    <row r="18961" ht="14.25" customHeight="1"/>
    <row r="18962" ht="14.25" customHeight="1"/>
    <row r="18963" ht="14.25" customHeight="1"/>
    <row r="18964" ht="14.25" customHeight="1"/>
    <row r="18965" ht="14.25" customHeight="1"/>
    <row r="18966" ht="14.25" customHeight="1"/>
    <row r="18967" ht="14.25" customHeight="1"/>
    <row r="18968" ht="14.25" customHeight="1"/>
    <row r="18969" ht="14.25" customHeight="1"/>
    <row r="18970" ht="14.25" customHeight="1"/>
    <row r="18971" ht="14.25" customHeight="1"/>
    <row r="18972" ht="14.25" customHeight="1"/>
    <row r="18973" ht="14.25" customHeight="1"/>
    <row r="18974" ht="14.25" customHeight="1"/>
    <row r="18975" ht="14.25" customHeight="1"/>
    <row r="18976" ht="14.25" customHeight="1"/>
    <row r="18977" ht="14.25" customHeight="1"/>
    <row r="18978" ht="14.25" customHeight="1"/>
    <row r="18979" ht="14.25" customHeight="1"/>
    <row r="18980" ht="14.25" customHeight="1"/>
    <row r="18981" ht="14.25" customHeight="1"/>
    <row r="18982" ht="14.25" customHeight="1"/>
    <row r="18983" ht="14.25" customHeight="1"/>
    <row r="18984" ht="14.25" customHeight="1"/>
    <row r="18985" ht="14.25" customHeight="1"/>
    <row r="18986" ht="14.25" customHeight="1"/>
    <row r="18987" ht="14.25" customHeight="1"/>
    <row r="18988" ht="14.25" customHeight="1"/>
    <row r="18989" ht="14.25" customHeight="1"/>
    <row r="18990" ht="14.25" customHeight="1"/>
    <row r="18991" ht="14.25" customHeight="1"/>
    <row r="18992" ht="14.25" customHeight="1"/>
    <row r="18993" ht="14.25" customHeight="1"/>
    <row r="18994" ht="14.25" customHeight="1"/>
    <row r="18995" ht="14.25" customHeight="1"/>
    <row r="18996" ht="14.25" customHeight="1"/>
    <row r="18997" ht="14.25" customHeight="1"/>
    <row r="18998" ht="14.25" customHeight="1"/>
    <row r="18999" ht="14.25" customHeight="1"/>
    <row r="19000" ht="14.25" customHeight="1"/>
    <row r="19001" ht="14.25" customHeight="1"/>
    <row r="19002" ht="14.25" customHeight="1"/>
    <row r="19003" ht="14.25" customHeight="1"/>
    <row r="19004" ht="14.25" customHeight="1"/>
    <row r="19005" ht="14.25" customHeight="1"/>
    <row r="19006" ht="14.25" customHeight="1"/>
    <row r="19007" ht="14.25" customHeight="1"/>
    <row r="19008" ht="14.25" customHeight="1"/>
    <row r="19009" ht="14.25" customHeight="1"/>
    <row r="19010" ht="14.25" customHeight="1"/>
    <row r="19011" ht="14.25" customHeight="1"/>
    <row r="19012" ht="14.25" customHeight="1"/>
    <row r="19013" ht="14.25" customHeight="1"/>
    <row r="19014" ht="14.25" customHeight="1"/>
    <row r="19015" ht="14.25" customHeight="1"/>
    <row r="19016" ht="14.25" customHeight="1"/>
    <row r="19017" ht="14.25" customHeight="1"/>
    <row r="19018" ht="14.25" customHeight="1"/>
    <row r="19019" ht="14.25" customHeight="1"/>
    <row r="19020" ht="14.25" customHeight="1"/>
    <row r="19021" ht="14.25" customHeight="1"/>
    <row r="19022" ht="14.25" customHeight="1"/>
    <row r="19023" ht="14.25" customHeight="1"/>
    <row r="19024" ht="14.25" customHeight="1"/>
    <row r="19025" ht="14.25" customHeight="1"/>
    <row r="19026" ht="14.25" customHeight="1"/>
    <row r="19027" ht="14.25" customHeight="1"/>
    <row r="19028" ht="14.25" customHeight="1"/>
    <row r="19029" ht="14.25" customHeight="1"/>
    <row r="19030" ht="14.25" customHeight="1"/>
    <row r="19031" ht="14.25" customHeight="1"/>
    <row r="19032" ht="14.25" customHeight="1"/>
    <row r="19033" ht="14.25" customHeight="1"/>
    <row r="19034" ht="14.25" customHeight="1"/>
    <row r="19035" ht="14.25" customHeight="1"/>
    <row r="19036" ht="14.25" customHeight="1"/>
    <row r="19037" ht="14.25" customHeight="1"/>
    <row r="19038" ht="14.25" customHeight="1"/>
    <row r="19039" ht="14.25" customHeight="1"/>
    <row r="19040" ht="14.25" customHeight="1"/>
    <row r="19041" ht="14.25" customHeight="1"/>
    <row r="19042" ht="14.25" customHeight="1"/>
    <row r="19043" ht="14.25" customHeight="1"/>
    <row r="19044" ht="14.25" customHeight="1"/>
    <row r="19045" ht="14.25" customHeight="1"/>
    <row r="19046" ht="14.25" customHeight="1"/>
    <row r="19047" ht="14.25" customHeight="1"/>
    <row r="19048" ht="14.25" customHeight="1"/>
    <row r="19049" ht="14.25" customHeight="1"/>
    <row r="19050" ht="14.25" customHeight="1"/>
    <row r="19051" ht="14.25" customHeight="1"/>
    <row r="19052" ht="14.25" customHeight="1"/>
    <row r="19053" ht="14.25" customHeight="1"/>
    <row r="19054" ht="14.25" customHeight="1"/>
    <row r="19055" ht="14.25" customHeight="1"/>
    <row r="19056" ht="14.25" customHeight="1"/>
    <row r="19057" ht="14.25" customHeight="1"/>
    <row r="19058" ht="14.25" customHeight="1"/>
    <row r="19059" ht="14.25" customHeight="1"/>
    <row r="19060" ht="14.25" customHeight="1"/>
    <row r="19061" ht="14.25" customHeight="1"/>
    <row r="19062" ht="14.25" customHeight="1"/>
    <row r="19063" ht="14.25" customHeight="1"/>
    <row r="19064" ht="14.25" customHeight="1"/>
    <row r="19065" ht="14.25" customHeight="1"/>
    <row r="19066" ht="14.25" customHeight="1"/>
    <row r="19067" ht="14.25" customHeight="1"/>
    <row r="19068" ht="14.25" customHeight="1"/>
    <row r="19069" ht="14.25" customHeight="1"/>
    <row r="19070" ht="14.25" customHeight="1"/>
    <row r="19071" ht="14.25" customHeight="1"/>
    <row r="19072" ht="14.25" customHeight="1"/>
    <row r="19073" ht="14.25" customHeight="1"/>
    <row r="19074" ht="14.25" customHeight="1"/>
    <row r="19075" ht="14.25" customHeight="1"/>
    <row r="19076" ht="14.25" customHeight="1"/>
    <row r="19077" ht="14.25" customHeight="1"/>
    <row r="19078" ht="14.25" customHeight="1"/>
    <row r="19079" ht="14.25" customHeight="1"/>
    <row r="19080" ht="14.25" customHeight="1"/>
    <row r="19081" ht="14.25" customHeight="1"/>
    <row r="19082" ht="14.25" customHeight="1"/>
    <row r="19083" ht="14.25" customHeight="1"/>
    <row r="19084" ht="14.25" customHeight="1"/>
    <row r="19085" ht="14.25" customHeight="1"/>
    <row r="19086" ht="14.25" customHeight="1"/>
    <row r="19087" ht="14.25" customHeight="1"/>
    <row r="19088" ht="14.25" customHeight="1"/>
    <row r="19089" ht="14.25" customHeight="1"/>
    <row r="19090" ht="14.25" customHeight="1"/>
    <row r="19091" ht="14.25" customHeight="1"/>
    <row r="19092" ht="14.25" customHeight="1"/>
    <row r="19093" ht="14.25" customHeight="1"/>
    <row r="19094" ht="14.25" customHeight="1"/>
    <row r="19095" ht="14.25" customHeight="1"/>
    <row r="19096" ht="14.25" customHeight="1"/>
    <row r="19097" ht="14.25" customHeight="1"/>
    <row r="19098" ht="14.25" customHeight="1"/>
    <row r="19099" ht="14.25" customHeight="1"/>
    <row r="19100" ht="14.25" customHeight="1"/>
    <row r="19101" ht="14.25" customHeight="1"/>
    <row r="19102" ht="14.25" customHeight="1"/>
    <row r="19103" ht="14.25" customHeight="1"/>
    <row r="19104" ht="14.25" customHeight="1"/>
    <row r="19105" ht="14.25" customHeight="1"/>
    <row r="19106" ht="14.25" customHeight="1"/>
    <row r="19107" ht="14.25" customHeight="1"/>
    <row r="19108" ht="14.25" customHeight="1"/>
    <row r="19109" ht="14.25" customHeight="1"/>
    <row r="19110" ht="14.25" customHeight="1"/>
    <row r="19111" ht="14.25" customHeight="1"/>
    <row r="19112" ht="14.25" customHeight="1"/>
    <row r="19113" ht="14.25" customHeight="1"/>
    <row r="19114" ht="14.25" customHeight="1"/>
    <row r="19115" ht="14.25" customHeight="1"/>
    <row r="19116" ht="14.25" customHeight="1"/>
    <row r="19117" ht="14.25" customHeight="1"/>
    <row r="19118" ht="14.25" customHeight="1"/>
    <row r="19119" ht="14.25" customHeight="1"/>
    <row r="19120" ht="14.25" customHeight="1"/>
    <row r="19121" ht="14.25" customHeight="1"/>
    <row r="19122" ht="14.25" customHeight="1"/>
    <row r="19123" ht="14.25" customHeight="1"/>
    <row r="19124" ht="14.25" customHeight="1"/>
    <row r="19125" ht="14.25" customHeight="1"/>
    <row r="19126" ht="14.25" customHeight="1"/>
    <row r="19127" ht="14.25" customHeight="1"/>
    <row r="19128" ht="14.25" customHeight="1"/>
    <row r="19129" ht="14.25" customHeight="1"/>
    <row r="19130" ht="14.25" customHeight="1"/>
    <row r="19131" ht="14.25" customHeight="1"/>
    <row r="19132" ht="14.25" customHeight="1"/>
    <row r="19133" ht="14.25" customHeight="1"/>
    <row r="19134" ht="14.25" customHeight="1"/>
    <row r="19135" ht="14.25" customHeight="1"/>
    <row r="19136" ht="14.25" customHeight="1"/>
    <row r="19137" ht="14.25" customHeight="1"/>
    <row r="19138" ht="14.25" customHeight="1"/>
    <row r="19139" ht="14.25" customHeight="1"/>
    <row r="19140" ht="14.25" customHeight="1"/>
    <row r="19141" ht="14.25" customHeight="1"/>
    <row r="19142" ht="14.25" customHeight="1"/>
    <row r="19143" ht="14.25" customHeight="1"/>
    <row r="19144" ht="14.25" customHeight="1"/>
    <row r="19145" ht="14.25" customHeight="1"/>
    <row r="19146" ht="14.25" customHeight="1"/>
    <row r="19147" ht="14.25" customHeight="1"/>
    <row r="19148" ht="14.25" customHeight="1"/>
    <row r="19149" ht="14.25" customHeight="1"/>
    <row r="19150" ht="14.25" customHeight="1"/>
    <row r="19151" ht="14.25" customHeight="1"/>
    <row r="19152" ht="14.25" customHeight="1"/>
    <row r="19153" ht="14.25" customHeight="1"/>
    <row r="19154" ht="14.25" customHeight="1"/>
    <row r="19155" ht="14.25" customHeight="1"/>
    <row r="19156" ht="14.25" customHeight="1"/>
    <row r="19157" ht="14.25" customHeight="1"/>
    <row r="19158" ht="14.25" customHeight="1"/>
    <row r="19159" ht="14.25" customHeight="1"/>
    <row r="19160" ht="14.25" customHeight="1"/>
    <row r="19161" ht="14.25" customHeight="1"/>
    <row r="19162" ht="14.25" customHeight="1"/>
    <row r="19163" ht="14.25" customHeight="1"/>
    <row r="19164" ht="14.25" customHeight="1"/>
    <row r="19165" ht="14.25" customHeight="1"/>
    <row r="19166" ht="14.25" customHeight="1"/>
    <row r="19167" ht="14.25" customHeight="1"/>
    <row r="19168" ht="14.25" customHeight="1"/>
    <row r="19169" ht="14.25" customHeight="1"/>
    <row r="19170" ht="14.25" customHeight="1"/>
    <row r="19171" ht="14.25" customHeight="1"/>
    <row r="19172" ht="14.25" customHeight="1"/>
    <row r="19173" ht="14.25" customHeight="1"/>
    <row r="19174" ht="14.25" customHeight="1"/>
    <row r="19175" ht="14.25" customHeight="1"/>
    <row r="19176" ht="14.25" customHeight="1"/>
    <row r="19177" ht="14.25" customHeight="1"/>
    <row r="19178" ht="14.25" customHeight="1"/>
    <row r="19179" ht="14.25" customHeight="1"/>
    <row r="19180" ht="14.25" customHeight="1"/>
    <row r="19181" ht="14.25" customHeight="1"/>
    <row r="19182" ht="14.25" customHeight="1"/>
    <row r="19183" ht="14.25" customHeight="1"/>
    <row r="19184" ht="14.25" customHeight="1"/>
    <row r="19185" ht="14.25" customHeight="1"/>
    <row r="19186" ht="14.25" customHeight="1"/>
    <row r="19187" ht="14.25" customHeight="1"/>
    <row r="19188" ht="14.25" customHeight="1"/>
    <row r="19189" ht="14.25" customHeight="1"/>
    <row r="19190" ht="14.25" customHeight="1"/>
    <row r="19191" ht="14.25" customHeight="1"/>
    <row r="19192" ht="14.25" customHeight="1"/>
    <row r="19193" ht="14.25" customHeight="1"/>
    <row r="19194" ht="14.25" customHeight="1"/>
    <row r="19195" ht="14.25" customHeight="1"/>
    <row r="19196" ht="14.25" customHeight="1"/>
    <row r="19197" ht="14.25" customHeight="1"/>
    <row r="19198" ht="14.25" customHeight="1"/>
    <row r="19199" ht="14.25" customHeight="1"/>
    <row r="19200" ht="14.25" customHeight="1"/>
    <row r="19201" ht="14.25" customHeight="1"/>
    <row r="19202" ht="14.25" customHeight="1"/>
    <row r="19203" ht="14.25" customHeight="1"/>
    <row r="19204" ht="14.25" customHeight="1"/>
    <row r="19205" ht="14.25" customHeight="1"/>
    <row r="19206" ht="14.25" customHeight="1"/>
    <row r="19207" ht="14.25" customHeight="1"/>
    <row r="19208" ht="14.25" customHeight="1"/>
    <row r="19209" ht="14.25" customHeight="1"/>
    <row r="19210" ht="14.25" customHeight="1"/>
    <row r="19211" ht="14.25" customHeight="1"/>
    <row r="19212" ht="14.25" customHeight="1"/>
    <row r="19213" ht="14.25" customHeight="1"/>
    <row r="19214" ht="14.25" customHeight="1"/>
    <row r="19215" ht="14.25" customHeight="1"/>
    <row r="19216" ht="14.25" customHeight="1"/>
    <row r="19217" ht="14.25" customHeight="1"/>
    <row r="19218" ht="14.25" customHeight="1"/>
    <row r="19219" ht="14.25" customHeight="1"/>
    <row r="19220" ht="14.25" customHeight="1"/>
    <row r="19221" ht="14.25" customHeight="1"/>
    <row r="19222" ht="14.25" customHeight="1"/>
    <row r="19223" ht="14.25" customHeight="1"/>
    <row r="19224" ht="14.25" customHeight="1"/>
    <row r="19225" ht="14.25" customHeight="1"/>
    <row r="19226" ht="14.25" customHeight="1"/>
    <row r="19227" ht="14.25" customHeight="1"/>
    <row r="19228" ht="14.25" customHeight="1"/>
    <row r="19229" ht="14.25" customHeight="1"/>
    <row r="19230" ht="14.25" customHeight="1"/>
    <row r="19231" ht="14.25" customHeight="1"/>
    <row r="19232" ht="14.25" customHeight="1"/>
    <row r="19233" ht="14.25" customHeight="1"/>
    <row r="19234" ht="14.25" customHeight="1"/>
    <row r="19235" ht="14.25" customHeight="1"/>
    <row r="19236" ht="14.25" customHeight="1"/>
    <row r="19237" ht="14.25" customHeight="1"/>
    <row r="19238" ht="14.25" customHeight="1"/>
    <row r="19239" ht="14.25" customHeight="1"/>
    <row r="19240" ht="14.25" customHeight="1"/>
    <row r="19241" ht="14.25" customHeight="1"/>
    <row r="19242" ht="14.25" customHeight="1"/>
    <row r="19243" ht="14.25" customHeight="1"/>
    <row r="19244" ht="14.25" customHeight="1"/>
    <row r="19245" ht="14.25" customHeight="1"/>
    <row r="19246" ht="14.25" customHeight="1"/>
    <row r="19247" ht="14.25" customHeight="1"/>
    <row r="19248" ht="14.25" customHeight="1"/>
    <row r="19249" ht="14.25" customHeight="1"/>
    <row r="19250" ht="14.25" customHeight="1"/>
    <row r="19251" ht="14.25" customHeight="1"/>
    <row r="19252" ht="14.25" customHeight="1"/>
    <row r="19253" ht="14.25" customHeight="1"/>
    <row r="19254" ht="14.25" customHeight="1"/>
    <row r="19255" ht="14.25" customHeight="1"/>
    <row r="19256" ht="14.25" customHeight="1"/>
    <row r="19257" ht="14.25" customHeight="1"/>
    <row r="19258" ht="14.25" customHeight="1"/>
    <row r="19259" ht="14.25" customHeight="1"/>
    <row r="19260" ht="14.25" customHeight="1"/>
    <row r="19261" ht="14.25" customHeight="1"/>
    <row r="19262" ht="14.25" customHeight="1"/>
    <row r="19263" ht="14.25" customHeight="1"/>
    <row r="19264" ht="14.25" customHeight="1"/>
    <row r="19265" ht="14.25" customHeight="1"/>
    <row r="19266" ht="14.25" customHeight="1"/>
    <row r="19267" ht="14.25" customHeight="1"/>
    <row r="19268" ht="14.25" customHeight="1"/>
    <row r="19269" ht="14.25" customHeight="1"/>
    <row r="19270" ht="14.25" customHeight="1"/>
    <row r="19271" ht="14.25" customHeight="1"/>
    <row r="19272" ht="14.25" customHeight="1"/>
    <row r="19273" ht="14.25" customHeight="1"/>
    <row r="19274" ht="14.25" customHeight="1"/>
    <row r="19275" ht="14.25" customHeight="1"/>
    <row r="19276" ht="14.25" customHeight="1"/>
    <row r="19277" ht="14.25" customHeight="1"/>
    <row r="19278" ht="14.25" customHeight="1"/>
    <row r="19279" ht="14.25" customHeight="1"/>
    <row r="19280" ht="14.25" customHeight="1"/>
    <row r="19281" ht="14.25" customHeight="1"/>
    <row r="19282" ht="14.25" customHeight="1"/>
    <row r="19283" ht="14.25" customHeight="1"/>
    <row r="19284" ht="14.25" customHeight="1"/>
    <row r="19285" ht="14.25" customHeight="1"/>
    <row r="19286" ht="14.25" customHeight="1"/>
    <row r="19287" ht="14.25" customHeight="1"/>
    <row r="19288" ht="14.25" customHeight="1"/>
    <row r="19289" ht="14.25" customHeight="1"/>
    <row r="19290" ht="14.25" customHeight="1"/>
    <row r="19291" ht="14.25" customHeight="1"/>
    <row r="19292" ht="14.25" customHeight="1"/>
    <row r="19293" ht="14.25" customHeight="1"/>
    <row r="19294" ht="14.25" customHeight="1"/>
    <row r="19295" ht="14.25" customHeight="1"/>
    <row r="19296" ht="14.25" customHeight="1"/>
    <row r="19297" ht="14.25" customHeight="1"/>
    <row r="19298" ht="14.25" customHeight="1"/>
    <row r="19299" ht="14.25" customHeight="1"/>
    <row r="19300" ht="14.25" customHeight="1"/>
    <row r="19301" ht="14.25" customHeight="1"/>
    <row r="19302" ht="14.25" customHeight="1"/>
    <row r="19303" ht="14.25" customHeight="1"/>
    <row r="19304" ht="14.25" customHeight="1"/>
    <row r="19305" ht="14.25" customHeight="1"/>
    <row r="19306" ht="14.25" customHeight="1"/>
    <row r="19307" ht="14.25" customHeight="1"/>
    <row r="19308" ht="14.25" customHeight="1"/>
    <row r="19309" ht="14.25" customHeight="1"/>
    <row r="19310" ht="14.25" customHeight="1"/>
    <row r="19311" ht="14.25" customHeight="1"/>
    <row r="19312" ht="14.25" customHeight="1"/>
    <row r="19313" ht="14.25" customHeight="1"/>
    <row r="19314" ht="14.25" customHeight="1"/>
    <row r="19315" ht="14.25" customHeight="1"/>
    <row r="19316" ht="14.25" customHeight="1"/>
    <row r="19317" ht="14.25" customHeight="1"/>
    <row r="19318" ht="14.25" customHeight="1"/>
    <row r="19319" ht="14.25" customHeight="1"/>
    <row r="19320" ht="14.25" customHeight="1"/>
    <row r="19321" ht="14.25" customHeight="1"/>
    <row r="19322" ht="14.25" customHeight="1"/>
    <row r="19323" ht="14.25" customHeight="1"/>
    <row r="19324" ht="14.25" customHeight="1"/>
    <row r="19325" ht="14.25" customHeight="1"/>
    <row r="19326" ht="14.25" customHeight="1"/>
    <row r="19327" ht="14.25" customHeight="1"/>
    <row r="19328" ht="14.25" customHeight="1"/>
    <row r="19329" ht="14.25" customHeight="1"/>
    <row r="19330" ht="14.25" customHeight="1"/>
    <row r="19331" ht="14.25" customHeight="1"/>
    <row r="19332" ht="14.25" customHeight="1"/>
    <row r="19333" ht="14.25" customHeight="1"/>
    <row r="19334" ht="14.25" customHeight="1"/>
    <row r="19335" ht="14.25" customHeight="1"/>
    <row r="19336" ht="14.25" customHeight="1"/>
    <row r="19337" ht="14.25" customHeight="1"/>
    <row r="19338" ht="14.25" customHeight="1"/>
    <row r="19339" ht="14.25" customHeight="1"/>
    <row r="19340" ht="14.25" customHeight="1"/>
    <row r="19341" ht="14.25" customHeight="1"/>
    <row r="19342" ht="14.25" customHeight="1"/>
    <row r="19343" ht="14.25" customHeight="1"/>
    <row r="19344" ht="14.25" customHeight="1"/>
    <row r="19345" ht="14.25" customHeight="1"/>
    <row r="19346" ht="14.25" customHeight="1"/>
    <row r="19347" ht="14.25" customHeight="1"/>
    <row r="19348" ht="14.25" customHeight="1"/>
    <row r="19349" ht="14.25" customHeight="1"/>
    <row r="19350" ht="14.25" customHeight="1"/>
    <row r="19351" ht="14.25" customHeight="1"/>
    <row r="19352" ht="14.25" customHeight="1"/>
    <row r="19353" ht="14.25" customHeight="1"/>
    <row r="19354" ht="14.25" customHeight="1"/>
    <row r="19355" ht="14.25" customHeight="1"/>
    <row r="19356" ht="14.25" customHeight="1"/>
    <row r="19357" ht="14.25" customHeight="1"/>
    <row r="19358" ht="14.25" customHeight="1"/>
    <row r="19359" ht="14.25" customHeight="1"/>
    <row r="19360" ht="14.25" customHeight="1"/>
    <row r="19361" ht="14.25" customHeight="1"/>
    <row r="19362" ht="14.25" customHeight="1"/>
    <row r="19363" ht="14.25" customHeight="1"/>
    <row r="19364" ht="14.25" customHeight="1"/>
    <row r="19365" ht="14.25" customHeight="1"/>
    <row r="19366" ht="14.25" customHeight="1"/>
    <row r="19367" ht="14.25" customHeight="1"/>
    <row r="19368" ht="14.25" customHeight="1"/>
    <row r="19369" ht="14.25" customHeight="1"/>
    <row r="19370" ht="14.25" customHeight="1"/>
    <row r="19371" ht="14.25" customHeight="1"/>
    <row r="19372" ht="14.25" customHeight="1"/>
    <row r="19373" ht="14.25" customHeight="1"/>
    <row r="19374" ht="14.25" customHeight="1"/>
    <row r="19375" ht="14.25" customHeight="1"/>
    <row r="19376" ht="14.25" customHeight="1"/>
    <row r="19377" ht="14.25" customHeight="1"/>
    <row r="19378" ht="14.25" customHeight="1"/>
    <row r="19379" ht="14.25" customHeight="1"/>
    <row r="19380" ht="14.25" customHeight="1"/>
    <row r="19381" ht="14.25" customHeight="1"/>
    <row r="19382" ht="14.25" customHeight="1"/>
    <row r="19383" ht="14.25" customHeight="1"/>
    <row r="19384" ht="14.25" customHeight="1"/>
    <row r="19385" ht="14.25" customHeight="1"/>
    <row r="19386" ht="14.25" customHeight="1"/>
    <row r="19387" ht="14.25" customHeight="1"/>
    <row r="19388" ht="14.25" customHeight="1"/>
    <row r="19389" ht="14.25" customHeight="1"/>
    <row r="19390" ht="14.25" customHeight="1"/>
    <row r="19391" ht="14.25" customHeight="1"/>
    <row r="19392" ht="14.25" customHeight="1"/>
    <row r="19393" ht="14.25" customHeight="1"/>
    <row r="19394" ht="14.25" customHeight="1"/>
    <row r="19395" ht="14.25" customHeight="1"/>
    <row r="19396" ht="14.25" customHeight="1"/>
    <row r="19397" ht="14.25" customHeight="1"/>
    <row r="19398" ht="14.25" customHeight="1"/>
    <row r="19399" ht="14.25" customHeight="1"/>
    <row r="19400" ht="14.25" customHeight="1"/>
    <row r="19401" ht="14.25" customHeight="1"/>
    <row r="19402" ht="14.25" customHeight="1"/>
    <row r="19403" ht="14.25" customHeight="1"/>
    <row r="19404" ht="14.25" customHeight="1"/>
    <row r="19405" ht="14.25" customHeight="1"/>
    <row r="19406" ht="14.25" customHeight="1"/>
    <row r="19407" ht="14.25" customHeight="1"/>
    <row r="19408" ht="14.25" customHeight="1"/>
    <row r="19409" ht="14.25" customHeight="1"/>
    <row r="19410" ht="14.25" customHeight="1"/>
    <row r="19411" ht="14.25" customHeight="1"/>
    <row r="19412" ht="14.25" customHeight="1"/>
    <row r="19413" ht="14.25" customHeight="1"/>
    <row r="19414" ht="14.25" customHeight="1"/>
    <row r="19415" ht="14.25" customHeight="1"/>
    <row r="19416" ht="14.25" customHeight="1"/>
    <row r="19417" ht="14.25" customHeight="1"/>
    <row r="19418" ht="14.25" customHeight="1"/>
    <row r="19419" ht="14.25" customHeight="1"/>
    <row r="19420" ht="14.25" customHeight="1"/>
    <row r="19421" ht="14.25" customHeight="1"/>
    <row r="19422" ht="14.25" customHeight="1"/>
    <row r="19423" ht="14.25" customHeight="1"/>
    <row r="19424" ht="14.25" customHeight="1"/>
    <row r="19425" ht="14.25" customHeight="1"/>
    <row r="19426" ht="14.25" customHeight="1"/>
    <row r="19427" ht="14.25" customHeight="1"/>
    <row r="19428" ht="14.25" customHeight="1"/>
    <row r="19429" ht="14.25" customHeight="1"/>
    <row r="19430" ht="14.25" customHeight="1"/>
    <row r="19431" ht="14.25" customHeight="1"/>
    <row r="19432" ht="14.25" customHeight="1"/>
    <row r="19433" ht="14.25" customHeight="1"/>
    <row r="19434" ht="14.25" customHeight="1"/>
    <row r="19435" ht="14.25" customHeight="1"/>
    <row r="19436" ht="14.25" customHeight="1"/>
    <row r="19437" ht="14.25" customHeight="1"/>
    <row r="19438" ht="14.25" customHeight="1"/>
    <row r="19439" ht="14.25" customHeight="1"/>
    <row r="19440" ht="14.25" customHeight="1"/>
    <row r="19441" ht="14.25" customHeight="1"/>
    <row r="19442" ht="14.25" customHeight="1"/>
    <row r="19443" ht="14.25" customHeight="1"/>
    <row r="19444" ht="14.25" customHeight="1"/>
    <row r="19445" ht="14.25" customHeight="1"/>
    <row r="19446" ht="14.25" customHeight="1"/>
    <row r="19447" ht="14.25" customHeight="1"/>
    <row r="19448" ht="14.25" customHeight="1"/>
    <row r="19449" ht="14.25" customHeight="1"/>
    <row r="19450" ht="14.25" customHeight="1"/>
    <row r="19451" ht="14.25" customHeight="1"/>
    <row r="19452" ht="14.25" customHeight="1"/>
    <row r="19453" ht="14.25" customHeight="1"/>
    <row r="19454" ht="14.25" customHeight="1"/>
    <row r="19455" ht="14.25" customHeight="1"/>
    <row r="19456" ht="14.25" customHeight="1"/>
    <row r="19457" ht="14.25" customHeight="1"/>
    <row r="19458" ht="14.25" customHeight="1"/>
    <row r="19459" ht="14.25" customHeight="1"/>
    <row r="19460" ht="14.25" customHeight="1"/>
    <row r="19461" ht="14.25" customHeight="1"/>
    <row r="19462" ht="14.25" customHeight="1"/>
    <row r="19463" ht="14.25" customHeight="1"/>
    <row r="19464" ht="14.25" customHeight="1"/>
    <row r="19465" ht="14.25" customHeight="1"/>
    <row r="19466" ht="14.25" customHeight="1"/>
    <row r="19467" ht="14.25" customHeight="1"/>
    <row r="19468" ht="14.25" customHeight="1"/>
    <row r="19469" ht="14.25" customHeight="1"/>
    <row r="19470" ht="14.25" customHeight="1"/>
    <row r="19471" ht="14.25" customHeight="1"/>
    <row r="19472" ht="14.25" customHeight="1"/>
    <row r="19473" ht="14.25" customHeight="1"/>
    <row r="19474" ht="14.25" customHeight="1"/>
    <row r="19475" ht="14.25" customHeight="1"/>
    <row r="19476" ht="14.25" customHeight="1"/>
    <row r="19477" ht="14.25" customHeight="1"/>
    <row r="19478" ht="14.25" customHeight="1"/>
    <row r="19479" ht="14.25" customHeight="1"/>
    <row r="19480" ht="14.25" customHeight="1"/>
    <row r="19481" ht="14.25" customHeight="1"/>
    <row r="19482" ht="14.25" customHeight="1"/>
    <row r="19483" ht="14.25" customHeight="1"/>
    <row r="19484" ht="14.25" customHeight="1"/>
    <row r="19485" ht="14.25" customHeight="1"/>
    <row r="19486" ht="14.25" customHeight="1"/>
    <row r="19487" ht="14.25" customHeight="1"/>
    <row r="19488" ht="14.25" customHeight="1"/>
    <row r="19489" ht="14.25" customHeight="1"/>
    <row r="19490" ht="14.25" customHeight="1"/>
    <row r="19491" ht="14.25" customHeight="1"/>
    <row r="19492" ht="14.25" customHeight="1"/>
    <row r="19493" ht="14.25" customHeight="1"/>
    <row r="19494" ht="14.25" customHeight="1"/>
    <row r="19495" ht="14.25" customHeight="1"/>
    <row r="19496" ht="14.25" customHeight="1"/>
    <row r="19497" ht="14.25" customHeight="1"/>
    <row r="19498" ht="14.25" customHeight="1"/>
    <row r="19499" ht="14.25" customHeight="1"/>
    <row r="19500" ht="14.25" customHeight="1"/>
    <row r="19501" ht="14.25" customHeight="1"/>
    <row r="19502" ht="14.25" customHeight="1"/>
    <row r="19503" ht="14.25" customHeight="1"/>
    <row r="19504" ht="14.25" customHeight="1"/>
    <row r="19505" ht="14.25" customHeight="1"/>
    <row r="19506" ht="14.25" customHeight="1"/>
    <row r="19507" ht="14.25" customHeight="1"/>
    <row r="19508" ht="14.25" customHeight="1"/>
    <row r="19509" ht="14.25" customHeight="1"/>
    <row r="19510" ht="14.25" customHeight="1"/>
    <row r="19511" ht="14.25" customHeight="1"/>
    <row r="19512" ht="14.25" customHeight="1"/>
    <row r="19513" ht="14.25" customHeight="1"/>
    <row r="19514" ht="14.25" customHeight="1"/>
    <row r="19515" ht="14.25" customHeight="1"/>
    <row r="19516" ht="14.25" customHeight="1"/>
    <row r="19517" ht="14.25" customHeight="1"/>
    <row r="19518" ht="14.25" customHeight="1"/>
    <row r="19519" ht="14.25" customHeight="1"/>
    <row r="19520" ht="14.25" customHeight="1"/>
    <row r="19521" ht="14.25" customHeight="1"/>
    <row r="19522" ht="14.25" customHeight="1"/>
    <row r="19523" ht="14.25" customHeight="1"/>
    <row r="19524" ht="14.25" customHeight="1"/>
    <row r="19525" ht="14.25" customHeight="1"/>
    <row r="19526" ht="14.25" customHeight="1"/>
    <row r="19527" ht="14.25" customHeight="1"/>
    <row r="19528" ht="14.25" customHeight="1"/>
    <row r="19529" ht="14.25" customHeight="1"/>
    <row r="19530" ht="14.25" customHeight="1"/>
    <row r="19531" ht="14.25" customHeight="1"/>
    <row r="19532" ht="14.25" customHeight="1"/>
    <row r="19533" ht="14.25" customHeight="1"/>
    <row r="19534" ht="14.25" customHeight="1"/>
    <row r="19535" ht="14.25" customHeight="1"/>
    <row r="19536" ht="14.25" customHeight="1"/>
    <row r="19537" ht="14.25" customHeight="1"/>
    <row r="19538" ht="14.25" customHeight="1"/>
    <row r="19539" ht="14.25" customHeight="1"/>
    <row r="19540" ht="14.25" customHeight="1"/>
    <row r="19541" ht="14.25" customHeight="1"/>
    <row r="19542" ht="14.25" customHeight="1"/>
    <row r="19543" ht="14.25" customHeight="1"/>
    <row r="19544" ht="14.25" customHeight="1"/>
    <row r="19545" ht="14.25" customHeight="1"/>
    <row r="19546" ht="14.25" customHeight="1"/>
    <row r="19547" ht="14.25" customHeight="1"/>
    <row r="19548" ht="14.25" customHeight="1"/>
    <row r="19549" ht="14.25" customHeight="1"/>
    <row r="19550" ht="14.25" customHeight="1"/>
    <row r="19551" ht="14.25" customHeight="1"/>
    <row r="19552" ht="14.25" customHeight="1"/>
    <row r="19553" ht="14.25" customHeight="1"/>
    <row r="19554" ht="14.25" customHeight="1"/>
    <row r="19555" ht="14.25" customHeight="1"/>
    <row r="19556" ht="14.25" customHeight="1"/>
    <row r="19557" ht="14.25" customHeight="1"/>
    <row r="19558" ht="14.25" customHeight="1"/>
    <row r="19559" ht="14.25" customHeight="1"/>
    <row r="19560" ht="14.25" customHeight="1"/>
    <row r="19561" ht="14.25" customHeight="1"/>
    <row r="19562" ht="14.25" customHeight="1"/>
    <row r="19563" ht="14.25" customHeight="1"/>
    <row r="19564" ht="14.25" customHeight="1"/>
    <row r="19565" ht="14.25" customHeight="1"/>
    <row r="19566" ht="14.25" customHeight="1"/>
    <row r="19567" ht="14.25" customHeight="1"/>
    <row r="19568" ht="14.25" customHeight="1"/>
    <row r="19569" ht="14.25" customHeight="1"/>
    <row r="19570" ht="14.25" customHeight="1"/>
    <row r="19571" ht="14.25" customHeight="1"/>
    <row r="19572" ht="14.25" customHeight="1"/>
    <row r="19573" ht="14.25" customHeight="1"/>
    <row r="19574" ht="14.25" customHeight="1"/>
    <row r="19575" ht="14.25" customHeight="1"/>
    <row r="19576" ht="14.25" customHeight="1"/>
    <row r="19577" ht="14.25" customHeight="1"/>
    <row r="19578" ht="14.25" customHeight="1"/>
    <row r="19579" ht="14.25" customHeight="1"/>
    <row r="19580" ht="14.25" customHeight="1"/>
    <row r="19581" ht="14.25" customHeight="1"/>
    <row r="19582" ht="14.25" customHeight="1"/>
    <row r="19583" ht="14.25" customHeight="1"/>
    <row r="19584" ht="14.25" customHeight="1"/>
    <row r="19585" ht="14.25" customHeight="1"/>
    <row r="19586" ht="14.25" customHeight="1"/>
    <row r="19587" ht="14.25" customHeight="1"/>
    <row r="19588" ht="14.25" customHeight="1"/>
    <row r="19589" ht="14.25" customHeight="1"/>
    <row r="19590" ht="14.25" customHeight="1"/>
    <row r="19591" ht="14.25" customHeight="1"/>
    <row r="19592" ht="14.25" customHeight="1"/>
    <row r="19593" ht="14.25" customHeight="1"/>
    <row r="19594" ht="14.25" customHeight="1"/>
    <row r="19595" ht="14.25" customHeight="1"/>
    <row r="19596" ht="14.25" customHeight="1"/>
    <row r="19597" ht="14.25" customHeight="1"/>
    <row r="19598" ht="14.25" customHeight="1"/>
    <row r="19599" ht="14.25" customHeight="1"/>
    <row r="19600" ht="14.25" customHeight="1"/>
    <row r="19601" ht="14.25" customHeight="1"/>
    <row r="19602" ht="14.25" customHeight="1"/>
    <row r="19603" ht="14.25" customHeight="1"/>
    <row r="19604" ht="14.25" customHeight="1"/>
    <row r="19605" ht="14.25" customHeight="1"/>
    <row r="19606" ht="14.25" customHeight="1"/>
    <row r="19607" ht="14.25" customHeight="1"/>
    <row r="19608" ht="14.25" customHeight="1"/>
    <row r="19609" ht="14.25" customHeight="1"/>
    <row r="19610" ht="14.25" customHeight="1"/>
    <row r="19611" ht="14.25" customHeight="1"/>
    <row r="19612" ht="14.25" customHeight="1"/>
    <row r="19613" ht="14.25" customHeight="1"/>
    <row r="19614" ht="14.25" customHeight="1"/>
    <row r="19615" ht="14.25" customHeight="1"/>
    <row r="19616" ht="14.25" customHeight="1"/>
    <row r="19617" ht="14.25" customHeight="1"/>
    <row r="19618" ht="14.25" customHeight="1"/>
    <row r="19619" ht="14.25" customHeight="1"/>
    <row r="19620" ht="14.25" customHeight="1"/>
    <row r="19621" ht="14.25" customHeight="1"/>
    <row r="19622" ht="14.25" customHeight="1"/>
    <row r="19623" ht="14.25" customHeight="1"/>
    <row r="19624" ht="14.25" customHeight="1"/>
    <row r="19625" ht="14.25" customHeight="1"/>
    <row r="19626" ht="14.25" customHeight="1"/>
    <row r="19627" ht="14.25" customHeight="1"/>
    <row r="19628" ht="14.25" customHeight="1"/>
    <row r="19629" ht="14.25" customHeight="1"/>
    <row r="19630" ht="14.25" customHeight="1"/>
    <row r="19631" ht="14.25" customHeight="1"/>
    <row r="19632" ht="14.25" customHeight="1"/>
    <row r="19633" ht="14.25" customHeight="1"/>
    <row r="19634" ht="14.25" customHeight="1"/>
    <row r="19635" ht="14.25" customHeight="1"/>
    <row r="19636" ht="14.25" customHeight="1"/>
    <row r="19637" ht="14.25" customHeight="1"/>
    <row r="19638" ht="14.25" customHeight="1"/>
    <row r="19639" ht="14.25" customHeight="1"/>
    <row r="19640" ht="14.25" customHeight="1"/>
    <row r="19641" ht="14.25" customHeight="1"/>
    <row r="19642" ht="14.25" customHeight="1"/>
    <row r="19643" ht="14.25" customHeight="1"/>
    <row r="19644" ht="14.25" customHeight="1"/>
    <row r="19645" ht="14.25" customHeight="1"/>
    <row r="19646" ht="14.25" customHeight="1"/>
    <row r="19647" ht="14.25" customHeight="1"/>
    <row r="19648" ht="14.25" customHeight="1"/>
    <row r="19649" ht="14.25" customHeight="1"/>
    <row r="19650" ht="14.25" customHeight="1"/>
    <row r="19651" ht="14.25" customHeight="1"/>
    <row r="19652" ht="14.25" customHeight="1"/>
    <row r="19653" ht="14.25" customHeight="1"/>
    <row r="19654" ht="14.25" customHeight="1"/>
    <row r="19655" ht="14.25" customHeight="1"/>
    <row r="19656" ht="14.25" customHeight="1"/>
    <row r="19657" ht="14.25" customHeight="1"/>
    <row r="19658" ht="14.25" customHeight="1"/>
    <row r="19659" ht="14.25" customHeight="1"/>
    <row r="19660" ht="14.25" customHeight="1"/>
    <row r="19661" ht="14.25" customHeight="1"/>
    <row r="19662" ht="14.25" customHeight="1"/>
    <row r="19663" ht="14.25" customHeight="1"/>
    <row r="19664" ht="14.25" customHeight="1"/>
    <row r="19665" ht="14.25" customHeight="1"/>
    <row r="19666" ht="14.25" customHeight="1"/>
    <row r="19667" ht="14.25" customHeight="1"/>
    <row r="19668" ht="14.25" customHeight="1"/>
    <row r="19669" ht="14.25" customHeight="1"/>
    <row r="19670" ht="14.25" customHeight="1"/>
    <row r="19671" ht="14.25" customHeight="1"/>
    <row r="19672" ht="14.25" customHeight="1"/>
    <row r="19673" ht="14.25" customHeight="1"/>
    <row r="19674" ht="14.25" customHeight="1"/>
    <row r="19675" ht="14.25" customHeight="1"/>
    <row r="19676" ht="14.25" customHeight="1"/>
    <row r="19677" ht="14.25" customHeight="1"/>
    <row r="19678" ht="14.25" customHeight="1"/>
    <row r="19679" ht="14.25" customHeight="1"/>
    <row r="19680" ht="14.25" customHeight="1"/>
    <row r="19681" ht="14.25" customHeight="1"/>
    <row r="19682" ht="14.25" customHeight="1"/>
    <row r="19683" ht="14.25" customHeight="1"/>
    <row r="19684" ht="14.25" customHeight="1"/>
    <row r="19685" ht="14.25" customHeight="1"/>
    <row r="19686" ht="14.25" customHeight="1"/>
    <row r="19687" ht="14.25" customHeight="1"/>
    <row r="19688" ht="14.25" customHeight="1"/>
    <row r="19689" ht="14.25" customHeight="1"/>
    <row r="19690" ht="14.25" customHeight="1"/>
    <row r="19691" ht="14.25" customHeight="1"/>
    <row r="19692" ht="14.25" customHeight="1"/>
    <row r="19693" ht="14.25" customHeight="1"/>
    <row r="19694" ht="14.25" customHeight="1"/>
    <row r="19695" ht="14.25" customHeight="1"/>
    <row r="19696" ht="14.25" customHeight="1"/>
    <row r="19697" ht="14.25" customHeight="1"/>
    <row r="19698" ht="14.25" customHeight="1"/>
    <row r="19699" ht="14.25" customHeight="1"/>
    <row r="19700" ht="14.25" customHeight="1"/>
    <row r="19701" ht="14.25" customHeight="1"/>
    <row r="19702" ht="14.25" customHeight="1"/>
    <row r="19703" ht="14.25" customHeight="1"/>
    <row r="19704" ht="14.25" customHeight="1"/>
    <row r="19705" ht="14.25" customHeight="1"/>
    <row r="19706" ht="14.25" customHeight="1"/>
    <row r="19707" ht="14.25" customHeight="1"/>
    <row r="19708" ht="14.25" customHeight="1"/>
    <row r="19709" ht="14.25" customHeight="1"/>
    <row r="19710" ht="14.25" customHeight="1"/>
    <row r="19711" ht="14.25" customHeight="1"/>
    <row r="19712" ht="14.25" customHeight="1"/>
    <row r="19713" ht="14.25" customHeight="1"/>
    <row r="19714" ht="14.25" customHeight="1"/>
    <row r="19715" ht="14.25" customHeight="1"/>
    <row r="19716" ht="14.25" customHeight="1"/>
    <row r="19717" ht="14.25" customHeight="1"/>
    <row r="19718" ht="14.25" customHeight="1"/>
    <row r="19719" ht="14.25" customHeight="1"/>
    <row r="19720" ht="14.25" customHeight="1"/>
    <row r="19721" ht="14.25" customHeight="1"/>
    <row r="19722" ht="14.25" customHeight="1"/>
    <row r="19723" ht="14.25" customHeight="1"/>
    <row r="19724" ht="14.25" customHeight="1"/>
    <row r="19725" ht="14.25" customHeight="1"/>
    <row r="19726" ht="14.25" customHeight="1"/>
    <row r="19727" ht="14.25" customHeight="1"/>
    <row r="19728" ht="14.25" customHeight="1"/>
    <row r="19729" ht="14.25" customHeight="1"/>
    <row r="19730" ht="14.25" customHeight="1"/>
    <row r="19731" ht="14.25" customHeight="1"/>
    <row r="19732" ht="14.25" customHeight="1"/>
    <row r="19733" ht="14.25" customHeight="1"/>
    <row r="19734" ht="14.25" customHeight="1"/>
    <row r="19735" ht="14.25" customHeight="1"/>
    <row r="19736" ht="14.25" customHeight="1"/>
    <row r="19737" ht="14.25" customHeight="1"/>
    <row r="19738" ht="14.25" customHeight="1"/>
    <row r="19739" ht="14.25" customHeight="1"/>
    <row r="19740" ht="14.25" customHeight="1"/>
    <row r="19741" ht="14.25" customHeight="1"/>
    <row r="19742" ht="14.25" customHeight="1"/>
    <row r="19743" ht="14.25" customHeight="1"/>
    <row r="19744" ht="14.25" customHeight="1"/>
    <row r="19745" ht="14.25" customHeight="1"/>
    <row r="19746" ht="14.25" customHeight="1"/>
    <row r="19747" ht="14.25" customHeight="1"/>
    <row r="19748" ht="14.25" customHeight="1"/>
    <row r="19749" ht="14.25" customHeight="1"/>
    <row r="19750" ht="14.25" customHeight="1"/>
    <row r="19751" ht="14.25" customHeight="1"/>
    <row r="19752" ht="14.25" customHeight="1"/>
    <row r="19753" ht="14.25" customHeight="1"/>
    <row r="19754" ht="14.25" customHeight="1"/>
    <row r="19755" ht="14.25" customHeight="1"/>
    <row r="19756" ht="14.25" customHeight="1"/>
    <row r="19757" ht="14.25" customHeight="1"/>
    <row r="19758" ht="14.25" customHeight="1"/>
    <row r="19759" ht="14.25" customHeight="1"/>
    <row r="19760" ht="14.25" customHeight="1"/>
    <row r="19761" ht="14.25" customHeight="1"/>
    <row r="19762" ht="14.25" customHeight="1"/>
    <row r="19763" ht="14.25" customHeight="1"/>
    <row r="19764" ht="14.25" customHeight="1"/>
    <row r="19765" ht="14.25" customHeight="1"/>
    <row r="19766" ht="14.25" customHeight="1"/>
    <row r="19767" ht="14.25" customHeight="1"/>
    <row r="19768" ht="14.25" customHeight="1"/>
    <row r="19769" ht="14.25" customHeight="1"/>
    <row r="19770" ht="14.25" customHeight="1"/>
    <row r="19771" ht="14.25" customHeight="1"/>
    <row r="19772" ht="14.25" customHeight="1"/>
    <row r="19773" ht="14.25" customHeight="1"/>
    <row r="19774" ht="14.25" customHeight="1"/>
    <row r="19775" ht="14.25" customHeight="1"/>
    <row r="19776" ht="14.25" customHeight="1"/>
    <row r="19777" ht="14.25" customHeight="1"/>
    <row r="19778" ht="14.25" customHeight="1"/>
    <row r="19779" ht="14.25" customHeight="1"/>
    <row r="19780" ht="14.25" customHeight="1"/>
    <row r="19781" ht="14.25" customHeight="1"/>
    <row r="19782" ht="14.25" customHeight="1"/>
    <row r="19783" ht="14.25" customHeight="1"/>
    <row r="19784" ht="14.25" customHeight="1"/>
    <row r="19785" ht="14.25" customHeight="1"/>
    <row r="19786" ht="14.25" customHeight="1"/>
    <row r="19787" ht="14.25" customHeight="1"/>
    <row r="19788" ht="14.25" customHeight="1"/>
    <row r="19789" ht="14.25" customHeight="1"/>
    <row r="19790" ht="14.25" customHeight="1"/>
    <row r="19791" ht="14.25" customHeight="1"/>
    <row r="19792" ht="14.25" customHeight="1"/>
    <row r="19793" ht="14.25" customHeight="1"/>
    <row r="19794" ht="14.25" customHeight="1"/>
    <row r="19795" ht="14.25" customHeight="1"/>
    <row r="19796" ht="14.25" customHeight="1"/>
    <row r="19797" ht="14.25" customHeight="1"/>
    <row r="19798" ht="14.25" customHeight="1"/>
    <row r="19799" ht="14.25" customHeight="1"/>
    <row r="19800" ht="14.25" customHeight="1"/>
    <row r="19801" ht="14.25" customHeight="1"/>
    <row r="19802" ht="14.25" customHeight="1"/>
    <row r="19803" ht="14.25" customHeight="1"/>
    <row r="19804" ht="14.25" customHeight="1"/>
    <row r="19805" ht="14.25" customHeight="1"/>
    <row r="19806" ht="14.25" customHeight="1"/>
    <row r="19807" ht="14.25" customHeight="1"/>
    <row r="19808" ht="14.25" customHeight="1"/>
    <row r="19809" ht="14.25" customHeight="1"/>
    <row r="19810" ht="14.25" customHeight="1"/>
    <row r="19811" ht="14.25" customHeight="1"/>
    <row r="19812" ht="14.25" customHeight="1"/>
    <row r="19813" ht="14.25" customHeight="1"/>
    <row r="19814" ht="14.25" customHeight="1"/>
    <row r="19815" ht="14.25" customHeight="1"/>
    <row r="19816" ht="14.25" customHeight="1"/>
    <row r="19817" ht="14.25" customHeight="1"/>
    <row r="19818" ht="14.25" customHeight="1"/>
    <row r="19819" ht="14.25" customHeight="1"/>
    <row r="19820" ht="14.25" customHeight="1"/>
    <row r="19821" ht="14.25" customHeight="1"/>
    <row r="19822" ht="14.25" customHeight="1"/>
    <row r="19823" ht="14.25" customHeight="1"/>
    <row r="19824" ht="14.25" customHeight="1"/>
    <row r="19825" ht="14.25" customHeight="1"/>
    <row r="19826" ht="14.25" customHeight="1"/>
    <row r="19827" ht="14.25" customHeight="1"/>
    <row r="19828" ht="14.25" customHeight="1"/>
    <row r="19829" ht="14.25" customHeight="1"/>
    <row r="19830" ht="14.25" customHeight="1"/>
    <row r="19831" ht="14.25" customHeight="1"/>
    <row r="19832" ht="14.25" customHeight="1"/>
    <row r="19833" ht="14.25" customHeight="1"/>
    <row r="19834" ht="14.25" customHeight="1"/>
    <row r="19835" ht="14.25" customHeight="1"/>
    <row r="19836" ht="14.25" customHeight="1"/>
    <row r="19837" ht="14.25" customHeight="1"/>
    <row r="19838" ht="14.25" customHeight="1"/>
    <row r="19839" ht="14.25" customHeight="1"/>
    <row r="19840" ht="14.25" customHeight="1"/>
    <row r="19841" ht="14.25" customHeight="1"/>
    <row r="19842" ht="14.25" customHeight="1"/>
    <row r="19843" ht="14.25" customHeight="1"/>
    <row r="19844" ht="14.25" customHeight="1"/>
    <row r="19845" ht="14.25" customHeight="1"/>
    <row r="19846" ht="14.25" customHeight="1"/>
    <row r="19847" ht="14.25" customHeight="1"/>
    <row r="19848" ht="14.25" customHeight="1"/>
    <row r="19849" ht="14.25" customHeight="1"/>
    <row r="19850" ht="14.25" customHeight="1"/>
    <row r="19851" ht="14.25" customHeight="1"/>
    <row r="19852" ht="14.25" customHeight="1"/>
    <row r="19853" ht="14.25" customHeight="1"/>
    <row r="19854" ht="14.25" customHeight="1"/>
    <row r="19855" ht="14.25" customHeight="1"/>
    <row r="19856" ht="14.25" customHeight="1"/>
    <row r="19857" ht="14.25" customHeight="1"/>
    <row r="19858" ht="14.25" customHeight="1"/>
    <row r="19859" ht="14.25" customHeight="1"/>
    <row r="19860" ht="14.25" customHeight="1"/>
    <row r="19861" ht="14.25" customHeight="1"/>
    <row r="19862" ht="14.25" customHeight="1"/>
    <row r="19863" ht="14.25" customHeight="1"/>
    <row r="19864" ht="14.25" customHeight="1"/>
    <row r="19865" ht="14.25" customHeight="1"/>
    <row r="19866" ht="14.25" customHeight="1"/>
    <row r="19867" ht="14.25" customHeight="1"/>
    <row r="19868" ht="14.25" customHeight="1"/>
    <row r="19869" ht="14.25" customHeight="1"/>
    <row r="19870" ht="14.25" customHeight="1"/>
    <row r="19871" ht="14.25" customHeight="1"/>
    <row r="19872" ht="14.25" customHeight="1"/>
    <row r="19873" ht="14.25" customHeight="1"/>
    <row r="19874" ht="14.25" customHeight="1"/>
    <row r="19875" ht="14.25" customHeight="1"/>
    <row r="19876" ht="14.25" customHeight="1"/>
    <row r="19877" ht="14.25" customHeight="1"/>
    <row r="19878" ht="14.25" customHeight="1"/>
    <row r="19879" ht="14.25" customHeight="1"/>
    <row r="19880" ht="14.25" customHeight="1"/>
    <row r="19881" ht="14.25" customHeight="1"/>
    <row r="19882" ht="14.25" customHeight="1"/>
    <row r="19883" ht="14.25" customHeight="1"/>
    <row r="19884" ht="14.25" customHeight="1"/>
    <row r="19885" ht="14.25" customHeight="1"/>
    <row r="19886" ht="14.25" customHeight="1"/>
    <row r="19887" ht="14.25" customHeight="1"/>
    <row r="19888" ht="14.25" customHeight="1"/>
    <row r="19889" ht="14.25" customHeight="1"/>
    <row r="19890" ht="14.25" customHeight="1"/>
    <row r="19891" ht="14.25" customHeight="1"/>
    <row r="19892" ht="14.25" customHeight="1"/>
    <row r="19893" ht="14.25" customHeight="1"/>
    <row r="19894" ht="14.25" customHeight="1"/>
    <row r="19895" ht="14.25" customHeight="1"/>
    <row r="19896" ht="14.25" customHeight="1"/>
    <row r="19897" ht="14.25" customHeight="1"/>
    <row r="19898" ht="14.25" customHeight="1"/>
    <row r="19899" ht="14.25" customHeight="1"/>
    <row r="19900" ht="14.25" customHeight="1"/>
    <row r="19901" ht="14.25" customHeight="1"/>
    <row r="19902" ht="14.25" customHeight="1"/>
    <row r="19903" ht="14.25" customHeight="1"/>
    <row r="19904" ht="14.25" customHeight="1"/>
    <row r="19905" ht="14.25" customHeight="1"/>
    <row r="19906" ht="14.25" customHeight="1"/>
    <row r="19907" ht="14.25" customHeight="1"/>
    <row r="19908" ht="14.25" customHeight="1"/>
    <row r="19909" ht="14.25" customHeight="1"/>
    <row r="19910" ht="14.25" customHeight="1"/>
    <row r="19911" ht="14.25" customHeight="1"/>
    <row r="19912" ht="14.25" customHeight="1"/>
    <row r="19913" ht="14.25" customHeight="1"/>
    <row r="19914" ht="14.25" customHeight="1"/>
    <row r="19915" ht="14.25" customHeight="1"/>
    <row r="19916" ht="14.25" customHeight="1"/>
    <row r="19917" ht="14.25" customHeight="1"/>
    <row r="19918" ht="14.25" customHeight="1"/>
    <row r="19919" ht="14.25" customHeight="1"/>
    <row r="19920" ht="14.25" customHeight="1"/>
    <row r="19921" ht="14.25" customHeight="1"/>
    <row r="19922" ht="14.25" customHeight="1"/>
    <row r="19923" ht="14.25" customHeight="1"/>
    <row r="19924" ht="14.25" customHeight="1"/>
    <row r="19925" ht="14.25" customHeight="1"/>
    <row r="19926" ht="14.25" customHeight="1"/>
    <row r="19927" ht="14.25" customHeight="1"/>
    <row r="19928" ht="14.25" customHeight="1"/>
    <row r="19929" ht="14.25" customHeight="1"/>
    <row r="19930" ht="14.25" customHeight="1"/>
    <row r="19931" ht="14.25" customHeight="1"/>
    <row r="19932" ht="14.25" customHeight="1"/>
    <row r="19933" ht="14.25" customHeight="1"/>
    <row r="19934" ht="14.25" customHeight="1"/>
    <row r="19935" ht="14.25" customHeight="1"/>
    <row r="19936" ht="14.25" customHeight="1"/>
    <row r="19937" ht="14.25" customHeight="1"/>
    <row r="19938" ht="14.25" customHeight="1"/>
    <row r="19939" ht="14.25" customHeight="1"/>
    <row r="19940" ht="14.25" customHeight="1"/>
    <row r="19941" ht="14.25" customHeight="1"/>
    <row r="19942" ht="14.25" customHeight="1"/>
    <row r="19943" ht="14.25" customHeight="1"/>
    <row r="19944" ht="14.25" customHeight="1"/>
    <row r="19945" ht="14.25" customHeight="1"/>
    <row r="19946" ht="14.25" customHeight="1"/>
    <row r="19947" ht="14.25" customHeight="1"/>
    <row r="19948" ht="14.25" customHeight="1"/>
    <row r="19949" ht="14.25" customHeight="1"/>
    <row r="19950" ht="14.25" customHeight="1"/>
    <row r="19951" ht="14.25" customHeight="1"/>
    <row r="19952" ht="14.25" customHeight="1"/>
    <row r="19953" ht="14.25" customHeight="1"/>
    <row r="19954" ht="14.25" customHeight="1"/>
    <row r="19955" ht="14.25" customHeight="1"/>
    <row r="19956" ht="14.25" customHeight="1"/>
    <row r="19957" ht="14.25" customHeight="1"/>
    <row r="19958" ht="14.25" customHeight="1"/>
    <row r="19959" ht="14.25" customHeight="1"/>
    <row r="19960" ht="14.25" customHeight="1"/>
    <row r="19961" ht="14.25" customHeight="1"/>
    <row r="19962" ht="14.25" customHeight="1"/>
    <row r="19963" ht="14.25" customHeight="1"/>
    <row r="19964" ht="14.25" customHeight="1"/>
    <row r="19965" ht="14.25" customHeight="1"/>
    <row r="19966" ht="14.25" customHeight="1"/>
    <row r="19967" ht="14.25" customHeight="1"/>
    <row r="19968" ht="14.25" customHeight="1"/>
    <row r="19969" ht="14.25" customHeight="1"/>
    <row r="19970" ht="14.25" customHeight="1"/>
    <row r="19971" ht="14.25" customHeight="1"/>
    <row r="19972" ht="14.25" customHeight="1"/>
    <row r="19973" ht="14.25" customHeight="1"/>
    <row r="19974" ht="14.25" customHeight="1"/>
    <row r="19975" ht="14.25" customHeight="1"/>
    <row r="19976" ht="14.25" customHeight="1"/>
    <row r="19977" ht="14.25" customHeight="1"/>
    <row r="19978" ht="14.25" customHeight="1"/>
    <row r="19979" ht="14.25" customHeight="1"/>
    <row r="19980" ht="14.25" customHeight="1"/>
    <row r="19981" ht="14.25" customHeight="1"/>
    <row r="19982" ht="14.25" customHeight="1"/>
    <row r="19983" ht="14.25" customHeight="1"/>
    <row r="19984" ht="14.25" customHeight="1"/>
    <row r="19985" ht="14.25" customHeight="1"/>
    <row r="19986" ht="14.25" customHeight="1"/>
    <row r="19987" ht="14.25" customHeight="1"/>
    <row r="19988" ht="14.25" customHeight="1"/>
    <row r="19989" ht="14.25" customHeight="1"/>
    <row r="19990" ht="14.25" customHeight="1"/>
    <row r="19991" ht="14.25" customHeight="1"/>
    <row r="19992" ht="14.25" customHeight="1"/>
    <row r="19993" ht="14.25" customHeight="1"/>
    <row r="19994" ht="14.25" customHeight="1"/>
    <row r="19995" ht="14.25" customHeight="1"/>
    <row r="19996" ht="14.25" customHeight="1"/>
    <row r="19997" ht="14.25" customHeight="1"/>
    <row r="19998" ht="14.25" customHeight="1"/>
    <row r="19999" ht="14.25" customHeight="1"/>
    <row r="20000" ht="14.25" customHeight="1"/>
    <row r="20001" ht="14.25" customHeight="1"/>
    <row r="20002" ht="14.25" customHeight="1"/>
    <row r="20003" ht="14.25" customHeight="1"/>
    <row r="20004" ht="14.25" customHeight="1"/>
    <row r="20005" ht="14.25" customHeight="1"/>
    <row r="20006" ht="14.25" customHeight="1"/>
    <row r="20007" ht="14.25" customHeight="1"/>
    <row r="20008" ht="14.25" customHeight="1"/>
    <row r="20009" ht="14.25" customHeight="1"/>
    <row r="20010" ht="14.25" customHeight="1"/>
    <row r="20011" ht="14.25" customHeight="1"/>
    <row r="20012" ht="14.25" customHeight="1"/>
    <row r="20013" ht="14.25" customHeight="1"/>
    <row r="20014" ht="14.25" customHeight="1"/>
    <row r="20015" ht="14.25" customHeight="1"/>
    <row r="20016" ht="14.25" customHeight="1"/>
    <row r="20017" ht="14.25" customHeight="1"/>
    <row r="20018" ht="14.25" customHeight="1"/>
    <row r="20019" ht="14.25" customHeight="1"/>
    <row r="20020" ht="14.25" customHeight="1"/>
    <row r="20021" ht="14.25" customHeight="1"/>
    <row r="20022" ht="14.25" customHeight="1"/>
    <row r="20023" ht="14.25" customHeight="1"/>
    <row r="20024" ht="14.25" customHeight="1"/>
    <row r="20025" ht="14.25" customHeight="1"/>
    <row r="20026" ht="14.25" customHeight="1"/>
    <row r="20027" ht="14.25" customHeight="1"/>
    <row r="20028" ht="14.25" customHeight="1"/>
    <row r="20029" ht="14.25" customHeight="1"/>
    <row r="20030" ht="14.25" customHeight="1"/>
    <row r="20031" ht="14.25" customHeight="1"/>
    <row r="20032" ht="14.25" customHeight="1"/>
    <row r="20033" ht="14.25" customHeight="1"/>
    <row r="20034" ht="14.25" customHeight="1"/>
    <row r="20035" ht="14.25" customHeight="1"/>
    <row r="20036" ht="14.25" customHeight="1"/>
    <row r="20037" ht="14.25" customHeight="1"/>
    <row r="20038" ht="14.25" customHeight="1"/>
    <row r="20039" ht="14.25" customHeight="1"/>
    <row r="20040" ht="14.25" customHeight="1"/>
    <row r="20041" ht="14.25" customHeight="1"/>
    <row r="20042" ht="14.25" customHeight="1"/>
    <row r="20043" ht="14.25" customHeight="1"/>
    <row r="20044" ht="14.25" customHeight="1"/>
    <row r="20045" ht="14.25" customHeight="1"/>
    <row r="20046" ht="14.25" customHeight="1"/>
    <row r="20047" ht="14.25" customHeight="1"/>
    <row r="20048" ht="14.25" customHeight="1"/>
    <row r="20049" ht="14.25" customHeight="1"/>
    <row r="20050" ht="14.25" customHeight="1"/>
    <row r="20051" ht="14.25" customHeight="1"/>
    <row r="20052" ht="14.25" customHeight="1"/>
    <row r="20053" ht="14.25" customHeight="1"/>
    <row r="20054" ht="14.25" customHeight="1"/>
    <row r="20055" ht="14.25" customHeight="1"/>
    <row r="20056" ht="14.25" customHeight="1"/>
    <row r="20057" ht="14.25" customHeight="1"/>
    <row r="20058" ht="14.25" customHeight="1"/>
    <row r="20059" ht="14.25" customHeight="1"/>
    <row r="20060" ht="14.25" customHeight="1"/>
    <row r="20061" ht="14.25" customHeight="1"/>
    <row r="20062" ht="14.25" customHeight="1"/>
    <row r="20063" ht="14.25" customHeight="1"/>
    <row r="20064" ht="14.25" customHeight="1"/>
    <row r="20065" ht="14.25" customHeight="1"/>
    <row r="20066" ht="14.25" customHeight="1"/>
    <row r="20067" ht="14.25" customHeight="1"/>
    <row r="20068" ht="14.25" customHeight="1"/>
    <row r="20069" ht="14.25" customHeight="1"/>
    <row r="20070" ht="14.25" customHeight="1"/>
    <row r="20071" ht="14.25" customHeight="1"/>
    <row r="20072" ht="14.25" customHeight="1"/>
    <row r="20073" ht="14.25" customHeight="1"/>
    <row r="20074" ht="14.25" customHeight="1"/>
    <row r="20075" ht="14.25" customHeight="1"/>
    <row r="20076" ht="14.25" customHeight="1"/>
    <row r="20077" ht="14.25" customHeight="1"/>
    <row r="20078" ht="14.25" customHeight="1"/>
    <row r="20079" ht="14.25" customHeight="1"/>
    <row r="20080" ht="14.25" customHeight="1"/>
    <row r="20081" ht="14.25" customHeight="1"/>
    <row r="20082" ht="14.25" customHeight="1"/>
    <row r="20083" ht="14.25" customHeight="1"/>
    <row r="20084" ht="14.25" customHeight="1"/>
    <row r="20085" ht="14.25" customHeight="1"/>
    <row r="20086" ht="14.25" customHeight="1"/>
    <row r="20087" ht="14.25" customHeight="1"/>
    <row r="20088" ht="14.25" customHeight="1"/>
    <row r="20089" ht="14.25" customHeight="1"/>
    <row r="20090" ht="14.25" customHeight="1"/>
    <row r="20091" ht="14.25" customHeight="1"/>
    <row r="20092" ht="14.25" customHeight="1"/>
    <row r="20093" ht="14.25" customHeight="1"/>
    <row r="20094" ht="14.25" customHeight="1"/>
    <row r="20095" ht="14.25" customHeight="1"/>
    <row r="20096" ht="14.25" customHeight="1"/>
    <row r="20097" ht="14.25" customHeight="1"/>
    <row r="20098" ht="14.25" customHeight="1"/>
    <row r="20099" ht="14.25" customHeight="1"/>
    <row r="20100" ht="14.25" customHeight="1"/>
    <row r="20101" ht="14.25" customHeight="1"/>
    <row r="20102" ht="14.25" customHeight="1"/>
    <row r="20103" ht="14.25" customHeight="1"/>
    <row r="20104" ht="14.25" customHeight="1"/>
    <row r="20105" ht="14.25" customHeight="1"/>
    <row r="20106" ht="14.25" customHeight="1"/>
    <row r="20107" ht="14.25" customHeight="1"/>
    <row r="20108" ht="14.25" customHeight="1"/>
    <row r="20109" ht="14.25" customHeight="1"/>
    <row r="20110" ht="14.25" customHeight="1"/>
    <row r="20111" ht="14.25" customHeight="1"/>
    <row r="20112" ht="14.25" customHeight="1"/>
    <row r="20113" ht="14.25" customHeight="1"/>
    <row r="20114" ht="14.25" customHeight="1"/>
    <row r="20115" ht="14.25" customHeight="1"/>
    <row r="20116" ht="14.25" customHeight="1"/>
    <row r="20117" ht="14.25" customHeight="1"/>
    <row r="20118" ht="14.25" customHeight="1"/>
    <row r="20119" ht="14.25" customHeight="1"/>
    <row r="20120" ht="14.25" customHeight="1"/>
    <row r="20121" ht="14.25" customHeight="1"/>
    <row r="20122" ht="14.25" customHeight="1"/>
    <row r="20123" ht="14.25" customHeight="1"/>
    <row r="20124" ht="14.25" customHeight="1"/>
    <row r="20125" ht="14.25" customHeight="1"/>
    <row r="20126" ht="14.25" customHeight="1"/>
    <row r="20127" ht="14.25" customHeight="1"/>
    <row r="20128" ht="14.25" customHeight="1"/>
    <row r="20129" ht="14.25" customHeight="1"/>
    <row r="20130" ht="14.25" customHeight="1"/>
    <row r="20131" ht="14.25" customHeight="1"/>
    <row r="20132" ht="14.25" customHeight="1"/>
    <row r="20133" ht="14.25" customHeight="1"/>
    <row r="20134" ht="14.25" customHeight="1"/>
    <row r="20135" ht="14.25" customHeight="1"/>
    <row r="20136" ht="14.25" customHeight="1"/>
    <row r="20137" ht="14.25" customHeight="1"/>
    <row r="20138" ht="14.25" customHeight="1"/>
    <row r="20139" ht="14.25" customHeight="1"/>
    <row r="20140" ht="14.25" customHeight="1"/>
    <row r="20141" ht="14.25" customHeight="1"/>
    <row r="20142" ht="14.25" customHeight="1"/>
    <row r="20143" ht="14.25" customHeight="1"/>
    <row r="20144" ht="14.25" customHeight="1"/>
    <row r="20145" ht="14.25" customHeight="1"/>
    <row r="20146" ht="14.25" customHeight="1"/>
    <row r="20147" ht="14.25" customHeight="1"/>
    <row r="20148" ht="14.25" customHeight="1"/>
    <row r="20149" ht="14.25" customHeight="1"/>
    <row r="20150" ht="14.25" customHeight="1"/>
    <row r="20151" ht="14.25" customHeight="1"/>
    <row r="20152" ht="14.25" customHeight="1"/>
    <row r="20153" ht="14.25" customHeight="1"/>
    <row r="20154" ht="14.25" customHeight="1"/>
    <row r="20155" ht="14.25" customHeight="1"/>
    <row r="20156" ht="14.25" customHeight="1"/>
    <row r="20157" ht="14.25" customHeight="1"/>
    <row r="20158" ht="14.25" customHeight="1"/>
    <row r="20159" ht="14.25" customHeight="1"/>
    <row r="20160" ht="14.25" customHeight="1"/>
    <row r="20161" ht="14.25" customHeight="1"/>
    <row r="20162" ht="14.25" customHeight="1"/>
    <row r="20163" ht="14.25" customHeight="1"/>
    <row r="20164" ht="14.25" customHeight="1"/>
    <row r="20165" ht="14.25" customHeight="1"/>
    <row r="20166" ht="14.25" customHeight="1"/>
    <row r="20167" ht="14.25" customHeight="1"/>
    <row r="20168" ht="14.25" customHeight="1"/>
    <row r="20169" ht="14.25" customHeight="1"/>
    <row r="20170" ht="14.25" customHeight="1"/>
    <row r="20171" ht="14.25" customHeight="1"/>
    <row r="20172" ht="14.25" customHeight="1"/>
    <row r="20173" ht="14.25" customHeight="1"/>
    <row r="20174" ht="14.25" customHeight="1"/>
    <row r="20175" ht="14.25" customHeight="1"/>
    <row r="20176" ht="14.25" customHeight="1"/>
    <row r="20177" ht="14.25" customHeight="1"/>
    <row r="20178" ht="14.25" customHeight="1"/>
    <row r="20179" ht="14.25" customHeight="1"/>
    <row r="20180" ht="14.25" customHeight="1"/>
    <row r="20181" ht="14.25" customHeight="1"/>
    <row r="20182" ht="14.25" customHeight="1"/>
    <row r="20183" ht="14.25" customHeight="1"/>
    <row r="20184" ht="14.25" customHeight="1"/>
    <row r="20185" ht="14.25" customHeight="1"/>
    <row r="20186" ht="14.25" customHeight="1"/>
    <row r="20187" ht="14.25" customHeight="1"/>
    <row r="20188" ht="14.25" customHeight="1"/>
    <row r="20189" ht="14.25" customHeight="1"/>
    <row r="20190" ht="14.25" customHeight="1"/>
    <row r="20191" ht="14.25" customHeight="1"/>
    <row r="20192" ht="14.25" customHeight="1"/>
    <row r="20193" ht="14.25" customHeight="1"/>
    <row r="20194" ht="14.25" customHeight="1"/>
    <row r="20195" ht="14.25" customHeight="1"/>
    <row r="20196" ht="14.25" customHeight="1"/>
    <row r="20197" ht="14.25" customHeight="1"/>
    <row r="20198" ht="14.25" customHeight="1"/>
    <row r="20199" ht="14.25" customHeight="1"/>
    <row r="20200" ht="14.25" customHeight="1"/>
    <row r="20201" ht="14.25" customHeight="1"/>
    <row r="20202" ht="14.25" customHeight="1"/>
    <row r="20203" ht="14.25" customHeight="1"/>
    <row r="20204" ht="14.25" customHeight="1"/>
    <row r="20205" ht="14.25" customHeight="1"/>
    <row r="20206" ht="14.25" customHeight="1"/>
    <row r="20207" ht="14.25" customHeight="1"/>
    <row r="20208" ht="14.25" customHeight="1"/>
    <row r="20209" ht="14.25" customHeight="1"/>
    <row r="20210" ht="14.25" customHeight="1"/>
    <row r="20211" ht="14.25" customHeight="1"/>
    <row r="20212" ht="14.25" customHeight="1"/>
    <row r="20213" ht="14.25" customHeight="1"/>
    <row r="20214" ht="14.25" customHeight="1"/>
    <row r="20215" ht="14.25" customHeight="1"/>
    <row r="20216" ht="14.25" customHeight="1"/>
    <row r="20217" ht="14.25" customHeight="1"/>
    <row r="20218" ht="14.25" customHeight="1"/>
    <row r="20219" ht="14.25" customHeight="1"/>
    <row r="20220" ht="14.25" customHeight="1"/>
    <row r="20221" ht="14.25" customHeight="1"/>
    <row r="20222" ht="14.25" customHeight="1"/>
    <row r="20223" ht="14.25" customHeight="1"/>
    <row r="20224" ht="14.25" customHeight="1"/>
    <row r="20225" ht="14.25" customHeight="1"/>
    <row r="20226" ht="14.25" customHeight="1"/>
    <row r="20227" ht="14.25" customHeight="1"/>
    <row r="20228" ht="14.25" customHeight="1"/>
    <row r="20229" ht="14.25" customHeight="1"/>
    <row r="20230" ht="14.25" customHeight="1"/>
    <row r="20231" ht="14.25" customHeight="1"/>
    <row r="20232" ht="14.25" customHeight="1"/>
    <row r="20233" ht="14.25" customHeight="1"/>
    <row r="20234" ht="14.25" customHeight="1"/>
    <row r="20235" ht="14.25" customHeight="1"/>
    <row r="20236" ht="14.25" customHeight="1"/>
    <row r="20237" ht="14.25" customHeight="1"/>
    <row r="20238" ht="14.25" customHeight="1"/>
    <row r="20239" ht="14.25" customHeight="1"/>
    <row r="20240" ht="14.25" customHeight="1"/>
    <row r="20241" ht="14.25" customHeight="1"/>
    <row r="20242" ht="14.25" customHeight="1"/>
    <row r="20243" ht="14.25" customHeight="1"/>
    <row r="20244" ht="14.25" customHeight="1"/>
    <row r="20245" ht="14.25" customHeight="1"/>
    <row r="20246" ht="14.25" customHeight="1"/>
    <row r="20247" ht="14.25" customHeight="1"/>
    <row r="20248" ht="14.25" customHeight="1"/>
    <row r="20249" ht="14.25" customHeight="1"/>
    <row r="20250" ht="14.25" customHeight="1"/>
    <row r="20251" ht="14.25" customHeight="1"/>
    <row r="20252" ht="14.25" customHeight="1"/>
    <row r="20253" ht="14.25" customHeight="1"/>
    <row r="20254" ht="14.25" customHeight="1"/>
    <row r="20255" ht="14.25" customHeight="1"/>
    <row r="20256" ht="14.25" customHeight="1"/>
    <row r="20257" ht="14.25" customHeight="1"/>
    <row r="20258" ht="14.25" customHeight="1"/>
    <row r="20259" ht="14.25" customHeight="1"/>
    <row r="20260" ht="14.25" customHeight="1"/>
    <row r="20261" ht="14.25" customHeight="1"/>
    <row r="20262" ht="14.25" customHeight="1"/>
    <row r="20263" ht="14.25" customHeight="1"/>
    <row r="20264" ht="14.25" customHeight="1"/>
    <row r="20265" ht="14.25" customHeight="1"/>
    <row r="20266" ht="14.25" customHeight="1"/>
    <row r="20267" ht="14.25" customHeight="1"/>
    <row r="20268" ht="14.25" customHeight="1"/>
    <row r="20269" ht="14.25" customHeight="1"/>
    <row r="20270" ht="14.25" customHeight="1"/>
    <row r="20271" ht="14.25" customHeight="1"/>
    <row r="20272" ht="14.25" customHeight="1"/>
    <row r="20273" ht="14.25" customHeight="1"/>
    <row r="20274" ht="14.25" customHeight="1"/>
    <row r="20275" ht="14.25" customHeight="1"/>
    <row r="20276" ht="14.25" customHeight="1"/>
    <row r="20277" ht="14.25" customHeight="1"/>
    <row r="20278" ht="14.25" customHeight="1"/>
    <row r="20279" ht="14.25" customHeight="1"/>
    <row r="20280" ht="14.25" customHeight="1"/>
    <row r="20281" ht="14.25" customHeight="1"/>
    <row r="20282" ht="14.25" customHeight="1"/>
    <row r="20283" ht="14.25" customHeight="1"/>
    <row r="20284" ht="14.25" customHeight="1"/>
    <row r="20285" ht="14.25" customHeight="1"/>
    <row r="20286" ht="14.25" customHeight="1"/>
    <row r="20287" ht="14.25" customHeight="1"/>
    <row r="20288" ht="14.25" customHeight="1"/>
    <row r="20289" ht="14.25" customHeight="1"/>
    <row r="20290" ht="14.25" customHeight="1"/>
    <row r="20291" ht="14.25" customHeight="1"/>
    <row r="20292" ht="14.25" customHeight="1"/>
    <row r="20293" ht="14.25" customHeight="1"/>
    <row r="20294" ht="14.25" customHeight="1"/>
    <row r="20295" ht="14.25" customHeight="1"/>
    <row r="20296" ht="14.25" customHeight="1"/>
    <row r="20297" ht="14.25" customHeight="1"/>
    <row r="20298" ht="14.25" customHeight="1"/>
    <row r="20299" ht="14.25" customHeight="1"/>
    <row r="20300" ht="14.25" customHeight="1"/>
    <row r="20301" ht="14.25" customHeight="1"/>
    <row r="20302" ht="14.25" customHeight="1"/>
    <row r="20303" ht="14.25" customHeight="1"/>
    <row r="20304" ht="14.25" customHeight="1"/>
    <row r="20305" ht="14.25" customHeight="1"/>
    <row r="20306" ht="14.25" customHeight="1"/>
    <row r="20307" ht="14.25" customHeight="1"/>
    <row r="20308" ht="14.25" customHeight="1"/>
    <row r="20309" ht="14.25" customHeight="1"/>
    <row r="20310" ht="14.25" customHeight="1"/>
    <row r="20311" ht="14.25" customHeight="1"/>
    <row r="20312" ht="14.25" customHeight="1"/>
    <row r="20313" ht="14.25" customHeight="1"/>
    <row r="20314" ht="14.25" customHeight="1"/>
    <row r="20315" ht="14.25" customHeight="1"/>
    <row r="20316" ht="14.25" customHeight="1"/>
    <row r="20317" ht="14.25" customHeight="1"/>
    <row r="20318" ht="14.25" customHeight="1"/>
    <row r="20319" ht="14.25" customHeight="1"/>
    <row r="20320" ht="14.25" customHeight="1"/>
    <row r="20321" ht="14.25" customHeight="1"/>
    <row r="20322" ht="14.25" customHeight="1"/>
    <row r="20323" ht="14.25" customHeight="1"/>
    <row r="20324" ht="14.25" customHeight="1"/>
    <row r="20325" ht="14.25" customHeight="1"/>
    <row r="20326" ht="14.25" customHeight="1"/>
    <row r="20327" ht="14.25" customHeight="1"/>
    <row r="20328" ht="14.25" customHeight="1"/>
    <row r="20329" ht="14.25" customHeight="1"/>
    <row r="20330" ht="14.25" customHeight="1"/>
    <row r="20331" ht="14.25" customHeight="1"/>
    <row r="20332" ht="14.25" customHeight="1"/>
    <row r="20333" ht="14.25" customHeight="1"/>
    <row r="20334" ht="14.25" customHeight="1"/>
    <row r="20335" ht="14.25" customHeight="1"/>
    <row r="20336" ht="14.25" customHeight="1"/>
    <row r="20337" ht="14.25" customHeight="1"/>
    <row r="20338" ht="14.25" customHeight="1"/>
    <row r="20339" ht="14.25" customHeight="1"/>
    <row r="20340" ht="14.25" customHeight="1"/>
    <row r="20341" ht="14.25" customHeight="1"/>
    <row r="20342" ht="14.25" customHeight="1"/>
    <row r="20343" ht="14.25" customHeight="1"/>
    <row r="20344" ht="14.25" customHeight="1"/>
    <row r="20345" ht="14.25" customHeight="1"/>
    <row r="20346" ht="14.25" customHeight="1"/>
    <row r="20347" ht="14.25" customHeight="1"/>
    <row r="20348" ht="14.25" customHeight="1"/>
    <row r="20349" ht="14.25" customHeight="1"/>
    <row r="20350" ht="14.25" customHeight="1"/>
    <row r="20351" ht="14.25" customHeight="1"/>
    <row r="20352" ht="14.25" customHeight="1"/>
    <row r="20353" ht="14.25" customHeight="1"/>
    <row r="20354" ht="14.25" customHeight="1"/>
    <row r="20355" ht="14.25" customHeight="1"/>
    <row r="20356" ht="14.25" customHeight="1"/>
    <row r="20357" ht="14.25" customHeight="1"/>
    <row r="20358" ht="14.25" customHeight="1"/>
    <row r="20359" ht="14.25" customHeight="1"/>
    <row r="20360" ht="14.25" customHeight="1"/>
    <row r="20361" ht="14.25" customHeight="1"/>
    <row r="20362" ht="14.25" customHeight="1"/>
    <row r="20363" ht="14.25" customHeight="1"/>
    <row r="20364" ht="14.25" customHeight="1"/>
    <row r="20365" ht="14.25" customHeight="1"/>
    <row r="20366" ht="14.25" customHeight="1"/>
    <row r="20367" ht="14.25" customHeight="1"/>
    <row r="20368" ht="14.25" customHeight="1"/>
    <row r="20369" ht="14.25" customHeight="1"/>
    <row r="20370" ht="14.25" customHeight="1"/>
    <row r="20371" ht="14.25" customHeight="1"/>
    <row r="20372" ht="14.25" customHeight="1"/>
    <row r="20373" ht="14.25" customHeight="1"/>
    <row r="20374" ht="14.25" customHeight="1"/>
    <row r="20375" ht="14.25" customHeight="1"/>
    <row r="20376" ht="14.25" customHeight="1"/>
    <row r="20377" ht="14.25" customHeight="1"/>
    <row r="20378" ht="14.25" customHeight="1"/>
    <row r="20379" ht="14.25" customHeight="1"/>
    <row r="20380" ht="14.25" customHeight="1"/>
    <row r="20381" ht="14.25" customHeight="1"/>
    <row r="20382" ht="14.25" customHeight="1"/>
    <row r="20383" ht="14.25" customHeight="1"/>
    <row r="20384" ht="14.25" customHeight="1"/>
    <row r="20385" ht="14.25" customHeight="1"/>
    <row r="20386" ht="14.25" customHeight="1"/>
    <row r="20387" ht="14.25" customHeight="1"/>
    <row r="20388" ht="14.25" customHeight="1"/>
    <row r="20389" ht="14.25" customHeight="1"/>
    <row r="20390" ht="14.25" customHeight="1"/>
    <row r="20391" ht="14.25" customHeight="1"/>
    <row r="20392" ht="14.25" customHeight="1"/>
    <row r="20393" ht="14.25" customHeight="1"/>
    <row r="20394" ht="14.25" customHeight="1"/>
    <row r="20395" ht="14.25" customHeight="1"/>
    <row r="20396" ht="14.25" customHeight="1"/>
    <row r="20397" ht="14.25" customHeight="1"/>
    <row r="20398" ht="14.25" customHeight="1"/>
    <row r="20399" ht="14.25" customHeight="1"/>
    <row r="20400" ht="14.25" customHeight="1"/>
    <row r="20401" ht="14.25" customHeight="1"/>
    <row r="20402" ht="14.25" customHeight="1"/>
    <row r="20403" ht="14.25" customHeight="1"/>
    <row r="20404" ht="14.25" customHeight="1"/>
    <row r="20405" ht="14.25" customHeight="1"/>
    <row r="20406" ht="14.25" customHeight="1"/>
    <row r="20407" ht="14.25" customHeight="1"/>
    <row r="20408" ht="14.25" customHeight="1"/>
    <row r="20409" ht="14.25" customHeight="1"/>
    <row r="20410" ht="14.25" customHeight="1"/>
    <row r="20411" ht="14.25" customHeight="1"/>
    <row r="20412" ht="14.25" customHeight="1"/>
    <row r="20413" ht="14.25" customHeight="1"/>
    <row r="20414" ht="14.25" customHeight="1"/>
    <row r="20415" ht="14.25" customHeight="1"/>
    <row r="20416" ht="14.25" customHeight="1"/>
    <row r="20417" ht="14.25" customHeight="1"/>
    <row r="20418" ht="14.25" customHeight="1"/>
    <row r="20419" ht="14.25" customHeight="1"/>
    <row r="20420" ht="14.25" customHeight="1"/>
    <row r="20421" ht="14.25" customHeight="1"/>
    <row r="20422" ht="14.25" customHeight="1"/>
    <row r="20423" ht="14.25" customHeight="1"/>
    <row r="20424" ht="14.25" customHeight="1"/>
    <row r="20425" ht="14.25" customHeight="1"/>
    <row r="20426" ht="14.25" customHeight="1"/>
    <row r="20427" ht="14.25" customHeight="1"/>
    <row r="20428" ht="14.25" customHeight="1"/>
    <row r="20429" ht="14.25" customHeight="1"/>
    <row r="20430" ht="14.25" customHeight="1"/>
    <row r="20431" ht="14.25" customHeight="1"/>
    <row r="20432" ht="14.25" customHeight="1"/>
    <row r="20433" ht="14.25" customHeight="1"/>
    <row r="20434" ht="14.25" customHeight="1"/>
    <row r="20435" ht="14.25" customHeight="1"/>
    <row r="20436" ht="14.25" customHeight="1"/>
    <row r="20437" ht="14.25" customHeight="1"/>
    <row r="20438" ht="14.25" customHeight="1"/>
    <row r="20439" ht="14.25" customHeight="1"/>
    <row r="20440" ht="14.25" customHeight="1"/>
    <row r="20441" ht="14.25" customHeight="1"/>
    <row r="20442" ht="14.25" customHeight="1"/>
    <row r="20443" ht="14.25" customHeight="1"/>
    <row r="20444" ht="14.25" customHeight="1"/>
    <row r="20445" ht="14.25" customHeight="1"/>
    <row r="20446" ht="14.25" customHeight="1"/>
    <row r="20447" ht="14.25" customHeight="1"/>
    <row r="20448" ht="14.25" customHeight="1"/>
    <row r="20449" ht="14.25" customHeight="1"/>
    <row r="20450" ht="14.25" customHeight="1"/>
    <row r="20451" ht="14.25" customHeight="1"/>
    <row r="20452" ht="14.25" customHeight="1"/>
    <row r="20453" ht="14.25" customHeight="1"/>
    <row r="20454" ht="14.25" customHeight="1"/>
    <row r="20455" ht="14.25" customHeight="1"/>
    <row r="20456" ht="14.25" customHeight="1"/>
    <row r="20457" ht="14.25" customHeight="1"/>
    <row r="20458" ht="14.25" customHeight="1"/>
    <row r="20459" ht="14.25" customHeight="1"/>
    <row r="20460" ht="14.25" customHeight="1"/>
    <row r="20461" ht="14.25" customHeight="1"/>
    <row r="20462" ht="14.25" customHeight="1"/>
    <row r="20463" ht="14.25" customHeight="1"/>
    <row r="20464" ht="14.25" customHeight="1"/>
    <row r="20465" ht="14.25" customHeight="1"/>
    <row r="20466" ht="14.25" customHeight="1"/>
    <row r="20467" ht="14.25" customHeight="1"/>
    <row r="20468" ht="14.25" customHeight="1"/>
    <row r="20469" ht="14.25" customHeight="1"/>
    <row r="20470" ht="14.25" customHeight="1"/>
    <row r="20471" ht="14.25" customHeight="1"/>
    <row r="20472" ht="14.25" customHeight="1"/>
    <row r="20473" ht="14.25" customHeight="1"/>
    <row r="20474" ht="14.25" customHeight="1"/>
    <row r="20475" ht="14.25" customHeight="1"/>
    <row r="20476" ht="14.25" customHeight="1"/>
    <row r="20477" ht="14.25" customHeight="1"/>
    <row r="20478" ht="14.25" customHeight="1"/>
    <row r="20479" ht="14.25" customHeight="1"/>
    <row r="20480" ht="14.25" customHeight="1"/>
    <row r="20481" ht="14.25" customHeight="1"/>
    <row r="20482" ht="14.25" customHeight="1"/>
    <row r="20483" ht="14.25" customHeight="1"/>
    <row r="20484" ht="14.25" customHeight="1"/>
    <row r="20485" ht="14.25" customHeight="1"/>
    <row r="20486" ht="14.25" customHeight="1"/>
    <row r="20487" ht="14.25" customHeight="1"/>
    <row r="20488" ht="14.25" customHeight="1"/>
    <row r="20489" ht="14.25" customHeight="1"/>
    <row r="20490" ht="14.25" customHeight="1"/>
    <row r="20491" ht="14.25" customHeight="1"/>
    <row r="20492" ht="14.25" customHeight="1"/>
    <row r="20493" ht="14.25" customHeight="1"/>
    <row r="20494" ht="14.25" customHeight="1"/>
    <row r="20495" ht="14.25" customHeight="1"/>
    <row r="20496" ht="14.25" customHeight="1"/>
    <row r="20497" ht="14.25" customHeight="1"/>
    <row r="20498" ht="14.25" customHeight="1"/>
    <row r="20499" ht="14.25" customHeight="1"/>
    <row r="20500" ht="14.25" customHeight="1"/>
    <row r="20501" ht="14.25" customHeight="1"/>
    <row r="20502" ht="14.25" customHeight="1"/>
    <row r="20503" ht="14.25" customHeight="1"/>
    <row r="20504" ht="14.25" customHeight="1"/>
    <row r="20505" ht="14.25" customHeight="1"/>
    <row r="20506" ht="14.25" customHeight="1"/>
    <row r="20507" ht="14.25" customHeight="1"/>
    <row r="20508" ht="14.25" customHeight="1"/>
    <row r="20509" ht="14.25" customHeight="1"/>
    <row r="20510" ht="14.25" customHeight="1"/>
    <row r="20511" ht="14.25" customHeight="1"/>
    <row r="20512" ht="14.25" customHeight="1"/>
    <row r="20513" ht="14.25" customHeight="1"/>
    <row r="20514" ht="14.25" customHeight="1"/>
    <row r="20515" ht="14.25" customHeight="1"/>
    <row r="20516" ht="14.25" customHeight="1"/>
    <row r="20517" ht="14.25" customHeight="1"/>
    <row r="20518" ht="14.25" customHeight="1"/>
    <row r="20519" ht="14.25" customHeight="1"/>
    <row r="20520" ht="14.25" customHeight="1"/>
    <row r="20521" ht="14.25" customHeight="1"/>
    <row r="20522" ht="14.25" customHeight="1"/>
    <row r="20523" ht="14.25" customHeight="1"/>
    <row r="20524" ht="14.25" customHeight="1"/>
    <row r="20525" ht="14.25" customHeight="1"/>
    <row r="20526" ht="14.25" customHeight="1"/>
    <row r="20527" ht="14.25" customHeight="1"/>
    <row r="20528" ht="14.25" customHeight="1"/>
    <row r="20529" ht="14.25" customHeight="1"/>
    <row r="20530" ht="14.25" customHeight="1"/>
    <row r="20531" ht="14.25" customHeight="1"/>
    <row r="20532" ht="14.25" customHeight="1"/>
    <row r="20533" ht="14.25" customHeight="1"/>
    <row r="20534" ht="14.25" customHeight="1"/>
    <row r="20535" ht="14.25" customHeight="1"/>
    <row r="20536" ht="14.25" customHeight="1"/>
    <row r="20537" ht="14.25" customHeight="1"/>
    <row r="20538" ht="14.25" customHeight="1"/>
    <row r="20539" ht="14.25" customHeight="1"/>
    <row r="20540" ht="14.25" customHeight="1"/>
    <row r="20541" ht="14.25" customHeight="1"/>
    <row r="20542" ht="14.25" customHeight="1"/>
    <row r="20543" ht="14.25" customHeight="1"/>
    <row r="20544" ht="14.25" customHeight="1"/>
    <row r="20545" ht="14.25" customHeight="1"/>
    <row r="20546" ht="14.25" customHeight="1"/>
    <row r="20547" ht="14.25" customHeight="1"/>
    <row r="20548" ht="14.25" customHeight="1"/>
    <row r="20549" ht="14.25" customHeight="1"/>
    <row r="20550" ht="14.25" customHeight="1"/>
    <row r="20551" ht="14.25" customHeight="1"/>
    <row r="20552" ht="14.25" customHeight="1"/>
    <row r="20553" ht="14.25" customHeight="1"/>
    <row r="20554" ht="14.25" customHeight="1"/>
    <row r="20555" ht="14.25" customHeight="1"/>
    <row r="20556" ht="14.25" customHeight="1"/>
    <row r="20557" ht="14.25" customHeight="1"/>
    <row r="20558" ht="14.25" customHeight="1"/>
    <row r="20559" ht="14.25" customHeight="1"/>
    <row r="20560" ht="14.25" customHeight="1"/>
    <row r="20561" ht="14.25" customHeight="1"/>
    <row r="20562" ht="14.25" customHeight="1"/>
    <row r="20563" ht="14.25" customHeight="1"/>
    <row r="20564" ht="14.25" customHeight="1"/>
    <row r="20565" ht="14.25" customHeight="1"/>
    <row r="20566" ht="14.25" customHeight="1"/>
    <row r="20567" ht="14.25" customHeight="1"/>
    <row r="20568" ht="14.25" customHeight="1"/>
    <row r="20569" ht="14.25" customHeight="1"/>
    <row r="20570" ht="14.25" customHeight="1"/>
    <row r="20571" ht="14.25" customHeight="1"/>
    <row r="20572" ht="14.25" customHeight="1"/>
    <row r="20573" ht="14.25" customHeight="1"/>
    <row r="20574" ht="14.25" customHeight="1"/>
    <row r="20575" ht="14.25" customHeight="1"/>
    <row r="20576" ht="14.25" customHeight="1"/>
    <row r="20577" ht="14.25" customHeight="1"/>
    <row r="20578" ht="14.25" customHeight="1"/>
    <row r="20579" ht="14.25" customHeight="1"/>
    <row r="20580" ht="14.25" customHeight="1"/>
    <row r="20581" ht="14.25" customHeight="1"/>
    <row r="20582" ht="14.25" customHeight="1"/>
    <row r="20583" ht="14.25" customHeight="1"/>
    <row r="20584" ht="14.25" customHeight="1"/>
    <row r="20585" ht="14.25" customHeight="1"/>
    <row r="20586" ht="14.25" customHeight="1"/>
    <row r="20587" ht="14.25" customHeight="1"/>
    <row r="20588" ht="14.25" customHeight="1"/>
    <row r="20589" ht="14.25" customHeight="1"/>
    <row r="20590" ht="14.25" customHeight="1"/>
    <row r="20591" ht="14.25" customHeight="1"/>
    <row r="20592" ht="14.25" customHeight="1"/>
    <row r="20593" ht="14.25" customHeight="1"/>
    <row r="20594" ht="14.25" customHeight="1"/>
    <row r="20595" ht="14.25" customHeight="1"/>
    <row r="20596" ht="14.25" customHeight="1"/>
    <row r="20597" ht="14.25" customHeight="1"/>
    <row r="20598" ht="14.25" customHeight="1"/>
    <row r="20599" ht="14.25" customHeight="1"/>
    <row r="20600" ht="14.25" customHeight="1"/>
    <row r="20601" ht="14.25" customHeight="1"/>
    <row r="20602" ht="14.25" customHeight="1"/>
    <row r="20603" ht="14.25" customHeight="1"/>
    <row r="20604" ht="14.25" customHeight="1"/>
    <row r="20605" ht="14.25" customHeight="1"/>
    <row r="20606" ht="14.25" customHeight="1"/>
    <row r="20607" ht="14.25" customHeight="1"/>
    <row r="20608" ht="14.25" customHeight="1"/>
    <row r="20609" ht="14.25" customHeight="1"/>
    <row r="20610" ht="14.25" customHeight="1"/>
    <row r="20611" ht="14.25" customHeight="1"/>
    <row r="20612" ht="14.25" customHeight="1"/>
    <row r="20613" ht="14.25" customHeight="1"/>
    <row r="20614" ht="14.25" customHeight="1"/>
    <row r="20615" ht="14.25" customHeight="1"/>
    <row r="20616" ht="14.25" customHeight="1"/>
    <row r="20617" ht="14.25" customHeight="1"/>
    <row r="20618" ht="14.25" customHeight="1"/>
    <row r="20619" ht="14.25" customHeight="1"/>
    <row r="20620" ht="14.25" customHeight="1"/>
    <row r="20621" ht="14.25" customHeight="1"/>
    <row r="20622" ht="14.25" customHeight="1"/>
    <row r="20623" ht="14.25" customHeight="1"/>
    <row r="20624" ht="14.25" customHeight="1"/>
    <row r="20625" ht="14.25" customHeight="1"/>
    <row r="20626" ht="14.25" customHeight="1"/>
    <row r="20627" ht="14.25" customHeight="1"/>
    <row r="20628" ht="14.25" customHeight="1"/>
    <row r="20629" ht="14.25" customHeight="1"/>
    <row r="20630" ht="14.25" customHeight="1"/>
    <row r="20631" ht="14.25" customHeight="1"/>
    <row r="20632" ht="14.25" customHeight="1"/>
    <row r="20633" ht="14.25" customHeight="1"/>
    <row r="20634" ht="14.25" customHeight="1"/>
    <row r="20635" ht="14.25" customHeight="1"/>
    <row r="20636" ht="14.25" customHeight="1"/>
    <row r="20637" ht="14.25" customHeight="1"/>
    <row r="20638" ht="14.25" customHeight="1"/>
    <row r="20639" ht="14.25" customHeight="1"/>
    <row r="20640" ht="14.25" customHeight="1"/>
    <row r="20641" ht="14.25" customHeight="1"/>
    <row r="20642" ht="14.25" customHeight="1"/>
    <row r="20643" ht="14.25" customHeight="1"/>
    <row r="20644" ht="14.25" customHeight="1"/>
    <row r="20645" ht="14.25" customHeight="1"/>
    <row r="20646" ht="14.25" customHeight="1"/>
    <row r="20647" ht="14.25" customHeight="1"/>
    <row r="20648" ht="14.25" customHeight="1"/>
    <row r="20649" ht="14.25" customHeight="1"/>
    <row r="20650" ht="14.25" customHeight="1"/>
    <row r="20651" ht="14.25" customHeight="1"/>
    <row r="20652" ht="14.25" customHeight="1"/>
    <row r="20653" ht="14.25" customHeight="1"/>
    <row r="20654" ht="14.25" customHeight="1"/>
    <row r="20655" ht="14.25" customHeight="1"/>
    <row r="20656" ht="14.25" customHeight="1"/>
    <row r="20657" ht="14.25" customHeight="1"/>
    <row r="20658" ht="14.25" customHeight="1"/>
    <row r="20659" ht="14.25" customHeight="1"/>
    <row r="20660" ht="14.25" customHeight="1"/>
    <row r="20661" ht="14.25" customHeight="1"/>
    <row r="20662" ht="14.25" customHeight="1"/>
    <row r="20663" ht="14.25" customHeight="1"/>
    <row r="20664" ht="14.25" customHeight="1"/>
    <row r="20665" ht="14.25" customHeight="1"/>
    <row r="20666" ht="14.25" customHeight="1"/>
    <row r="20667" ht="14.25" customHeight="1"/>
    <row r="20668" ht="14.25" customHeight="1"/>
    <row r="20669" ht="14.25" customHeight="1"/>
    <row r="20670" ht="14.25" customHeight="1"/>
    <row r="20671" ht="14.25" customHeight="1"/>
    <row r="20672" ht="14.25" customHeight="1"/>
    <row r="20673" ht="14.25" customHeight="1"/>
    <row r="20674" ht="14.25" customHeight="1"/>
    <row r="20675" ht="14.25" customHeight="1"/>
    <row r="20676" ht="14.25" customHeight="1"/>
    <row r="20677" ht="14.25" customHeight="1"/>
    <row r="20678" ht="14.25" customHeight="1"/>
    <row r="20679" ht="14.25" customHeight="1"/>
    <row r="20680" ht="14.25" customHeight="1"/>
    <row r="20681" ht="14.25" customHeight="1"/>
    <row r="20682" ht="14.25" customHeight="1"/>
    <row r="20683" ht="14.25" customHeight="1"/>
    <row r="20684" ht="14.25" customHeight="1"/>
    <row r="20685" ht="14.25" customHeight="1"/>
    <row r="20686" ht="14.25" customHeight="1"/>
    <row r="20687" ht="14.25" customHeight="1"/>
    <row r="20688" ht="14.25" customHeight="1"/>
    <row r="20689" ht="14.25" customHeight="1"/>
    <row r="20690" ht="14.25" customHeight="1"/>
    <row r="20691" ht="14.25" customHeight="1"/>
    <row r="20692" ht="14.25" customHeight="1"/>
    <row r="20693" ht="14.25" customHeight="1"/>
    <row r="20694" ht="14.25" customHeight="1"/>
    <row r="20695" ht="14.25" customHeight="1"/>
    <row r="20696" ht="14.25" customHeight="1"/>
    <row r="20697" ht="14.25" customHeight="1"/>
    <row r="20698" ht="14.25" customHeight="1"/>
    <row r="20699" ht="14.25" customHeight="1"/>
    <row r="20700" ht="14.25" customHeight="1"/>
    <row r="20701" ht="14.25" customHeight="1"/>
    <row r="20702" ht="14.25" customHeight="1"/>
    <row r="20703" ht="14.25" customHeight="1"/>
    <row r="20704" ht="14.25" customHeight="1"/>
    <row r="20705" ht="14.25" customHeight="1"/>
    <row r="20706" ht="14.25" customHeight="1"/>
    <row r="20707" ht="14.25" customHeight="1"/>
    <row r="20708" ht="14.25" customHeight="1"/>
    <row r="20709" ht="14.25" customHeight="1"/>
    <row r="20710" ht="14.25" customHeight="1"/>
    <row r="20711" ht="14.25" customHeight="1"/>
    <row r="20712" ht="14.25" customHeight="1"/>
    <row r="20713" ht="14.25" customHeight="1"/>
    <row r="20714" ht="14.25" customHeight="1"/>
    <row r="20715" ht="14.25" customHeight="1"/>
    <row r="20716" ht="14.25" customHeight="1"/>
    <row r="20717" ht="14.25" customHeight="1"/>
    <row r="20718" ht="14.25" customHeight="1"/>
    <row r="20719" ht="14.25" customHeight="1"/>
    <row r="20720" ht="14.25" customHeight="1"/>
    <row r="20721" ht="14.25" customHeight="1"/>
    <row r="20722" ht="14.25" customHeight="1"/>
    <row r="20723" ht="14.25" customHeight="1"/>
    <row r="20724" ht="14.25" customHeight="1"/>
    <row r="20725" ht="14.25" customHeight="1"/>
    <row r="20726" ht="14.25" customHeight="1"/>
    <row r="20727" ht="14.25" customHeight="1"/>
    <row r="20728" ht="14.25" customHeight="1"/>
    <row r="20729" ht="14.25" customHeight="1"/>
    <row r="20730" ht="14.25" customHeight="1"/>
    <row r="20731" ht="14.25" customHeight="1"/>
    <row r="20732" ht="14.25" customHeight="1"/>
    <row r="20733" ht="14.25" customHeight="1"/>
    <row r="20734" ht="14.25" customHeight="1"/>
    <row r="20735" ht="14.25" customHeight="1"/>
    <row r="20736" ht="14.25" customHeight="1"/>
    <row r="20737" ht="14.25" customHeight="1"/>
    <row r="20738" ht="14.25" customHeight="1"/>
    <row r="20739" ht="14.25" customHeight="1"/>
    <row r="20740" ht="14.25" customHeight="1"/>
    <row r="20741" ht="14.25" customHeight="1"/>
    <row r="20742" ht="14.25" customHeight="1"/>
    <row r="20743" ht="14.25" customHeight="1"/>
    <row r="20744" ht="14.25" customHeight="1"/>
    <row r="20745" ht="14.25" customHeight="1"/>
    <row r="20746" ht="14.25" customHeight="1"/>
    <row r="20747" ht="14.25" customHeight="1"/>
    <row r="20748" ht="14.25" customHeight="1"/>
    <row r="20749" ht="14.25" customHeight="1"/>
    <row r="20750" ht="14.25" customHeight="1"/>
    <row r="20751" ht="14.25" customHeight="1"/>
    <row r="20752" ht="14.25" customHeight="1"/>
    <row r="20753" ht="14.25" customHeight="1"/>
    <row r="20754" ht="14.25" customHeight="1"/>
    <row r="20755" ht="14.25" customHeight="1"/>
    <row r="20756" ht="14.25" customHeight="1"/>
    <row r="20757" ht="14.25" customHeight="1"/>
    <row r="20758" ht="14.25" customHeight="1"/>
    <row r="20759" ht="14.25" customHeight="1"/>
    <row r="20760" ht="14.25" customHeight="1"/>
    <row r="20761" ht="14.25" customHeight="1"/>
    <row r="20762" ht="14.25" customHeight="1"/>
    <row r="20763" ht="14.25" customHeight="1"/>
    <row r="20764" ht="14.25" customHeight="1"/>
    <row r="20765" ht="14.25" customHeight="1"/>
    <row r="20766" ht="14.25" customHeight="1"/>
    <row r="20767" ht="14.25" customHeight="1"/>
    <row r="20768" ht="14.25" customHeight="1"/>
    <row r="20769" ht="14.25" customHeight="1"/>
    <row r="20770" ht="14.25" customHeight="1"/>
    <row r="20771" ht="14.25" customHeight="1"/>
    <row r="20772" ht="14.25" customHeight="1"/>
    <row r="20773" ht="14.25" customHeight="1"/>
    <row r="20774" ht="14.25" customHeight="1"/>
    <row r="20775" ht="14.25" customHeight="1"/>
    <row r="20776" ht="14.25" customHeight="1"/>
    <row r="20777" ht="14.25" customHeight="1"/>
    <row r="20778" ht="14.25" customHeight="1"/>
    <row r="20779" ht="14.25" customHeight="1"/>
    <row r="20780" ht="14.25" customHeight="1"/>
    <row r="20781" ht="14.25" customHeight="1"/>
    <row r="20782" ht="14.25" customHeight="1"/>
    <row r="20783" ht="14.25" customHeight="1"/>
    <row r="20784" ht="14.25" customHeight="1"/>
    <row r="20785" ht="14.25" customHeight="1"/>
    <row r="20786" ht="14.25" customHeight="1"/>
    <row r="20787" ht="14.25" customHeight="1"/>
    <row r="20788" ht="14.25" customHeight="1"/>
    <row r="20789" ht="14.25" customHeight="1"/>
    <row r="20790" ht="14.25" customHeight="1"/>
    <row r="20791" ht="14.25" customHeight="1"/>
    <row r="20792" ht="14.25" customHeight="1"/>
    <row r="20793" ht="14.25" customHeight="1"/>
    <row r="20794" ht="14.25" customHeight="1"/>
    <row r="20795" ht="14.25" customHeight="1"/>
    <row r="20796" ht="14.25" customHeight="1"/>
    <row r="20797" ht="14.25" customHeight="1"/>
    <row r="20798" ht="14.25" customHeight="1"/>
    <row r="20799" ht="14.25" customHeight="1"/>
    <row r="20800" ht="14.25" customHeight="1"/>
    <row r="20801" ht="14.25" customHeight="1"/>
    <row r="20802" ht="14.25" customHeight="1"/>
    <row r="20803" ht="14.25" customHeight="1"/>
    <row r="20804" ht="14.25" customHeight="1"/>
    <row r="20805" ht="14.25" customHeight="1"/>
    <row r="20806" ht="14.25" customHeight="1"/>
    <row r="20807" ht="14.25" customHeight="1"/>
    <row r="20808" ht="14.25" customHeight="1"/>
    <row r="20809" ht="14.25" customHeight="1"/>
    <row r="20810" ht="14.25" customHeight="1"/>
    <row r="20811" ht="14.25" customHeight="1"/>
    <row r="20812" ht="14.25" customHeight="1"/>
    <row r="20813" ht="14.25" customHeight="1"/>
    <row r="20814" ht="14.25" customHeight="1"/>
    <row r="20815" ht="14.25" customHeight="1"/>
    <row r="20816" ht="14.25" customHeight="1"/>
    <row r="20817" ht="14.25" customHeight="1"/>
    <row r="20818" ht="14.25" customHeight="1"/>
    <row r="20819" ht="14.25" customHeight="1"/>
    <row r="20820" ht="14.25" customHeight="1"/>
    <row r="20821" ht="14.25" customHeight="1"/>
    <row r="20822" ht="14.25" customHeight="1"/>
    <row r="20823" ht="14.25" customHeight="1"/>
    <row r="20824" ht="14.25" customHeight="1"/>
    <row r="20825" ht="14.25" customHeight="1"/>
    <row r="20826" ht="14.25" customHeight="1"/>
    <row r="20827" ht="14.25" customHeight="1"/>
    <row r="20828" ht="14.25" customHeight="1"/>
    <row r="20829" ht="14.25" customHeight="1"/>
    <row r="20830" ht="14.25" customHeight="1"/>
    <row r="20831" ht="14.25" customHeight="1"/>
    <row r="20832" ht="14.25" customHeight="1"/>
    <row r="20833" ht="14.25" customHeight="1"/>
    <row r="20834" ht="14.25" customHeight="1"/>
    <row r="20835" ht="14.25" customHeight="1"/>
    <row r="20836" ht="14.25" customHeight="1"/>
    <row r="20837" ht="14.25" customHeight="1"/>
    <row r="20838" ht="14.25" customHeight="1"/>
    <row r="20839" ht="14.25" customHeight="1"/>
    <row r="20840" ht="14.25" customHeight="1"/>
    <row r="20841" ht="14.25" customHeight="1"/>
    <row r="20842" ht="14.25" customHeight="1"/>
    <row r="20843" ht="14.25" customHeight="1"/>
    <row r="20844" ht="14.25" customHeight="1"/>
    <row r="20845" ht="14.25" customHeight="1"/>
    <row r="20846" ht="14.25" customHeight="1"/>
    <row r="20847" ht="14.25" customHeight="1"/>
    <row r="20848" ht="14.25" customHeight="1"/>
    <row r="20849" ht="14.25" customHeight="1"/>
    <row r="20850" ht="14.25" customHeight="1"/>
    <row r="20851" ht="14.25" customHeight="1"/>
    <row r="20852" ht="14.25" customHeight="1"/>
    <row r="20853" ht="14.25" customHeight="1"/>
    <row r="20854" ht="14.25" customHeight="1"/>
    <row r="20855" ht="14.25" customHeight="1"/>
    <row r="20856" ht="14.25" customHeight="1"/>
    <row r="20857" ht="14.25" customHeight="1"/>
    <row r="20858" ht="14.25" customHeight="1"/>
    <row r="20859" ht="14.25" customHeight="1"/>
    <row r="20860" ht="14.25" customHeight="1"/>
    <row r="20861" ht="14.25" customHeight="1"/>
    <row r="20862" ht="14.25" customHeight="1"/>
    <row r="20863" ht="14.25" customHeight="1"/>
    <row r="20864" ht="14.25" customHeight="1"/>
    <row r="20865" ht="14.25" customHeight="1"/>
    <row r="20866" ht="14.25" customHeight="1"/>
    <row r="20867" ht="14.25" customHeight="1"/>
    <row r="20868" ht="14.25" customHeight="1"/>
    <row r="20869" ht="14.25" customHeight="1"/>
    <row r="20870" ht="14.25" customHeight="1"/>
    <row r="20871" ht="14.25" customHeight="1"/>
    <row r="20872" ht="14.25" customHeight="1"/>
    <row r="20873" ht="14.25" customHeight="1"/>
    <row r="20874" ht="14.25" customHeight="1"/>
    <row r="20875" ht="14.25" customHeight="1"/>
    <row r="20876" ht="14.25" customHeight="1"/>
    <row r="20877" ht="14.25" customHeight="1"/>
    <row r="20878" ht="14.25" customHeight="1"/>
    <row r="20879" ht="14.25" customHeight="1"/>
    <row r="20880" ht="14.25" customHeight="1"/>
    <row r="20881" ht="14.25" customHeight="1"/>
    <row r="20882" ht="14.25" customHeight="1"/>
    <row r="20883" ht="14.25" customHeight="1"/>
    <row r="20884" ht="14.25" customHeight="1"/>
    <row r="20885" ht="14.25" customHeight="1"/>
    <row r="20886" ht="14.25" customHeight="1"/>
    <row r="20887" ht="14.25" customHeight="1"/>
    <row r="20888" ht="14.25" customHeight="1"/>
    <row r="20889" ht="14.25" customHeight="1"/>
    <row r="20890" ht="14.25" customHeight="1"/>
    <row r="20891" ht="14.25" customHeight="1"/>
    <row r="20892" ht="14.25" customHeight="1"/>
    <row r="20893" ht="14.25" customHeight="1"/>
    <row r="20894" ht="14.25" customHeight="1"/>
    <row r="20895" ht="14.25" customHeight="1"/>
    <row r="20896" ht="14.25" customHeight="1"/>
    <row r="20897" ht="14.25" customHeight="1"/>
    <row r="20898" ht="14.25" customHeight="1"/>
    <row r="20899" ht="14.25" customHeight="1"/>
    <row r="20900" ht="14.25" customHeight="1"/>
    <row r="20901" ht="14.25" customHeight="1"/>
    <row r="20902" ht="14.25" customHeight="1"/>
    <row r="20903" ht="14.25" customHeight="1"/>
    <row r="20904" ht="14.25" customHeight="1"/>
    <row r="20905" ht="14.25" customHeight="1"/>
    <row r="20906" ht="14.25" customHeight="1"/>
    <row r="20907" ht="14.25" customHeight="1"/>
    <row r="20908" ht="14.25" customHeight="1"/>
    <row r="20909" ht="14.25" customHeight="1"/>
    <row r="20910" ht="14.25" customHeight="1"/>
    <row r="20911" ht="14.25" customHeight="1"/>
    <row r="20912" ht="14.25" customHeight="1"/>
    <row r="20913" ht="14.25" customHeight="1"/>
    <row r="20914" ht="14.25" customHeight="1"/>
    <row r="20915" ht="14.25" customHeight="1"/>
    <row r="20916" ht="14.25" customHeight="1"/>
    <row r="20917" ht="14.25" customHeight="1"/>
    <row r="20918" ht="14.25" customHeight="1"/>
    <row r="20919" ht="14.25" customHeight="1"/>
    <row r="20920" ht="14.25" customHeight="1"/>
    <row r="20921" ht="14.25" customHeight="1"/>
    <row r="20922" ht="14.25" customHeight="1"/>
    <row r="20923" ht="14.25" customHeight="1"/>
    <row r="20924" ht="14.25" customHeight="1"/>
    <row r="20925" ht="14.25" customHeight="1"/>
    <row r="20926" ht="14.25" customHeight="1"/>
    <row r="20927" ht="14.25" customHeight="1"/>
    <row r="20928" ht="14.25" customHeight="1"/>
    <row r="20929" ht="14.25" customHeight="1"/>
    <row r="20930" ht="14.25" customHeight="1"/>
    <row r="20931" ht="14.25" customHeight="1"/>
    <row r="20932" ht="14.25" customHeight="1"/>
    <row r="20933" ht="14.25" customHeight="1"/>
    <row r="20934" ht="14.25" customHeight="1"/>
    <row r="20935" ht="14.25" customHeight="1"/>
    <row r="20936" ht="14.25" customHeight="1"/>
    <row r="20937" ht="14.25" customHeight="1"/>
    <row r="20938" ht="14.25" customHeight="1"/>
    <row r="20939" ht="14.25" customHeight="1"/>
    <row r="20940" ht="14.25" customHeight="1"/>
    <row r="20941" ht="14.25" customHeight="1"/>
    <row r="20942" ht="14.25" customHeight="1"/>
    <row r="20943" ht="14.25" customHeight="1"/>
    <row r="20944" ht="14.25" customHeight="1"/>
    <row r="20945" ht="14.25" customHeight="1"/>
    <row r="20946" ht="14.25" customHeight="1"/>
    <row r="20947" ht="14.25" customHeight="1"/>
    <row r="20948" ht="14.25" customHeight="1"/>
    <row r="20949" ht="14.25" customHeight="1"/>
    <row r="20950" ht="14.25" customHeight="1"/>
    <row r="20951" ht="14.25" customHeight="1"/>
    <row r="20952" ht="14.25" customHeight="1"/>
    <row r="20953" ht="14.25" customHeight="1"/>
    <row r="20954" ht="14.25" customHeight="1"/>
    <row r="20955" ht="14.25" customHeight="1"/>
    <row r="20956" ht="14.25" customHeight="1"/>
    <row r="20957" ht="14.25" customHeight="1"/>
    <row r="20958" ht="14.25" customHeight="1"/>
    <row r="20959" ht="14.25" customHeight="1"/>
    <row r="20960" ht="14.25" customHeight="1"/>
    <row r="20961" ht="14.25" customHeight="1"/>
    <row r="20962" ht="14.25" customHeight="1"/>
    <row r="20963" ht="14.25" customHeight="1"/>
    <row r="20964" ht="14.25" customHeight="1"/>
    <row r="20965" ht="14.25" customHeight="1"/>
    <row r="20966" ht="14.25" customHeight="1"/>
    <row r="20967" ht="14.25" customHeight="1"/>
    <row r="20968" ht="14.25" customHeight="1"/>
    <row r="20969" ht="14.25" customHeight="1"/>
    <row r="20970" ht="14.25" customHeight="1"/>
    <row r="20971" ht="14.25" customHeight="1"/>
    <row r="20972" ht="14.25" customHeight="1"/>
    <row r="20973" ht="14.25" customHeight="1"/>
    <row r="20974" ht="14.25" customHeight="1"/>
    <row r="20975" ht="14.25" customHeight="1"/>
    <row r="20976" ht="14.25" customHeight="1"/>
    <row r="20977" ht="14.25" customHeight="1"/>
    <row r="20978" ht="14.25" customHeight="1"/>
    <row r="20979" ht="14.25" customHeight="1"/>
    <row r="20980" ht="14.25" customHeight="1"/>
    <row r="20981" ht="14.25" customHeight="1"/>
    <row r="20982" ht="14.25" customHeight="1"/>
    <row r="20983" ht="14.25" customHeight="1"/>
    <row r="20984" ht="14.25" customHeight="1"/>
    <row r="20985" ht="14.25" customHeight="1"/>
    <row r="20986" ht="14.25" customHeight="1"/>
    <row r="20987" ht="14.25" customHeight="1"/>
    <row r="20988" ht="14.25" customHeight="1"/>
    <row r="20989" ht="14.25" customHeight="1"/>
    <row r="20990" ht="14.25" customHeight="1"/>
    <row r="20991" ht="14.25" customHeight="1"/>
    <row r="20992" ht="14.25" customHeight="1"/>
    <row r="20993" ht="14.25" customHeight="1"/>
    <row r="20994" ht="14.25" customHeight="1"/>
    <row r="20995" ht="14.25" customHeight="1"/>
    <row r="20996" ht="14.25" customHeight="1"/>
    <row r="20997" ht="14.25" customHeight="1"/>
    <row r="20998" ht="14.25" customHeight="1"/>
    <row r="20999" ht="14.25" customHeight="1"/>
    <row r="21000" ht="14.25" customHeight="1"/>
    <row r="21001" ht="14.25" customHeight="1"/>
    <row r="21002" ht="14.25" customHeight="1"/>
    <row r="21003" ht="14.25" customHeight="1"/>
    <row r="21004" ht="14.25" customHeight="1"/>
    <row r="21005" ht="14.25" customHeight="1"/>
    <row r="21006" ht="14.25" customHeight="1"/>
    <row r="21007" ht="14.25" customHeight="1"/>
    <row r="21008" ht="14.25" customHeight="1"/>
    <row r="21009" ht="14.25" customHeight="1"/>
    <row r="21010" ht="14.25" customHeight="1"/>
    <row r="21011" ht="14.25" customHeight="1"/>
    <row r="21012" ht="14.25" customHeight="1"/>
    <row r="21013" ht="14.25" customHeight="1"/>
    <row r="21014" ht="14.25" customHeight="1"/>
    <row r="21015" ht="14.25" customHeight="1"/>
    <row r="21016" ht="14.25" customHeight="1"/>
    <row r="21017" ht="14.25" customHeight="1"/>
    <row r="21018" ht="14.25" customHeight="1"/>
    <row r="21019" ht="14.25" customHeight="1"/>
    <row r="21020" ht="14.25" customHeight="1"/>
    <row r="21021" ht="14.25" customHeight="1"/>
    <row r="21022" ht="14.25" customHeight="1"/>
    <row r="21023" ht="14.25" customHeight="1"/>
    <row r="21024" ht="14.25" customHeight="1"/>
    <row r="21025" ht="14.25" customHeight="1"/>
    <row r="21026" ht="14.25" customHeight="1"/>
    <row r="21027" ht="14.25" customHeight="1"/>
    <row r="21028" ht="14.25" customHeight="1"/>
    <row r="21029" ht="14.25" customHeight="1"/>
    <row r="21030" ht="14.25" customHeight="1"/>
    <row r="21031" ht="14.25" customHeight="1"/>
    <row r="21032" ht="14.25" customHeight="1"/>
    <row r="21033" ht="14.25" customHeight="1"/>
    <row r="21034" ht="14.25" customHeight="1"/>
    <row r="21035" ht="14.25" customHeight="1"/>
    <row r="21036" ht="14.25" customHeight="1"/>
    <row r="21037" ht="14.25" customHeight="1"/>
    <row r="21038" ht="14.25" customHeight="1"/>
    <row r="21039" ht="14.25" customHeight="1"/>
    <row r="21040" ht="14.25" customHeight="1"/>
    <row r="21041" ht="14.25" customHeight="1"/>
    <row r="21042" ht="14.25" customHeight="1"/>
    <row r="21043" ht="14.25" customHeight="1"/>
    <row r="21044" ht="14.25" customHeight="1"/>
    <row r="21045" ht="14.25" customHeight="1"/>
    <row r="21046" ht="14.25" customHeight="1"/>
    <row r="21047" ht="14.25" customHeight="1"/>
    <row r="21048" ht="14.25" customHeight="1"/>
    <row r="21049" ht="14.25" customHeight="1"/>
    <row r="21050" ht="14.25" customHeight="1"/>
    <row r="21051" ht="14.25" customHeight="1"/>
    <row r="21052" ht="14.25" customHeight="1"/>
    <row r="21053" ht="14.25" customHeight="1"/>
    <row r="21054" ht="14.25" customHeight="1"/>
    <row r="21055" ht="14.25" customHeight="1"/>
    <row r="21056" ht="14.25" customHeight="1"/>
    <row r="21057" ht="14.25" customHeight="1"/>
    <row r="21058" ht="14.25" customHeight="1"/>
    <row r="21059" ht="14.25" customHeight="1"/>
    <row r="21060" ht="14.25" customHeight="1"/>
    <row r="21061" ht="14.25" customHeight="1"/>
    <row r="21062" ht="14.25" customHeight="1"/>
    <row r="21063" ht="14.25" customHeight="1"/>
    <row r="21064" ht="14.25" customHeight="1"/>
    <row r="21065" ht="14.25" customHeight="1"/>
    <row r="21066" ht="14.25" customHeight="1"/>
    <row r="21067" ht="14.25" customHeight="1"/>
    <row r="21068" ht="14.25" customHeight="1"/>
    <row r="21069" ht="14.25" customHeight="1"/>
    <row r="21070" ht="14.25" customHeight="1"/>
    <row r="21071" ht="14.25" customHeight="1"/>
    <row r="21072" ht="14.25" customHeight="1"/>
    <row r="21073" ht="14.25" customHeight="1"/>
    <row r="21074" ht="14.25" customHeight="1"/>
    <row r="21075" ht="14.25" customHeight="1"/>
    <row r="21076" ht="14.25" customHeight="1"/>
    <row r="21077" ht="14.25" customHeight="1"/>
    <row r="21078" ht="14.25" customHeight="1"/>
    <row r="21079" ht="14.25" customHeight="1"/>
    <row r="21080" ht="14.25" customHeight="1"/>
    <row r="21081" ht="14.25" customHeight="1"/>
    <row r="21082" ht="14.25" customHeight="1"/>
    <row r="21083" ht="14.25" customHeight="1"/>
    <row r="21084" ht="14.25" customHeight="1"/>
    <row r="21085" ht="14.25" customHeight="1"/>
    <row r="21086" ht="14.25" customHeight="1"/>
    <row r="21087" ht="14.25" customHeight="1"/>
    <row r="21088" ht="14.25" customHeight="1"/>
    <row r="21089" ht="14.25" customHeight="1"/>
    <row r="21090" ht="14.25" customHeight="1"/>
    <row r="21091" ht="14.25" customHeight="1"/>
    <row r="21092" ht="14.25" customHeight="1"/>
    <row r="21093" ht="14.25" customHeight="1"/>
    <row r="21094" ht="14.25" customHeight="1"/>
    <row r="21095" ht="14.25" customHeight="1"/>
    <row r="21096" ht="14.25" customHeight="1"/>
    <row r="21097" ht="14.25" customHeight="1"/>
    <row r="21098" ht="14.25" customHeight="1"/>
    <row r="21099" ht="14.25" customHeight="1"/>
    <row r="21100" ht="14.25" customHeight="1"/>
    <row r="21101" ht="14.25" customHeight="1"/>
    <row r="21102" ht="14.25" customHeight="1"/>
    <row r="21103" ht="14.25" customHeight="1"/>
    <row r="21104" ht="14.25" customHeight="1"/>
    <row r="21105" ht="14.25" customHeight="1"/>
    <row r="21106" ht="14.25" customHeight="1"/>
    <row r="21107" ht="14.25" customHeight="1"/>
    <row r="21108" ht="14.25" customHeight="1"/>
    <row r="21109" ht="14.25" customHeight="1"/>
    <row r="21110" ht="14.25" customHeight="1"/>
    <row r="21111" ht="14.25" customHeight="1"/>
    <row r="21112" ht="14.25" customHeight="1"/>
    <row r="21113" ht="14.25" customHeight="1"/>
    <row r="21114" ht="14.25" customHeight="1"/>
    <row r="21115" ht="14.25" customHeight="1"/>
    <row r="21116" ht="14.25" customHeight="1"/>
    <row r="21117" ht="14.25" customHeight="1"/>
    <row r="21118" ht="14.25" customHeight="1"/>
    <row r="21119" ht="14.25" customHeight="1"/>
    <row r="21120" ht="14.25" customHeight="1"/>
    <row r="21121" ht="14.25" customHeight="1"/>
    <row r="21122" ht="14.25" customHeight="1"/>
    <row r="21123" ht="14.25" customHeight="1"/>
    <row r="21124" ht="14.25" customHeight="1"/>
    <row r="21125" ht="14.25" customHeight="1"/>
    <row r="21126" ht="14.25" customHeight="1"/>
    <row r="21127" ht="14.25" customHeight="1"/>
    <row r="21128" ht="14.25" customHeight="1"/>
    <row r="21129" ht="14.25" customHeight="1"/>
    <row r="21130" ht="14.25" customHeight="1"/>
    <row r="21131" ht="14.25" customHeight="1"/>
    <row r="21132" ht="14.25" customHeight="1"/>
    <row r="21133" ht="14.25" customHeight="1"/>
    <row r="21134" ht="14.25" customHeight="1"/>
    <row r="21135" ht="14.25" customHeight="1"/>
    <row r="21136" ht="14.25" customHeight="1"/>
    <row r="21137" ht="14.25" customHeight="1"/>
    <row r="21138" ht="14.25" customHeight="1"/>
    <row r="21139" ht="14.25" customHeight="1"/>
    <row r="21140" ht="14.25" customHeight="1"/>
    <row r="21141" ht="14.25" customHeight="1"/>
    <row r="21142" ht="14.25" customHeight="1"/>
    <row r="21143" ht="14.25" customHeight="1"/>
    <row r="21144" ht="14.25" customHeight="1"/>
    <row r="21145" ht="14.25" customHeight="1"/>
    <row r="21146" ht="14.25" customHeight="1"/>
    <row r="21147" ht="14.25" customHeight="1"/>
    <row r="21148" ht="14.25" customHeight="1"/>
    <row r="21149" ht="14.25" customHeight="1"/>
    <row r="21150" ht="14.25" customHeight="1"/>
    <row r="21151" ht="14.25" customHeight="1"/>
    <row r="21152" ht="14.25" customHeight="1"/>
    <row r="21153" ht="14.25" customHeight="1"/>
    <row r="21154" ht="14.25" customHeight="1"/>
    <row r="21155" ht="14.25" customHeight="1"/>
    <row r="21156" ht="14.25" customHeight="1"/>
    <row r="21157" ht="14.25" customHeight="1"/>
    <row r="21158" ht="14.25" customHeight="1"/>
    <row r="21159" ht="14.25" customHeight="1"/>
    <row r="21160" ht="14.25" customHeight="1"/>
    <row r="21161" ht="14.25" customHeight="1"/>
    <row r="21162" ht="14.25" customHeight="1"/>
    <row r="21163" ht="14.25" customHeight="1"/>
    <row r="21164" ht="14.25" customHeight="1"/>
    <row r="21165" ht="14.25" customHeight="1"/>
    <row r="21166" ht="14.25" customHeight="1"/>
    <row r="21167" ht="14.25" customHeight="1"/>
    <row r="21168" ht="14.25" customHeight="1"/>
    <row r="21169" ht="14.25" customHeight="1"/>
    <row r="21170" ht="14.25" customHeight="1"/>
    <row r="21171" ht="14.25" customHeight="1"/>
    <row r="21172" ht="14.25" customHeight="1"/>
    <row r="21173" ht="14.25" customHeight="1"/>
    <row r="21174" ht="14.25" customHeight="1"/>
    <row r="21175" ht="14.25" customHeight="1"/>
    <row r="21176" ht="14.25" customHeight="1"/>
    <row r="21177" ht="14.25" customHeight="1"/>
    <row r="21178" ht="14.25" customHeight="1"/>
    <row r="21179" ht="14.25" customHeight="1"/>
    <row r="21180" ht="14.25" customHeight="1"/>
    <row r="21181" ht="14.25" customHeight="1"/>
    <row r="21182" ht="14.25" customHeight="1"/>
    <row r="21183" ht="14.25" customHeight="1"/>
    <row r="21184" ht="14.25" customHeight="1"/>
    <row r="21185" ht="14.25" customHeight="1"/>
    <row r="21186" ht="14.25" customHeight="1"/>
    <row r="21187" ht="14.25" customHeight="1"/>
    <row r="21188" ht="14.25" customHeight="1"/>
    <row r="21189" ht="14.25" customHeight="1"/>
    <row r="21190" ht="14.25" customHeight="1"/>
    <row r="21191" ht="14.25" customHeight="1"/>
    <row r="21192" ht="14.25" customHeight="1"/>
    <row r="21193" ht="14.25" customHeight="1"/>
    <row r="21194" ht="14.25" customHeight="1"/>
    <row r="21195" ht="14.25" customHeight="1"/>
    <row r="21196" ht="14.25" customHeight="1"/>
    <row r="21197" ht="14.25" customHeight="1"/>
    <row r="21198" ht="14.25" customHeight="1"/>
    <row r="21199" ht="14.25" customHeight="1"/>
    <row r="21200" ht="14.25" customHeight="1"/>
    <row r="21201" ht="14.25" customHeight="1"/>
    <row r="21202" ht="14.25" customHeight="1"/>
    <row r="21203" ht="14.25" customHeight="1"/>
    <row r="21204" ht="14.25" customHeight="1"/>
    <row r="21205" ht="14.25" customHeight="1"/>
    <row r="21206" ht="14.25" customHeight="1"/>
    <row r="21207" ht="14.25" customHeight="1"/>
    <row r="21208" ht="14.25" customHeight="1"/>
    <row r="21209" ht="14.25" customHeight="1"/>
    <row r="21210" ht="14.25" customHeight="1"/>
    <row r="21211" ht="14.25" customHeight="1"/>
    <row r="21212" ht="14.25" customHeight="1"/>
    <row r="21213" ht="14.25" customHeight="1"/>
    <row r="21214" ht="14.25" customHeight="1"/>
    <row r="21215" ht="14.25" customHeight="1"/>
    <row r="21216" ht="14.25" customHeight="1"/>
    <row r="21217" ht="14.25" customHeight="1"/>
    <row r="21218" ht="14.25" customHeight="1"/>
    <row r="21219" ht="14.25" customHeight="1"/>
    <row r="21220" ht="14.25" customHeight="1"/>
    <row r="21221" ht="14.25" customHeight="1"/>
    <row r="21222" ht="14.25" customHeight="1"/>
    <row r="21223" ht="14.25" customHeight="1"/>
    <row r="21224" ht="14.25" customHeight="1"/>
    <row r="21225" ht="14.25" customHeight="1"/>
    <row r="21226" ht="14.25" customHeight="1"/>
    <row r="21227" ht="14.25" customHeight="1"/>
    <row r="21228" ht="14.25" customHeight="1"/>
    <row r="21229" ht="14.25" customHeight="1"/>
    <row r="21230" ht="14.25" customHeight="1"/>
    <row r="21231" ht="14.25" customHeight="1"/>
    <row r="21232" ht="14.25" customHeight="1"/>
    <row r="21233" ht="14.25" customHeight="1"/>
    <row r="21234" ht="14.25" customHeight="1"/>
    <row r="21235" ht="14.25" customHeight="1"/>
    <row r="21236" ht="14.25" customHeight="1"/>
    <row r="21237" ht="14.25" customHeight="1"/>
    <row r="21238" ht="14.25" customHeight="1"/>
    <row r="21239" ht="14.25" customHeight="1"/>
    <row r="21240" ht="14.25" customHeight="1"/>
    <row r="21241" ht="14.25" customHeight="1"/>
    <row r="21242" ht="14.25" customHeight="1"/>
    <row r="21243" ht="14.25" customHeight="1"/>
    <row r="21244" ht="14.25" customHeight="1"/>
    <row r="21245" ht="14.25" customHeight="1"/>
    <row r="21246" ht="14.25" customHeight="1"/>
    <row r="21247" ht="14.25" customHeight="1"/>
    <row r="21248" ht="14.25" customHeight="1"/>
    <row r="21249" ht="14.25" customHeight="1"/>
    <row r="21250" ht="14.25" customHeight="1"/>
    <row r="21251" ht="14.25" customHeight="1"/>
    <row r="21252" ht="14.25" customHeight="1"/>
    <row r="21253" ht="14.25" customHeight="1"/>
    <row r="21254" ht="14.25" customHeight="1"/>
    <row r="21255" ht="14.25" customHeight="1"/>
    <row r="21256" ht="14.25" customHeight="1"/>
    <row r="21257" ht="14.25" customHeight="1"/>
    <row r="21258" ht="14.25" customHeight="1"/>
    <row r="21259" ht="14.25" customHeight="1"/>
    <row r="21260" ht="14.25" customHeight="1"/>
    <row r="21261" ht="14.25" customHeight="1"/>
    <row r="21262" ht="14.25" customHeight="1"/>
    <row r="21263" ht="14.25" customHeight="1"/>
    <row r="21264" ht="14.25" customHeight="1"/>
    <row r="21265" ht="14.25" customHeight="1"/>
    <row r="21266" ht="14.25" customHeight="1"/>
    <row r="21267" ht="14.25" customHeight="1"/>
    <row r="21268" ht="14.25" customHeight="1"/>
    <row r="21269" ht="14.25" customHeight="1"/>
    <row r="21270" ht="14.25" customHeight="1"/>
    <row r="21271" ht="14.25" customHeight="1"/>
    <row r="21272" ht="14.25" customHeight="1"/>
    <row r="21273" ht="14.25" customHeight="1"/>
    <row r="21274" ht="14.25" customHeight="1"/>
    <row r="21275" ht="14.25" customHeight="1"/>
    <row r="21276" ht="14.25" customHeight="1"/>
    <row r="21277" ht="14.25" customHeight="1"/>
    <row r="21278" ht="14.25" customHeight="1"/>
    <row r="21279" ht="14.25" customHeight="1"/>
    <row r="21280" ht="14.25" customHeight="1"/>
    <row r="21281" ht="14.25" customHeight="1"/>
    <row r="21282" ht="14.25" customHeight="1"/>
    <row r="21283" ht="14.25" customHeight="1"/>
    <row r="21284" ht="14.25" customHeight="1"/>
    <row r="21285" ht="14.25" customHeight="1"/>
    <row r="21286" ht="14.25" customHeight="1"/>
    <row r="21287" ht="14.25" customHeight="1"/>
    <row r="21288" ht="14.25" customHeight="1"/>
    <row r="21289" ht="14.25" customHeight="1"/>
    <row r="21290" ht="14.25" customHeight="1"/>
    <row r="21291" ht="14.25" customHeight="1"/>
    <row r="21292" ht="14.25" customHeight="1"/>
    <row r="21293" ht="14.25" customHeight="1"/>
    <row r="21294" ht="14.25" customHeight="1"/>
    <row r="21295" ht="14.25" customHeight="1"/>
    <row r="21296" ht="14.25" customHeight="1"/>
    <row r="21297" ht="14.25" customHeight="1"/>
    <row r="21298" ht="14.25" customHeight="1"/>
    <row r="21299" ht="14.25" customHeight="1"/>
    <row r="21300" ht="14.25" customHeight="1"/>
    <row r="21301" ht="14.25" customHeight="1"/>
    <row r="21302" ht="14.25" customHeight="1"/>
    <row r="21303" ht="14.25" customHeight="1"/>
    <row r="21304" ht="14.25" customHeight="1"/>
    <row r="21305" ht="14.25" customHeight="1"/>
    <row r="21306" ht="14.25" customHeight="1"/>
    <row r="21307" ht="14.25" customHeight="1"/>
    <row r="21308" ht="14.25" customHeight="1"/>
    <row r="21309" ht="14.25" customHeight="1"/>
    <row r="21310" ht="14.25" customHeight="1"/>
    <row r="21311" ht="14.25" customHeight="1"/>
    <row r="21312" ht="14.25" customHeight="1"/>
    <row r="21313" ht="14.25" customHeight="1"/>
    <row r="21314" ht="14.25" customHeight="1"/>
    <row r="21315" ht="14.25" customHeight="1"/>
    <row r="21316" ht="14.25" customHeight="1"/>
    <row r="21317" ht="14.25" customHeight="1"/>
    <row r="21318" ht="14.25" customHeight="1"/>
    <row r="21319" ht="14.25" customHeight="1"/>
    <row r="21320" ht="14.25" customHeight="1"/>
    <row r="21321" ht="14.25" customHeight="1"/>
    <row r="21322" ht="14.25" customHeight="1"/>
    <row r="21323" ht="14.25" customHeight="1"/>
    <row r="21324" ht="14.25" customHeight="1"/>
    <row r="21325" ht="14.25" customHeight="1"/>
    <row r="21326" ht="14.25" customHeight="1"/>
    <row r="21327" ht="14.25" customHeight="1"/>
    <row r="21328" ht="14.25" customHeight="1"/>
    <row r="21329" ht="14.25" customHeight="1"/>
    <row r="21330" ht="14.25" customHeight="1"/>
    <row r="21331" ht="14.25" customHeight="1"/>
    <row r="21332" ht="14.25" customHeight="1"/>
    <row r="21333" ht="14.25" customHeight="1"/>
    <row r="21334" ht="14.25" customHeight="1"/>
    <row r="21335" ht="14.25" customHeight="1"/>
    <row r="21336" ht="14.25" customHeight="1"/>
    <row r="21337" ht="14.25" customHeight="1"/>
    <row r="21338" ht="14.25" customHeight="1"/>
    <row r="21339" ht="14.25" customHeight="1"/>
    <row r="21340" ht="14.25" customHeight="1"/>
    <row r="21341" ht="14.25" customHeight="1"/>
    <row r="21342" ht="14.25" customHeight="1"/>
    <row r="21343" ht="14.25" customHeight="1"/>
    <row r="21344" ht="14.25" customHeight="1"/>
    <row r="21345" ht="14.25" customHeight="1"/>
    <row r="21346" ht="14.25" customHeight="1"/>
    <row r="21347" ht="14.25" customHeight="1"/>
    <row r="21348" ht="14.25" customHeight="1"/>
    <row r="21349" ht="14.25" customHeight="1"/>
    <row r="21350" ht="14.25" customHeight="1"/>
    <row r="21351" ht="14.25" customHeight="1"/>
    <row r="21352" ht="14.25" customHeight="1"/>
    <row r="21353" ht="14.25" customHeight="1"/>
    <row r="21354" ht="14.25" customHeight="1"/>
    <row r="21355" ht="14.25" customHeight="1"/>
    <row r="21356" ht="14.25" customHeight="1"/>
    <row r="21357" ht="14.25" customHeight="1"/>
    <row r="21358" ht="14.25" customHeight="1"/>
    <row r="21359" ht="14.25" customHeight="1"/>
    <row r="21360" ht="14.25" customHeight="1"/>
    <row r="21361" ht="14.25" customHeight="1"/>
    <row r="21362" ht="14.25" customHeight="1"/>
    <row r="21363" ht="14.25" customHeight="1"/>
    <row r="21364" ht="14.25" customHeight="1"/>
    <row r="21365" ht="14.25" customHeight="1"/>
    <row r="21366" ht="14.25" customHeight="1"/>
    <row r="21367" ht="14.25" customHeight="1"/>
    <row r="21368" ht="14.25" customHeight="1"/>
    <row r="21369" ht="14.25" customHeight="1"/>
    <row r="21370" ht="14.25" customHeight="1"/>
    <row r="21371" ht="14.25" customHeight="1"/>
    <row r="21372" ht="14.25" customHeight="1"/>
    <row r="21373" ht="14.25" customHeight="1"/>
    <row r="21374" ht="14.25" customHeight="1"/>
    <row r="21375" ht="14.25" customHeight="1"/>
    <row r="21376" ht="14.25" customHeight="1"/>
    <row r="21377" ht="14.25" customHeight="1"/>
    <row r="21378" ht="14.25" customHeight="1"/>
    <row r="21379" ht="14.25" customHeight="1"/>
    <row r="21380" ht="14.25" customHeight="1"/>
    <row r="21381" ht="14.25" customHeight="1"/>
    <row r="21382" ht="14.25" customHeight="1"/>
    <row r="21383" ht="14.25" customHeight="1"/>
    <row r="21384" ht="14.25" customHeight="1"/>
    <row r="21385" ht="14.25" customHeight="1"/>
    <row r="21386" ht="14.25" customHeight="1"/>
    <row r="21387" ht="14.25" customHeight="1"/>
    <row r="21388" ht="14.25" customHeight="1"/>
    <row r="21389" ht="14.25" customHeight="1"/>
    <row r="21390" ht="14.25" customHeight="1"/>
    <row r="21391" ht="14.25" customHeight="1"/>
    <row r="21392" ht="14.25" customHeight="1"/>
    <row r="21393" ht="14.25" customHeight="1"/>
    <row r="21394" ht="14.25" customHeight="1"/>
    <row r="21395" ht="14.25" customHeight="1"/>
    <row r="21396" ht="14.25" customHeight="1"/>
    <row r="21397" ht="14.25" customHeight="1"/>
    <row r="21398" ht="14.25" customHeight="1"/>
    <row r="21399" ht="14.25" customHeight="1"/>
    <row r="21400" ht="14.25" customHeight="1"/>
    <row r="21401" ht="14.25" customHeight="1"/>
    <row r="21402" ht="14.25" customHeight="1"/>
    <row r="21403" ht="14.25" customHeight="1"/>
    <row r="21404" ht="14.25" customHeight="1"/>
    <row r="21405" ht="14.25" customHeight="1"/>
    <row r="21406" ht="14.25" customHeight="1"/>
    <row r="21407" ht="14.25" customHeight="1"/>
    <row r="21408" ht="14.25" customHeight="1"/>
    <row r="21409" ht="14.25" customHeight="1"/>
    <row r="21410" ht="14.25" customHeight="1"/>
    <row r="21411" ht="14.25" customHeight="1"/>
    <row r="21412" ht="14.25" customHeight="1"/>
    <row r="21413" ht="14.25" customHeight="1"/>
    <row r="21414" ht="14.25" customHeight="1"/>
    <row r="21415" ht="14.25" customHeight="1"/>
    <row r="21416" ht="14.25" customHeight="1"/>
    <row r="21417" ht="14.25" customHeight="1"/>
    <row r="21418" ht="14.25" customHeight="1"/>
    <row r="21419" ht="14.25" customHeight="1"/>
    <row r="21420" ht="14.25" customHeight="1"/>
    <row r="21421" ht="14.25" customHeight="1"/>
    <row r="21422" ht="14.25" customHeight="1"/>
    <row r="21423" ht="14.25" customHeight="1"/>
    <row r="21424" ht="14.25" customHeight="1"/>
    <row r="21425" ht="14.25" customHeight="1"/>
    <row r="21426" ht="14.25" customHeight="1"/>
    <row r="21427" ht="14.25" customHeight="1"/>
    <row r="21428" ht="14.25" customHeight="1"/>
    <row r="21429" ht="14.25" customHeight="1"/>
    <row r="21430" ht="14.25" customHeight="1"/>
    <row r="21431" ht="14.25" customHeight="1"/>
    <row r="21432" ht="14.25" customHeight="1"/>
    <row r="21433" ht="14.25" customHeight="1"/>
    <row r="21434" ht="14.25" customHeight="1"/>
    <row r="21435" ht="14.25" customHeight="1"/>
    <row r="21436" ht="14.25" customHeight="1"/>
    <row r="21437" ht="14.25" customHeight="1"/>
    <row r="21438" ht="14.25" customHeight="1"/>
    <row r="21439" ht="14.25" customHeight="1"/>
    <row r="21440" ht="14.25" customHeight="1"/>
    <row r="21441" ht="14.25" customHeight="1"/>
    <row r="21442" ht="14.25" customHeight="1"/>
    <row r="21443" ht="14.25" customHeight="1"/>
    <row r="21444" ht="14.25" customHeight="1"/>
    <row r="21445" ht="14.25" customHeight="1"/>
    <row r="21446" ht="14.25" customHeight="1"/>
    <row r="21447" ht="14.25" customHeight="1"/>
    <row r="21448" ht="14.25" customHeight="1"/>
    <row r="21449" ht="14.25" customHeight="1"/>
    <row r="21450" ht="14.25" customHeight="1"/>
    <row r="21451" ht="14.25" customHeight="1"/>
    <row r="21452" ht="14.25" customHeight="1"/>
    <row r="21453" ht="14.25" customHeight="1"/>
    <row r="21454" ht="14.25" customHeight="1"/>
    <row r="21455" ht="14.25" customHeight="1"/>
    <row r="21456" ht="14.25" customHeight="1"/>
    <row r="21457" ht="14.25" customHeight="1"/>
    <row r="21458" ht="14.25" customHeight="1"/>
    <row r="21459" ht="14.25" customHeight="1"/>
    <row r="21460" ht="14.25" customHeight="1"/>
    <row r="21461" ht="14.25" customHeight="1"/>
    <row r="21462" ht="14.25" customHeight="1"/>
    <row r="21463" ht="14.25" customHeight="1"/>
    <row r="21464" ht="14.25" customHeight="1"/>
    <row r="21465" ht="14.25" customHeight="1"/>
    <row r="21466" ht="14.25" customHeight="1"/>
    <row r="21467" ht="14.25" customHeight="1"/>
    <row r="21468" ht="14.25" customHeight="1"/>
    <row r="21469" ht="14.25" customHeight="1"/>
    <row r="21470" ht="14.25" customHeight="1"/>
    <row r="21471" ht="14.25" customHeight="1"/>
    <row r="21472" ht="14.25" customHeight="1"/>
    <row r="21473" ht="14.25" customHeight="1"/>
    <row r="21474" ht="14.25" customHeight="1"/>
    <row r="21475" ht="14.25" customHeight="1"/>
    <row r="21476" ht="14.25" customHeight="1"/>
    <row r="21477" ht="14.25" customHeight="1"/>
    <row r="21478" ht="14.25" customHeight="1"/>
    <row r="21479" ht="14.25" customHeight="1"/>
    <row r="21480" ht="14.25" customHeight="1"/>
    <row r="21481" ht="14.25" customHeight="1"/>
    <row r="21482" ht="14.25" customHeight="1"/>
    <row r="21483" ht="14.25" customHeight="1"/>
    <row r="21484" ht="14.25" customHeight="1"/>
    <row r="21485" ht="14.25" customHeight="1"/>
    <row r="21486" ht="14.25" customHeight="1"/>
    <row r="21487" ht="14.25" customHeight="1"/>
    <row r="21488" ht="14.25" customHeight="1"/>
    <row r="21489" ht="14.25" customHeight="1"/>
    <row r="21490" ht="14.25" customHeight="1"/>
    <row r="21491" ht="14.25" customHeight="1"/>
    <row r="21492" ht="14.25" customHeight="1"/>
    <row r="21493" ht="14.25" customHeight="1"/>
    <row r="21494" ht="14.25" customHeight="1"/>
    <row r="21495" ht="14.25" customHeight="1"/>
    <row r="21496" ht="14.25" customHeight="1"/>
    <row r="21497" ht="14.25" customHeight="1"/>
    <row r="21498" ht="14.25" customHeight="1"/>
    <row r="21499" ht="14.25" customHeight="1"/>
    <row r="21500" ht="14.25" customHeight="1"/>
    <row r="21501" ht="14.25" customHeight="1"/>
    <row r="21502" ht="14.25" customHeight="1"/>
    <row r="21503" ht="14.25" customHeight="1"/>
    <row r="21504" ht="14.25" customHeight="1"/>
    <row r="21505" ht="14.25" customHeight="1"/>
    <row r="21506" ht="14.25" customHeight="1"/>
    <row r="21507" ht="14.25" customHeight="1"/>
    <row r="21508" ht="14.25" customHeight="1"/>
    <row r="21509" ht="14.25" customHeight="1"/>
    <row r="21510" ht="14.25" customHeight="1"/>
    <row r="21511" ht="14.25" customHeight="1"/>
    <row r="21512" ht="14.25" customHeight="1"/>
    <row r="21513" ht="14.25" customHeight="1"/>
    <row r="21514" ht="14.25" customHeight="1"/>
    <row r="21515" ht="14.25" customHeight="1"/>
    <row r="21516" ht="14.25" customHeight="1"/>
    <row r="21517" ht="14.25" customHeight="1"/>
    <row r="21518" ht="14.25" customHeight="1"/>
    <row r="21519" ht="14.25" customHeight="1"/>
    <row r="21520" ht="14.25" customHeight="1"/>
    <row r="21521" ht="14.25" customHeight="1"/>
    <row r="21522" ht="14.25" customHeight="1"/>
    <row r="21523" ht="14.25" customHeight="1"/>
    <row r="21524" ht="14.25" customHeight="1"/>
    <row r="21525" ht="14.25" customHeight="1"/>
    <row r="21526" ht="14.25" customHeight="1"/>
    <row r="21527" ht="14.25" customHeight="1"/>
    <row r="21528" ht="14.25" customHeight="1"/>
    <row r="21529" ht="14.25" customHeight="1"/>
    <row r="21530" ht="14.25" customHeight="1"/>
    <row r="21531" ht="14.25" customHeight="1"/>
    <row r="21532" ht="14.25" customHeight="1"/>
    <row r="21533" ht="14.25" customHeight="1"/>
    <row r="21534" ht="14.25" customHeight="1"/>
    <row r="21535" ht="14.25" customHeight="1"/>
    <row r="21536" ht="14.25" customHeight="1"/>
    <row r="21537" ht="14.25" customHeight="1"/>
    <row r="21538" ht="14.25" customHeight="1"/>
    <row r="21539" ht="14.25" customHeight="1"/>
    <row r="21540" ht="14.25" customHeight="1"/>
    <row r="21541" ht="14.25" customHeight="1"/>
    <row r="21542" ht="14.25" customHeight="1"/>
    <row r="21543" ht="14.25" customHeight="1"/>
    <row r="21544" ht="14.25" customHeight="1"/>
    <row r="21545" ht="14.25" customHeight="1"/>
    <row r="21546" ht="14.25" customHeight="1"/>
    <row r="21547" ht="14.25" customHeight="1"/>
    <row r="21548" ht="14.25" customHeight="1"/>
    <row r="21549" ht="14.25" customHeight="1"/>
    <row r="21550" ht="14.25" customHeight="1"/>
    <row r="21551" ht="14.25" customHeight="1"/>
    <row r="21552" ht="14.25" customHeight="1"/>
    <row r="21553" ht="14.25" customHeight="1"/>
    <row r="21554" ht="14.25" customHeight="1"/>
    <row r="21555" ht="14.25" customHeight="1"/>
    <row r="21556" ht="14.25" customHeight="1"/>
    <row r="21557" ht="14.25" customHeight="1"/>
    <row r="21558" ht="14.25" customHeight="1"/>
    <row r="21559" ht="14.25" customHeight="1"/>
    <row r="21560" ht="14.25" customHeight="1"/>
    <row r="21561" ht="14.25" customHeight="1"/>
    <row r="21562" ht="14.25" customHeight="1"/>
    <row r="21563" ht="14.25" customHeight="1"/>
    <row r="21564" ht="14.25" customHeight="1"/>
    <row r="21565" ht="14.25" customHeight="1"/>
    <row r="21566" ht="14.25" customHeight="1"/>
    <row r="21567" ht="14.25" customHeight="1"/>
    <row r="21568" ht="14.25" customHeight="1"/>
    <row r="21569" ht="14.25" customHeight="1"/>
    <row r="21570" ht="14.25" customHeight="1"/>
    <row r="21571" ht="14.25" customHeight="1"/>
    <row r="21572" ht="14.25" customHeight="1"/>
    <row r="21573" ht="14.25" customHeight="1"/>
    <row r="21574" ht="14.25" customHeight="1"/>
    <row r="21575" ht="14.25" customHeight="1"/>
    <row r="21576" ht="14.25" customHeight="1"/>
    <row r="21577" ht="14.25" customHeight="1"/>
    <row r="21578" ht="14.25" customHeight="1"/>
    <row r="21579" ht="14.25" customHeight="1"/>
    <row r="21580" ht="14.25" customHeight="1"/>
    <row r="21581" ht="14.25" customHeight="1"/>
    <row r="21582" ht="14.25" customHeight="1"/>
    <row r="21583" ht="14.25" customHeight="1"/>
    <row r="21584" ht="14.25" customHeight="1"/>
    <row r="21585" ht="14.25" customHeight="1"/>
    <row r="21586" ht="14.25" customHeight="1"/>
    <row r="21587" ht="14.25" customHeight="1"/>
    <row r="21588" ht="14.25" customHeight="1"/>
    <row r="21589" ht="14.25" customHeight="1"/>
    <row r="21590" ht="14.25" customHeight="1"/>
    <row r="21591" ht="14.25" customHeight="1"/>
    <row r="21592" ht="14.25" customHeight="1"/>
    <row r="21593" ht="14.25" customHeight="1"/>
    <row r="21594" ht="14.25" customHeight="1"/>
    <row r="21595" ht="14.25" customHeight="1"/>
    <row r="21596" ht="14.25" customHeight="1"/>
    <row r="21597" ht="14.25" customHeight="1"/>
    <row r="21598" ht="14.25" customHeight="1"/>
    <row r="21599" ht="14.25" customHeight="1"/>
    <row r="21600" ht="14.25" customHeight="1"/>
    <row r="21601" ht="14.25" customHeight="1"/>
    <row r="21602" ht="14.25" customHeight="1"/>
    <row r="21603" ht="14.25" customHeight="1"/>
    <row r="21604" ht="14.25" customHeight="1"/>
    <row r="21605" ht="14.25" customHeight="1"/>
    <row r="21606" ht="14.25" customHeight="1"/>
    <row r="21607" ht="14.25" customHeight="1"/>
    <row r="21608" ht="14.25" customHeight="1"/>
    <row r="21609" ht="14.25" customHeight="1"/>
    <row r="21610" ht="14.25" customHeight="1"/>
    <row r="21611" ht="14.25" customHeight="1"/>
    <row r="21612" ht="14.25" customHeight="1"/>
    <row r="21613" ht="14.25" customHeight="1"/>
    <row r="21614" ht="14.25" customHeight="1"/>
    <row r="21615" ht="14.25" customHeight="1"/>
    <row r="21616" ht="14.25" customHeight="1"/>
    <row r="21617" ht="14.25" customHeight="1"/>
    <row r="21618" ht="14.25" customHeight="1"/>
    <row r="21619" ht="14.25" customHeight="1"/>
    <row r="21620" ht="14.25" customHeight="1"/>
    <row r="21621" ht="14.25" customHeight="1"/>
    <row r="21622" ht="14.25" customHeight="1"/>
    <row r="21623" ht="14.25" customHeight="1"/>
    <row r="21624" ht="14.25" customHeight="1"/>
    <row r="21625" ht="14.25" customHeight="1"/>
    <row r="21626" ht="14.25" customHeight="1"/>
    <row r="21627" ht="14.25" customHeight="1"/>
    <row r="21628" ht="14.25" customHeight="1"/>
    <row r="21629" ht="14.25" customHeight="1"/>
    <row r="21630" ht="14.25" customHeight="1"/>
    <row r="21631" ht="14.25" customHeight="1"/>
    <row r="21632" ht="14.25" customHeight="1"/>
    <row r="21633" ht="14.25" customHeight="1"/>
    <row r="21634" ht="14.25" customHeight="1"/>
    <row r="21635" ht="14.25" customHeight="1"/>
    <row r="21636" ht="14.25" customHeight="1"/>
    <row r="21637" ht="14.25" customHeight="1"/>
    <row r="21638" ht="14.25" customHeight="1"/>
    <row r="21639" ht="14.25" customHeight="1"/>
    <row r="21640" ht="14.25" customHeight="1"/>
    <row r="21641" ht="14.25" customHeight="1"/>
    <row r="21642" ht="14.25" customHeight="1"/>
    <row r="21643" ht="14.25" customHeight="1"/>
    <row r="21644" ht="14.25" customHeight="1"/>
    <row r="21645" ht="14.25" customHeight="1"/>
    <row r="21646" ht="14.25" customHeight="1"/>
    <row r="21647" ht="14.25" customHeight="1"/>
    <row r="21648" ht="14.25" customHeight="1"/>
    <row r="21649" ht="14.25" customHeight="1"/>
    <row r="21650" ht="14.25" customHeight="1"/>
    <row r="21651" ht="14.25" customHeight="1"/>
    <row r="21652" ht="14.25" customHeight="1"/>
    <row r="21653" ht="14.25" customHeight="1"/>
    <row r="21654" ht="14.25" customHeight="1"/>
    <row r="21655" ht="14.25" customHeight="1"/>
    <row r="21656" ht="14.25" customHeight="1"/>
    <row r="21657" ht="14.25" customHeight="1"/>
    <row r="21658" ht="14.25" customHeight="1"/>
    <row r="21659" ht="14.25" customHeight="1"/>
    <row r="21660" ht="14.25" customHeight="1"/>
    <row r="21661" ht="14.25" customHeight="1"/>
    <row r="21662" ht="14.25" customHeight="1"/>
    <row r="21663" ht="14.25" customHeight="1"/>
    <row r="21664" ht="14.25" customHeight="1"/>
    <row r="21665" ht="14.25" customHeight="1"/>
    <row r="21666" ht="14.25" customHeight="1"/>
    <row r="21667" ht="14.25" customHeight="1"/>
    <row r="21668" ht="14.25" customHeight="1"/>
    <row r="21669" ht="14.25" customHeight="1"/>
    <row r="21670" ht="14.25" customHeight="1"/>
    <row r="21671" ht="14.25" customHeight="1"/>
    <row r="21672" ht="14.25" customHeight="1"/>
    <row r="21673" ht="14.25" customHeight="1"/>
    <row r="21674" ht="14.25" customHeight="1"/>
    <row r="21675" ht="14.25" customHeight="1"/>
    <row r="21676" ht="14.25" customHeight="1"/>
    <row r="21677" ht="14.25" customHeight="1"/>
    <row r="21678" ht="14.25" customHeight="1"/>
    <row r="21679" ht="14.25" customHeight="1"/>
    <row r="21680" ht="14.25" customHeight="1"/>
    <row r="21681" ht="14.25" customHeight="1"/>
    <row r="21682" ht="14.25" customHeight="1"/>
    <row r="21683" ht="14.25" customHeight="1"/>
    <row r="21684" ht="14.25" customHeight="1"/>
    <row r="21685" ht="14.25" customHeight="1"/>
    <row r="21686" ht="14.25" customHeight="1"/>
    <row r="21687" ht="14.25" customHeight="1"/>
    <row r="21688" ht="14.25" customHeight="1"/>
    <row r="21689" ht="14.25" customHeight="1"/>
    <row r="21690" ht="14.25" customHeight="1"/>
    <row r="21691" ht="14.25" customHeight="1"/>
    <row r="21692" ht="14.25" customHeight="1"/>
    <row r="21693" ht="14.25" customHeight="1"/>
    <row r="21694" ht="14.25" customHeight="1"/>
    <row r="21695" ht="14.25" customHeight="1"/>
    <row r="21696" ht="14.25" customHeight="1"/>
    <row r="21697" ht="14.25" customHeight="1"/>
    <row r="21698" ht="14.25" customHeight="1"/>
    <row r="21699" ht="14.25" customHeight="1"/>
    <row r="21700" ht="14.25" customHeight="1"/>
    <row r="21701" ht="14.25" customHeight="1"/>
    <row r="21702" ht="14.25" customHeight="1"/>
    <row r="21703" ht="14.25" customHeight="1"/>
    <row r="21704" ht="14.25" customHeight="1"/>
    <row r="21705" ht="14.25" customHeight="1"/>
    <row r="21706" ht="14.25" customHeight="1"/>
    <row r="21707" ht="14.25" customHeight="1"/>
    <row r="21708" ht="14.25" customHeight="1"/>
    <row r="21709" ht="14.25" customHeight="1"/>
    <row r="21710" ht="14.25" customHeight="1"/>
    <row r="21711" ht="14.25" customHeight="1"/>
    <row r="21712" ht="14.25" customHeight="1"/>
    <row r="21713" ht="14.25" customHeight="1"/>
    <row r="21714" ht="14.25" customHeight="1"/>
    <row r="21715" ht="14.25" customHeight="1"/>
    <row r="21716" ht="14.25" customHeight="1"/>
    <row r="21717" ht="14.25" customHeight="1"/>
    <row r="21718" ht="14.25" customHeight="1"/>
    <row r="21719" ht="14.25" customHeight="1"/>
    <row r="21720" ht="14.25" customHeight="1"/>
    <row r="21721" ht="14.25" customHeight="1"/>
    <row r="21722" ht="14.25" customHeight="1"/>
    <row r="21723" ht="14.25" customHeight="1"/>
    <row r="21724" ht="14.25" customHeight="1"/>
    <row r="21725" ht="14.25" customHeight="1"/>
    <row r="21726" ht="14.25" customHeight="1"/>
    <row r="21727" ht="14.25" customHeight="1"/>
    <row r="21728" ht="14.25" customHeight="1"/>
    <row r="21729" ht="14.25" customHeight="1"/>
    <row r="21730" ht="14.25" customHeight="1"/>
    <row r="21731" ht="14.25" customHeight="1"/>
    <row r="21732" ht="14.25" customHeight="1"/>
    <row r="21733" ht="14.25" customHeight="1"/>
    <row r="21734" ht="14.25" customHeight="1"/>
    <row r="21735" ht="14.25" customHeight="1"/>
    <row r="21736" ht="14.25" customHeight="1"/>
    <row r="21737" ht="14.25" customHeight="1"/>
    <row r="21738" ht="14.25" customHeight="1"/>
    <row r="21739" ht="14.25" customHeight="1"/>
    <row r="21740" ht="14.25" customHeight="1"/>
    <row r="21741" ht="14.25" customHeight="1"/>
    <row r="21742" ht="14.25" customHeight="1"/>
    <row r="21743" ht="14.25" customHeight="1"/>
    <row r="21744" ht="14.25" customHeight="1"/>
    <row r="21745" ht="14.25" customHeight="1"/>
    <row r="21746" ht="14.25" customHeight="1"/>
    <row r="21747" ht="14.25" customHeight="1"/>
    <row r="21748" ht="14.25" customHeight="1"/>
    <row r="21749" ht="14.25" customHeight="1"/>
    <row r="21750" ht="14.25" customHeight="1"/>
    <row r="21751" ht="14.25" customHeight="1"/>
    <row r="21752" ht="14.25" customHeight="1"/>
    <row r="21753" ht="14.25" customHeight="1"/>
    <row r="21754" ht="14.25" customHeight="1"/>
    <row r="21755" ht="14.25" customHeight="1"/>
    <row r="21756" ht="14.25" customHeight="1"/>
    <row r="21757" ht="14.25" customHeight="1"/>
    <row r="21758" ht="14.25" customHeight="1"/>
    <row r="21759" ht="14.25" customHeight="1"/>
    <row r="21760" ht="14.25" customHeight="1"/>
    <row r="21761" ht="14.25" customHeight="1"/>
    <row r="21762" ht="14.25" customHeight="1"/>
    <row r="21763" ht="14.25" customHeight="1"/>
    <row r="21764" ht="14.25" customHeight="1"/>
    <row r="21765" ht="14.25" customHeight="1"/>
    <row r="21766" ht="14.25" customHeight="1"/>
    <row r="21767" ht="14.25" customHeight="1"/>
    <row r="21768" ht="14.25" customHeight="1"/>
    <row r="21769" ht="14.25" customHeight="1"/>
    <row r="21770" ht="14.25" customHeight="1"/>
    <row r="21771" ht="14.25" customHeight="1"/>
    <row r="21772" ht="14.25" customHeight="1"/>
    <row r="21773" ht="14.25" customHeight="1"/>
    <row r="21774" ht="14.25" customHeight="1"/>
    <row r="21775" ht="14.25" customHeight="1"/>
    <row r="21776" ht="14.25" customHeight="1"/>
    <row r="21777" ht="14.25" customHeight="1"/>
    <row r="21778" ht="14.25" customHeight="1"/>
    <row r="21779" ht="14.25" customHeight="1"/>
    <row r="21780" ht="14.25" customHeight="1"/>
    <row r="21781" ht="14.25" customHeight="1"/>
    <row r="21782" ht="14.25" customHeight="1"/>
    <row r="21783" ht="14.25" customHeight="1"/>
    <row r="21784" ht="14.25" customHeight="1"/>
    <row r="21785" ht="14.25" customHeight="1"/>
    <row r="21786" ht="14.25" customHeight="1"/>
    <row r="21787" ht="14.25" customHeight="1"/>
    <row r="21788" ht="14.25" customHeight="1"/>
    <row r="21789" ht="14.25" customHeight="1"/>
    <row r="21790" ht="14.25" customHeight="1"/>
    <row r="21791" ht="14.25" customHeight="1"/>
    <row r="21792" ht="14.25" customHeight="1"/>
    <row r="21793" ht="14.25" customHeight="1"/>
    <row r="21794" ht="14.25" customHeight="1"/>
    <row r="21795" ht="14.25" customHeight="1"/>
    <row r="21796" ht="14.25" customHeight="1"/>
    <row r="21797" ht="14.25" customHeight="1"/>
    <row r="21798" ht="14.25" customHeight="1"/>
    <row r="21799" ht="14.25" customHeight="1"/>
    <row r="21800" ht="14.25" customHeight="1"/>
    <row r="21801" ht="14.25" customHeight="1"/>
    <row r="21802" ht="14.25" customHeight="1"/>
    <row r="21803" ht="14.25" customHeight="1"/>
    <row r="21804" ht="14.25" customHeight="1"/>
    <row r="21805" ht="14.25" customHeight="1"/>
    <row r="21806" ht="14.25" customHeight="1"/>
    <row r="21807" ht="14.25" customHeight="1"/>
    <row r="21808" ht="14.25" customHeight="1"/>
    <row r="21809" ht="14.25" customHeight="1"/>
    <row r="21810" ht="14.25" customHeight="1"/>
    <row r="21811" ht="14.25" customHeight="1"/>
    <row r="21812" ht="14.25" customHeight="1"/>
    <row r="21813" ht="14.25" customHeight="1"/>
    <row r="21814" ht="14.25" customHeight="1"/>
    <row r="21815" ht="14.25" customHeight="1"/>
    <row r="21816" ht="14.25" customHeight="1"/>
    <row r="21817" ht="14.25" customHeight="1"/>
    <row r="21818" ht="14.25" customHeight="1"/>
    <row r="21819" ht="14.25" customHeight="1"/>
    <row r="21820" ht="14.25" customHeight="1"/>
    <row r="21821" ht="14.25" customHeight="1"/>
    <row r="21822" ht="14.25" customHeight="1"/>
    <row r="21823" ht="14.25" customHeight="1"/>
    <row r="21824" ht="14.25" customHeight="1"/>
    <row r="21825" ht="14.25" customHeight="1"/>
    <row r="21826" ht="14.25" customHeight="1"/>
    <row r="21827" ht="14.25" customHeight="1"/>
    <row r="21828" ht="14.25" customHeight="1"/>
    <row r="21829" ht="14.25" customHeight="1"/>
    <row r="21830" ht="14.25" customHeight="1"/>
    <row r="21831" ht="14.25" customHeight="1"/>
    <row r="21832" ht="14.25" customHeight="1"/>
    <row r="21833" ht="14.25" customHeight="1"/>
    <row r="21834" ht="14.25" customHeight="1"/>
    <row r="21835" ht="14.25" customHeight="1"/>
    <row r="21836" ht="14.25" customHeight="1"/>
    <row r="21837" ht="14.25" customHeight="1"/>
    <row r="21838" ht="14.25" customHeight="1"/>
    <row r="21839" ht="14.25" customHeight="1"/>
    <row r="21840" ht="14.25" customHeight="1"/>
    <row r="21841" ht="14.25" customHeight="1"/>
    <row r="21842" ht="14.25" customHeight="1"/>
    <row r="21843" ht="14.25" customHeight="1"/>
    <row r="21844" ht="14.25" customHeight="1"/>
    <row r="21845" ht="14.25" customHeight="1"/>
    <row r="21846" ht="14.25" customHeight="1"/>
    <row r="21847" ht="14.25" customHeight="1"/>
    <row r="21848" ht="14.25" customHeight="1"/>
    <row r="21849" ht="14.25" customHeight="1"/>
    <row r="21850" ht="14.25" customHeight="1"/>
    <row r="21851" ht="14.25" customHeight="1"/>
    <row r="21852" ht="14.25" customHeight="1"/>
    <row r="21853" ht="14.25" customHeight="1"/>
    <row r="21854" ht="14.25" customHeight="1"/>
    <row r="21855" ht="14.25" customHeight="1"/>
    <row r="21856" ht="14.25" customHeight="1"/>
    <row r="21857" ht="14.25" customHeight="1"/>
    <row r="21858" ht="14.25" customHeight="1"/>
    <row r="21859" ht="14.25" customHeight="1"/>
    <row r="21860" ht="14.25" customHeight="1"/>
    <row r="21861" ht="14.25" customHeight="1"/>
    <row r="21862" ht="14.25" customHeight="1"/>
    <row r="21863" ht="14.25" customHeight="1"/>
    <row r="21864" ht="14.25" customHeight="1"/>
    <row r="21865" ht="14.25" customHeight="1"/>
    <row r="21866" ht="14.25" customHeight="1"/>
    <row r="21867" ht="14.25" customHeight="1"/>
    <row r="21868" ht="14.25" customHeight="1"/>
    <row r="21869" ht="14.25" customHeight="1"/>
    <row r="21870" ht="14.25" customHeight="1"/>
    <row r="21871" ht="14.25" customHeight="1"/>
    <row r="21872" ht="14.25" customHeight="1"/>
    <row r="21873" ht="14.25" customHeight="1"/>
    <row r="21874" ht="14.25" customHeight="1"/>
    <row r="21875" ht="14.25" customHeight="1"/>
    <row r="21876" ht="14.25" customHeight="1"/>
    <row r="21877" ht="14.25" customHeight="1"/>
    <row r="21878" ht="14.25" customHeight="1"/>
    <row r="21879" ht="14.25" customHeight="1"/>
    <row r="21880" ht="14.25" customHeight="1"/>
    <row r="21881" ht="14.25" customHeight="1"/>
    <row r="21882" ht="14.25" customHeight="1"/>
    <row r="21883" ht="14.25" customHeight="1"/>
    <row r="21884" ht="14.25" customHeight="1"/>
    <row r="21885" ht="14.25" customHeight="1"/>
    <row r="21886" ht="14.25" customHeight="1"/>
    <row r="21887" ht="14.25" customHeight="1"/>
    <row r="21888" ht="14.25" customHeight="1"/>
    <row r="21889" ht="14.25" customHeight="1"/>
    <row r="21890" ht="14.25" customHeight="1"/>
    <row r="21891" ht="14.25" customHeight="1"/>
    <row r="21892" ht="14.25" customHeight="1"/>
    <row r="21893" ht="14.25" customHeight="1"/>
    <row r="21894" ht="14.25" customHeight="1"/>
    <row r="21895" ht="14.25" customHeight="1"/>
    <row r="21896" ht="14.25" customHeight="1"/>
    <row r="21897" ht="14.25" customHeight="1"/>
    <row r="21898" ht="14.25" customHeight="1"/>
    <row r="21899" ht="14.25" customHeight="1"/>
    <row r="21900" ht="14.25" customHeight="1"/>
    <row r="21901" ht="14.25" customHeight="1"/>
    <row r="21902" ht="14.25" customHeight="1"/>
    <row r="21903" ht="14.25" customHeight="1"/>
    <row r="21904" ht="14.25" customHeight="1"/>
    <row r="21905" ht="14.25" customHeight="1"/>
    <row r="21906" ht="14.25" customHeight="1"/>
    <row r="21907" ht="14.25" customHeight="1"/>
    <row r="21908" ht="14.25" customHeight="1"/>
    <row r="21909" ht="14.25" customHeight="1"/>
    <row r="21910" ht="14.25" customHeight="1"/>
    <row r="21911" ht="14.25" customHeight="1"/>
    <row r="21912" ht="14.25" customHeight="1"/>
    <row r="21913" ht="14.25" customHeight="1"/>
    <row r="21914" ht="14.25" customHeight="1"/>
    <row r="21915" ht="14.25" customHeight="1"/>
    <row r="21916" ht="14.25" customHeight="1"/>
    <row r="21917" ht="14.25" customHeight="1"/>
    <row r="21918" ht="14.25" customHeight="1"/>
    <row r="21919" ht="14.25" customHeight="1"/>
    <row r="21920" ht="14.25" customHeight="1"/>
    <row r="21921" ht="14.25" customHeight="1"/>
    <row r="21922" ht="14.25" customHeight="1"/>
    <row r="21923" ht="14.25" customHeight="1"/>
    <row r="21924" ht="14.25" customHeight="1"/>
    <row r="21925" ht="14.25" customHeight="1"/>
    <row r="21926" ht="14.25" customHeight="1"/>
    <row r="21927" ht="14.25" customHeight="1"/>
    <row r="21928" ht="14.25" customHeight="1"/>
    <row r="21929" ht="14.25" customHeight="1"/>
    <row r="21930" ht="14.25" customHeight="1"/>
    <row r="21931" ht="14.25" customHeight="1"/>
    <row r="21932" ht="14.25" customHeight="1"/>
    <row r="21933" ht="14.25" customHeight="1"/>
    <row r="21934" ht="14.25" customHeight="1"/>
    <row r="21935" ht="14.25" customHeight="1"/>
    <row r="21936" ht="14.25" customHeight="1"/>
    <row r="21937" ht="14.25" customHeight="1"/>
    <row r="21938" ht="14.25" customHeight="1"/>
    <row r="21939" ht="14.25" customHeight="1"/>
    <row r="21940" ht="14.25" customHeight="1"/>
    <row r="21941" ht="14.25" customHeight="1"/>
    <row r="21942" ht="14.25" customHeight="1"/>
    <row r="21943" ht="14.25" customHeight="1"/>
    <row r="21944" ht="14.25" customHeight="1"/>
    <row r="21945" ht="14.25" customHeight="1"/>
    <row r="21946" ht="14.25" customHeight="1"/>
    <row r="21947" ht="14.25" customHeight="1"/>
    <row r="21948" ht="14.25" customHeight="1"/>
    <row r="21949" ht="14.25" customHeight="1"/>
    <row r="21950" ht="14.25" customHeight="1"/>
    <row r="21951" ht="14.25" customHeight="1"/>
    <row r="21952" ht="14.25" customHeight="1"/>
    <row r="21953" ht="14.25" customHeight="1"/>
    <row r="21954" ht="14.25" customHeight="1"/>
    <row r="21955" ht="14.25" customHeight="1"/>
    <row r="21956" ht="14.25" customHeight="1"/>
    <row r="21957" ht="14.25" customHeight="1"/>
    <row r="21958" ht="14.25" customHeight="1"/>
    <row r="21959" ht="14.25" customHeight="1"/>
    <row r="21960" ht="14.25" customHeight="1"/>
    <row r="21961" ht="14.25" customHeight="1"/>
    <row r="21962" ht="14.25" customHeight="1"/>
    <row r="21963" ht="14.25" customHeight="1"/>
    <row r="21964" ht="14.25" customHeight="1"/>
    <row r="21965" ht="14.25" customHeight="1"/>
    <row r="21966" ht="14.25" customHeight="1"/>
    <row r="21967" ht="14.25" customHeight="1"/>
    <row r="21968" ht="14.25" customHeight="1"/>
    <row r="21969" ht="14.25" customHeight="1"/>
    <row r="21970" ht="14.25" customHeight="1"/>
    <row r="21971" ht="14.25" customHeight="1"/>
    <row r="21972" ht="14.25" customHeight="1"/>
    <row r="21973" ht="14.25" customHeight="1"/>
    <row r="21974" ht="14.25" customHeight="1"/>
    <row r="21975" ht="14.25" customHeight="1"/>
    <row r="21976" ht="14.25" customHeight="1"/>
    <row r="21977" ht="14.25" customHeight="1"/>
    <row r="21978" ht="14.25" customHeight="1"/>
    <row r="21979" ht="14.25" customHeight="1"/>
    <row r="21980" ht="14.25" customHeight="1"/>
    <row r="21981" ht="14.25" customHeight="1"/>
    <row r="21982" ht="14.25" customHeight="1"/>
    <row r="21983" ht="14.25" customHeight="1"/>
    <row r="21984" ht="14.25" customHeight="1"/>
    <row r="21985" ht="14.25" customHeight="1"/>
    <row r="21986" ht="14.25" customHeight="1"/>
    <row r="21987" ht="14.25" customHeight="1"/>
    <row r="21988" ht="14.25" customHeight="1"/>
    <row r="21989" ht="14.25" customHeight="1"/>
    <row r="21990" ht="14.25" customHeight="1"/>
    <row r="21991" ht="14.25" customHeight="1"/>
    <row r="21992" ht="14.25" customHeight="1"/>
    <row r="21993" ht="14.25" customHeight="1"/>
    <row r="21994" ht="14.25" customHeight="1"/>
    <row r="21995" ht="14.25" customHeight="1"/>
    <row r="21996" ht="14.25" customHeight="1"/>
    <row r="21997" ht="14.25" customHeight="1"/>
    <row r="21998" ht="14.25" customHeight="1"/>
    <row r="21999" ht="14.25" customHeight="1"/>
    <row r="22000" ht="14.25" customHeight="1"/>
    <row r="22001" ht="14.25" customHeight="1"/>
    <row r="22002" ht="14.25" customHeight="1"/>
    <row r="22003" ht="14.25" customHeight="1"/>
    <row r="22004" ht="14.25" customHeight="1"/>
    <row r="22005" ht="14.25" customHeight="1"/>
    <row r="22006" ht="14.25" customHeight="1"/>
    <row r="22007" ht="14.25" customHeight="1"/>
    <row r="22008" ht="14.25" customHeight="1"/>
    <row r="22009" ht="14.25" customHeight="1"/>
    <row r="22010" ht="14.25" customHeight="1"/>
    <row r="22011" ht="14.25" customHeight="1"/>
    <row r="22012" ht="14.25" customHeight="1"/>
    <row r="22013" ht="14.25" customHeight="1"/>
    <row r="22014" ht="14.25" customHeight="1"/>
    <row r="22015" ht="14.25" customHeight="1"/>
    <row r="22016" ht="14.25" customHeight="1"/>
    <row r="22017" ht="14.25" customHeight="1"/>
    <row r="22018" ht="14.25" customHeight="1"/>
    <row r="22019" ht="14.25" customHeight="1"/>
    <row r="22020" ht="14.25" customHeight="1"/>
    <row r="22021" ht="14.25" customHeight="1"/>
    <row r="22022" ht="14.25" customHeight="1"/>
    <row r="22023" ht="14.25" customHeight="1"/>
    <row r="22024" ht="14.25" customHeight="1"/>
    <row r="22025" ht="14.25" customHeight="1"/>
    <row r="22026" ht="14.25" customHeight="1"/>
    <row r="22027" ht="14.25" customHeight="1"/>
    <row r="22028" ht="14.25" customHeight="1"/>
    <row r="22029" ht="14.25" customHeight="1"/>
    <row r="22030" ht="14.25" customHeight="1"/>
    <row r="22031" ht="14.25" customHeight="1"/>
    <row r="22032" ht="14.25" customHeight="1"/>
    <row r="22033" ht="14.25" customHeight="1"/>
    <row r="22034" ht="14.25" customHeight="1"/>
    <row r="22035" ht="14.25" customHeight="1"/>
    <row r="22036" ht="14.25" customHeight="1"/>
    <row r="22037" ht="14.25" customHeight="1"/>
    <row r="22038" ht="14.25" customHeight="1"/>
    <row r="22039" ht="14.25" customHeight="1"/>
    <row r="22040" ht="14.25" customHeight="1"/>
    <row r="22041" ht="14.25" customHeight="1"/>
    <row r="22042" ht="14.25" customHeight="1"/>
    <row r="22043" ht="14.25" customHeight="1"/>
    <row r="22044" ht="14.25" customHeight="1"/>
    <row r="22045" ht="14.25" customHeight="1"/>
    <row r="22046" ht="14.25" customHeight="1"/>
    <row r="22047" ht="14.25" customHeight="1"/>
    <row r="22048" ht="14.25" customHeight="1"/>
    <row r="22049" ht="14.25" customHeight="1"/>
    <row r="22050" ht="14.25" customHeight="1"/>
    <row r="22051" ht="14.25" customHeight="1"/>
    <row r="22052" ht="14.25" customHeight="1"/>
    <row r="22053" ht="14.25" customHeight="1"/>
    <row r="22054" ht="14.25" customHeight="1"/>
    <row r="22055" ht="14.25" customHeight="1"/>
    <row r="22056" ht="14.25" customHeight="1"/>
    <row r="22057" ht="14.25" customHeight="1"/>
    <row r="22058" ht="14.25" customHeight="1"/>
    <row r="22059" ht="14.25" customHeight="1"/>
    <row r="22060" ht="14.25" customHeight="1"/>
    <row r="22061" ht="14.25" customHeight="1"/>
    <row r="22062" ht="14.25" customHeight="1"/>
    <row r="22063" ht="14.25" customHeight="1"/>
    <row r="22064" ht="14.25" customHeight="1"/>
    <row r="22065" ht="14.25" customHeight="1"/>
    <row r="22066" ht="14.25" customHeight="1"/>
    <row r="22067" ht="14.25" customHeight="1"/>
    <row r="22068" ht="14.25" customHeight="1"/>
    <row r="22069" ht="14.25" customHeight="1"/>
    <row r="22070" ht="14.25" customHeight="1"/>
    <row r="22071" ht="14.25" customHeight="1"/>
    <row r="22072" ht="14.25" customHeight="1"/>
    <row r="22073" ht="14.25" customHeight="1"/>
    <row r="22074" ht="14.25" customHeight="1"/>
    <row r="22075" ht="14.25" customHeight="1"/>
    <row r="22076" ht="14.25" customHeight="1"/>
    <row r="22077" ht="14.25" customHeight="1"/>
    <row r="22078" ht="14.25" customHeight="1"/>
    <row r="22079" ht="14.25" customHeight="1"/>
    <row r="22080" ht="14.25" customHeight="1"/>
    <row r="22081" ht="14.25" customHeight="1"/>
    <row r="22082" ht="14.25" customHeight="1"/>
    <row r="22083" ht="14.25" customHeight="1"/>
    <row r="22084" ht="14.25" customHeight="1"/>
    <row r="22085" ht="14.25" customHeight="1"/>
    <row r="22086" ht="14.25" customHeight="1"/>
    <row r="22087" ht="14.25" customHeight="1"/>
    <row r="22088" ht="14.25" customHeight="1"/>
    <row r="22089" ht="14.25" customHeight="1"/>
    <row r="22090" ht="14.25" customHeight="1"/>
    <row r="22091" ht="14.25" customHeight="1"/>
    <row r="22092" ht="14.25" customHeight="1"/>
    <row r="22093" ht="14.25" customHeight="1"/>
    <row r="22094" ht="14.25" customHeight="1"/>
    <row r="22095" ht="14.25" customHeight="1"/>
    <row r="22096" ht="14.25" customHeight="1"/>
    <row r="22097" ht="14.25" customHeight="1"/>
    <row r="22098" ht="14.25" customHeight="1"/>
    <row r="22099" ht="14.25" customHeight="1"/>
    <row r="22100" ht="14.25" customHeight="1"/>
    <row r="22101" ht="14.25" customHeight="1"/>
    <row r="22102" ht="14.25" customHeight="1"/>
    <row r="22103" ht="14.25" customHeight="1"/>
    <row r="22104" ht="14.25" customHeight="1"/>
    <row r="22105" ht="14.25" customHeight="1"/>
    <row r="22106" ht="14.25" customHeight="1"/>
    <row r="22107" ht="14.25" customHeight="1"/>
    <row r="22108" ht="14.25" customHeight="1"/>
    <row r="22109" ht="14.25" customHeight="1"/>
    <row r="22110" ht="14.25" customHeight="1"/>
    <row r="22111" ht="14.25" customHeight="1"/>
    <row r="22112" ht="14.25" customHeight="1"/>
    <row r="22113" ht="14.25" customHeight="1"/>
    <row r="22114" ht="14.25" customHeight="1"/>
    <row r="22115" ht="14.25" customHeight="1"/>
    <row r="22116" ht="14.25" customHeight="1"/>
    <row r="22117" ht="14.25" customHeight="1"/>
    <row r="22118" ht="14.25" customHeight="1"/>
    <row r="22119" ht="14.25" customHeight="1"/>
    <row r="22120" ht="14.25" customHeight="1"/>
    <row r="22121" ht="14.25" customHeight="1"/>
    <row r="22122" ht="14.25" customHeight="1"/>
    <row r="22123" ht="14.25" customHeight="1"/>
    <row r="22124" ht="14.25" customHeight="1"/>
    <row r="22125" ht="14.25" customHeight="1"/>
    <row r="22126" ht="14.25" customHeight="1"/>
    <row r="22127" ht="14.25" customHeight="1"/>
    <row r="22128" ht="14.25" customHeight="1"/>
    <row r="22129" ht="14.25" customHeight="1"/>
    <row r="22130" ht="14.25" customHeight="1"/>
    <row r="22131" ht="14.25" customHeight="1"/>
    <row r="22132" ht="14.25" customHeight="1"/>
    <row r="22133" ht="14.25" customHeight="1"/>
    <row r="22134" ht="14.25" customHeight="1"/>
    <row r="22135" ht="14.25" customHeight="1"/>
    <row r="22136" ht="14.25" customHeight="1"/>
    <row r="22137" ht="14.25" customHeight="1"/>
    <row r="22138" ht="14.25" customHeight="1"/>
    <row r="22139" ht="14.25" customHeight="1"/>
    <row r="22140" ht="14.25" customHeight="1"/>
    <row r="22141" ht="14.25" customHeight="1"/>
    <row r="22142" ht="14.25" customHeight="1"/>
    <row r="22143" ht="14.25" customHeight="1"/>
    <row r="22144" ht="14.25" customHeight="1"/>
    <row r="22145" ht="14.25" customHeight="1"/>
    <row r="22146" ht="14.25" customHeight="1"/>
    <row r="22147" ht="14.25" customHeight="1"/>
    <row r="22148" ht="14.25" customHeight="1"/>
    <row r="22149" ht="14.25" customHeight="1"/>
    <row r="22150" ht="14.25" customHeight="1"/>
    <row r="22151" ht="14.25" customHeight="1"/>
    <row r="22152" ht="14.25" customHeight="1"/>
    <row r="22153" ht="14.25" customHeight="1"/>
    <row r="22154" ht="14.25" customHeight="1"/>
    <row r="22155" ht="14.25" customHeight="1"/>
    <row r="22156" ht="14.25" customHeight="1"/>
    <row r="22157" ht="14.25" customHeight="1"/>
    <row r="22158" ht="14.25" customHeight="1"/>
    <row r="22159" ht="14.25" customHeight="1"/>
    <row r="22160" ht="14.25" customHeight="1"/>
    <row r="22161" ht="14.25" customHeight="1"/>
    <row r="22162" ht="14.25" customHeight="1"/>
    <row r="22163" ht="14.25" customHeight="1"/>
    <row r="22164" ht="14.25" customHeight="1"/>
    <row r="22165" ht="14.25" customHeight="1"/>
    <row r="22166" ht="14.25" customHeight="1"/>
    <row r="22167" ht="14.25" customHeight="1"/>
    <row r="22168" ht="14.25" customHeight="1"/>
    <row r="22169" ht="14.25" customHeight="1"/>
    <row r="22170" ht="14.25" customHeight="1"/>
    <row r="22171" ht="14.25" customHeight="1"/>
    <row r="22172" ht="14.25" customHeight="1"/>
    <row r="22173" ht="14.25" customHeight="1"/>
    <row r="22174" ht="14.25" customHeight="1"/>
    <row r="22175" ht="14.25" customHeight="1"/>
    <row r="22176" ht="14.25" customHeight="1"/>
    <row r="22177" ht="14.25" customHeight="1"/>
    <row r="22178" ht="14.25" customHeight="1"/>
    <row r="22179" ht="14.25" customHeight="1"/>
    <row r="22180" ht="14.25" customHeight="1"/>
    <row r="22181" ht="14.25" customHeight="1"/>
    <row r="22182" ht="14.25" customHeight="1"/>
    <row r="22183" ht="14.25" customHeight="1"/>
    <row r="22184" ht="14.25" customHeight="1"/>
    <row r="22185" ht="14.25" customHeight="1"/>
    <row r="22186" ht="14.25" customHeight="1"/>
    <row r="22187" ht="14.25" customHeight="1"/>
    <row r="22188" ht="14.25" customHeight="1"/>
    <row r="22189" ht="14.25" customHeight="1"/>
    <row r="22190" ht="14.25" customHeight="1"/>
    <row r="22191" ht="14.25" customHeight="1"/>
    <row r="22192" ht="14.25" customHeight="1"/>
    <row r="22193" ht="14.25" customHeight="1"/>
    <row r="22194" ht="14.25" customHeight="1"/>
    <row r="22195" ht="14.25" customHeight="1"/>
    <row r="22196" ht="14.25" customHeight="1"/>
    <row r="22197" ht="14.25" customHeight="1"/>
    <row r="22198" ht="14.25" customHeight="1"/>
    <row r="22199" ht="14.25" customHeight="1"/>
    <row r="22200" ht="14.25" customHeight="1"/>
    <row r="22201" ht="14.25" customHeight="1"/>
    <row r="22202" ht="14.25" customHeight="1"/>
    <row r="22203" ht="14.25" customHeight="1"/>
    <row r="22204" ht="14.25" customHeight="1"/>
    <row r="22205" ht="14.25" customHeight="1"/>
    <row r="22206" ht="14.25" customHeight="1"/>
    <row r="22207" ht="14.25" customHeight="1"/>
    <row r="22208" ht="14.25" customHeight="1"/>
    <row r="22209" ht="14.25" customHeight="1"/>
    <row r="22210" ht="14.25" customHeight="1"/>
    <row r="22211" ht="14.25" customHeight="1"/>
    <row r="22212" ht="14.25" customHeight="1"/>
    <row r="22213" ht="14.25" customHeight="1"/>
    <row r="22214" ht="14.25" customHeight="1"/>
    <row r="22215" ht="14.25" customHeight="1"/>
    <row r="22216" ht="14.25" customHeight="1"/>
    <row r="22217" ht="14.25" customHeight="1"/>
    <row r="22218" ht="14.25" customHeight="1"/>
    <row r="22219" ht="14.25" customHeight="1"/>
    <row r="22220" ht="14.25" customHeight="1"/>
    <row r="22221" ht="14.25" customHeight="1"/>
    <row r="22222" ht="14.25" customHeight="1"/>
    <row r="22223" ht="14.25" customHeight="1"/>
    <row r="22224" ht="14.25" customHeight="1"/>
    <row r="22225" ht="14.25" customHeight="1"/>
    <row r="22226" ht="14.25" customHeight="1"/>
    <row r="22227" ht="14.25" customHeight="1"/>
    <row r="22228" ht="14.25" customHeight="1"/>
    <row r="22229" ht="14.25" customHeight="1"/>
    <row r="22230" ht="14.25" customHeight="1"/>
    <row r="22231" ht="14.25" customHeight="1"/>
    <row r="22232" ht="14.25" customHeight="1"/>
    <row r="22233" ht="14.25" customHeight="1"/>
    <row r="22234" ht="14.25" customHeight="1"/>
    <row r="22235" ht="14.25" customHeight="1"/>
    <row r="22236" ht="14.25" customHeight="1"/>
    <row r="22237" ht="14.25" customHeight="1"/>
    <row r="22238" ht="14.25" customHeight="1"/>
    <row r="22239" ht="14.25" customHeight="1"/>
    <row r="22240" ht="14.25" customHeight="1"/>
    <row r="22241" ht="14.25" customHeight="1"/>
    <row r="22242" ht="14.25" customHeight="1"/>
    <row r="22243" ht="14.25" customHeight="1"/>
    <row r="22244" ht="14.25" customHeight="1"/>
    <row r="22245" ht="14.25" customHeight="1"/>
    <row r="22246" ht="14.25" customHeight="1"/>
    <row r="22247" ht="14.25" customHeight="1"/>
    <row r="22248" ht="14.25" customHeight="1"/>
    <row r="22249" ht="14.25" customHeight="1"/>
    <row r="22250" ht="14.25" customHeight="1"/>
    <row r="22251" ht="14.25" customHeight="1"/>
    <row r="22252" ht="14.25" customHeight="1"/>
    <row r="22253" ht="14.25" customHeight="1"/>
    <row r="22254" ht="14.25" customHeight="1"/>
    <row r="22255" ht="14.25" customHeight="1"/>
    <row r="22256" ht="14.25" customHeight="1"/>
    <row r="22257" ht="14.25" customHeight="1"/>
    <row r="22258" ht="14.25" customHeight="1"/>
    <row r="22259" ht="14.25" customHeight="1"/>
    <row r="22260" ht="14.25" customHeight="1"/>
    <row r="22261" ht="14.25" customHeight="1"/>
    <row r="22262" ht="14.25" customHeight="1"/>
    <row r="22263" ht="14.25" customHeight="1"/>
    <row r="22264" ht="14.25" customHeight="1"/>
    <row r="22265" ht="14.25" customHeight="1"/>
    <row r="22266" ht="14.25" customHeight="1"/>
    <row r="22267" ht="14.25" customHeight="1"/>
    <row r="22268" ht="14.25" customHeight="1"/>
    <row r="22269" ht="14.25" customHeight="1"/>
    <row r="22270" ht="14.25" customHeight="1"/>
    <row r="22271" ht="14.25" customHeight="1"/>
    <row r="22272" ht="14.25" customHeight="1"/>
    <row r="22273" ht="14.25" customHeight="1"/>
    <row r="22274" ht="14.25" customHeight="1"/>
    <row r="22275" ht="14.25" customHeight="1"/>
    <row r="22276" ht="14.25" customHeight="1"/>
    <row r="22277" ht="14.25" customHeight="1"/>
    <row r="22278" ht="14.25" customHeight="1"/>
    <row r="22279" ht="14.25" customHeight="1"/>
    <row r="22280" ht="14.25" customHeight="1"/>
    <row r="22281" ht="14.25" customHeight="1"/>
    <row r="22282" ht="14.25" customHeight="1"/>
    <row r="22283" ht="14.25" customHeight="1"/>
    <row r="22284" ht="14.25" customHeight="1"/>
    <row r="22285" ht="14.25" customHeight="1"/>
    <row r="22286" ht="14.25" customHeight="1"/>
    <row r="22287" ht="14.25" customHeight="1"/>
    <row r="22288" ht="14.25" customHeight="1"/>
    <row r="22289" ht="14.25" customHeight="1"/>
    <row r="22290" ht="14.25" customHeight="1"/>
    <row r="22291" ht="14.25" customHeight="1"/>
    <row r="22292" ht="14.25" customHeight="1"/>
    <row r="22293" ht="14.25" customHeight="1"/>
    <row r="22294" ht="14.25" customHeight="1"/>
    <row r="22295" ht="14.25" customHeight="1"/>
    <row r="22296" ht="14.25" customHeight="1"/>
    <row r="22297" ht="14.25" customHeight="1"/>
    <row r="22298" ht="14.25" customHeight="1"/>
    <row r="22299" ht="14.25" customHeight="1"/>
    <row r="22300" ht="14.25" customHeight="1"/>
    <row r="22301" ht="14.25" customHeight="1"/>
    <row r="22302" ht="14.25" customHeight="1"/>
    <row r="22303" ht="14.25" customHeight="1"/>
    <row r="22304" ht="14.25" customHeight="1"/>
    <row r="22305" ht="14.25" customHeight="1"/>
    <row r="22306" ht="14.25" customHeight="1"/>
    <row r="22307" ht="14.25" customHeight="1"/>
    <row r="22308" ht="14.25" customHeight="1"/>
    <row r="22309" ht="14.25" customHeight="1"/>
    <row r="22310" ht="14.25" customHeight="1"/>
    <row r="22311" ht="14.25" customHeight="1"/>
    <row r="22312" ht="14.25" customHeight="1"/>
    <row r="22313" ht="14.25" customHeight="1"/>
    <row r="22314" ht="14.25" customHeight="1"/>
    <row r="22315" ht="14.25" customHeight="1"/>
    <row r="22316" ht="14.25" customHeight="1"/>
    <row r="22317" ht="14.25" customHeight="1"/>
    <row r="22318" ht="14.25" customHeight="1"/>
    <row r="22319" ht="14.25" customHeight="1"/>
    <row r="22320" ht="14.25" customHeight="1"/>
    <row r="22321" ht="14.25" customHeight="1"/>
    <row r="22322" ht="14.25" customHeight="1"/>
    <row r="22323" ht="14.25" customHeight="1"/>
    <row r="22324" ht="14.25" customHeight="1"/>
    <row r="22325" ht="14.25" customHeight="1"/>
    <row r="22326" ht="14.25" customHeight="1"/>
    <row r="22327" ht="14.25" customHeight="1"/>
    <row r="22328" ht="14.25" customHeight="1"/>
    <row r="22329" ht="14.25" customHeight="1"/>
    <row r="22330" ht="14.25" customHeight="1"/>
    <row r="22331" ht="14.25" customHeight="1"/>
    <row r="22332" ht="14.25" customHeight="1"/>
    <row r="22333" ht="14.25" customHeight="1"/>
    <row r="22334" ht="14.25" customHeight="1"/>
    <row r="22335" ht="14.25" customHeight="1"/>
    <row r="22336" ht="14.25" customHeight="1"/>
    <row r="22337" ht="14.25" customHeight="1"/>
    <row r="22338" ht="14.25" customHeight="1"/>
    <row r="22339" ht="14.25" customHeight="1"/>
    <row r="22340" ht="14.25" customHeight="1"/>
    <row r="22341" ht="14.25" customHeight="1"/>
    <row r="22342" ht="14.25" customHeight="1"/>
    <row r="22343" ht="14.25" customHeight="1"/>
    <row r="22344" ht="14.25" customHeight="1"/>
    <row r="22345" ht="14.25" customHeight="1"/>
    <row r="22346" ht="14.25" customHeight="1"/>
    <row r="22347" ht="14.25" customHeight="1"/>
    <row r="22348" ht="14.25" customHeight="1"/>
    <row r="22349" ht="14.25" customHeight="1"/>
    <row r="22350" ht="14.25" customHeight="1"/>
    <row r="22351" ht="14.25" customHeight="1"/>
    <row r="22352" ht="14.25" customHeight="1"/>
    <row r="22353" ht="14.25" customHeight="1"/>
    <row r="22354" ht="14.25" customHeight="1"/>
    <row r="22355" ht="14.25" customHeight="1"/>
    <row r="22356" ht="14.25" customHeight="1"/>
    <row r="22357" ht="14.25" customHeight="1"/>
    <row r="22358" ht="14.25" customHeight="1"/>
    <row r="22359" ht="14.25" customHeight="1"/>
    <row r="22360" ht="14.25" customHeight="1"/>
    <row r="22361" ht="14.25" customHeight="1"/>
    <row r="22362" ht="14.25" customHeight="1"/>
    <row r="22363" ht="14.25" customHeight="1"/>
    <row r="22364" ht="14.25" customHeight="1"/>
    <row r="22365" ht="14.25" customHeight="1"/>
    <row r="22366" ht="14.25" customHeight="1"/>
    <row r="22367" ht="14.25" customHeight="1"/>
    <row r="22368" ht="14.25" customHeight="1"/>
    <row r="22369" ht="14.25" customHeight="1"/>
    <row r="22370" ht="14.25" customHeight="1"/>
    <row r="22371" ht="14.25" customHeight="1"/>
    <row r="22372" ht="14.25" customHeight="1"/>
    <row r="22373" ht="14.25" customHeight="1"/>
    <row r="22374" ht="14.25" customHeight="1"/>
    <row r="22375" ht="14.25" customHeight="1"/>
    <row r="22376" ht="14.25" customHeight="1"/>
    <row r="22377" ht="14.25" customHeight="1"/>
    <row r="22378" ht="14.25" customHeight="1"/>
    <row r="22379" ht="14.25" customHeight="1"/>
    <row r="22380" ht="14.25" customHeight="1"/>
    <row r="22381" ht="14.25" customHeight="1"/>
    <row r="22382" ht="14.25" customHeight="1"/>
    <row r="22383" ht="14.25" customHeight="1"/>
    <row r="22384" ht="14.25" customHeight="1"/>
    <row r="22385" ht="14.25" customHeight="1"/>
    <row r="22386" ht="14.25" customHeight="1"/>
    <row r="22387" ht="14.25" customHeight="1"/>
    <row r="22388" ht="14.25" customHeight="1"/>
    <row r="22389" ht="14.25" customHeight="1"/>
    <row r="22390" ht="14.25" customHeight="1"/>
    <row r="22391" ht="14.25" customHeight="1"/>
    <row r="22392" ht="14.25" customHeight="1"/>
    <row r="22393" ht="14.25" customHeight="1"/>
    <row r="22394" ht="14.25" customHeight="1"/>
    <row r="22395" ht="14.25" customHeight="1"/>
    <row r="22396" ht="14.25" customHeight="1"/>
    <row r="22397" ht="14.25" customHeight="1"/>
    <row r="22398" ht="14.25" customHeight="1"/>
    <row r="22399" ht="14.25" customHeight="1"/>
    <row r="22400" ht="14.25" customHeight="1"/>
    <row r="22401" ht="14.25" customHeight="1"/>
    <row r="22402" ht="14.25" customHeight="1"/>
    <row r="22403" ht="14.25" customHeight="1"/>
    <row r="22404" ht="14.25" customHeight="1"/>
    <row r="22405" ht="14.25" customHeight="1"/>
    <row r="22406" ht="14.25" customHeight="1"/>
    <row r="22407" ht="14.25" customHeight="1"/>
    <row r="22408" ht="14.25" customHeight="1"/>
    <row r="22409" ht="14.25" customHeight="1"/>
    <row r="22410" ht="14.25" customHeight="1"/>
    <row r="22411" ht="14.25" customHeight="1"/>
    <row r="22412" ht="14.25" customHeight="1"/>
    <row r="22413" ht="14.25" customHeight="1"/>
    <row r="22414" ht="14.25" customHeight="1"/>
    <row r="22415" ht="14.25" customHeight="1"/>
    <row r="22416" ht="14.25" customHeight="1"/>
    <row r="22417" ht="14.25" customHeight="1"/>
    <row r="22418" ht="14.25" customHeight="1"/>
    <row r="22419" ht="14.25" customHeight="1"/>
    <row r="22420" ht="14.25" customHeight="1"/>
    <row r="22421" ht="14.25" customHeight="1"/>
    <row r="22422" ht="14.25" customHeight="1"/>
    <row r="22423" ht="14.25" customHeight="1"/>
    <row r="22424" ht="14.25" customHeight="1"/>
    <row r="22425" ht="14.25" customHeight="1"/>
    <row r="22426" ht="14.25" customHeight="1"/>
    <row r="22427" ht="14.25" customHeight="1"/>
    <row r="22428" ht="14.25" customHeight="1"/>
    <row r="22429" ht="14.25" customHeight="1"/>
    <row r="22430" ht="14.25" customHeight="1"/>
    <row r="22431" ht="14.25" customHeight="1"/>
    <row r="22432" ht="14.25" customHeight="1"/>
    <row r="22433" ht="14.25" customHeight="1"/>
    <row r="22434" ht="14.25" customHeight="1"/>
    <row r="22435" ht="14.25" customHeight="1"/>
    <row r="22436" ht="14.25" customHeight="1"/>
    <row r="22437" ht="14.25" customHeight="1"/>
    <row r="22438" ht="14.25" customHeight="1"/>
    <row r="22439" ht="14.25" customHeight="1"/>
    <row r="22440" ht="14.25" customHeight="1"/>
    <row r="22441" ht="14.25" customHeight="1"/>
    <row r="22442" ht="14.25" customHeight="1"/>
    <row r="22443" ht="14.25" customHeight="1"/>
    <row r="22444" ht="14.25" customHeight="1"/>
    <row r="22445" ht="14.25" customHeight="1"/>
    <row r="22446" ht="14.25" customHeight="1"/>
    <row r="22447" ht="14.25" customHeight="1"/>
    <row r="22448" ht="14.25" customHeight="1"/>
    <row r="22449" ht="14.25" customHeight="1"/>
    <row r="22450" ht="14.25" customHeight="1"/>
    <row r="22451" ht="14.25" customHeight="1"/>
    <row r="22452" ht="14.25" customHeight="1"/>
    <row r="22453" ht="14.25" customHeight="1"/>
    <row r="22454" ht="14.25" customHeight="1"/>
    <row r="22455" ht="14.25" customHeight="1"/>
    <row r="22456" ht="14.25" customHeight="1"/>
    <row r="22457" ht="14.25" customHeight="1"/>
    <row r="22458" ht="14.25" customHeight="1"/>
    <row r="22459" ht="14.25" customHeight="1"/>
    <row r="22460" ht="14.25" customHeight="1"/>
    <row r="22461" ht="14.25" customHeight="1"/>
    <row r="22462" ht="14.25" customHeight="1"/>
    <row r="22463" ht="14.25" customHeight="1"/>
    <row r="22464" ht="14.25" customHeight="1"/>
    <row r="22465" ht="14.25" customHeight="1"/>
    <row r="22466" ht="14.25" customHeight="1"/>
    <row r="22467" ht="14.25" customHeight="1"/>
    <row r="22468" ht="14.25" customHeight="1"/>
    <row r="22469" ht="14.25" customHeight="1"/>
    <row r="22470" ht="14.25" customHeight="1"/>
    <row r="22471" ht="14.25" customHeight="1"/>
    <row r="22472" ht="14.25" customHeight="1"/>
    <row r="22473" ht="14.25" customHeight="1"/>
    <row r="22474" ht="14.25" customHeight="1"/>
    <row r="22475" ht="14.25" customHeight="1"/>
    <row r="22476" ht="14.25" customHeight="1"/>
    <row r="22477" ht="14.25" customHeight="1"/>
    <row r="22478" ht="14.25" customHeight="1"/>
    <row r="22479" ht="14.25" customHeight="1"/>
    <row r="22480" ht="14.25" customHeight="1"/>
    <row r="22481" ht="14.25" customHeight="1"/>
    <row r="22482" ht="14.25" customHeight="1"/>
    <row r="22483" ht="14.25" customHeight="1"/>
    <row r="22484" ht="14.25" customHeight="1"/>
    <row r="22485" ht="14.25" customHeight="1"/>
    <row r="22486" ht="14.25" customHeight="1"/>
    <row r="22487" ht="14.25" customHeight="1"/>
    <row r="22488" ht="14.25" customHeight="1"/>
    <row r="22489" ht="14.25" customHeight="1"/>
    <row r="22490" ht="14.25" customHeight="1"/>
    <row r="22491" ht="14.25" customHeight="1"/>
    <row r="22492" ht="14.25" customHeight="1"/>
    <row r="22493" ht="14.25" customHeight="1"/>
    <row r="22494" ht="14.25" customHeight="1"/>
    <row r="22495" ht="14.25" customHeight="1"/>
    <row r="22496" ht="14.25" customHeight="1"/>
    <row r="22497" ht="14.25" customHeight="1"/>
    <row r="22498" ht="14.25" customHeight="1"/>
    <row r="22499" ht="14.25" customHeight="1"/>
    <row r="22500" ht="14.25" customHeight="1"/>
    <row r="22501" ht="14.25" customHeight="1"/>
    <row r="22502" ht="14.25" customHeight="1"/>
    <row r="22503" ht="14.25" customHeight="1"/>
    <row r="22504" ht="14.25" customHeight="1"/>
    <row r="22505" ht="14.25" customHeight="1"/>
    <row r="22506" ht="14.25" customHeight="1"/>
    <row r="22507" ht="14.25" customHeight="1"/>
    <row r="22508" ht="14.25" customHeight="1"/>
    <row r="22509" ht="14.25" customHeight="1"/>
    <row r="22510" ht="14.25" customHeight="1"/>
    <row r="22511" ht="14.25" customHeight="1"/>
    <row r="22512" ht="14.25" customHeight="1"/>
    <row r="22513" ht="14.25" customHeight="1"/>
    <row r="22514" ht="14.25" customHeight="1"/>
    <row r="22515" ht="14.25" customHeight="1"/>
    <row r="22516" ht="14.25" customHeight="1"/>
    <row r="22517" ht="14.25" customHeight="1"/>
    <row r="22518" ht="14.25" customHeight="1"/>
    <row r="22519" ht="14.25" customHeight="1"/>
    <row r="22520" ht="14.25" customHeight="1"/>
    <row r="22521" ht="14.25" customHeight="1"/>
    <row r="22522" ht="14.25" customHeight="1"/>
    <row r="22523" ht="14.25" customHeight="1"/>
    <row r="22524" ht="14.25" customHeight="1"/>
    <row r="22525" ht="14.25" customHeight="1"/>
    <row r="22526" ht="14.25" customHeight="1"/>
    <row r="22527" ht="14.25" customHeight="1"/>
    <row r="22528" ht="14.25" customHeight="1"/>
    <row r="22529" ht="14.25" customHeight="1"/>
    <row r="22530" ht="14.25" customHeight="1"/>
    <row r="22531" ht="14.25" customHeight="1"/>
    <row r="22532" ht="14.25" customHeight="1"/>
    <row r="22533" ht="14.25" customHeight="1"/>
    <row r="22534" ht="14.25" customHeight="1"/>
    <row r="22535" ht="14.25" customHeight="1"/>
    <row r="22536" ht="14.25" customHeight="1"/>
    <row r="22537" ht="14.25" customHeight="1"/>
    <row r="22538" ht="14.25" customHeight="1"/>
    <row r="22539" ht="14.25" customHeight="1"/>
    <row r="22540" ht="14.25" customHeight="1"/>
    <row r="22541" ht="14.25" customHeight="1"/>
    <row r="22542" ht="14.25" customHeight="1"/>
    <row r="22543" ht="14.25" customHeight="1"/>
    <row r="22544" ht="14.25" customHeight="1"/>
    <row r="22545" ht="14.25" customHeight="1"/>
    <row r="22546" ht="14.25" customHeight="1"/>
    <row r="22547" ht="14.25" customHeight="1"/>
    <row r="22548" ht="14.25" customHeight="1"/>
    <row r="22549" ht="14.25" customHeight="1"/>
    <row r="22550" ht="14.25" customHeight="1"/>
    <row r="22551" ht="14.25" customHeight="1"/>
    <row r="22552" ht="14.25" customHeight="1"/>
    <row r="22553" ht="14.25" customHeight="1"/>
    <row r="22554" ht="14.25" customHeight="1"/>
    <row r="22555" ht="14.25" customHeight="1"/>
    <row r="22556" ht="14.25" customHeight="1"/>
    <row r="22557" ht="14.25" customHeight="1"/>
    <row r="22558" ht="14.25" customHeight="1"/>
    <row r="22559" ht="14.25" customHeight="1"/>
    <row r="22560" ht="14.25" customHeight="1"/>
    <row r="22561" ht="14.25" customHeight="1"/>
    <row r="22562" ht="14.25" customHeight="1"/>
    <row r="22563" ht="14.25" customHeight="1"/>
    <row r="22564" ht="14.25" customHeight="1"/>
    <row r="22565" ht="14.25" customHeight="1"/>
    <row r="22566" ht="14.25" customHeight="1"/>
    <row r="22567" ht="14.25" customHeight="1"/>
    <row r="22568" ht="14.25" customHeight="1"/>
    <row r="22569" ht="14.25" customHeight="1"/>
    <row r="22570" ht="14.25" customHeight="1"/>
    <row r="22571" ht="14.25" customHeight="1"/>
    <row r="22572" ht="14.25" customHeight="1"/>
    <row r="22573" ht="14.25" customHeight="1"/>
    <row r="22574" ht="14.25" customHeight="1"/>
    <row r="22575" ht="14.25" customHeight="1"/>
    <row r="22576" ht="14.25" customHeight="1"/>
    <row r="22577" ht="14.25" customHeight="1"/>
    <row r="22578" ht="14.25" customHeight="1"/>
    <row r="22579" ht="14.25" customHeight="1"/>
    <row r="22580" ht="14.25" customHeight="1"/>
    <row r="22581" ht="14.25" customHeight="1"/>
    <row r="22582" ht="14.25" customHeight="1"/>
    <row r="22583" ht="14.25" customHeight="1"/>
    <row r="22584" ht="14.25" customHeight="1"/>
    <row r="22585" ht="14.25" customHeight="1"/>
    <row r="22586" ht="14.25" customHeight="1"/>
    <row r="22587" ht="14.25" customHeight="1"/>
    <row r="22588" ht="14.25" customHeight="1"/>
    <row r="22589" ht="14.25" customHeight="1"/>
    <row r="22590" ht="14.25" customHeight="1"/>
    <row r="22591" ht="14.25" customHeight="1"/>
    <row r="22592" ht="14.25" customHeight="1"/>
    <row r="22593" ht="14.25" customHeight="1"/>
    <row r="22594" ht="14.25" customHeight="1"/>
    <row r="22595" ht="14.25" customHeight="1"/>
    <row r="22596" ht="14.25" customHeight="1"/>
    <row r="22597" ht="14.25" customHeight="1"/>
    <row r="22598" ht="14.25" customHeight="1"/>
    <row r="22599" ht="14.25" customHeight="1"/>
    <row r="22600" ht="14.25" customHeight="1"/>
    <row r="22601" ht="14.25" customHeight="1"/>
    <row r="22602" ht="14.25" customHeight="1"/>
    <row r="22603" ht="14.25" customHeight="1"/>
    <row r="22604" ht="14.25" customHeight="1"/>
    <row r="22605" ht="14.25" customHeight="1"/>
    <row r="22606" ht="14.25" customHeight="1"/>
    <row r="22607" ht="14.25" customHeight="1"/>
    <row r="22608" ht="14.25" customHeight="1"/>
    <row r="22609" ht="14.25" customHeight="1"/>
    <row r="22610" ht="14.25" customHeight="1"/>
    <row r="22611" ht="14.25" customHeight="1"/>
    <row r="22612" ht="14.25" customHeight="1"/>
    <row r="22613" ht="14.25" customHeight="1"/>
    <row r="22614" ht="14.25" customHeight="1"/>
    <row r="22615" ht="14.25" customHeight="1"/>
    <row r="22616" ht="14.25" customHeight="1"/>
    <row r="22617" ht="14.25" customHeight="1"/>
    <row r="22618" ht="14.25" customHeight="1"/>
    <row r="22619" ht="14.25" customHeight="1"/>
    <row r="22620" ht="14.25" customHeight="1"/>
    <row r="22621" ht="14.25" customHeight="1"/>
    <row r="22622" ht="14.25" customHeight="1"/>
    <row r="22623" ht="14.25" customHeight="1"/>
    <row r="22624" ht="14.25" customHeight="1"/>
    <row r="22625" ht="14.25" customHeight="1"/>
    <row r="22626" ht="14.25" customHeight="1"/>
    <row r="22627" ht="14.25" customHeight="1"/>
    <row r="22628" ht="14.25" customHeight="1"/>
    <row r="22629" ht="14.25" customHeight="1"/>
    <row r="22630" ht="14.25" customHeight="1"/>
    <row r="22631" ht="14.25" customHeight="1"/>
    <row r="22632" ht="14.25" customHeight="1"/>
    <row r="22633" ht="14.25" customHeight="1"/>
    <row r="22634" ht="14.25" customHeight="1"/>
    <row r="22635" ht="14.25" customHeight="1"/>
    <row r="22636" ht="14.25" customHeight="1"/>
    <row r="22637" ht="14.25" customHeight="1"/>
    <row r="22638" ht="14.25" customHeight="1"/>
    <row r="22639" ht="14.25" customHeight="1"/>
    <row r="22640" ht="14.25" customHeight="1"/>
    <row r="22641" ht="14.25" customHeight="1"/>
    <row r="22642" ht="14.25" customHeight="1"/>
    <row r="22643" ht="14.25" customHeight="1"/>
    <row r="22644" ht="14.25" customHeight="1"/>
    <row r="22645" ht="14.25" customHeight="1"/>
    <row r="22646" ht="14.25" customHeight="1"/>
    <row r="22647" ht="14.25" customHeight="1"/>
    <row r="22648" ht="14.25" customHeight="1"/>
    <row r="22649" ht="14.25" customHeight="1"/>
    <row r="22650" ht="14.25" customHeight="1"/>
    <row r="22651" ht="14.25" customHeight="1"/>
    <row r="22652" ht="14.25" customHeight="1"/>
    <row r="22653" ht="14.25" customHeight="1"/>
    <row r="22654" ht="14.25" customHeight="1"/>
    <row r="22655" ht="14.25" customHeight="1"/>
    <row r="22656" ht="14.25" customHeight="1"/>
    <row r="22657" ht="14.25" customHeight="1"/>
    <row r="22658" ht="14.25" customHeight="1"/>
    <row r="22659" ht="14.25" customHeight="1"/>
    <row r="22660" ht="14.25" customHeight="1"/>
    <row r="22661" ht="14.25" customHeight="1"/>
    <row r="22662" ht="14.25" customHeight="1"/>
    <row r="22663" ht="14.25" customHeight="1"/>
    <row r="22664" ht="14.25" customHeight="1"/>
    <row r="22665" ht="14.25" customHeight="1"/>
    <row r="22666" ht="14.25" customHeight="1"/>
    <row r="22667" ht="14.25" customHeight="1"/>
    <row r="22668" ht="14.25" customHeight="1"/>
    <row r="22669" ht="14.25" customHeight="1"/>
    <row r="22670" ht="14.25" customHeight="1"/>
    <row r="22671" ht="14.25" customHeight="1"/>
    <row r="22672" ht="14.25" customHeight="1"/>
    <row r="22673" ht="14.25" customHeight="1"/>
    <row r="22674" ht="14.25" customHeight="1"/>
    <row r="22675" ht="14.25" customHeight="1"/>
    <row r="22676" ht="14.25" customHeight="1"/>
    <row r="22677" ht="14.25" customHeight="1"/>
    <row r="22678" ht="14.25" customHeight="1"/>
    <row r="22679" ht="14.25" customHeight="1"/>
    <row r="22680" ht="14.25" customHeight="1"/>
    <row r="22681" ht="14.25" customHeight="1"/>
    <row r="22682" ht="14.25" customHeight="1"/>
    <row r="22683" ht="14.25" customHeight="1"/>
    <row r="22684" ht="14.25" customHeight="1"/>
    <row r="22685" ht="14.25" customHeight="1"/>
    <row r="22686" ht="14.25" customHeight="1"/>
    <row r="22687" ht="14.25" customHeight="1"/>
    <row r="22688" ht="14.25" customHeight="1"/>
    <row r="22689" ht="14.25" customHeight="1"/>
    <row r="22690" ht="14.25" customHeight="1"/>
    <row r="22691" ht="14.25" customHeight="1"/>
    <row r="22692" ht="14.25" customHeight="1"/>
    <row r="22693" ht="14.25" customHeight="1"/>
    <row r="22694" ht="14.25" customHeight="1"/>
    <row r="22695" ht="14.25" customHeight="1"/>
    <row r="22696" ht="14.25" customHeight="1"/>
    <row r="22697" ht="14.25" customHeight="1"/>
    <row r="22698" ht="14.25" customHeight="1"/>
    <row r="22699" ht="14.25" customHeight="1"/>
    <row r="22700" ht="14.25" customHeight="1"/>
    <row r="22701" ht="14.25" customHeight="1"/>
    <row r="22702" ht="14.25" customHeight="1"/>
    <row r="22703" ht="14.25" customHeight="1"/>
    <row r="22704" ht="14.25" customHeight="1"/>
    <row r="22705" ht="14.25" customHeight="1"/>
    <row r="22706" ht="14.25" customHeight="1"/>
    <row r="22707" ht="14.25" customHeight="1"/>
    <row r="22708" ht="14.25" customHeight="1"/>
    <row r="22709" ht="14.25" customHeight="1"/>
    <row r="22710" ht="14.25" customHeight="1"/>
    <row r="22711" ht="14.25" customHeight="1"/>
    <row r="22712" ht="14.25" customHeight="1"/>
    <row r="22713" ht="14.25" customHeight="1"/>
    <row r="22714" ht="14.25" customHeight="1"/>
    <row r="22715" ht="14.25" customHeight="1"/>
    <row r="22716" ht="14.25" customHeight="1"/>
    <row r="22717" ht="14.25" customHeight="1"/>
    <row r="22718" ht="14.25" customHeight="1"/>
    <row r="22719" ht="14.25" customHeight="1"/>
    <row r="22720" ht="14.25" customHeight="1"/>
    <row r="22721" ht="14.25" customHeight="1"/>
    <row r="22722" ht="14.25" customHeight="1"/>
    <row r="22723" ht="14.25" customHeight="1"/>
    <row r="22724" ht="14.25" customHeight="1"/>
    <row r="22725" ht="14.25" customHeight="1"/>
    <row r="22726" ht="14.25" customHeight="1"/>
    <row r="22727" ht="14.25" customHeight="1"/>
    <row r="22728" ht="14.25" customHeight="1"/>
    <row r="22729" ht="14.25" customHeight="1"/>
    <row r="22730" ht="14.25" customHeight="1"/>
    <row r="22731" ht="14.25" customHeight="1"/>
    <row r="22732" ht="14.25" customHeight="1"/>
    <row r="22733" ht="14.25" customHeight="1"/>
    <row r="22734" ht="14.25" customHeight="1"/>
    <row r="22735" ht="14.25" customHeight="1"/>
    <row r="22736" ht="14.25" customHeight="1"/>
    <row r="22737" ht="14.25" customHeight="1"/>
    <row r="22738" ht="14.25" customHeight="1"/>
    <row r="22739" ht="14.25" customHeight="1"/>
    <row r="22740" ht="14.25" customHeight="1"/>
    <row r="22741" ht="14.25" customHeight="1"/>
    <row r="22742" ht="14.25" customHeight="1"/>
    <row r="22743" ht="14.25" customHeight="1"/>
    <row r="22744" ht="14.25" customHeight="1"/>
    <row r="22745" ht="14.25" customHeight="1"/>
    <row r="22746" ht="14.25" customHeight="1"/>
    <row r="22747" ht="14.25" customHeight="1"/>
    <row r="22748" ht="14.25" customHeight="1"/>
    <row r="22749" ht="14.25" customHeight="1"/>
    <row r="22750" ht="14.25" customHeight="1"/>
    <row r="22751" ht="14.25" customHeight="1"/>
    <row r="22752" ht="14.25" customHeight="1"/>
    <row r="22753" ht="14.25" customHeight="1"/>
    <row r="22754" ht="14.25" customHeight="1"/>
    <row r="22755" ht="14.25" customHeight="1"/>
    <row r="22756" ht="14.25" customHeight="1"/>
    <row r="22757" ht="14.25" customHeight="1"/>
    <row r="22758" ht="14.25" customHeight="1"/>
    <row r="22759" ht="14.25" customHeight="1"/>
    <row r="22760" ht="14.25" customHeight="1"/>
    <row r="22761" ht="14.25" customHeight="1"/>
    <row r="22762" ht="14.25" customHeight="1"/>
    <row r="22763" ht="14.25" customHeight="1"/>
    <row r="22764" ht="14.25" customHeight="1"/>
    <row r="22765" ht="14.25" customHeight="1"/>
    <row r="22766" ht="14.25" customHeight="1"/>
    <row r="22767" ht="14.25" customHeight="1"/>
    <row r="22768" ht="14.25" customHeight="1"/>
    <row r="22769" ht="14.25" customHeight="1"/>
    <row r="22770" ht="14.25" customHeight="1"/>
    <row r="22771" ht="14.25" customHeight="1"/>
    <row r="22772" ht="14.25" customHeight="1"/>
    <row r="22773" ht="14.25" customHeight="1"/>
    <row r="22774" ht="14.25" customHeight="1"/>
    <row r="22775" ht="14.25" customHeight="1"/>
    <row r="22776" ht="14.25" customHeight="1"/>
    <row r="22777" ht="14.25" customHeight="1"/>
    <row r="22778" ht="14.25" customHeight="1"/>
    <row r="22779" ht="14.25" customHeight="1"/>
    <row r="22780" ht="14.25" customHeight="1"/>
    <row r="22781" ht="14.25" customHeight="1"/>
    <row r="22782" ht="14.25" customHeight="1"/>
    <row r="22783" ht="14.25" customHeight="1"/>
    <row r="22784" ht="14.25" customHeight="1"/>
    <row r="22785" ht="14.25" customHeight="1"/>
    <row r="22786" ht="14.25" customHeight="1"/>
    <row r="22787" ht="14.25" customHeight="1"/>
    <row r="22788" ht="14.25" customHeight="1"/>
    <row r="22789" ht="14.25" customHeight="1"/>
    <row r="22790" ht="14.25" customHeight="1"/>
    <row r="22791" ht="14.25" customHeight="1"/>
    <row r="22792" ht="14.25" customHeight="1"/>
    <row r="22793" ht="14.25" customHeight="1"/>
    <row r="22794" ht="14.25" customHeight="1"/>
    <row r="22795" ht="14.25" customHeight="1"/>
    <row r="22796" ht="14.25" customHeight="1"/>
    <row r="22797" ht="14.25" customHeight="1"/>
    <row r="22798" ht="14.25" customHeight="1"/>
    <row r="22799" ht="14.25" customHeight="1"/>
    <row r="22800" ht="14.25" customHeight="1"/>
    <row r="22801" ht="14.25" customHeight="1"/>
    <row r="22802" ht="14.25" customHeight="1"/>
    <row r="22803" ht="14.25" customHeight="1"/>
    <row r="22804" ht="14.25" customHeight="1"/>
    <row r="22805" ht="14.25" customHeight="1"/>
    <row r="22806" ht="14.25" customHeight="1"/>
    <row r="22807" ht="14.25" customHeight="1"/>
    <row r="22808" ht="14.25" customHeight="1"/>
    <row r="22809" ht="14.25" customHeight="1"/>
    <row r="22810" ht="14.25" customHeight="1"/>
    <row r="22811" ht="14.25" customHeight="1"/>
    <row r="22812" ht="14.25" customHeight="1"/>
    <row r="22813" ht="14.25" customHeight="1"/>
    <row r="22814" ht="14.25" customHeight="1"/>
    <row r="22815" ht="14.25" customHeight="1"/>
    <row r="22816" ht="14.25" customHeight="1"/>
    <row r="22817" ht="14.25" customHeight="1"/>
    <row r="22818" ht="14.25" customHeight="1"/>
    <row r="22819" ht="14.25" customHeight="1"/>
    <row r="22820" ht="14.25" customHeight="1"/>
    <row r="22821" ht="14.25" customHeight="1"/>
    <row r="22822" ht="14.25" customHeight="1"/>
    <row r="22823" ht="14.25" customHeight="1"/>
    <row r="22824" ht="14.25" customHeight="1"/>
    <row r="22825" ht="14.25" customHeight="1"/>
    <row r="22826" ht="14.25" customHeight="1"/>
    <row r="22827" ht="14.25" customHeight="1"/>
    <row r="22828" ht="14.25" customHeight="1"/>
    <row r="22829" ht="14.25" customHeight="1"/>
    <row r="22830" ht="14.25" customHeight="1"/>
    <row r="22831" ht="14.25" customHeight="1"/>
    <row r="22832" ht="14.25" customHeight="1"/>
    <row r="22833" ht="14.25" customHeight="1"/>
    <row r="22834" ht="14.25" customHeight="1"/>
    <row r="22835" ht="14.25" customHeight="1"/>
    <row r="22836" ht="14.25" customHeight="1"/>
    <row r="22837" ht="14.25" customHeight="1"/>
    <row r="22838" ht="14.25" customHeight="1"/>
    <row r="22839" ht="14.25" customHeight="1"/>
    <row r="22840" ht="14.25" customHeight="1"/>
    <row r="22841" ht="14.25" customHeight="1"/>
    <row r="22842" ht="14.25" customHeight="1"/>
    <row r="22843" ht="14.25" customHeight="1"/>
    <row r="22844" ht="14.25" customHeight="1"/>
    <row r="22845" ht="14.25" customHeight="1"/>
    <row r="22846" ht="14.25" customHeight="1"/>
    <row r="22847" ht="14.25" customHeight="1"/>
    <row r="22848" ht="14.25" customHeight="1"/>
    <row r="22849" ht="14.25" customHeight="1"/>
    <row r="22850" ht="14.25" customHeight="1"/>
    <row r="22851" ht="14.25" customHeight="1"/>
    <row r="22852" ht="14.25" customHeight="1"/>
    <row r="22853" ht="14.25" customHeight="1"/>
    <row r="22854" ht="14.25" customHeight="1"/>
    <row r="22855" ht="14.25" customHeight="1"/>
    <row r="22856" ht="14.25" customHeight="1"/>
    <row r="22857" ht="14.25" customHeight="1"/>
    <row r="22858" ht="14.25" customHeight="1"/>
    <row r="22859" ht="14.25" customHeight="1"/>
    <row r="22860" ht="14.25" customHeight="1"/>
    <row r="22861" ht="14.25" customHeight="1"/>
    <row r="22862" ht="14.25" customHeight="1"/>
    <row r="22863" ht="14.25" customHeight="1"/>
    <row r="22864" ht="14.25" customHeight="1"/>
    <row r="22865" ht="14.25" customHeight="1"/>
    <row r="22866" ht="14.25" customHeight="1"/>
    <row r="22867" ht="14.25" customHeight="1"/>
    <row r="22868" ht="14.25" customHeight="1"/>
    <row r="22869" ht="14.25" customHeight="1"/>
    <row r="22870" ht="14.25" customHeight="1"/>
    <row r="22871" ht="14.25" customHeight="1"/>
    <row r="22872" ht="14.25" customHeight="1"/>
    <row r="22873" ht="14.25" customHeight="1"/>
    <row r="22874" ht="14.25" customHeight="1"/>
    <row r="22875" ht="14.25" customHeight="1"/>
    <row r="22876" ht="14.25" customHeight="1"/>
    <row r="22877" ht="14.25" customHeight="1"/>
    <row r="22878" ht="14.25" customHeight="1"/>
    <row r="22879" ht="14.25" customHeight="1"/>
    <row r="22880" ht="14.25" customHeight="1"/>
    <row r="22881" ht="14.25" customHeight="1"/>
    <row r="22882" ht="14.25" customHeight="1"/>
    <row r="22883" ht="14.25" customHeight="1"/>
    <row r="22884" ht="14.25" customHeight="1"/>
    <row r="22885" ht="14.25" customHeight="1"/>
    <row r="22886" ht="14.25" customHeight="1"/>
    <row r="22887" ht="14.25" customHeight="1"/>
    <row r="22888" ht="14.25" customHeight="1"/>
    <row r="22889" ht="14.25" customHeight="1"/>
    <row r="22890" ht="14.25" customHeight="1"/>
    <row r="22891" ht="14.25" customHeight="1"/>
    <row r="22892" ht="14.25" customHeight="1"/>
    <row r="22893" ht="14.25" customHeight="1"/>
    <row r="22894" ht="14.25" customHeight="1"/>
    <row r="22895" ht="14.25" customHeight="1"/>
    <row r="22896" ht="14.25" customHeight="1"/>
    <row r="22897" ht="14.25" customHeight="1"/>
    <row r="22898" ht="14.25" customHeight="1"/>
    <row r="22899" ht="14.25" customHeight="1"/>
    <row r="22900" ht="14.25" customHeight="1"/>
    <row r="22901" ht="14.25" customHeight="1"/>
    <row r="22902" ht="14.25" customHeight="1"/>
    <row r="22903" ht="14.25" customHeight="1"/>
    <row r="22904" ht="14.25" customHeight="1"/>
    <row r="22905" ht="14.25" customHeight="1"/>
    <row r="22906" ht="14.25" customHeight="1"/>
    <row r="22907" ht="14.25" customHeight="1"/>
    <row r="22908" ht="14.25" customHeight="1"/>
    <row r="22909" ht="14.25" customHeight="1"/>
    <row r="22910" ht="14.25" customHeight="1"/>
    <row r="22911" ht="14.25" customHeight="1"/>
    <row r="22912" ht="14.25" customHeight="1"/>
    <row r="22913" ht="14.25" customHeight="1"/>
    <row r="22914" ht="14.25" customHeight="1"/>
    <row r="22915" ht="14.25" customHeight="1"/>
    <row r="22916" ht="14.25" customHeight="1"/>
    <row r="22917" ht="14.25" customHeight="1"/>
    <row r="22918" ht="14.25" customHeight="1"/>
    <row r="22919" ht="14.25" customHeight="1"/>
    <row r="22920" ht="14.25" customHeight="1"/>
    <row r="22921" ht="14.25" customHeight="1"/>
    <row r="22922" ht="14.25" customHeight="1"/>
    <row r="22923" ht="14.25" customHeight="1"/>
    <row r="22924" ht="14.25" customHeight="1"/>
    <row r="22925" ht="14.25" customHeight="1"/>
    <row r="22926" ht="14.25" customHeight="1"/>
    <row r="22927" ht="14.25" customHeight="1"/>
    <row r="22928" ht="14.25" customHeight="1"/>
    <row r="22929" ht="14.25" customHeight="1"/>
    <row r="22930" ht="14.25" customHeight="1"/>
    <row r="22931" ht="14.25" customHeight="1"/>
    <row r="22932" ht="14.25" customHeight="1"/>
    <row r="22933" ht="14.25" customHeight="1"/>
    <row r="22934" ht="14.25" customHeight="1"/>
    <row r="22935" ht="14.25" customHeight="1"/>
    <row r="22936" ht="14.25" customHeight="1"/>
    <row r="22937" ht="14.25" customHeight="1"/>
    <row r="22938" ht="14.25" customHeight="1"/>
    <row r="22939" ht="14.25" customHeight="1"/>
    <row r="22940" ht="14.25" customHeight="1"/>
    <row r="22941" ht="14.25" customHeight="1"/>
    <row r="22942" ht="14.25" customHeight="1"/>
    <row r="22943" ht="14.25" customHeight="1"/>
    <row r="22944" ht="14.25" customHeight="1"/>
    <row r="22945" ht="14.25" customHeight="1"/>
    <row r="22946" ht="14.25" customHeight="1"/>
    <row r="22947" ht="14.25" customHeight="1"/>
    <row r="22948" ht="14.25" customHeight="1"/>
    <row r="22949" ht="14.25" customHeight="1"/>
    <row r="22950" ht="14.25" customHeight="1"/>
    <row r="22951" ht="14.25" customHeight="1"/>
    <row r="22952" ht="14.25" customHeight="1"/>
    <row r="22953" ht="14.25" customHeight="1"/>
    <row r="22954" ht="14.25" customHeight="1"/>
    <row r="22955" ht="14.25" customHeight="1"/>
    <row r="22956" ht="14.25" customHeight="1"/>
    <row r="22957" ht="14.25" customHeight="1"/>
    <row r="22958" ht="14.25" customHeight="1"/>
    <row r="22959" ht="14.25" customHeight="1"/>
    <row r="22960" ht="14.25" customHeight="1"/>
    <row r="22961" ht="14.25" customHeight="1"/>
    <row r="22962" ht="14.25" customHeight="1"/>
    <row r="22963" ht="14.25" customHeight="1"/>
    <row r="22964" ht="14.25" customHeight="1"/>
    <row r="22965" ht="14.25" customHeight="1"/>
    <row r="22966" ht="14.25" customHeight="1"/>
    <row r="22967" ht="14.25" customHeight="1"/>
    <row r="22968" ht="14.25" customHeight="1"/>
    <row r="22969" ht="14.25" customHeight="1"/>
    <row r="22970" ht="14.25" customHeight="1"/>
    <row r="22971" ht="14.25" customHeight="1"/>
    <row r="22972" ht="14.25" customHeight="1"/>
    <row r="22973" ht="14.25" customHeight="1"/>
    <row r="22974" ht="14.25" customHeight="1"/>
    <row r="22975" ht="14.25" customHeight="1"/>
    <row r="22976" ht="14.25" customHeight="1"/>
    <row r="22977" ht="14.25" customHeight="1"/>
    <row r="22978" ht="14.25" customHeight="1"/>
    <row r="22979" ht="14.25" customHeight="1"/>
    <row r="22980" ht="14.25" customHeight="1"/>
    <row r="22981" ht="14.25" customHeight="1"/>
    <row r="22982" ht="14.25" customHeight="1"/>
    <row r="22983" ht="14.25" customHeight="1"/>
    <row r="22984" ht="14.25" customHeight="1"/>
    <row r="22985" ht="14.25" customHeight="1"/>
    <row r="22986" ht="14.25" customHeight="1"/>
    <row r="22987" ht="14.25" customHeight="1"/>
    <row r="22988" ht="14.25" customHeight="1"/>
    <row r="22989" ht="14.25" customHeight="1"/>
    <row r="22990" ht="14.25" customHeight="1"/>
    <row r="22991" ht="14.25" customHeight="1"/>
    <row r="22992" ht="14.25" customHeight="1"/>
    <row r="22993" ht="14.25" customHeight="1"/>
    <row r="22994" ht="14.25" customHeight="1"/>
    <row r="22995" ht="14.25" customHeight="1"/>
    <row r="22996" ht="14.25" customHeight="1"/>
    <row r="22997" ht="14.25" customHeight="1"/>
    <row r="22998" ht="14.25" customHeight="1"/>
    <row r="22999" ht="14.25" customHeight="1"/>
    <row r="23000" ht="14.25" customHeight="1"/>
    <row r="23001" ht="14.25" customHeight="1"/>
    <row r="23002" ht="14.25" customHeight="1"/>
    <row r="23003" ht="14.25" customHeight="1"/>
    <row r="23004" ht="14.25" customHeight="1"/>
    <row r="23005" ht="14.25" customHeight="1"/>
    <row r="23006" ht="14.25" customHeight="1"/>
    <row r="23007" ht="14.25" customHeight="1"/>
    <row r="23008" ht="14.25" customHeight="1"/>
    <row r="23009" ht="14.25" customHeight="1"/>
    <row r="23010" ht="14.25" customHeight="1"/>
    <row r="23011" ht="14.25" customHeight="1"/>
    <row r="23012" ht="14.25" customHeight="1"/>
    <row r="23013" ht="14.25" customHeight="1"/>
    <row r="23014" ht="14.25" customHeight="1"/>
    <row r="23015" ht="14.25" customHeight="1"/>
    <row r="23016" ht="14.25" customHeight="1"/>
    <row r="23017" ht="14.25" customHeight="1"/>
    <row r="23018" ht="14.25" customHeight="1"/>
    <row r="23019" ht="14.25" customHeight="1"/>
    <row r="23020" ht="14.25" customHeight="1"/>
    <row r="23021" ht="14.25" customHeight="1"/>
    <row r="23022" ht="14.25" customHeight="1"/>
    <row r="23023" ht="14.25" customHeight="1"/>
    <row r="23024" ht="14.25" customHeight="1"/>
    <row r="23025" ht="14.25" customHeight="1"/>
    <row r="23026" ht="14.25" customHeight="1"/>
    <row r="23027" ht="14.25" customHeight="1"/>
    <row r="23028" ht="14.25" customHeight="1"/>
    <row r="23029" ht="14.25" customHeight="1"/>
    <row r="23030" ht="14.25" customHeight="1"/>
    <row r="23031" ht="14.25" customHeight="1"/>
    <row r="23032" ht="14.25" customHeight="1"/>
    <row r="23033" ht="14.25" customHeight="1"/>
    <row r="23034" ht="14.25" customHeight="1"/>
    <row r="23035" ht="14.25" customHeight="1"/>
    <row r="23036" ht="14.25" customHeight="1"/>
    <row r="23037" ht="14.25" customHeight="1"/>
    <row r="23038" ht="14.25" customHeight="1"/>
    <row r="23039" ht="14.25" customHeight="1"/>
    <row r="23040" ht="14.25" customHeight="1"/>
    <row r="23041" ht="14.25" customHeight="1"/>
    <row r="23042" ht="14.25" customHeight="1"/>
    <row r="23043" ht="14.25" customHeight="1"/>
    <row r="23044" ht="14.25" customHeight="1"/>
    <row r="23045" ht="14.25" customHeight="1"/>
    <row r="23046" ht="14.25" customHeight="1"/>
    <row r="23047" ht="14.25" customHeight="1"/>
    <row r="23048" ht="14.25" customHeight="1"/>
    <row r="23049" ht="14.25" customHeight="1"/>
    <row r="23050" ht="14.25" customHeight="1"/>
    <row r="23051" ht="14.25" customHeight="1"/>
    <row r="23052" ht="14.25" customHeight="1"/>
    <row r="23053" ht="14.25" customHeight="1"/>
    <row r="23054" ht="14.25" customHeight="1"/>
    <row r="23055" ht="14.25" customHeight="1"/>
    <row r="23056" ht="14.25" customHeight="1"/>
    <row r="23057" ht="14.25" customHeight="1"/>
    <row r="23058" ht="14.25" customHeight="1"/>
    <row r="23059" ht="14.25" customHeight="1"/>
    <row r="23060" ht="14.25" customHeight="1"/>
    <row r="23061" ht="14.25" customHeight="1"/>
    <row r="23062" ht="14.25" customHeight="1"/>
    <row r="23063" ht="14.25" customHeight="1"/>
    <row r="23064" ht="14.25" customHeight="1"/>
    <row r="23065" ht="14.25" customHeight="1"/>
    <row r="23066" ht="14.25" customHeight="1"/>
    <row r="23067" ht="14.25" customHeight="1"/>
    <row r="23068" ht="14.25" customHeight="1"/>
    <row r="23069" ht="14.25" customHeight="1"/>
    <row r="23070" ht="14.25" customHeight="1"/>
    <row r="23071" ht="14.25" customHeight="1"/>
    <row r="23072" ht="14.25" customHeight="1"/>
    <row r="23073" ht="14.25" customHeight="1"/>
    <row r="23074" ht="14.25" customHeight="1"/>
    <row r="23075" ht="14.25" customHeight="1"/>
    <row r="23076" ht="14.25" customHeight="1"/>
    <row r="23077" ht="14.25" customHeight="1"/>
    <row r="23078" ht="14.25" customHeight="1"/>
    <row r="23079" ht="14.25" customHeight="1"/>
    <row r="23080" ht="14.25" customHeight="1"/>
    <row r="23081" ht="14.25" customHeight="1"/>
    <row r="23082" ht="14.25" customHeight="1"/>
    <row r="23083" ht="14.25" customHeight="1"/>
    <row r="23084" ht="14.25" customHeight="1"/>
    <row r="23085" ht="14.25" customHeight="1"/>
    <row r="23086" ht="14.25" customHeight="1"/>
    <row r="23087" ht="14.25" customHeight="1"/>
    <row r="23088" ht="14.25" customHeight="1"/>
    <row r="23089" ht="14.25" customHeight="1"/>
    <row r="23090" ht="14.25" customHeight="1"/>
    <row r="23091" ht="14.25" customHeight="1"/>
    <row r="23092" ht="14.25" customHeight="1"/>
    <row r="23093" ht="14.25" customHeight="1"/>
    <row r="23094" ht="14.25" customHeight="1"/>
    <row r="23095" ht="14.25" customHeight="1"/>
    <row r="23096" ht="14.25" customHeight="1"/>
    <row r="23097" ht="14.25" customHeight="1"/>
    <row r="23098" ht="14.25" customHeight="1"/>
    <row r="23099" ht="14.25" customHeight="1"/>
    <row r="23100" ht="14.25" customHeight="1"/>
    <row r="23101" ht="14.25" customHeight="1"/>
    <row r="23102" ht="14.25" customHeight="1"/>
    <row r="23103" ht="14.25" customHeight="1"/>
    <row r="23104" ht="14.25" customHeight="1"/>
    <row r="23105" ht="14.25" customHeight="1"/>
    <row r="23106" ht="14.25" customHeight="1"/>
    <row r="23107" ht="14.25" customHeight="1"/>
    <row r="23108" ht="14.25" customHeight="1"/>
    <row r="23109" ht="14.25" customHeight="1"/>
    <row r="23110" ht="14.25" customHeight="1"/>
    <row r="23111" ht="14.25" customHeight="1"/>
    <row r="23112" ht="14.25" customHeight="1"/>
    <row r="23113" ht="14.25" customHeight="1"/>
    <row r="23114" ht="14.25" customHeight="1"/>
    <row r="23115" ht="14.25" customHeight="1"/>
    <row r="23116" ht="14.25" customHeight="1"/>
    <row r="23117" ht="14.25" customHeight="1"/>
    <row r="23118" ht="14.25" customHeight="1"/>
    <row r="23119" ht="14.25" customHeight="1"/>
    <row r="23120" ht="14.25" customHeight="1"/>
    <row r="23121" ht="14.25" customHeight="1"/>
    <row r="23122" ht="14.25" customHeight="1"/>
    <row r="23123" ht="14.25" customHeight="1"/>
    <row r="23124" ht="14.25" customHeight="1"/>
    <row r="23125" ht="14.25" customHeight="1"/>
    <row r="23126" ht="14.25" customHeight="1"/>
    <row r="23127" ht="14.25" customHeight="1"/>
    <row r="23128" ht="14.25" customHeight="1"/>
    <row r="23129" ht="14.25" customHeight="1"/>
    <row r="23130" ht="14.25" customHeight="1"/>
    <row r="23131" ht="14.25" customHeight="1"/>
    <row r="23132" ht="14.25" customHeight="1"/>
    <row r="23133" ht="14.25" customHeight="1"/>
    <row r="23134" ht="14.25" customHeight="1"/>
    <row r="23135" ht="14.25" customHeight="1"/>
    <row r="23136" ht="14.25" customHeight="1"/>
    <row r="23137" ht="14.25" customHeight="1"/>
    <row r="23138" ht="14.25" customHeight="1"/>
    <row r="23139" ht="14.25" customHeight="1"/>
    <row r="23140" ht="14.25" customHeight="1"/>
    <row r="23141" ht="14.25" customHeight="1"/>
    <row r="23142" ht="14.25" customHeight="1"/>
    <row r="23143" ht="14.25" customHeight="1"/>
    <row r="23144" ht="14.25" customHeight="1"/>
    <row r="23145" ht="14.25" customHeight="1"/>
    <row r="23146" ht="14.25" customHeight="1"/>
    <row r="23147" ht="14.25" customHeight="1"/>
    <row r="23148" ht="14.25" customHeight="1"/>
    <row r="23149" ht="14.25" customHeight="1"/>
    <row r="23150" ht="14.25" customHeight="1"/>
    <row r="23151" ht="14.25" customHeight="1"/>
    <row r="23152" ht="14.25" customHeight="1"/>
    <row r="23153" ht="14.25" customHeight="1"/>
    <row r="23154" ht="14.25" customHeight="1"/>
    <row r="23155" ht="14.25" customHeight="1"/>
    <row r="23156" ht="14.25" customHeight="1"/>
    <row r="23157" ht="14.25" customHeight="1"/>
    <row r="23158" ht="14.25" customHeight="1"/>
    <row r="23159" ht="14.25" customHeight="1"/>
    <row r="23160" ht="14.25" customHeight="1"/>
    <row r="23161" ht="14.25" customHeight="1"/>
    <row r="23162" ht="14.25" customHeight="1"/>
    <row r="23163" ht="14.25" customHeight="1"/>
    <row r="23164" ht="14.25" customHeight="1"/>
    <row r="23165" ht="14.25" customHeight="1"/>
    <row r="23166" ht="14.25" customHeight="1"/>
    <row r="23167" ht="14.25" customHeight="1"/>
    <row r="23168" ht="14.25" customHeight="1"/>
    <row r="23169" ht="14.25" customHeight="1"/>
    <row r="23170" ht="14.25" customHeight="1"/>
    <row r="23171" ht="14.25" customHeight="1"/>
    <row r="23172" ht="14.25" customHeight="1"/>
    <row r="23173" ht="14.25" customHeight="1"/>
    <row r="23174" ht="14.25" customHeight="1"/>
    <row r="23175" ht="14.25" customHeight="1"/>
    <row r="23176" ht="14.25" customHeight="1"/>
    <row r="23177" ht="14.25" customHeight="1"/>
    <row r="23178" ht="14.25" customHeight="1"/>
    <row r="23179" ht="14.25" customHeight="1"/>
    <row r="23180" ht="14.25" customHeight="1"/>
    <row r="23181" ht="14.25" customHeight="1"/>
    <row r="23182" ht="14.25" customHeight="1"/>
    <row r="23183" ht="14.25" customHeight="1"/>
    <row r="23184" ht="14.25" customHeight="1"/>
    <row r="23185" ht="14.25" customHeight="1"/>
    <row r="23186" ht="14.25" customHeight="1"/>
    <row r="23187" ht="14.25" customHeight="1"/>
    <row r="23188" ht="14.25" customHeight="1"/>
    <row r="23189" ht="14.25" customHeight="1"/>
    <row r="23190" ht="14.25" customHeight="1"/>
    <row r="23191" ht="14.25" customHeight="1"/>
    <row r="23192" ht="14.25" customHeight="1"/>
    <row r="23193" ht="14.25" customHeight="1"/>
    <row r="23194" ht="14.25" customHeight="1"/>
    <row r="23195" ht="14.25" customHeight="1"/>
    <row r="23196" ht="14.25" customHeight="1"/>
    <row r="23197" ht="14.25" customHeight="1"/>
    <row r="23198" ht="14.25" customHeight="1"/>
    <row r="23199" ht="14.25" customHeight="1"/>
    <row r="23200" ht="14.25" customHeight="1"/>
    <row r="23201" ht="14.25" customHeight="1"/>
    <row r="23202" ht="14.25" customHeight="1"/>
    <row r="23203" ht="14.25" customHeight="1"/>
    <row r="23204" ht="14.25" customHeight="1"/>
    <row r="23205" ht="14.25" customHeight="1"/>
    <row r="23206" ht="14.25" customHeight="1"/>
    <row r="23207" ht="14.25" customHeight="1"/>
    <row r="23208" ht="14.25" customHeight="1"/>
    <row r="23209" ht="14.25" customHeight="1"/>
    <row r="23210" ht="14.25" customHeight="1"/>
    <row r="23211" ht="14.25" customHeight="1"/>
    <row r="23212" ht="14.25" customHeight="1"/>
    <row r="23213" ht="14.25" customHeight="1"/>
    <row r="23214" ht="14.25" customHeight="1"/>
    <row r="23215" ht="14.25" customHeight="1"/>
    <row r="23216" ht="14.25" customHeight="1"/>
    <row r="23217" ht="14.25" customHeight="1"/>
    <row r="23218" ht="14.25" customHeight="1"/>
    <row r="23219" ht="14.25" customHeight="1"/>
    <row r="23220" ht="14.25" customHeight="1"/>
    <row r="23221" ht="14.25" customHeight="1"/>
    <row r="23222" ht="14.25" customHeight="1"/>
    <row r="23223" ht="14.25" customHeight="1"/>
    <row r="23224" ht="14.25" customHeight="1"/>
    <row r="23225" ht="14.25" customHeight="1"/>
    <row r="23226" ht="14.25" customHeight="1"/>
    <row r="23227" ht="14.25" customHeight="1"/>
    <row r="23228" ht="14.25" customHeight="1"/>
    <row r="23229" ht="14.25" customHeight="1"/>
    <row r="23230" ht="14.25" customHeight="1"/>
    <row r="23231" ht="14.25" customHeight="1"/>
    <row r="23232" ht="14.25" customHeight="1"/>
    <row r="23233" ht="14.25" customHeight="1"/>
    <row r="23234" ht="14.25" customHeight="1"/>
    <row r="23235" ht="14.25" customHeight="1"/>
    <row r="23236" ht="14.25" customHeight="1"/>
    <row r="23237" ht="14.25" customHeight="1"/>
    <row r="23238" ht="14.25" customHeight="1"/>
    <row r="23239" ht="14.25" customHeight="1"/>
    <row r="23240" ht="14.25" customHeight="1"/>
    <row r="23241" ht="14.25" customHeight="1"/>
    <row r="23242" ht="14.25" customHeight="1"/>
    <row r="23243" ht="14.25" customHeight="1"/>
    <row r="23244" ht="14.25" customHeight="1"/>
    <row r="23245" ht="14.25" customHeight="1"/>
    <row r="23246" ht="14.25" customHeight="1"/>
    <row r="23247" ht="14.25" customHeight="1"/>
    <row r="23248" ht="14.25" customHeight="1"/>
    <row r="23249" ht="14.25" customHeight="1"/>
    <row r="23250" ht="14.25" customHeight="1"/>
    <row r="23251" ht="14.25" customHeight="1"/>
    <row r="23252" ht="14.25" customHeight="1"/>
    <row r="23253" ht="14.25" customHeight="1"/>
    <row r="23254" ht="14.25" customHeight="1"/>
    <row r="23255" ht="14.25" customHeight="1"/>
    <row r="23256" ht="14.25" customHeight="1"/>
    <row r="23257" ht="14.25" customHeight="1"/>
    <row r="23258" ht="14.25" customHeight="1"/>
    <row r="23259" ht="14.25" customHeight="1"/>
    <row r="23260" ht="14.25" customHeight="1"/>
    <row r="23261" ht="14.25" customHeight="1"/>
    <row r="23262" ht="14.25" customHeight="1"/>
    <row r="23263" ht="14.25" customHeight="1"/>
    <row r="23264" ht="14.25" customHeight="1"/>
    <row r="23265" ht="14.25" customHeight="1"/>
    <row r="23266" ht="14.25" customHeight="1"/>
    <row r="23267" ht="14.25" customHeight="1"/>
    <row r="23268" ht="14.25" customHeight="1"/>
    <row r="23269" ht="14.25" customHeight="1"/>
    <row r="23270" ht="14.25" customHeight="1"/>
    <row r="23271" ht="14.25" customHeight="1"/>
    <row r="23272" ht="14.25" customHeight="1"/>
    <row r="23273" ht="14.25" customHeight="1"/>
    <row r="23274" ht="14.25" customHeight="1"/>
    <row r="23275" ht="14.25" customHeight="1"/>
    <row r="23276" ht="14.25" customHeight="1"/>
    <row r="23277" ht="14.25" customHeight="1"/>
    <row r="23278" ht="14.25" customHeight="1"/>
    <row r="23279" ht="14.25" customHeight="1"/>
    <row r="23280" ht="14.25" customHeight="1"/>
    <row r="23281" ht="14.25" customHeight="1"/>
    <row r="23282" ht="14.25" customHeight="1"/>
    <row r="23283" ht="14.25" customHeight="1"/>
    <row r="23284" ht="14.25" customHeight="1"/>
    <row r="23285" ht="14.25" customHeight="1"/>
    <row r="23286" ht="14.25" customHeight="1"/>
    <row r="23287" ht="14.25" customHeight="1"/>
    <row r="23288" ht="14.25" customHeight="1"/>
    <row r="23289" ht="14.25" customHeight="1"/>
    <row r="23290" ht="14.25" customHeight="1"/>
    <row r="23291" ht="14.25" customHeight="1"/>
    <row r="23292" ht="14.25" customHeight="1"/>
    <row r="23293" ht="14.25" customHeight="1"/>
    <row r="23294" ht="14.25" customHeight="1"/>
    <row r="23295" ht="14.25" customHeight="1"/>
    <row r="23296" ht="14.25" customHeight="1"/>
    <row r="23297" ht="14.25" customHeight="1"/>
    <row r="23298" ht="14.25" customHeight="1"/>
    <row r="23299" ht="14.25" customHeight="1"/>
    <row r="23300" ht="14.25" customHeight="1"/>
    <row r="23301" ht="14.25" customHeight="1"/>
    <row r="23302" ht="14.25" customHeight="1"/>
    <row r="23303" ht="14.25" customHeight="1"/>
    <row r="23304" ht="14.25" customHeight="1"/>
    <row r="23305" ht="14.25" customHeight="1"/>
    <row r="23306" ht="14.25" customHeight="1"/>
    <row r="23307" ht="14.25" customHeight="1"/>
    <row r="23308" ht="14.25" customHeight="1"/>
    <row r="23309" ht="14.25" customHeight="1"/>
    <row r="23310" ht="14.25" customHeight="1"/>
    <row r="23311" ht="14.25" customHeight="1"/>
    <row r="23312" ht="14.25" customHeight="1"/>
    <row r="23313" ht="14.25" customHeight="1"/>
    <row r="23314" ht="14.25" customHeight="1"/>
    <row r="23315" ht="14.25" customHeight="1"/>
    <row r="23316" ht="14.25" customHeight="1"/>
    <row r="23317" ht="14.25" customHeight="1"/>
    <row r="23318" ht="14.25" customHeight="1"/>
    <row r="23319" ht="14.25" customHeight="1"/>
    <row r="23320" ht="14.25" customHeight="1"/>
    <row r="23321" ht="14.25" customHeight="1"/>
    <row r="23322" ht="14.25" customHeight="1"/>
    <row r="23323" ht="14.25" customHeight="1"/>
    <row r="23324" ht="14.25" customHeight="1"/>
    <row r="23325" ht="14.25" customHeight="1"/>
    <row r="23326" ht="14.25" customHeight="1"/>
    <row r="23327" ht="14.25" customHeight="1"/>
    <row r="23328" ht="14.25" customHeight="1"/>
    <row r="23329" ht="14.25" customHeight="1"/>
    <row r="23330" ht="14.25" customHeight="1"/>
    <row r="23331" ht="14.25" customHeight="1"/>
    <row r="23332" ht="14.25" customHeight="1"/>
    <row r="23333" ht="14.25" customHeight="1"/>
    <row r="23334" ht="14.25" customHeight="1"/>
    <row r="23335" ht="14.25" customHeight="1"/>
    <row r="23336" ht="14.25" customHeight="1"/>
    <row r="23337" ht="14.25" customHeight="1"/>
    <row r="23338" ht="14.25" customHeight="1"/>
    <row r="23339" ht="14.25" customHeight="1"/>
    <row r="23340" ht="14.25" customHeight="1"/>
    <row r="23341" ht="14.25" customHeight="1"/>
    <row r="23342" ht="14.25" customHeight="1"/>
    <row r="23343" ht="14.25" customHeight="1"/>
    <row r="23344" ht="14.25" customHeight="1"/>
    <row r="23345" ht="14.25" customHeight="1"/>
    <row r="23346" ht="14.25" customHeight="1"/>
    <row r="23347" ht="14.25" customHeight="1"/>
    <row r="23348" ht="14.25" customHeight="1"/>
    <row r="23349" ht="14.25" customHeight="1"/>
    <row r="23350" ht="14.25" customHeight="1"/>
    <row r="23351" ht="14.25" customHeight="1"/>
    <row r="23352" ht="14.25" customHeight="1"/>
    <row r="23353" ht="14.25" customHeight="1"/>
    <row r="23354" ht="14.25" customHeight="1"/>
    <row r="23355" ht="14.25" customHeight="1"/>
    <row r="23356" ht="14.25" customHeight="1"/>
    <row r="23357" ht="14.25" customHeight="1"/>
    <row r="23358" ht="14.25" customHeight="1"/>
    <row r="23359" ht="14.25" customHeight="1"/>
    <row r="23360" ht="14.25" customHeight="1"/>
    <row r="23361" ht="14.25" customHeight="1"/>
    <row r="23362" ht="14.25" customHeight="1"/>
    <row r="23363" ht="14.25" customHeight="1"/>
    <row r="23364" ht="14.25" customHeight="1"/>
    <row r="23365" ht="14.25" customHeight="1"/>
    <row r="23366" ht="14.25" customHeight="1"/>
    <row r="23367" ht="14.25" customHeight="1"/>
    <row r="23368" ht="14.25" customHeight="1"/>
    <row r="23369" ht="14.25" customHeight="1"/>
    <row r="23370" ht="14.25" customHeight="1"/>
    <row r="23371" ht="14.25" customHeight="1"/>
    <row r="23372" ht="14.25" customHeight="1"/>
    <row r="23373" ht="14.25" customHeight="1"/>
    <row r="23374" ht="14.25" customHeight="1"/>
    <row r="23375" ht="14.25" customHeight="1"/>
    <row r="23376" ht="14.25" customHeight="1"/>
    <row r="23377" ht="14.25" customHeight="1"/>
    <row r="23378" ht="14.25" customHeight="1"/>
    <row r="23379" ht="14.25" customHeight="1"/>
    <row r="23380" ht="14.25" customHeight="1"/>
    <row r="23381" ht="14.25" customHeight="1"/>
    <row r="23382" ht="14.25" customHeight="1"/>
    <row r="23383" ht="14.25" customHeight="1"/>
    <row r="23384" ht="14.25" customHeight="1"/>
    <row r="23385" ht="14.25" customHeight="1"/>
    <row r="23386" ht="14.25" customHeight="1"/>
    <row r="23387" ht="14.25" customHeight="1"/>
    <row r="23388" ht="14.25" customHeight="1"/>
    <row r="23389" ht="14.25" customHeight="1"/>
    <row r="23390" ht="14.25" customHeight="1"/>
    <row r="23391" ht="14.25" customHeight="1"/>
    <row r="23392" ht="14.25" customHeight="1"/>
    <row r="23393" ht="14.25" customHeight="1"/>
    <row r="23394" ht="14.25" customHeight="1"/>
    <row r="23395" ht="14.25" customHeight="1"/>
    <row r="23396" ht="14.25" customHeight="1"/>
    <row r="23397" ht="14.25" customHeight="1"/>
    <row r="23398" ht="14.25" customHeight="1"/>
    <row r="23399" ht="14.25" customHeight="1"/>
    <row r="23400" ht="14.25" customHeight="1"/>
    <row r="23401" ht="14.25" customHeight="1"/>
    <row r="23402" ht="14.25" customHeight="1"/>
    <row r="23403" ht="14.25" customHeight="1"/>
    <row r="23404" ht="14.25" customHeight="1"/>
    <row r="23405" ht="14.25" customHeight="1"/>
    <row r="23406" ht="14.25" customHeight="1"/>
    <row r="23407" ht="14.25" customHeight="1"/>
    <row r="23408" ht="14.25" customHeight="1"/>
    <row r="23409" ht="14.25" customHeight="1"/>
    <row r="23410" ht="14.25" customHeight="1"/>
    <row r="23411" ht="14.25" customHeight="1"/>
    <row r="23412" ht="14.25" customHeight="1"/>
    <row r="23413" ht="14.25" customHeight="1"/>
    <row r="23414" ht="14.25" customHeight="1"/>
    <row r="23415" ht="14.25" customHeight="1"/>
    <row r="23416" ht="14.25" customHeight="1"/>
    <row r="23417" ht="14.25" customHeight="1"/>
    <row r="23418" ht="14.25" customHeight="1"/>
    <row r="23419" ht="14.25" customHeight="1"/>
    <row r="23420" ht="14.25" customHeight="1"/>
    <row r="23421" ht="14.25" customHeight="1"/>
    <row r="23422" ht="14.25" customHeight="1"/>
    <row r="23423" ht="14.25" customHeight="1"/>
    <row r="23424" ht="14.25" customHeight="1"/>
    <row r="23425" ht="14.25" customHeight="1"/>
    <row r="23426" ht="14.25" customHeight="1"/>
    <row r="23427" ht="14.25" customHeight="1"/>
    <row r="23428" ht="14.25" customHeight="1"/>
    <row r="23429" ht="14.25" customHeight="1"/>
    <row r="23430" ht="14.25" customHeight="1"/>
    <row r="23431" ht="14.25" customHeight="1"/>
    <row r="23432" ht="14.25" customHeight="1"/>
    <row r="23433" ht="14.25" customHeight="1"/>
    <row r="23434" ht="14.25" customHeight="1"/>
    <row r="23435" ht="14.25" customHeight="1"/>
    <row r="23436" ht="14.25" customHeight="1"/>
    <row r="23437" ht="14.25" customHeight="1"/>
    <row r="23438" ht="14.25" customHeight="1"/>
    <row r="23439" ht="14.25" customHeight="1"/>
    <row r="23440" ht="14.25" customHeight="1"/>
    <row r="23441" ht="14.25" customHeight="1"/>
    <row r="23442" ht="14.25" customHeight="1"/>
    <row r="23443" ht="14.25" customHeight="1"/>
    <row r="23444" ht="14.25" customHeight="1"/>
    <row r="23445" ht="14.25" customHeight="1"/>
    <row r="23446" ht="14.25" customHeight="1"/>
    <row r="23447" ht="14.25" customHeight="1"/>
    <row r="23448" ht="14.25" customHeight="1"/>
    <row r="23449" ht="14.25" customHeight="1"/>
    <row r="23450" ht="14.25" customHeight="1"/>
    <row r="23451" ht="14.25" customHeight="1"/>
    <row r="23452" ht="14.25" customHeight="1"/>
    <row r="23453" ht="14.25" customHeight="1"/>
    <row r="23454" ht="14.25" customHeight="1"/>
    <row r="23455" ht="14.25" customHeight="1"/>
    <row r="23456" ht="14.25" customHeight="1"/>
    <row r="23457" ht="14.25" customHeight="1"/>
    <row r="23458" ht="14.25" customHeight="1"/>
    <row r="23459" ht="14.25" customHeight="1"/>
    <row r="23460" ht="14.25" customHeight="1"/>
    <row r="23461" ht="14.25" customHeight="1"/>
    <row r="23462" ht="14.25" customHeight="1"/>
    <row r="23463" ht="14.25" customHeight="1"/>
    <row r="23464" ht="14.25" customHeight="1"/>
    <row r="23465" ht="14.25" customHeight="1"/>
    <row r="23466" ht="14.25" customHeight="1"/>
    <row r="23467" ht="14.25" customHeight="1"/>
    <row r="23468" ht="14.25" customHeight="1"/>
    <row r="23469" ht="14.25" customHeight="1"/>
    <row r="23470" ht="14.25" customHeight="1"/>
    <row r="23471" ht="14.25" customHeight="1"/>
    <row r="23472" ht="14.25" customHeight="1"/>
    <row r="23473" ht="14.25" customHeight="1"/>
    <row r="23474" ht="14.25" customHeight="1"/>
    <row r="23475" ht="14.25" customHeight="1"/>
    <row r="23476" ht="14.25" customHeight="1"/>
    <row r="23477" ht="14.25" customHeight="1"/>
    <row r="23478" ht="14.25" customHeight="1"/>
    <row r="23479" ht="14.25" customHeight="1"/>
    <row r="23480" ht="14.25" customHeight="1"/>
    <row r="23481" ht="14.25" customHeight="1"/>
    <row r="23482" ht="14.25" customHeight="1"/>
    <row r="23483" ht="14.25" customHeight="1"/>
    <row r="23484" ht="14.25" customHeight="1"/>
    <row r="23485" ht="14.25" customHeight="1"/>
    <row r="23486" ht="14.25" customHeight="1"/>
    <row r="23487" ht="14.25" customHeight="1"/>
    <row r="23488" ht="14.25" customHeight="1"/>
    <row r="23489" ht="14.25" customHeight="1"/>
    <row r="23490" ht="14.25" customHeight="1"/>
    <row r="23491" ht="14.25" customHeight="1"/>
    <row r="23492" ht="14.25" customHeight="1"/>
    <row r="23493" ht="14.25" customHeight="1"/>
    <row r="23494" ht="14.25" customHeight="1"/>
    <row r="23495" ht="14.25" customHeight="1"/>
    <row r="23496" ht="14.25" customHeight="1"/>
    <row r="23497" ht="14.25" customHeight="1"/>
    <row r="23498" ht="14.25" customHeight="1"/>
    <row r="23499" ht="14.25" customHeight="1"/>
    <row r="23500" ht="14.25" customHeight="1"/>
    <row r="23501" ht="14.25" customHeight="1"/>
    <row r="23502" ht="14.25" customHeight="1"/>
    <row r="23503" ht="14.25" customHeight="1"/>
    <row r="23504" ht="14.25" customHeight="1"/>
    <row r="23505" ht="14.25" customHeight="1"/>
    <row r="23506" ht="14.25" customHeight="1"/>
    <row r="23507" ht="14.25" customHeight="1"/>
    <row r="23508" ht="14.25" customHeight="1"/>
    <row r="23509" ht="14.25" customHeight="1"/>
    <row r="23510" ht="14.25" customHeight="1"/>
    <row r="23511" ht="14.25" customHeight="1"/>
    <row r="23512" ht="14.25" customHeight="1"/>
    <row r="23513" ht="14.25" customHeight="1"/>
    <row r="23514" ht="14.25" customHeight="1"/>
    <row r="23515" ht="14.25" customHeight="1"/>
    <row r="23516" ht="14.25" customHeight="1"/>
    <row r="23517" ht="14.25" customHeight="1"/>
    <row r="23518" ht="14.25" customHeight="1"/>
    <row r="23519" ht="14.25" customHeight="1"/>
    <row r="23520" ht="14.25" customHeight="1"/>
    <row r="23521" ht="14.25" customHeight="1"/>
    <row r="23522" ht="14.25" customHeight="1"/>
    <row r="23523" ht="14.25" customHeight="1"/>
    <row r="23524" ht="14.25" customHeight="1"/>
    <row r="23525" ht="14.25" customHeight="1"/>
    <row r="23526" ht="14.25" customHeight="1"/>
    <row r="23527" ht="14.25" customHeight="1"/>
    <row r="23528" ht="14.25" customHeight="1"/>
    <row r="23529" ht="14.25" customHeight="1"/>
    <row r="23530" ht="14.25" customHeight="1"/>
    <row r="23531" ht="14.25" customHeight="1"/>
    <row r="23532" ht="14.25" customHeight="1"/>
    <row r="23533" ht="14.25" customHeight="1"/>
    <row r="23534" ht="14.25" customHeight="1"/>
    <row r="23535" ht="14.25" customHeight="1"/>
    <row r="23536" ht="14.25" customHeight="1"/>
    <row r="23537" ht="14.25" customHeight="1"/>
    <row r="23538" ht="14.25" customHeight="1"/>
    <row r="23539" ht="14.25" customHeight="1"/>
    <row r="23540" ht="14.25" customHeight="1"/>
    <row r="23541" ht="14.25" customHeight="1"/>
    <row r="23542" ht="14.25" customHeight="1"/>
    <row r="23543" ht="14.25" customHeight="1"/>
    <row r="23544" ht="14.25" customHeight="1"/>
    <row r="23545" ht="14.25" customHeight="1"/>
    <row r="23546" ht="14.25" customHeight="1"/>
    <row r="23547" ht="14.25" customHeight="1"/>
    <row r="23548" ht="14.25" customHeight="1"/>
    <row r="23549" ht="14.25" customHeight="1"/>
    <row r="23550" ht="14.25" customHeight="1"/>
    <row r="23551" ht="14.25" customHeight="1"/>
    <row r="23552" ht="14.25" customHeight="1"/>
    <row r="23553" ht="14.25" customHeight="1"/>
    <row r="23554" ht="14.25" customHeight="1"/>
    <row r="23555" ht="14.25" customHeight="1"/>
    <row r="23556" ht="14.25" customHeight="1"/>
    <row r="23557" ht="14.25" customHeight="1"/>
    <row r="23558" ht="14.25" customHeight="1"/>
    <row r="23559" ht="14.25" customHeight="1"/>
    <row r="23560" ht="14.25" customHeight="1"/>
    <row r="23561" ht="14.25" customHeight="1"/>
    <row r="23562" ht="14.25" customHeight="1"/>
    <row r="23563" ht="14.25" customHeight="1"/>
    <row r="23564" ht="14.25" customHeight="1"/>
    <row r="23565" ht="14.25" customHeight="1"/>
    <row r="23566" ht="14.25" customHeight="1"/>
    <row r="23567" ht="14.25" customHeight="1"/>
    <row r="23568" ht="14.25" customHeight="1"/>
    <row r="23569" ht="14.25" customHeight="1"/>
    <row r="23570" ht="14.25" customHeight="1"/>
    <row r="23571" ht="14.25" customHeight="1"/>
    <row r="23572" ht="14.25" customHeight="1"/>
    <row r="23573" ht="14.25" customHeight="1"/>
    <row r="23574" ht="14.25" customHeight="1"/>
    <row r="23575" ht="14.25" customHeight="1"/>
    <row r="23576" ht="14.25" customHeight="1"/>
    <row r="23577" ht="14.25" customHeight="1"/>
    <row r="23578" ht="14.25" customHeight="1"/>
    <row r="23579" ht="14.25" customHeight="1"/>
    <row r="23580" ht="14.25" customHeight="1"/>
    <row r="23581" ht="14.25" customHeight="1"/>
    <row r="23582" ht="14.25" customHeight="1"/>
    <row r="23583" ht="14.25" customHeight="1"/>
    <row r="23584" ht="14.25" customHeight="1"/>
    <row r="23585" ht="14.25" customHeight="1"/>
    <row r="23586" ht="14.25" customHeight="1"/>
    <row r="23587" ht="14.25" customHeight="1"/>
    <row r="23588" ht="14.25" customHeight="1"/>
    <row r="23589" ht="14.25" customHeight="1"/>
    <row r="23590" ht="14.25" customHeight="1"/>
    <row r="23591" ht="14.25" customHeight="1"/>
    <row r="23592" ht="14.25" customHeight="1"/>
    <row r="23593" ht="14.25" customHeight="1"/>
    <row r="23594" ht="14.25" customHeight="1"/>
    <row r="23595" ht="14.25" customHeight="1"/>
    <row r="23596" ht="14.25" customHeight="1"/>
    <row r="23597" ht="14.25" customHeight="1"/>
    <row r="23598" ht="14.25" customHeight="1"/>
    <row r="23599" ht="14.25" customHeight="1"/>
    <row r="23600" ht="14.25" customHeight="1"/>
    <row r="23601" ht="14.25" customHeight="1"/>
    <row r="23602" ht="14.25" customHeight="1"/>
    <row r="23603" ht="14.25" customHeight="1"/>
    <row r="23604" ht="14.25" customHeight="1"/>
    <row r="23605" ht="14.25" customHeight="1"/>
    <row r="23606" ht="14.25" customHeight="1"/>
    <row r="23607" ht="14.25" customHeight="1"/>
    <row r="23608" ht="14.25" customHeight="1"/>
    <row r="23609" ht="14.25" customHeight="1"/>
    <row r="23610" ht="14.25" customHeight="1"/>
    <row r="23611" ht="14.25" customHeight="1"/>
    <row r="23612" ht="14.25" customHeight="1"/>
    <row r="23613" ht="14.25" customHeight="1"/>
    <row r="23614" ht="14.25" customHeight="1"/>
    <row r="23615" ht="14.25" customHeight="1"/>
    <row r="23616" ht="14.25" customHeight="1"/>
    <row r="23617" ht="14.25" customHeight="1"/>
    <row r="23618" ht="14.25" customHeight="1"/>
    <row r="23619" ht="14.25" customHeight="1"/>
    <row r="23620" ht="14.25" customHeight="1"/>
    <row r="23621" ht="14.25" customHeight="1"/>
    <row r="23622" ht="14.25" customHeight="1"/>
    <row r="23623" ht="14.25" customHeight="1"/>
    <row r="23624" ht="14.25" customHeight="1"/>
    <row r="23625" ht="14.25" customHeight="1"/>
    <row r="23626" ht="14.25" customHeight="1"/>
    <row r="23627" ht="14.25" customHeight="1"/>
    <row r="23628" ht="14.25" customHeight="1"/>
    <row r="23629" ht="14.25" customHeight="1"/>
    <row r="23630" ht="14.25" customHeight="1"/>
    <row r="23631" ht="14.25" customHeight="1"/>
    <row r="23632" ht="14.25" customHeight="1"/>
    <row r="23633" ht="14.25" customHeight="1"/>
    <row r="23634" ht="14.25" customHeight="1"/>
    <row r="23635" ht="14.25" customHeight="1"/>
    <row r="23636" ht="14.25" customHeight="1"/>
    <row r="23637" ht="14.25" customHeight="1"/>
    <row r="23638" ht="14.25" customHeight="1"/>
    <row r="23639" ht="14.25" customHeight="1"/>
    <row r="23640" ht="14.25" customHeight="1"/>
    <row r="23641" ht="14.25" customHeight="1"/>
    <row r="23642" ht="14.25" customHeight="1"/>
    <row r="23643" ht="14.25" customHeight="1"/>
    <row r="23644" ht="14.25" customHeight="1"/>
    <row r="23645" ht="14.25" customHeight="1"/>
    <row r="23646" ht="14.25" customHeight="1"/>
    <row r="23647" ht="14.25" customHeight="1"/>
    <row r="23648" ht="14.25" customHeight="1"/>
    <row r="23649" ht="14.25" customHeight="1"/>
    <row r="23650" ht="14.25" customHeight="1"/>
    <row r="23651" ht="14.25" customHeight="1"/>
    <row r="23652" ht="14.25" customHeight="1"/>
    <row r="23653" ht="14.25" customHeight="1"/>
    <row r="23654" ht="14.25" customHeight="1"/>
    <row r="23655" ht="14.25" customHeight="1"/>
    <row r="23656" ht="14.25" customHeight="1"/>
    <row r="23657" ht="14.25" customHeight="1"/>
    <row r="23658" ht="14.25" customHeight="1"/>
    <row r="23659" ht="14.25" customHeight="1"/>
    <row r="23660" ht="14.25" customHeight="1"/>
    <row r="23661" ht="14.25" customHeight="1"/>
    <row r="23662" ht="14.25" customHeight="1"/>
    <row r="23663" ht="14.25" customHeight="1"/>
    <row r="23664" ht="14.25" customHeight="1"/>
    <row r="23665" ht="14.25" customHeight="1"/>
    <row r="23666" ht="14.25" customHeight="1"/>
    <row r="23667" ht="14.25" customHeight="1"/>
    <row r="23668" ht="14.25" customHeight="1"/>
    <row r="23669" ht="14.25" customHeight="1"/>
    <row r="23670" ht="14.25" customHeight="1"/>
    <row r="23671" ht="14.25" customHeight="1"/>
    <row r="23672" ht="14.25" customHeight="1"/>
    <row r="23673" ht="14.25" customHeight="1"/>
    <row r="23674" ht="14.25" customHeight="1"/>
    <row r="23675" ht="14.25" customHeight="1"/>
    <row r="23676" ht="14.25" customHeight="1"/>
    <row r="23677" ht="14.25" customHeight="1"/>
    <row r="23678" ht="14.25" customHeight="1"/>
    <row r="23679" ht="14.25" customHeight="1"/>
    <row r="23680" ht="14.25" customHeight="1"/>
    <row r="23681" ht="14.25" customHeight="1"/>
    <row r="23682" ht="14.25" customHeight="1"/>
    <row r="23683" ht="14.25" customHeight="1"/>
    <row r="23684" ht="14.25" customHeight="1"/>
    <row r="23685" ht="14.25" customHeight="1"/>
    <row r="23686" ht="14.25" customHeight="1"/>
    <row r="23687" ht="14.25" customHeight="1"/>
    <row r="23688" ht="14.25" customHeight="1"/>
    <row r="23689" ht="14.25" customHeight="1"/>
    <row r="23690" ht="14.25" customHeight="1"/>
    <row r="23691" ht="14.25" customHeight="1"/>
    <row r="23692" ht="14.25" customHeight="1"/>
    <row r="23693" ht="14.25" customHeight="1"/>
    <row r="23694" ht="14.25" customHeight="1"/>
    <row r="23695" ht="14.25" customHeight="1"/>
    <row r="23696" ht="14.25" customHeight="1"/>
    <row r="23697" ht="14.25" customHeight="1"/>
    <row r="23698" ht="14.25" customHeight="1"/>
    <row r="23699" ht="14.25" customHeight="1"/>
    <row r="23700" ht="14.25" customHeight="1"/>
    <row r="23701" ht="14.25" customHeight="1"/>
    <row r="23702" ht="14.25" customHeight="1"/>
    <row r="23703" ht="14.25" customHeight="1"/>
    <row r="23704" ht="14.25" customHeight="1"/>
    <row r="23705" ht="14.25" customHeight="1"/>
    <row r="23706" ht="14.25" customHeight="1"/>
    <row r="23707" ht="14.25" customHeight="1"/>
    <row r="23708" ht="14.25" customHeight="1"/>
    <row r="23709" ht="14.25" customHeight="1"/>
    <row r="23710" ht="14.25" customHeight="1"/>
    <row r="23711" ht="14.25" customHeight="1"/>
    <row r="23712" ht="14.25" customHeight="1"/>
    <row r="23713" ht="14.25" customHeight="1"/>
    <row r="23714" ht="14.25" customHeight="1"/>
    <row r="23715" ht="14.25" customHeight="1"/>
    <row r="23716" ht="14.25" customHeight="1"/>
    <row r="23717" ht="14.25" customHeight="1"/>
    <row r="23718" ht="14.25" customHeight="1"/>
    <row r="23719" ht="14.25" customHeight="1"/>
    <row r="23720" ht="14.25" customHeight="1"/>
    <row r="23721" ht="14.25" customHeight="1"/>
    <row r="23722" ht="14.25" customHeight="1"/>
    <row r="23723" ht="14.25" customHeight="1"/>
    <row r="23724" ht="14.25" customHeight="1"/>
    <row r="23725" ht="14.25" customHeight="1"/>
    <row r="23726" ht="14.25" customHeight="1"/>
    <row r="23727" ht="14.25" customHeight="1"/>
    <row r="23728" ht="14.25" customHeight="1"/>
    <row r="23729" ht="14.25" customHeight="1"/>
    <row r="23730" ht="14.25" customHeight="1"/>
    <row r="23731" ht="14.25" customHeight="1"/>
    <row r="23732" ht="14.25" customHeight="1"/>
    <row r="23733" ht="14.25" customHeight="1"/>
    <row r="23734" ht="14.25" customHeight="1"/>
    <row r="23735" ht="14.25" customHeight="1"/>
    <row r="23736" ht="14.25" customHeight="1"/>
    <row r="23737" ht="14.25" customHeight="1"/>
    <row r="23738" ht="14.25" customHeight="1"/>
    <row r="23739" ht="14.25" customHeight="1"/>
    <row r="23740" ht="14.25" customHeight="1"/>
    <row r="23741" ht="14.25" customHeight="1"/>
    <row r="23742" ht="14.25" customHeight="1"/>
    <row r="23743" ht="14.25" customHeight="1"/>
    <row r="23744" ht="14.25" customHeight="1"/>
    <row r="23745" ht="14.25" customHeight="1"/>
    <row r="23746" ht="14.25" customHeight="1"/>
    <row r="23747" ht="14.25" customHeight="1"/>
    <row r="23748" ht="14.25" customHeight="1"/>
    <row r="23749" ht="14.25" customHeight="1"/>
    <row r="23750" ht="14.25" customHeight="1"/>
    <row r="23751" ht="14.25" customHeight="1"/>
    <row r="23752" ht="14.25" customHeight="1"/>
    <row r="23753" ht="14.25" customHeight="1"/>
    <row r="23754" ht="14.25" customHeight="1"/>
    <row r="23755" ht="14.25" customHeight="1"/>
    <row r="23756" ht="14.25" customHeight="1"/>
    <row r="23757" ht="14.25" customHeight="1"/>
    <row r="23758" ht="14.25" customHeight="1"/>
    <row r="23759" ht="14.25" customHeight="1"/>
    <row r="23760" ht="14.25" customHeight="1"/>
    <row r="23761" ht="14.25" customHeight="1"/>
    <row r="23762" ht="14.25" customHeight="1"/>
    <row r="23763" ht="14.25" customHeight="1"/>
    <row r="23764" ht="14.25" customHeight="1"/>
    <row r="23765" ht="14.25" customHeight="1"/>
    <row r="23766" ht="14.25" customHeight="1"/>
    <row r="23767" ht="14.25" customHeight="1"/>
    <row r="23768" ht="14.25" customHeight="1"/>
    <row r="23769" ht="14.25" customHeight="1"/>
    <row r="23770" ht="14.25" customHeight="1"/>
    <row r="23771" ht="14.25" customHeight="1"/>
    <row r="23772" ht="14.25" customHeight="1"/>
    <row r="23773" ht="14.25" customHeight="1"/>
    <row r="23774" ht="14.25" customHeight="1"/>
    <row r="23775" ht="14.25" customHeight="1"/>
    <row r="23776" ht="14.25" customHeight="1"/>
    <row r="23777" ht="14.25" customHeight="1"/>
    <row r="23778" ht="14.25" customHeight="1"/>
    <row r="23779" ht="14.25" customHeight="1"/>
    <row r="23780" ht="14.25" customHeight="1"/>
    <row r="23781" ht="14.25" customHeight="1"/>
    <row r="23782" ht="14.25" customHeight="1"/>
    <row r="23783" ht="14.25" customHeight="1"/>
    <row r="23784" ht="14.25" customHeight="1"/>
    <row r="23785" ht="14.25" customHeight="1"/>
    <row r="23786" ht="14.25" customHeight="1"/>
    <row r="23787" ht="14.25" customHeight="1"/>
    <row r="23788" ht="14.25" customHeight="1"/>
    <row r="23789" ht="14.25" customHeight="1"/>
    <row r="23790" ht="14.25" customHeight="1"/>
    <row r="23791" ht="14.25" customHeight="1"/>
    <row r="23792" ht="14.25" customHeight="1"/>
    <row r="23793" ht="14.25" customHeight="1"/>
    <row r="23794" ht="14.25" customHeight="1"/>
    <row r="23795" ht="14.25" customHeight="1"/>
    <row r="23796" ht="14.25" customHeight="1"/>
    <row r="23797" ht="14.25" customHeight="1"/>
    <row r="23798" ht="14.25" customHeight="1"/>
    <row r="23799" ht="14.25" customHeight="1"/>
    <row r="23800" ht="14.25" customHeight="1"/>
    <row r="23801" ht="14.25" customHeight="1"/>
    <row r="23802" ht="14.25" customHeight="1"/>
    <row r="23803" ht="14.25" customHeight="1"/>
    <row r="23804" ht="14.25" customHeight="1"/>
    <row r="23805" ht="14.25" customHeight="1"/>
    <row r="23806" ht="14.25" customHeight="1"/>
    <row r="23807" ht="14.25" customHeight="1"/>
    <row r="23808" ht="14.25" customHeight="1"/>
    <row r="23809" ht="14.25" customHeight="1"/>
    <row r="23810" ht="14.25" customHeight="1"/>
    <row r="23811" ht="14.25" customHeight="1"/>
    <row r="23812" ht="14.25" customHeight="1"/>
    <row r="23813" ht="14.25" customHeight="1"/>
    <row r="23814" ht="14.25" customHeight="1"/>
    <row r="23815" ht="14.25" customHeight="1"/>
    <row r="23816" ht="14.25" customHeight="1"/>
    <row r="23817" ht="14.25" customHeight="1"/>
    <row r="23818" ht="14.25" customHeight="1"/>
    <row r="23819" ht="14.25" customHeight="1"/>
    <row r="23820" ht="14.25" customHeight="1"/>
    <row r="23821" ht="14.25" customHeight="1"/>
    <row r="23822" ht="14.25" customHeight="1"/>
    <row r="23823" ht="14.25" customHeight="1"/>
    <row r="23824" ht="14.25" customHeight="1"/>
    <row r="23825" ht="14.25" customHeight="1"/>
    <row r="23826" ht="14.25" customHeight="1"/>
    <row r="23827" ht="14.25" customHeight="1"/>
    <row r="23828" ht="14.25" customHeight="1"/>
    <row r="23829" ht="14.25" customHeight="1"/>
    <row r="23830" ht="14.25" customHeight="1"/>
    <row r="23831" ht="14.25" customHeight="1"/>
    <row r="23832" ht="14.25" customHeight="1"/>
    <row r="23833" ht="14.25" customHeight="1"/>
    <row r="23834" ht="14.25" customHeight="1"/>
    <row r="23835" ht="14.25" customHeight="1"/>
    <row r="23836" ht="14.25" customHeight="1"/>
    <row r="23837" ht="14.25" customHeight="1"/>
    <row r="23838" ht="14.25" customHeight="1"/>
    <row r="23839" ht="14.25" customHeight="1"/>
    <row r="23840" ht="14.25" customHeight="1"/>
    <row r="23841" ht="14.25" customHeight="1"/>
    <row r="23842" ht="14.25" customHeight="1"/>
    <row r="23843" ht="14.25" customHeight="1"/>
    <row r="23844" ht="14.25" customHeight="1"/>
    <row r="23845" ht="14.25" customHeight="1"/>
    <row r="23846" ht="14.25" customHeight="1"/>
    <row r="23847" ht="14.25" customHeight="1"/>
    <row r="23848" ht="14.25" customHeight="1"/>
    <row r="23849" ht="14.25" customHeight="1"/>
    <row r="23850" ht="14.25" customHeight="1"/>
    <row r="23851" ht="14.25" customHeight="1"/>
    <row r="23852" ht="14.25" customHeight="1"/>
    <row r="23853" ht="14.25" customHeight="1"/>
    <row r="23854" ht="14.25" customHeight="1"/>
    <row r="23855" ht="14.25" customHeight="1"/>
    <row r="23856" ht="14.25" customHeight="1"/>
    <row r="23857" ht="14.25" customHeight="1"/>
    <row r="23858" ht="14.25" customHeight="1"/>
    <row r="23859" ht="14.25" customHeight="1"/>
    <row r="23860" ht="14.25" customHeight="1"/>
    <row r="23861" ht="14.25" customHeight="1"/>
    <row r="23862" ht="14.25" customHeight="1"/>
    <row r="23863" ht="14.25" customHeight="1"/>
    <row r="23864" ht="14.25" customHeight="1"/>
    <row r="23865" ht="14.25" customHeight="1"/>
    <row r="23866" ht="14.25" customHeight="1"/>
    <row r="23867" ht="14.25" customHeight="1"/>
    <row r="23868" ht="14.25" customHeight="1"/>
    <row r="23869" ht="14.25" customHeight="1"/>
    <row r="23870" ht="14.25" customHeight="1"/>
    <row r="23871" ht="14.25" customHeight="1"/>
    <row r="23872" ht="14.25" customHeight="1"/>
    <row r="23873" ht="14.25" customHeight="1"/>
    <row r="23874" ht="14.25" customHeight="1"/>
    <row r="23875" ht="14.25" customHeight="1"/>
    <row r="23876" ht="14.25" customHeight="1"/>
    <row r="23877" ht="14.25" customHeight="1"/>
    <row r="23878" ht="14.25" customHeight="1"/>
    <row r="23879" ht="14.25" customHeight="1"/>
    <row r="23880" ht="14.25" customHeight="1"/>
    <row r="23881" ht="14.25" customHeight="1"/>
    <row r="23882" ht="14.25" customHeight="1"/>
    <row r="23883" ht="14.25" customHeight="1"/>
    <row r="23884" ht="14.25" customHeight="1"/>
    <row r="23885" ht="14.25" customHeight="1"/>
    <row r="23886" ht="14.25" customHeight="1"/>
    <row r="23887" ht="14.25" customHeight="1"/>
    <row r="23888" ht="14.25" customHeight="1"/>
    <row r="23889" ht="14.25" customHeight="1"/>
    <row r="23890" ht="14.25" customHeight="1"/>
    <row r="23891" ht="14.25" customHeight="1"/>
    <row r="23892" ht="14.25" customHeight="1"/>
    <row r="23893" ht="14.25" customHeight="1"/>
    <row r="23894" ht="14.25" customHeight="1"/>
    <row r="23895" ht="14.25" customHeight="1"/>
    <row r="23896" ht="14.25" customHeight="1"/>
    <row r="23897" ht="14.25" customHeight="1"/>
    <row r="23898" ht="14.25" customHeight="1"/>
    <row r="23899" ht="14.25" customHeight="1"/>
    <row r="23900" ht="14.25" customHeight="1"/>
    <row r="23901" ht="14.25" customHeight="1"/>
    <row r="23902" ht="14.25" customHeight="1"/>
    <row r="23903" ht="14.25" customHeight="1"/>
    <row r="23904" ht="14.25" customHeight="1"/>
    <row r="23905" ht="14.25" customHeight="1"/>
    <row r="23906" ht="14.25" customHeight="1"/>
    <row r="23907" ht="14.25" customHeight="1"/>
    <row r="23908" ht="14.25" customHeight="1"/>
    <row r="23909" ht="14.25" customHeight="1"/>
    <row r="23910" ht="14.25" customHeight="1"/>
    <row r="23911" ht="14.25" customHeight="1"/>
    <row r="23912" ht="14.25" customHeight="1"/>
    <row r="23913" ht="14.25" customHeight="1"/>
    <row r="23914" ht="14.25" customHeight="1"/>
    <row r="23915" ht="14.25" customHeight="1"/>
    <row r="23916" ht="14.25" customHeight="1"/>
    <row r="23917" ht="14.25" customHeight="1"/>
    <row r="23918" ht="14.25" customHeight="1"/>
    <row r="23919" ht="14.25" customHeight="1"/>
    <row r="23920" ht="14.25" customHeight="1"/>
    <row r="23921" ht="14.25" customHeight="1"/>
    <row r="23922" ht="14.25" customHeight="1"/>
    <row r="23923" ht="14.25" customHeight="1"/>
    <row r="23924" ht="14.25" customHeight="1"/>
    <row r="23925" ht="14.25" customHeight="1"/>
    <row r="23926" ht="14.25" customHeight="1"/>
    <row r="23927" ht="14.25" customHeight="1"/>
    <row r="23928" ht="14.25" customHeight="1"/>
    <row r="23929" ht="14.25" customHeight="1"/>
    <row r="23930" ht="14.25" customHeight="1"/>
    <row r="23931" ht="14.25" customHeight="1"/>
    <row r="23932" ht="14.25" customHeight="1"/>
    <row r="23933" ht="14.25" customHeight="1"/>
    <row r="23934" ht="14.25" customHeight="1"/>
    <row r="23935" ht="14.25" customHeight="1"/>
    <row r="23936" ht="14.25" customHeight="1"/>
    <row r="23937" ht="14.25" customHeight="1"/>
    <row r="23938" ht="14.25" customHeight="1"/>
    <row r="23939" ht="14.25" customHeight="1"/>
    <row r="23940" ht="14.25" customHeight="1"/>
    <row r="23941" ht="14.25" customHeight="1"/>
    <row r="23942" ht="14.25" customHeight="1"/>
    <row r="23943" ht="14.25" customHeight="1"/>
    <row r="23944" ht="14.25" customHeight="1"/>
    <row r="23945" ht="14.25" customHeight="1"/>
    <row r="23946" ht="14.25" customHeight="1"/>
    <row r="23947" ht="14.25" customHeight="1"/>
    <row r="23948" ht="14.25" customHeight="1"/>
    <row r="23949" ht="14.25" customHeight="1"/>
    <row r="23950" ht="14.25" customHeight="1"/>
    <row r="23951" ht="14.25" customHeight="1"/>
    <row r="23952" ht="14.25" customHeight="1"/>
    <row r="23953" ht="14.25" customHeight="1"/>
    <row r="23954" ht="14.25" customHeight="1"/>
    <row r="23955" ht="14.25" customHeight="1"/>
    <row r="23956" ht="14.25" customHeight="1"/>
    <row r="23957" ht="14.25" customHeight="1"/>
    <row r="23958" ht="14.25" customHeight="1"/>
    <row r="23959" ht="14.25" customHeight="1"/>
    <row r="23960" ht="14.25" customHeight="1"/>
    <row r="23961" ht="14.25" customHeight="1"/>
    <row r="23962" ht="14.25" customHeight="1"/>
    <row r="23963" ht="14.25" customHeight="1"/>
    <row r="23964" ht="14.25" customHeight="1"/>
    <row r="23965" ht="14.25" customHeight="1"/>
    <row r="23966" ht="14.25" customHeight="1"/>
    <row r="23967" ht="14.25" customHeight="1"/>
    <row r="23968" ht="14.25" customHeight="1"/>
    <row r="23969" ht="14.25" customHeight="1"/>
    <row r="23970" ht="14.25" customHeight="1"/>
    <row r="23971" ht="14.25" customHeight="1"/>
    <row r="23972" ht="14.25" customHeight="1"/>
    <row r="23973" ht="14.25" customHeight="1"/>
    <row r="23974" ht="14.25" customHeight="1"/>
    <row r="23975" ht="14.25" customHeight="1"/>
    <row r="23976" ht="14.25" customHeight="1"/>
    <row r="23977" ht="14.25" customHeight="1"/>
    <row r="23978" ht="14.25" customHeight="1"/>
    <row r="23979" ht="14.25" customHeight="1"/>
    <row r="23980" ht="14.25" customHeight="1"/>
    <row r="23981" ht="14.25" customHeight="1"/>
    <row r="23982" ht="14.25" customHeight="1"/>
    <row r="23983" ht="14.25" customHeight="1"/>
    <row r="23984" ht="14.25" customHeight="1"/>
    <row r="23985" ht="14.25" customHeight="1"/>
    <row r="23986" ht="14.25" customHeight="1"/>
    <row r="23987" ht="14.25" customHeight="1"/>
    <row r="23988" ht="14.25" customHeight="1"/>
    <row r="23989" ht="14.25" customHeight="1"/>
    <row r="23990" ht="14.25" customHeight="1"/>
    <row r="23991" ht="14.25" customHeight="1"/>
    <row r="23992" ht="14.25" customHeight="1"/>
    <row r="23993" ht="14.25" customHeight="1"/>
    <row r="23994" ht="14.25" customHeight="1"/>
    <row r="23995" ht="14.25" customHeight="1"/>
    <row r="23996" ht="14.25" customHeight="1"/>
    <row r="23997" ht="14.25" customHeight="1"/>
    <row r="23998" ht="14.25" customHeight="1"/>
    <row r="23999" ht="14.25" customHeight="1"/>
    <row r="24000" ht="14.25" customHeight="1"/>
    <row r="24001" ht="14.25" customHeight="1"/>
    <row r="24002" ht="14.25" customHeight="1"/>
    <row r="24003" ht="14.25" customHeight="1"/>
    <row r="24004" ht="14.25" customHeight="1"/>
    <row r="24005" ht="14.25" customHeight="1"/>
    <row r="24006" ht="14.25" customHeight="1"/>
    <row r="24007" ht="14.25" customHeight="1"/>
    <row r="24008" ht="14.25" customHeight="1"/>
    <row r="24009" ht="14.25" customHeight="1"/>
    <row r="24010" ht="14.25" customHeight="1"/>
    <row r="24011" ht="14.25" customHeight="1"/>
    <row r="24012" ht="14.25" customHeight="1"/>
    <row r="24013" ht="14.25" customHeight="1"/>
    <row r="24014" ht="14.25" customHeight="1"/>
    <row r="24015" ht="14.25" customHeight="1"/>
    <row r="24016" ht="14.25" customHeight="1"/>
    <row r="24017" ht="14.25" customHeight="1"/>
    <row r="24018" ht="14.25" customHeight="1"/>
    <row r="24019" ht="14.25" customHeight="1"/>
    <row r="24020" ht="14.25" customHeight="1"/>
    <row r="24021" ht="14.25" customHeight="1"/>
    <row r="24022" ht="14.25" customHeight="1"/>
    <row r="24023" ht="14.25" customHeight="1"/>
    <row r="24024" ht="14.25" customHeight="1"/>
    <row r="24025" ht="14.25" customHeight="1"/>
    <row r="24026" ht="14.25" customHeight="1"/>
    <row r="24027" ht="14.25" customHeight="1"/>
    <row r="24028" ht="14.25" customHeight="1"/>
    <row r="24029" ht="14.25" customHeight="1"/>
    <row r="24030" ht="14.25" customHeight="1"/>
    <row r="24031" ht="14.25" customHeight="1"/>
    <row r="24032" ht="14.25" customHeight="1"/>
    <row r="24033" ht="14.25" customHeight="1"/>
    <row r="24034" ht="14.25" customHeight="1"/>
    <row r="24035" ht="14.25" customHeight="1"/>
    <row r="24036" ht="14.25" customHeight="1"/>
    <row r="24037" ht="14.25" customHeight="1"/>
    <row r="24038" ht="14.25" customHeight="1"/>
    <row r="24039" ht="14.25" customHeight="1"/>
    <row r="24040" ht="14.25" customHeight="1"/>
    <row r="24041" ht="14.25" customHeight="1"/>
    <row r="24042" ht="14.25" customHeight="1"/>
    <row r="24043" ht="14.25" customHeight="1"/>
    <row r="24044" ht="14.25" customHeight="1"/>
    <row r="24045" ht="14.25" customHeight="1"/>
    <row r="24046" ht="14.25" customHeight="1"/>
    <row r="24047" ht="14.25" customHeight="1"/>
    <row r="24048" ht="14.25" customHeight="1"/>
    <row r="24049" ht="14.25" customHeight="1"/>
    <row r="24050" ht="14.25" customHeight="1"/>
    <row r="24051" ht="14.25" customHeight="1"/>
    <row r="24052" ht="14.25" customHeight="1"/>
    <row r="24053" ht="14.25" customHeight="1"/>
    <row r="24054" ht="14.25" customHeight="1"/>
    <row r="24055" ht="14.25" customHeight="1"/>
    <row r="24056" ht="14.25" customHeight="1"/>
    <row r="24057" ht="14.25" customHeight="1"/>
    <row r="24058" ht="14.25" customHeight="1"/>
    <row r="24059" ht="14.25" customHeight="1"/>
    <row r="24060" ht="14.25" customHeight="1"/>
    <row r="24061" ht="14.25" customHeight="1"/>
    <row r="24062" ht="14.25" customHeight="1"/>
    <row r="24063" ht="14.25" customHeight="1"/>
    <row r="24064" ht="14.25" customHeight="1"/>
    <row r="24065" ht="14.25" customHeight="1"/>
    <row r="24066" ht="14.25" customHeight="1"/>
    <row r="24067" ht="14.25" customHeight="1"/>
    <row r="24068" ht="14.25" customHeight="1"/>
    <row r="24069" ht="14.25" customHeight="1"/>
    <row r="24070" ht="14.25" customHeight="1"/>
    <row r="24071" ht="14.25" customHeight="1"/>
    <row r="24072" ht="14.25" customHeight="1"/>
    <row r="24073" ht="14.25" customHeight="1"/>
    <row r="24074" ht="14.25" customHeight="1"/>
    <row r="24075" ht="14.25" customHeight="1"/>
    <row r="24076" ht="14.25" customHeight="1"/>
    <row r="24077" ht="14.25" customHeight="1"/>
    <row r="24078" ht="14.25" customHeight="1"/>
    <row r="24079" ht="14.25" customHeight="1"/>
    <row r="24080" ht="14.25" customHeight="1"/>
    <row r="24081" ht="14.25" customHeight="1"/>
    <row r="24082" ht="14.25" customHeight="1"/>
    <row r="24083" ht="14.25" customHeight="1"/>
    <row r="24084" ht="14.25" customHeight="1"/>
    <row r="24085" ht="14.25" customHeight="1"/>
    <row r="24086" ht="14.25" customHeight="1"/>
    <row r="24087" ht="14.25" customHeight="1"/>
    <row r="24088" ht="14.25" customHeight="1"/>
    <row r="24089" ht="14.25" customHeight="1"/>
    <row r="24090" ht="14.25" customHeight="1"/>
    <row r="24091" ht="14.25" customHeight="1"/>
    <row r="24092" ht="14.25" customHeight="1"/>
    <row r="24093" ht="14.25" customHeight="1"/>
    <row r="24094" ht="14.25" customHeight="1"/>
    <row r="24095" ht="14.25" customHeight="1"/>
    <row r="24096" ht="14.25" customHeight="1"/>
    <row r="24097" ht="14.25" customHeight="1"/>
    <row r="24098" ht="14.25" customHeight="1"/>
    <row r="24099" ht="14.25" customHeight="1"/>
    <row r="24100" ht="14.25" customHeight="1"/>
    <row r="24101" ht="14.25" customHeight="1"/>
    <row r="24102" ht="14.25" customHeight="1"/>
    <row r="24103" ht="14.25" customHeight="1"/>
    <row r="24104" ht="14.25" customHeight="1"/>
    <row r="24105" ht="14.25" customHeight="1"/>
    <row r="24106" ht="14.25" customHeight="1"/>
    <row r="24107" ht="14.25" customHeight="1"/>
    <row r="24108" ht="14.25" customHeight="1"/>
    <row r="24109" ht="14.25" customHeight="1"/>
    <row r="24110" ht="14.25" customHeight="1"/>
    <row r="24111" ht="14.25" customHeight="1"/>
    <row r="24112" ht="14.25" customHeight="1"/>
    <row r="24113" ht="14.25" customHeight="1"/>
    <row r="24114" ht="14.25" customHeight="1"/>
    <row r="24115" ht="14.25" customHeight="1"/>
    <row r="24116" ht="14.25" customHeight="1"/>
    <row r="24117" ht="14.25" customHeight="1"/>
    <row r="24118" ht="14.25" customHeight="1"/>
    <row r="24119" ht="14.25" customHeight="1"/>
    <row r="24120" ht="14.25" customHeight="1"/>
    <row r="24121" ht="14.25" customHeight="1"/>
    <row r="24122" ht="14.25" customHeight="1"/>
    <row r="24123" ht="14.25" customHeight="1"/>
    <row r="24124" ht="14.25" customHeight="1"/>
    <row r="24125" ht="14.25" customHeight="1"/>
    <row r="24126" ht="14.25" customHeight="1"/>
    <row r="24127" ht="14.25" customHeight="1"/>
    <row r="24128" ht="14.25" customHeight="1"/>
    <row r="24129" ht="14.25" customHeight="1"/>
    <row r="24130" ht="14.25" customHeight="1"/>
    <row r="24131" ht="14.25" customHeight="1"/>
    <row r="24132" ht="14.25" customHeight="1"/>
    <row r="24133" ht="14.25" customHeight="1"/>
    <row r="24134" ht="14.25" customHeight="1"/>
    <row r="24135" ht="14.25" customHeight="1"/>
    <row r="24136" ht="14.25" customHeight="1"/>
    <row r="24137" ht="14.25" customHeight="1"/>
    <row r="24138" ht="14.25" customHeight="1"/>
    <row r="24139" ht="14.25" customHeight="1"/>
    <row r="24140" ht="14.25" customHeight="1"/>
    <row r="24141" ht="14.25" customHeight="1"/>
    <row r="24142" ht="14.25" customHeight="1"/>
    <row r="24143" ht="14.25" customHeight="1"/>
    <row r="24144" ht="14.25" customHeight="1"/>
    <row r="24145" ht="14.25" customHeight="1"/>
    <row r="24146" ht="14.25" customHeight="1"/>
    <row r="24147" ht="14.25" customHeight="1"/>
    <row r="24148" ht="14.25" customHeight="1"/>
    <row r="24149" ht="14.25" customHeight="1"/>
    <row r="24150" ht="14.25" customHeight="1"/>
    <row r="24151" ht="14.25" customHeight="1"/>
    <row r="24152" ht="14.25" customHeight="1"/>
    <row r="24153" ht="14.25" customHeight="1"/>
    <row r="24154" ht="14.25" customHeight="1"/>
    <row r="24155" ht="14.25" customHeight="1"/>
    <row r="24156" ht="14.25" customHeight="1"/>
    <row r="24157" ht="14.25" customHeight="1"/>
    <row r="24158" ht="14.25" customHeight="1"/>
    <row r="24159" ht="14.25" customHeight="1"/>
    <row r="24160" ht="14.25" customHeight="1"/>
    <row r="24161" ht="14.25" customHeight="1"/>
    <row r="24162" ht="14.25" customHeight="1"/>
    <row r="24163" ht="14.25" customHeight="1"/>
    <row r="24164" ht="14.25" customHeight="1"/>
    <row r="24165" ht="14.25" customHeight="1"/>
    <row r="24166" ht="14.25" customHeight="1"/>
    <row r="24167" ht="14.25" customHeight="1"/>
    <row r="24168" ht="14.25" customHeight="1"/>
    <row r="24169" ht="14.25" customHeight="1"/>
    <row r="24170" ht="14.25" customHeight="1"/>
    <row r="24171" ht="14.25" customHeight="1"/>
    <row r="24172" ht="14.25" customHeight="1"/>
    <row r="24173" ht="14.25" customHeight="1"/>
    <row r="24174" ht="14.25" customHeight="1"/>
    <row r="24175" ht="14.25" customHeight="1"/>
    <row r="24176" ht="14.25" customHeight="1"/>
    <row r="24177" ht="14.25" customHeight="1"/>
    <row r="24178" ht="14.25" customHeight="1"/>
    <row r="24179" ht="14.25" customHeight="1"/>
    <row r="24180" ht="14.25" customHeight="1"/>
    <row r="24181" ht="14.25" customHeight="1"/>
    <row r="24182" ht="14.25" customHeight="1"/>
    <row r="24183" ht="14.25" customHeight="1"/>
    <row r="24184" ht="14.25" customHeight="1"/>
    <row r="24185" ht="14.25" customHeight="1"/>
    <row r="24186" ht="14.25" customHeight="1"/>
    <row r="24187" ht="14.25" customHeight="1"/>
    <row r="24188" ht="14.25" customHeight="1"/>
    <row r="24189" ht="14.25" customHeight="1"/>
    <row r="24190" ht="14.25" customHeight="1"/>
    <row r="24191" ht="14.25" customHeight="1"/>
    <row r="24192" ht="14.25" customHeight="1"/>
    <row r="24193" ht="14.25" customHeight="1"/>
    <row r="24194" ht="14.25" customHeight="1"/>
    <row r="24195" ht="14.25" customHeight="1"/>
    <row r="24196" ht="14.25" customHeight="1"/>
    <row r="24197" ht="14.25" customHeight="1"/>
    <row r="24198" ht="14.25" customHeight="1"/>
    <row r="24199" ht="14.25" customHeight="1"/>
    <row r="24200" ht="14.25" customHeight="1"/>
    <row r="24201" ht="14.25" customHeight="1"/>
    <row r="24202" ht="14.25" customHeight="1"/>
    <row r="24203" ht="14.25" customHeight="1"/>
    <row r="24204" ht="14.25" customHeight="1"/>
    <row r="24205" ht="14.25" customHeight="1"/>
    <row r="24206" ht="14.25" customHeight="1"/>
    <row r="24207" ht="14.25" customHeight="1"/>
    <row r="24208" ht="14.25" customHeight="1"/>
    <row r="24209" ht="14.25" customHeight="1"/>
    <row r="24210" ht="14.25" customHeight="1"/>
    <row r="24211" ht="14.25" customHeight="1"/>
    <row r="24212" ht="14.25" customHeight="1"/>
    <row r="24213" ht="14.25" customHeight="1"/>
    <row r="24214" ht="14.25" customHeight="1"/>
    <row r="24215" ht="14.25" customHeight="1"/>
    <row r="24216" ht="14.25" customHeight="1"/>
    <row r="24217" ht="14.25" customHeight="1"/>
    <row r="24218" ht="14.25" customHeight="1"/>
    <row r="24219" ht="14.25" customHeight="1"/>
    <row r="24220" ht="14.25" customHeight="1"/>
    <row r="24221" ht="14.25" customHeight="1"/>
    <row r="24222" ht="14.25" customHeight="1"/>
    <row r="24223" ht="14.25" customHeight="1"/>
    <row r="24224" ht="14.25" customHeight="1"/>
    <row r="24225" ht="14.25" customHeight="1"/>
    <row r="24226" ht="14.25" customHeight="1"/>
    <row r="24227" ht="14.25" customHeight="1"/>
    <row r="24228" ht="14.25" customHeight="1"/>
    <row r="24229" ht="14.25" customHeight="1"/>
    <row r="24230" ht="14.25" customHeight="1"/>
    <row r="24231" ht="14.25" customHeight="1"/>
    <row r="24232" ht="14.25" customHeight="1"/>
    <row r="24233" ht="14.25" customHeight="1"/>
    <row r="24234" ht="14.25" customHeight="1"/>
    <row r="24235" ht="14.25" customHeight="1"/>
    <row r="24236" ht="14.25" customHeight="1"/>
    <row r="24237" ht="14.25" customHeight="1"/>
    <row r="24238" ht="14.25" customHeight="1"/>
    <row r="24239" ht="14.25" customHeight="1"/>
    <row r="24240" ht="14.25" customHeight="1"/>
    <row r="24241" ht="14.25" customHeight="1"/>
    <row r="24242" ht="14.25" customHeight="1"/>
    <row r="24243" ht="14.25" customHeight="1"/>
    <row r="24244" ht="14.25" customHeight="1"/>
    <row r="24245" ht="14.25" customHeight="1"/>
    <row r="24246" ht="14.25" customHeight="1"/>
    <row r="24247" ht="14.25" customHeight="1"/>
    <row r="24248" ht="14.25" customHeight="1"/>
    <row r="24249" ht="14.25" customHeight="1"/>
    <row r="24250" ht="14.25" customHeight="1"/>
    <row r="24251" ht="14.25" customHeight="1"/>
    <row r="24252" ht="14.25" customHeight="1"/>
    <row r="24253" ht="14.25" customHeight="1"/>
    <row r="24254" ht="14.25" customHeight="1"/>
    <row r="24255" ht="14.25" customHeight="1"/>
    <row r="24256" ht="14.25" customHeight="1"/>
    <row r="24257" ht="14.25" customHeight="1"/>
    <row r="24258" ht="14.25" customHeight="1"/>
    <row r="24259" ht="14.25" customHeight="1"/>
    <row r="24260" ht="14.25" customHeight="1"/>
    <row r="24261" ht="14.25" customHeight="1"/>
    <row r="24262" ht="14.25" customHeight="1"/>
    <row r="24263" ht="14.25" customHeight="1"/>
    <row r="24264" ht="14.25" customHeight="1"/>
    <row r="24265" ht="14.25" customHeight="1"/>
    <row r="24266" ht="14.25" customHeight="1"/>
    <row r="24267" ht="14.25" customHeight="1"/>
    <row r="24268" ht="14.25" customHeight="1"/>
    <row r="24269" ht="14.25" customHeight="1"/>
    <row r="24270" ht="14.25" customHeight="1"/>
    <row r="24271" ht="14.25" customHeight="1"/>
    <row r="24272" ht="14.25" customHeight="1"/>
    <row r="24273" ht="14.25" customHeight="1"/>
    <row r="24274" ht="14.25" customHeight="1"/>
    <row r="24275" ht="14.25" customHeight="1"/>
    <row r="24276" ht="14.25" customHeight="1"/>
    <row r="24277" ht="14.25" customHeight="1"/>
    <row r="24278" ht="14.25" customHeight="1"/>
    <row r="24279" ht="14.25" customHeight="1"/>
    <row r="24280" ht="14.25" customHeight="1"/>
    <row r="24281" ht="14.25" customHeight="1"/>
    <row r="24282" ht="14.25" customHeight="1"/>
    <row r="24283" ht="14.25" customHeight="1"/>
    <row r="24284" ht="14.25" customHeight="1"/>
    <row r="24285" ht="14.25" customHeight="1"/>
    <row r="24286" ht="14.25" customHeight="1"/>
    <row r="24287" ht="14.25" customHeight="1"/>
    <row r="24288" ht="14.25" customHeight="1"/>
    <row r="24289" ht="14.25" customHeight="1"/>
    <row r="24290" ht="14.25" customHeight="1"/>
    <row r="24291" ht="14.25" customHeight="1"/>
    <row r="24292" ht="14.25" customHeight="1"/>
    <row r="24293" ht="14.25" customHeight="1"/>
    <row r="24294" ht="14.25" customHeight="1"/>
    <row r="24295" ht="14.25" customHeight="1"/>
    <row r="24296" ht="14.25" customHeight="1"/>
    <row r="24297" ht="14.25" customHeight="1"/>
    <row r="24298" ht="14.25" customHeight="1"/>
    <row r="24299" ht="14.25" customHeight="1"/>
    <row r="24300" ht="14.25" customHeight="1"/>
    <row r="24301" ht="14.25" customHeight="1"/>
    <row r="24302" ht="14.25" customHeight="1"/>
    <row r="24303" ht="14.25" customHeight="1"/>
    <row r="24304" ht="14.25" customHeight="1"/>
    <row r="24305" ht="14.25" customHeight="1"/>
    <row r="24306" ht="14.25" customHeight="1"/>
    <row r="24307" ht="14.25" customHeight="1"/>
    <row r="24308" ht="14.25" customHeight="1"/>
    <row r="24309" ht="14.25" customHeight="1"/>
    <row r="24310" ht="14.25" customHeight="1"/>
    <row r="24311" ht="14.25" customHeight="1"/>
    <row r="24312" ht="14.25" customHeight="1"/>
    <row r="24313" ht="14.25" customHeight="1"/>
    <row r="24314" ht="14.25" customHeight="1"/>
    <row r="24315" ht="14.25" customHeight="1"/>
    <row r="24316" ht="14.25" customHeight="1"/>
    <row r="24317" ht="14.25" customHeight="1"/>
    <row r="24318" ht="14.25" customHeight="1"/>
    <row r="24319" ht="14.25" customHeight="1"/>
    <row r="24320" ht="14.25" customHeight="1"/>
    <row r="24321" ht="14.25" customHeight="1"/>
    <row r="24322" ht="14.25" customHeight="1"/>
    <row r="24323" ht="14.25" customHeight="1"/>
    <row r="24324" ht="14.25" customHeight="1"/>
    <row r="24325" ht="14.25" customHeight="1"/>
    <row r="24326" ht="14.25" customHeight="1"/>
    <row r="24327" ht="14.25" customHeight="1"/>
    <row r="24328" ht="14.25" customHeight="1"/>
    <row r="24329" ht="14.25" customHeight="1"/>
    <row r="24330" ht="14.25" customHeight="1"/>
    <row r="24331" ht="14.25" customHeight="1"/>
    <row r="24332" ht="14.25" customHeight="1"/>
    <row r="24333" ht="14.25" customHeight="1"/>
    <row r="24334" ht="14.25" customHeight="1"/>
    <row r="24335" ht="14.25" customHeight="1"/>
    <row r="24336" ht="14.25" customHeight="1"/>
    <row r="24337" ht="14.25" customHeight="1"/>
    <row r="24338" ht="14.25" customHeight="1"/>
    <row r="24339" ht="14.25" customHeight="1"/>
    <row r="24340" ht="14.25" customHeight="1"/>
    <row r="24341" ht="14.25" customHeight="1"/>
    <row r="24342" ht="14.25" customHeight="1"/>
    <row r="24343" ht="14.25" customHeight="1"/>
    <row r="24344" ht="14.25" customHeight="1"/>
    <row r="24345" ht="14.25" customHeight="1"/>
    <row r="24346" ht="14.25" customHeight="1"/>
    <row r="24347" ht="14.25" customHeight="1"/>
    <row r="24348" ht="14.25" customHeight="1"/>
    <row r="24349" ht="14.25" customHeight="1"/>
    <row r="24350" ht="14.25" customHeight="1"/>
    <row r="24351" ht="14.25" customHeight="1"/>
    <row r="24352" ht="14.25" customHeight="1"/>
    <row r="24353" ht="14.25" customHeight="1"/>
    <row r="24354" ht="14.25" customHeight="1"/>
    <row r="24355" ht="14.25" customHeight="1"/>
    <row r="24356" ht="14.25" customHeight="1"/>
    <row r="24357" ht="14.25" customHeight="1"/>
    <row r="24358" ht="14.25" customHeight="1"/>
    <row r="24359" ht="14.25" customHeight="1"/>
    <row r="24360" ht="14.25" customHeight="1"/>
    <row r="24361" ht="14.25" customHeight="1"/>
    <row r="24362" ht="14.25" customHeight="1"/>
    <row r="24363" ht="14.25" customHeight="1"/>
    <row r="24364" ht="14.25" customHeight="1"/>
    <row r="24365" ht="14.25" customHeight="1"/>
    <row r="24366" ht="14.25" customHeight="1"/>
    <row r="24367" ht="14.25" customHeight="1"/>
    <row r="24368" ht="14.25" customHeight="1"/>
    <row r="24369" ht="14.25" customHeight="1"/>
    <row r="24370" ht="14.25" customHeight="1"/>
    <row r="24371" ht="14.25" customHeight="1"/>
    <row r="24372" ht="14.25" customHeight="1"/>
    <row r="24373" ht="14.25" customHeight="1"/>
    <row r="24374" ht="14.25" customHeight="1"/>
    <row r="24375" ht="14.25" customHeight="1"/>
    <row r="24376" ht="14.25" customHeight="1"/>
    <row r="24377" ht="14.25" customHeight="1"/>
    <row r="24378" ht="14.25" customHeight="1"/>
    <row r="24379" ht="14.25" customHeight="1"/>
    <row r="24380" ht="14.25" customHeight="1"/>
    <row r="24381" ht="14.25" customHeight="1"/>
    <row r="24382" ht="14.25" customHeight="1"/>
    <row r="24383" ht="14.25" customHeight="1"/>
    <row r="24384" ht="14.25" customHeight="1"/>
    <row r="24385" ht="14.25" customHeight="1"/>
    <row r="24386" ht="14.25" customHeight="1"/>
    <row r="24387" ht="14.25" customHeight="1"/>
    <row r="24388" ht="14.25" customHeight="1"/>
    <row r="24389" ht="14.25" customHeight="1"/>
    <row r="24390" ht="14.25" customHeight="1"/>
    <row r="24391" ht="14.25" customHeight="1"/>
    <row r="24392" ht="14.25" customHeight="1"/>
    <row r="24393" ht="14.25" customHeight="1"/>
    <row r="24394" ht="14.25" customHeight="1"/>
    <row r="24395" ht="14.25" customHeight="1"/>
    <row r="24396" ht="14.25" customHeight="1"/>
    <row r="24397" ht="14.25" customHeight="1"/>
    <row r="24398" ht="14.25" customHeight="1"/>
    <row r="24399" ht="14.25" customHeight="1"/>
    <row r="24400" ht="14.25" customHeight="1"/>
    <row r="24401" ht="14.25" customHeight="1"/>
    <row r="24402" ht="14.25" customHeight="1"/>
    <row r="24403" ht="14.25" customHeight="1"/>
    <row r="24404" ht="14.25" customHeight="1"/>
    <row r="24405" ht="14.25" customHeight="1"/>
    <row r="24406" ht="14.25" customHeight="1"/>
    <row r="24407" ht="14.25" customHeight="1"/>
    <row r="24408" ht="14.25" customHeight="1"/>
    <row r="24409" ht="14.25" customHeight="1"/>
    <row r="24410" ht="14.25" customHeight="1"/>
    <row r="24411" ht="14.25" customHeight="1"/>
    <row r="24412" ht="14.25" customHeight="1"/>
    <row r="24413" ht="14.25" customHeight="1"/>
    <row r="24414" ht="14.25" customHeight="1"/>
    <row r="24415" ht="14.25" customHeight="1"/>
    <row r="24416" ht="14.25" customHeight="1"/>
    <row r="24417" ht="14.25" customHeight="1"/>
    <row r="24418" ht="14.25" customHeight="1"/>
    <row r="24419" ht="14.25" customHeight="1"/>
    <row r="24420" ht="14.25" customHeight="1"/>
    <row r="24421" ht="14.25" customHeight="1"/>
    <row r="24422" ht="14.25" customHeight="1"/>
    <row r="24423" ht="14.25" customHeight="1"/>
    <row r="24424" ht="14.25" customHeight="1"/>
    <row r="24425" ht="14.25" customHeight="1"/>
    <row r="24426" ht="14.25" customHeight="1"/>
    <row r="24427" ht="14.25" customHeight="1"/>
    <row r="24428" ht="14.25" customHeight="1"/>
    <row r="24429" ht="14.25" customHeight="1"/>
    <row r="24430" ht="14.25" customHeight="1"/>
    <row r="24431" ht="14.25" customHeight="1"/>
    <row r="24432" ht="14.25" customHeight="1"/>
    <row r="24433" ht="14.25" customHeight="1"/>
    <row r="24434" ht="14.25" customHeight="1"/>
    <row r="24435" ht="14.25" customHeight="1"/>
    <row r="24436" ht="14.25" customHeight="1"/>
    <row r="24437" ht="14.25" customHeight="1"/>
    <row r="24438" ht="14.25" customHeight="1"/>
    <row r="24439" ht="14.25" customHeight="1"/>
    <row r="24440" ht="14.25" customHeight="1"/>
    <row r="24441" ht="14.25" customHeight="1"/>
    <row r="24442" ht="14.25" customHeight="1"/>
    <row r="24443" ht="14.25" customHeight="1"/>
    <row r="24444" ht="14.25" customHeight="1"/>
    <row r="24445" ht="14.25" customHeight="1"/>
    <row r="24446" ht="14.25" customHeight="1"/>
    <row r="24447" ht="14.25" customHeight="1"/>
    <row r="24448" ht="14.25" customHeight="1"/>
    <row r="24449" ht="14.25" customHeight="1"/>
    <row r="24450" ht="14.25" customHeight="1"/>
    <row r="24451" ht="14.25" customHeight="1"/>
    <row r="24452" ht="14.25" customHeight="1"/>
    <row r="24453" ht="14.25" customHeight="1"/>
    <row r="24454" ht="14.25" customHeight="1"/>
    <row r="24455" ht="14.25" customHeight="1"/>
    <row r="24456" ht="14.25" customHeight="1"/>
    <row r="24457" ht="14.25" customHeight="1"/>
    <row r="24458" ht="14.25" customHeight="1"/>
    <row r="24459" ht="14.25" customHeight="1"/>
    <row r="24460" ht="14.25" customHeight="1"/>
    <row r="24461" ht="14.25" customHeight="1"/>
    <row r="24462" ht="14.25" customHeight="1"/>
    <row r="24463" ht="14.25" customHeight="1"/>
    <row r="24464" ht="14.25" customHeight="1"/>
    <row r="24465" ht="14.25" customHeight="1"/>
    <row r="24466" ht="14.25" customHeight="1"/>
    <row r="24467" ht="14.25" customHeight="1"/>
    <row r="24468" ht="14.25" customHeight="1"/>
    <row r="24469" ht="14.25" customHeight="1"/>
    <row r="24470" ht="14.25" customHeight="1"/>
    <row r="24471" ht="14.25" customHeight="1"/>
    <row r="24472" ht="14.25" customHeight="1"/>
    <row r="24473" ht="14.25" customHeight="1"/>
    <row r="24474" ht="14.25" customHeight="1"/>
    <row r="24475" ht="14.25" customHeight="1"/>
    <row r="24476" ht="14.25" customHeight="1"/>
    <row r="24477" ht="14.25" customHeight="1"/>
    <row r="24478" ht="14.25" customHeight="1"/>
    <row r="24479" ht="14.25" customHeight="1"/>
    <row r="24480" ht="14.25" customHeight="1"/>
    <row r="24481" ht="14.25" customHeight="1"/>
    <row r="24482" ht="14.25" customHeight="1"/>
    <row r="24483" ht="14.25" customHeight="1"/>
    <row r="24484" ht="14.25" customHeight="1"/>
    <row r="24485" ht="14.25" customHeight="1"/>
    <row r="24486" ht="14.25" customHeight="1"/>
    <row r="24487" ht="14.25" customHeight="1"/>
    <row r="24488" ht="14.25" customHeight="1"/>
    <row r="24489" ht="14.25" customHeight="1"/>
    <row r="24490" ht="14.25" customHeight="1"/>
    <row r="24491" ht="14.25" customHeight="1"/>
    <row r="24492" ht="14.25" customHeight="1"/>
    <row r="24493" ht="14.25" customHeight="1"/>
    <row r="24494" ht="14.25" customHeight="1"/>
    <row r="24495" ht="14.25" customHeight="1"/>
    <row r="24496" ht="14.25" customHeight="1"/>
    <row r="24497" ht="14.25" customHeight="1"/>
    <row r="24498" ht="14.25" customHeight="1"/>
    <row r="24499" ht="14.25" customHeight="1"/>
    <row r="24500" ht="14.25" customHeight="1"/>
    <row r="24501" ht="14.25" customHeight="1"/>
    <row r="24502" ht="14.25" customHeight="1"/>
    <row r="24503" ht="14.25" customHeight="1"/>
    <row r="24504" ht="14.25" customHeight="1"/>
    <row r="24505" ht="14.25" customHeight="1"/>
    <row r="24506" ht="14.25" customHeight="1"/>
    <row r="24507" ht="14.25" customHeight="1"/>
    <row r="24508" ht="14.25" customHeight="1"/>
    <row r="24509" ht="14.25" customHeight="1"/>
    <row r="24510" ht="14.25" customHeight="1"/>
    <row r="24511" ht="14.25" customHeight="1"/>
    <row r="24512" ht="14.25" customHeight="1"/>
    <row r="24513" ht="14.25" customHeight="1"/>
    <row r="24514" ht="14.25" customHeight="1"/>
    <row r="24515" ht="14.25" customHeight="1"/>
    <row r="24516" ht="14.25" customHeight="1"/>
    <row r="24517" ht="14.25" customHeight="1"/>
    <row r="24518" ht="14.25" customHeight="1"/>
    <row r="24519" ht="14.25" customHeight="1"/>
    <row r="24520" ht="14.25" customHeight="1"/>
    <row r="24521" ht="14.25" customHeight="1"/>
    <row r="24522" ht="14.25" customHeight="1"/>
    <row r="24523" ht="14.25" customHeight="1"/>
    <row r="24524" ht="14.25" customHeight="1"/>
    <row r="24525" ht="14.25" customHeight="1"/>
    <row r="24526" ht="14.25" customHeight="1"/>
    <row r="24527" ht="14.25" customHeight="1"/>
    <row r="24528" ht="14.25" customHeight="1"/>
    <row r="24529" ht="14.25" customHeight="1"/>
    <row r="24530" ht="14.25" customHeight="1"/>
    <row r="24531" ht="14.25" customHeight="1"/>
    <row r="24532" ht="14.25" customHeight="1"/>
    <row r="24533" ht="14.25" customHeight="1"/>
    <row r="24534" ht="14.25" customHeight="1"/>
    <row r="24535" ht="14.25" customHeight="1"/>
    <row r="24536" ht="14.25" customHeight="1"/>
    <row r="24537" ht="14.25" customHeight="1"/>
    <row r="24538" ht="14.25" customHeight="1"/>
    <row r="24539" ht="14.25" customHeight="1"/>
    <row r="24540" ht="14.25" customHeight="1"/>
    <row r="24541" ht="14.25" customHeight="1"/>
    <row r="24542" ht="14.25" customHeight="1"/>
    <row r="24543" ht="14.25" customHeight="1"/>
    <row r="24544" ht="14.25" customHeight="1"/>
    <row r="24545" ht="14.25" customHeight="1"/>
    <row r="24546" ht="14.25" customHeight="1"/>
    <row r="24547" ht="14.25" customHeight="1"/>
    <row r="24548" ht="14.25" customHeight="1"/>
    <row r="24549" ht="14.25" customHeight="1"/>
    <row r="24550" ht="14.25" customHeight="1"/>
    <row r="24551" ht="14.25" customHeight="1"/>
    <row r="24552" ht="14.25" customHeight="1"/>
    <row r="24553" ht="14.25" customHeight="1"/>
    <row r="24554" ht="14.25" customHeight="1"/>
    <row r="24555" ht="14.25" customHeight="1"/>
    <row r="24556" ht="14.25" customHeight="1"/>
    <row r="24557" ht="14.25" customHeight="1"/>
    <row r="24558" ht="14.25" customHeight="1"/>
    <row r="24559" ht="14.25" customHeight="1"/>
    <row r="24560" ht="14.25" customHeight="1"/>
    <row r="24561" ht="14.25" customHeight="1"/>
    <row r="24562" ht="14.25" customHeight="1"/>
    <row r="24563" ht="14.25" customHeight="1"/>
    <row r="24564" ht="14.25" customHeight="1"/>
    <row r="24565" ht="14.25" customHeight="1"/>
    <row r="24566" ht="14.25" customHeight="1"/>
    <row r="24567" ht="14.25" customHeight="1"/>
    <row r="24568" ht="14.25" customHeight="1"/>
    <row r="24569" ht="14.25" customHeight="1"/>
    <row r="24570" ht="14.25" customHeight="1"/>
    <row r="24571" ht="14.25" customHeight="1"/>
    <row r="24572" ht="14.25" customHeight="1"/>
    <row r="24573" ht="14.25" customHeight="1"/>
    <row r="24574" ht="14.25" customHeight="1"/>
    <row r="24575" ht="14.25" customHeight="1"/>
    <row r="24576" ht="14.25" customHeight="1"/>
    <row r="24577" ht="14.25" customHeight="1"/>
    <row r="24578" ht="14.25" customHeight="1"/>
    <row r="24579" ht="14.25" customHeight="1"/>
    <row r="24580" ht="14.25" customHeight="1"/>
    <row r="24581" ht="14.25" customHeight="1"/>
    <row r="24582" ht="14.25" customHeight="1"/>
    <row r="24583" ht="14.25" customHeight="1"/>
    <row r="24584" ht="14.25" customHeight="1"/>
    <row r="24585" ht="14.25" customHeight="1"/>
    <row r="24586" ht="14.25" customHeight="1"/>
    <row r="24587" ht="14.25" customHeight="1"/>
    <row r="24588" ht="14.25" customHeight="1"/>
    <row r="24589" ht="14.25" customHeight="1"/>
    <row r="24590" ht="14.25" customHeight="1"/>
    <row r="24591" ht="14.25" customHeight="1"/>
    <row r="24592" ht="14.25" customHeight="1"/>
    <row r="24593" ht="14.25" customHeight="1"/>
    <row r="24594" ht="14.25" customHeight="1"/>
    <row r="24595" ht="14.25" customHeight="1"/>
    <row r="24596" ht="14.25" customHeight="1"/>
    <row r="24597" ht="14.25" customHeight="1"/>
    <row r="24598" ht="14.25" customHeight="1"/>
    <row r="24599" ht="14.25" customHeight="1"/>
    <row r="24600" ht="14.25" customHeight="1"/>
    <row r="24601" ht="14.25" customHeight="1"/>
    <row r="24602" ht="14.25" customHeight="1"/>
    <row r="24603" ht="14.25" customHeight="1"/>
    <row r="24604" ht="14.25" customHeight="1"/>
    <row r="24605" ht="14.25" customHeight="1"/>
    <row r="24606" ht="14.25" customHeight="1"/>
    <row r="24607" ht="14.25" customHeight="1"/>
    <row r="24608" ht="14.25" customHeight="1"/>
    <row r="24609" ht="14.25" customHeight="1"/>
    <row r="24610" ht="14.25" customHeight="1"/>
    <row r="24611" ht="14.25" customHeight="1"/>
    <row r="24612" ht="14.25" customHeight="1"/>
    <row r="24613" ht="14.25" customHeight="1"/>
    <row r="24614" ht="14.25" customHeight="1"/>
    <row r="24615" ht="14.25" customHeight="1"/>
    <row r="24616" ht="14.25" customHeight="1"/>
    <row r="24617" ht="14.25" customHeight="1"/>
    <row r="24618" ht="14.25" customHeight="1"/>
    <row r="24619" ht="14.25" customHeight="1"/>
    <row r="24620" ht="14.25" customHeight="1"/>
    <row r="24621" ht="14.25" customHeight="1"/>
    <row r="24622" ht="14.25" customHeight="1"/>
    <row r="24623" ht="14.25" customHeight="1"/>
    <row r="24624" ht="14.25" customHeight="1"/>
    <row r="24625" ht="14.25" customHeight="1"/>
    <row r="24626" ht="14.25" customHeight="1"/>
    <row r="24627" ht="14.25" customHeight="1"/>
    <row r="24628" ht="14.25" customHeight="1"/>
    <row r="24629" ht="14.25" customHeight="1"/>
    <row r="24630" ht="14.25" customHeight="1"/>
    <row r="24631" ht="14.25" customHeight="1"/>
    <row r="24632" ht="14.25" customHeight="1"/>
    <row r="24633" ht="14.25" customHeight="1"/>
    <row r="24634" ht="14.25" customHeight="1"/>
    <row r="24635" ht="14.25" customHeight="1"/>
    <row r="24636" ht="14.25" customHeight="1"/>
    <row r="24637" ht="14.25" customHeight="1"/>
    <row r="24638" ht="14.25" customHeight="1"/>
    <row r="24639" ht="14.25" customHeight="1"/>
    <row r="24640" ht="14.25" customHeight="1"/>
    <row r="24641" ht="14.25" customHeight="1"/>
    <row r="24642" ht="14.25" customHeight="1"/>
    <row r="24643" ht="14.25" customHeight="1"/>
    <row r="24644" ht="14.25" customHeight="1"/>
    <row r="24645" ht="14.25" customHeight="1"/>
    <row r="24646" ht="14.25" customHeight="1"/>
    <row r="24647" ht="14.25" customHeight="1"/>
    <row r="24648" ht="14.25" customHeight="1"/>
    <row r="24649" ht="14.25" customHeight="1"/>
    <row r="24650" ht="14.25" customHeight="1"/>
    <row r="24651" ht="14.25" customHeight="1"/>
    <row r="24652" ht="14.25" customHeight="1"/>
    <row r="24653" ht="14.25" customHeight="1"/>
    <row r="24654" ht="14.25" customHeight="1"/>
    <row r="24655" ht="14.25" customHeight="1"/>
    <row r="24656" ht="14.25" customHeight="1"/>
    <row r="24657" ht="14.25" customHeight="1"/>
    <row r="24658" ht="14.25" customHeight="1"/>
    <row r="24659" ht="14.25" customHeight="1"/>
    <row r="24660" ht="14.25" customHeight="1"/>
    <row r="24661" ht="14.25" customHeight="1"/>
    <row r="24662" ht="14.25" customHeight="1"/>
    <row r="24663" ht="14.25" customHeight="1"/>
    <row r="24664" ht="14.25" customHeight="1"/>
    <row r="24665" ht="14.25" customHeight="1"/>
    <row r="24666" ht="14.25" customHeight="1"/>
    <row r="24667" ht="14.25" customHeight="1"/>
    <row r="24668" ht="14.25" customHeight="1"/>
    <row r="24669" ht="14.25" customHeight="1"/>
    <row r="24670" ht="14.25" customHeight="1"/>
    <row r="24671" ht="14.25" customHeight="1"/>
    <row r="24672" ht="14.25" customHeight="1"/>
    <row r="24673" ht="14.25" customHeight="1"/>
    <row r="24674" ht="14.25" customHeight="1"/>
    <row r="24675" ht="14.25" customHeight="1"/>
    <row r="24676" ht="14.25" customHeight="1"/>
    <row r="24677" ht="14.25" customHeight="1"/>
    <row r="24678" ht="14.25" customHeight="1"/>
    <row r="24679" ht="14.25" customHeight="1"/>
    <row r="24680" ht="14.25" customHeight="1"/>
    <row r="24681" ht="14.25" customHeight="1"/>
    <row r="24682" ht="14.25" customHeight="1"/>
    <row r="24683" ht="14.25" customHeight="1"/>
    <row r="24684" ht="14.25" customHeight="1"/>
    <row r="24685" ht="14.25" customHeight="1"/>
    <row r="24686" ht="14.25" customHeight="1"/>
    <row r="24687" ht="14.25" customHeight="1"/>
    <row r="24688" ht="14.25" customHeight="1"/>
    <row r="24689" ht="14.25" customHeight="1"/>
    <row r="24690" ht="14.25" customHeight="1"/>
    <row r="24691" ht="14.25" customHeight="1"/>
    <row r="24692" ht="14.25" customHeight="1"/>
    <row r="24693" ht="14.25" customHeight="1"/>
    <row r="24694" ht="14.25" customHeight="1"/>
    <row r="24695" ht="14.25" customHeight="1"/>
    <row r="24696" ht="14.25" customHeight="1"/>
    <row r="24697" ht="14.25" customHeight="1"/>
    <row r="24698" ht="14.25" customHeight="1"/>
    <row r="24699" ht="14.25" customHeight="1"/>
    <row r="24700" ht="14.25" customHeight="1"/>
    <row r="24701" ht="14.25" customHeight="1"/>
    <row r="24702" ht="14.25" customHeight="1"/>
    <row r="24703" ht="14.25" customHeight="1"/>
    <row r="24704" ht="14.25" customHeight="1"/>
    <row r="24705" ht="14.25" customHeight="1"/>
    <row r="24706" ht="14.25" customHeight="1"/>
    <row r="24707" ht="14.25" customHeight="1"/>
    <row r="24708" ht="14.25" customHeight="1"/>
    <row r="24709" ht="14.25" customHeight="1"/>
    <row r="24710" ht="14.25" customHeight="1"/>
    <row r="24711" ht="14.25" customHeight="1"/>
    <row r="24712" ht="14.25" customHeight="1"/>
    <row r="24713" ht="14.25" customHeight="1"/>
    <row r="24714" ht="14.25" customHeight="1"/>
    <row r="24715" ht="14.25" customHeight="1"/>
    <row r="24716" ht="14.25" customHeight="1"/>
    <row r="24717" ht="14.25" customHeight="1"/>
    <row r="24718" ht="14.25" customHeight="1"/>
    <row r="24719" ht="14.25" customHeight="1"/>
    <row r="24720" ht="14.25" customHeight="1"/>
    <row r="24721" ht="14.25" customHeight="1"/>
    <row r="24722" ht="14.25" customHeight="1"/>
    <row r="24723" ht="14.25" customHeight="1"/>
    <row r="24724" ht="14.25" customHeight="1"/>
    <row r="24725" ht="14.25" customHeight="1"/>
    <row r="24726" ht="14.25" customHeight="1"/>
    <row r="24727" ht="14.25" customHeight="1"/>
    <row r="24728" ht="14.25" customHeight="1"/>
    <row r="24729" ht="14.25" customHeight="1"/>
    <row r="24730" ht="14.25" customHeight="1"/>
    <row r="24731" ht="14.25" customHeight="1"/>
    <row r="24732" ht="14.25" customHeight="1"/>
    <row r="24733" ht="14.25" customHeight="1"/>
    <row r="24734" ht="14.25" customHeight="1"/>
    <row r="24735" ht="14.25" customHeight="1"/>
    <row r="24736" ht="14.25" customHeight="1"/>
    <row r="24737" ht="14.25" customHeight="1"/>
    <row r="24738" ht="14.25" customHeight="1"/>
    <row r="24739" ht="14.25" customHeight="1"/>
    <row r="24740" ht="14.25" customHeight="1"/>
    <row r="24741" ht="14.25" customHeight="1"/>
    <row r="24742" ht="14.25" customHeight="1"/>
    <row r="24743" ht="14.25" customHeight="1"/>
    <row r="24744" ht="14.25" customHeight="1"/>
    <row r="24745" ht="14.25" customHeight="1"/>
    <row r="24746" ht="14.25" customHeight="1"/>
    <row r="24747" ht="14.25" customHeight="1"/>
    <row r="24748" ht="14.25" customHeight="1"/>
    <row r="24749" ht="14.25" customHeight="1"/>
    <row r="24750" ht="14.25" customHeight="1"/>
    <row r="24751" ht="14.25" customHeight="1"/>
    <row r="24752" ht="14.25" customHeight="1"/>
    <row r="24753" ht="14.25" customHeight="1"/>
    <row r="24754" ht="14.25" customHeight="1"/>
    <row r="24755" ht="14.25" customHeight="1"/>
    <row r="24756" ht="14.25" customHeight="1"/>
    <row r="24757" ht="14.25" customHeight="1"/>
    <row r="24758" ht="14.25" customHeight="1"/>
    <row r="24759" ht="14.25" customHeight="1"/>
    <row r="24760" ht="14.25" customHeight="1"/>
    <row r="24761" ht="14.25" customHeight="1"/>
    <row r="24762" ht="14.25" customHeight="1"/>
    <row r="24763" ht="14.25" customHeight="1"/>
    <row r="24764" ht="14.25" customHeight="1"/>
    <row r="24765" ht="14.25" customHeight="1"/>
    <row r="24766" ht="14.25" customHeight="1"/>
    <row r="24767" ht="14.25" customHeight="1"/>
    <row r="24768" ht="14.25" customHeight="1"/>
    <row r="24769" ht="14.25" customHeight="1"/>
    <row r="24770" ht="14.25" customHeight="1"/>
    <row r="24771" ht="14.25" customHeight="1"/>
    <row r="24772" ht="14.25" customHeight="1"/>
    <row r="24773" ht="14.25" customHeight="1"/>
    <row r="24774" ht="14.25" customHeight="1"/>
    <row r="24775" ht="14.25" customHeight="1"/>
    <row r="24776" ht="14.25" customHeight="1"/>
    <row r="24777" ht="14.25" customHeight="1"/>
    <row r="24778" ht="14.25" customHeight="1"/>
    <row r="24779" ht="14.25" customHeight="1"/>
    <row r="24780" ht="14.25" customHeight="1"/>
    <row r="24781" ht="14.25" customHeight="1"/>
    <row r="24782" ht="14.25" customHeight="1"/>
    <row r="24783" ht="14.25" customHeight="1"/>
    <row r="24784" ht="14.25" customHeight="1"/>
    <row r="24785" ht="14.25" customHeight="1"/>
    <row r="24786" ht="14.25" customHeight="1"/>
    <row r="24787" ht="14.25" customHeight="1"/>
    <row r="24788" ht="14.25" customHeight="1"/>
    <row r="24789" ht="14.25" customHeight="1"/>
    <row r="24790" ht="14.25" customHeight="1"/>
    <row r="24791" ht="14.25" customHeight="1"/>
    <row r="24792" ht="14.25" customHeight="1"/>
    <row r="24793" ht="14.25" customHeight="1"/>
    <row r="24794" ht="14.25" customHeight="1"/>
    <row r="24795" ht="14.25" customHeight="1"/>
    <row r="24796" ht="14.25" customHeight="1"/>
    <row r="24797" ht="14.25" customHeight="1"/>
    <row r="24798" ht="14.25" customHeight="1"/>
    <row r="24799" ht="14.25" customHeight="1"/>
    <row r="24800" ht="14.25" customHeight="1"/>
    <row r="24801" ht="14.25" customHeight="1"/>
    <row r="24802" ht="14.25" customHeight="1"/>
    <row r="24803" ht="14.25" customHeight="1"/>
    <row r="24804" ht="14.25" customHeight="1"/>
    <row r="24805" ht="14.25" customHeight="1"/>
    <row r="24806" ht="14.25" customHeight="1"/>
    <row r="24807" ht="14.25" customHeight="1"/>
    <row r="24808" ht="14.25" customHeight="1"/>
    <row r="24809" ht="14.25" customHeight="1"/>
    <row r="24810" ht="14.25" customHeight="1"/>
    <row r="24811" ht="14.25" customHeight="1"/>
    <row r="24812" ht="14.25" customHeight="1"/>
    <row r="24813" ht="14.25" customHeight="1"/>
    <row r="24814" ht="14.25" customHeight="1"/>
    <row r="24815" ht="14.25" customHeight="1"/>
    <row r="24816" ht="14.25" customHeight="1"/>
    <row r="24817" ht="14.25" customHeight="1"/>
    <row r="24818" ht="14.25" customHeight="1"/>
    <row r="24819" ht="14.25" customHeight="1"/>
    <row r="24820" ht="14.25" customHeight="1"/>
    <row r="24821" ht="14.25" customHeight="1"/>
    <row r="24822" ht="14.25" customHeight="1"/>
    <row r="24823" ht="14.25" customHeight="1"/>
    <row r="24824" ht="14.25" customHeight="1"/>
    <row r="24825" ht="14.25" customHeight="1"/>
    <row r="24826" ht="14.25" customHeight="1"/>
    <row r="24827" ht="14.25" customHeight="1"/>
    <row r="24828" ht="14.25" customHeight="1"/>
    <row r="24829" ht="14.25" customHeight="1"/>
    <row r="24830" ht="14.25" customHeight="1"/>
    <row r="24831" ht="14.25" customHeight="1"/>
    <row r="24832" ht="14.25" customHeight="1"/>
    <row r="24833" ht="14.25" customHeight="1"/>
    <row r="24834" ht="14.25" customHeight="1"/>
    <row r="24835" ht="14.25" customHeight="1"/>
    <row r="24836" ht="14.25" customHeight="1"/>
    <row r="24837" ht="14.25" customHeight="1"/>
    <row r="24838" ht="14.25" customHeight="1"/>
    <row r="24839" ht="14.25" customHeight="1"/>
    <row r="24840" ht="14.25" customHeight="1"/>
    <row r="24841" ht="14.25" customHeight="1"/>
    <row r="24842" ht="14.25" customHeight="1"/>
    <row r="24843" ht="14.25" customHeight="1"/>
    <row r="24844" ht="14.25" customHeight="1"/>
    <row r="24845" ht="14.25" customHeight="1"/>
    <row r="24846" ht="14.25" customHeight="1"/>
    <row r="24847" ht="14.25" customHeight="1"/>
    <row r="24848" ht="14.25" customHeight="1"/>
    <row r="24849" ht="14.25" customHeight="1"/>
    <row r="24850" ht="14.25" customHeight="1"/>
    <row r="24851" ht="14.25" customHeight="1"/>
    <row r="24852" ht="14.25" customHeight="1"/>
    <row r="24853" ht="14.25" customHeight="1"/>
    <row r="24854" ht="14.25" customHeight="1"/>
    <row r="24855" ht="14.25" customHeight="1"/>
    <row r="24856" ht="14.25" customHeight="1"/>
    <row r="24857" ht="14.25" customHeight="1"/>
    <row r="24858" ht="14.25" customHeight="1"/>
    <row r="24859" ht="14.25" customHeight="1"/>
    <row r="24860" ht="14.25" customHeight="1"/>
    <row r="24861" ht="14.25" customHeight="1"/>
    <row r="24862" ht="14.25" customHeight="1"/>
    <row r="24863" ht="14.25" customHeight="1"/>
    <row r="24864" ht="14.25" customHeight="1"/>
    <row r="24865" ht="14.25" customHeight="1"/>
    <row r="24866" ht="14.25" customHeight="1"/>
    <row r="24867" ht="14.25" customHeight="1"/>
    <row r="24868" ht="14.25" customHeight="1"/>
    <row r="24869" ht="14.25" customHeight="1"/>
    <row r="24870" ht="14.25" customHeight="1"/>
    <row r="24871" ht="14.25" customHeight="1"/>
    <row r="24872" ht="14.25" customHeight="1"/>
    <row r="24873" ht="14.25" customHeight="1"/>
    <row r="24874" ht="14.25" customHeight="1"/>
    <row r="24875" ht="14.25" customHeight="1"/>
    <row r="24876" ht="14.25" customHeight="1"/>
    <row r="24877" ht="14.25" customHeight="1"/>
    <row r="24878" ht="14.25" customHeight="1"/>
    <row r="24879" ht="14.25" customHeight="1"/>
    <row r="24880" ht="14.25" customHeight="1"/>
    <row r="24881" ht="14.25" customHeight="1"/>
    <row r="24882" ht="14.25" customHeight="1"/>
    <row r="24883" ht="14.25" customHeight="1"/>
    <row r="24884" ht="14.25" customHeight="1"/>
    <row r="24885" ht="14.25" customHeight="1"/>
    <row r="24886" ht="14.25" customHeight="1"/>
    <row r="24887" ht="14.25" customHeight="1"/>
    <row r="24888" ht="14.25" customHeight="1"/>
    <row r="24889" ht="14.25" customHeight="1"/>
    <row r="24890" ht="14.25" customHeight="1"/>
    <row r="24891" ht="14.25" customHeight="1"/>
    <row r="24892" ht="14.25" customHeight="1"/>
    <row r="24893" ht="14.25" customHeight="1"/>
    <row r="24894" ht="14.25" customHeight="1"/>
    <row r="24895" ht="14.25" customHeight="1"/>
    <row r="24896" ht="14.25" customHeight="1"/>
    <row r="24897" ht="14.25" customHeight="1"/>
    <row r="24898" ht="14.25" customHeight="1"/>
    <row r="24899" ht="14.25" customHeight="1"/>
    <row r="24900" ht="14.25" customHeight="1"/>
    <row r="24901" ht="14.25" customHeight="1"/>
    <row r="24902" ht="14.25" customHeight="1"/>
    <row r="24903" ht="14.25" customHeight="1"/>
    <row r="24904" ht="14.25" customHeight="1"/>
    <row r="24905" ht="14.25" customHeight="1"/>
    <row r="24906" ht="14.25" customHeight="1"/>
    <row r="24907" ht="14.25" customHeight="1"/>
    <row r="24908" ht="14.25" customHeight="1"/>
    <row r="24909" ht="14.25" customHeight="1"/>
    <row r="24910" ht="14.25" customHeight="1"/>
    <row r="24911" ht="14.25" customHeight="1"/>
    <row r="24912" ht="14.25" customHeight="1"/>
    <row r="24913" ht="14.25" customHeight="1"/>
    <row r="24914" ht="14.25" customHeight="1"/>
    <row r="24915" ht="14.25" customHeight="1"/>
    <row r="24916" ht="14.25" customHeight="1"/>
    <row r="24917" ht="14.25" customHeight="1"/>
    <row r="24918" ht="14.25" customHeight="1"/>
    <row r="24919" ht="14.25" customHeight="1"/>
    <row r="24920" ht="14.25" customHeight="1"/>
    <row r="24921" ht="14.25" customHeight="1"/>
    <row r="24922" ht="14.25" customHeight="1"/>
    <row r="24923" ht="14.25" customHeight="1"/>
    <row r="24924" ht="14.25" customHeight="1"/>
    <row r="24925" ht="14.25" customHeight="1"/>
    <row r="24926" ht="14.25" customHeight="1"/>
    <row r="24927" ht="14.25" customHeight="1"/>
    <row r="24928" ht="14.25" customHeight="1"/>
    <row r="24929" ht="14.25" customHeight="1"/>
    <row r="24930" ht="14.25" customHeight="1"/>
    <row r="24931" ht="14.25" customHeight="1"/>
    <row r="24932" ht="14.25" customHeight="1"/>
    <row r="24933" ht="14.25" customHeight="1"/>
    <row r="24934" ht="14.25" customHeight="1"/>
    <row r="24935" ht="14.25" customHeight="1"/>
    <row r="24936" ht="14.25" customHeight="1"/>
    <row r="24937" ht="14.25" customHeight="1"/>
    <row r="24938" ht="14.25" customHeight="1"/>
    <row r="24939" ht="14.25" customHeight="1"/>
    <row r="24940" ht="14.25" customHeight="1"/>
    <row r="24941" ht="14.25" customHeight="1"/>
    <row r="24942" ht="14.25" customHeight="1"/>
    <row r="24943" ht="14.25" customHeight="1"/>
    <row r="24944" ht="14.25" customHeight="1"/>
    <row r="24945" ht="14.25" customHeight="1"/>
    <row r="24946" ht="14.25" customHeight="1"/>
    <row r="24947" ht="14.25" customHeight="1"/>
    <row r="24948" ht="14.25" customHeight="1"/>
    <row r="24949" ht="14.25" customHeight="1"/>
    <row r="24950" ht="14.25" customHeight="1"/>
    <row r="24951" ht="14.25" customHeight="1"/>
    <row r="24952" ht="14.25" customHeight="1"/>
    <row r="24953" ht="14.25" customHeight="1"/>
    <row r="24954" ht="14.25" customHeight="1"/>
    <row r="24955" ht="14.25" customHeight="1"/>
    <row r="24956" ht="14.25" customHeight="1"/>
    <row r="24957" ht="14.25" customHeight="1"/>
    <row r="24958" ht="14.25" customHeight="1"/>
    <row r="24959" ht="14.25" customHeight="1"/>
    <row r="24960" ht="14.25" customHeight="1"/>
    <row r="24961" ht="14.25" customHeight="1"/>
    <row r="24962" ht="14.25" customHeight="1"/>
    <row r="24963" ht="14.25" customHeight="1"/>
    <row r="24964" ht="14.25" customHeight="1"/>
    <row r="24965" ht="14.25" customHeight="1"/>
    <row r="24966" ht="14.25" customHeight="1"/>
    <row r="24967" ht="14.25" customHeight="1"/>
    <row r="24968" ht="14.25" customHeight="1"/>
    <row r="24969" ht="14.25" customHeight="1"/>
    <row r="24970" ht="14.25" customHeight="1"/>
    <row r="24971" ht="14.25" customHeight="1"/>
    <row r="24972" ht="14.25" customHeight="1"/>
    <row r="24973" ht="14.25" customHeight="1"/>
    <row r="24974" ht="14.25" customHeight="1"/>
    <row r="24975" ht="14.25" customHeight="1"/>
    <row r="24976" ht="14.25" customHeight="1"/>
    <row r="24977" ht="14.25" customHeight="1"/>
    <row r="24978" ht="14.25" customHeight="1"/>
    <row r="24979" ht="14.25" customHeight="1"/>
    <row r="24980" ht="14.25" customHeight="1"/>
    <row r="24981" ht="14.25" customHeight="1"/>
    <row r="24982" ht="14.25" customHeight="1"/>
    <row r="24983" ht="14.25" customHeight="1"/>
    <row r="24984" ht="14.25" customHeight="1"/>
    <row r="24985" ht="14.25" customHeight="1"/>
    <row r="24986" ht="14.25" customHeight="1"/>
    <row r="24987" ht="14.25" customHeight="1"/>
    <row r="24988" ht="14.25" customHeight="1"/>
    <row r="24989" ht="14.25" customHeight="1"/>
    <row r="24990" ht="14.25" customHeight="1"/>
    <row r="24991" ht="14.25" customHeight="1"/>
    <row r="24992" ht="14.25" customHeight="1"/>
    <row r="24993" ht="14.25" customHeight="1"/>
    <row r="24994" ht="14.25" customHeight="1"/>
    <row r="24995" ht="14.25" customHeight="1"/>
    <row r="24996" ht="14.25" customHeight="1"/>
    <row r="24997" ht="14.25" customHeight="1"/>
    <row r="24998" ht="14.25" customHeight="1"/>
    <row r="24999" ht="14.25" customHeight="1"/>
    <row r="25000" ht="14.25" customHeight="1"/>
    <row r="25001" ht="14.25" customHeight="1"/>
    <row r="25002" ht="14.25" customHeight="1"/>
    <row r="25003" ht="14.25" customHeight="1"/>
    <row r="25004" ht="14.25" customHeight="1"/>
    <row r="25005" ht="14.25" customHeight="1"/>
    <row r="25006" ht="14.25" customHeight="1"/>
    <row r="25007" ht="14.25" customHeight="1"/>
    <row r="25008" ht="14.25" customHeight="1"/>
    <row r="25009" ht="14.25" customHeight="1"/>
    <row r="25010" ht="14.25" customHeight="1"/>
    <row r="25011" ht="14.25" customHeight="1"/>
    <row r="25012" ht="14.25" customHeight="1"/>
    <row r="25013" ht="14.25" customHeight="1"/>
    <row r="25014" ht="14.25" customHeight="1"/>
    <row r="25015" ht="14.25" customHeight="1"/>
    <row r="25016" ht="14.25" customHeight="1"/>
    <row r="25017" ht="14.25" customHeight="1"/>
    <row r="25018" ht="14.25" customHeight="1"/>
    <row r="25019" ht="14.25" customHeight="1"/>
    <row r="25020" ht="14.25" customHeight="1"/>
    <row r="25021" ht="14.25" customHeight="1"/>
    <row r="25022" ht="14.25" customHeight="1"/>
    <row r="25023" ht="14.25" customHeight="1"/>
    <row r="25024" ht="14.25" customHeight="1"/>
    <row r="25025" ht="14.25" customHeight="1"/>
    <row r="25026" ht="14.25" customHeight="1"/>
    <row r="25027" ht="14.25" customHeight="1"/>
    <row r="25028" ht="14.25" customHeight="1"/>
    <row r="25029" ht="14.25" customHeight="1"/>
    <row r="25030" ht="14.25" customHeight="1"/>
    <row r="25031" ht="14.25" customHeight="1"/>
    <row r="25032" ht="14.25" customHeight="1"/>
    <row r="25033" ht="14.25" customHeight="1"/>
    <row r="25034" ht="14.25" customHeight="1"/>
    <row r="25035" ht="14.25" customHeight="1"/>
    <row r="25036" ht="14.25" customHeight="1"/>
    <row r="25037" ht="14.25" customHeight="1"/>
    <row r="25038" ht="14.25" customHeight="1"/>
    <row r="25039" ht="14.25" customHeight="1"/>
    <row r="25040" ht="14.25" customHeight="1"/>
    <row r="25041" ht="14.25" customHeight="1"/>
    <row r="25042" ht="14.25" customHeight="1"/>
    <row r="25043" ht="14.25" customHeight="1"/>
    <row r="25044" ht="14.25" customHeight="1"/>
    <row r="25045" ht="14.25" customHeight="1"/>
    <row r="25046" ht="14.25" customHeight="1"/>
    <row r="25047" ht="14.25" customHeight="1"/>
    <row r="25048" ht="14.25" customHeight="1"/>
    <row r="25049" ht="14.25" customHeight="1"/>
    <row r="25050" ht="14.25" customHeight="1"/>
    <row r="25051" ht="14.25" customHeight="1"/>
    <row r="25052" ht="14.25" customHeight="1"/>
    <row r="25053" ht="14.25" customHeight="1"/>
    <row r="25054" ht="14.25" customHeight="1"/>
    <row r="25055" ht="14.25" customHeight="1"/>
    <row r="25056" ht="14.25" customHeight="1"/>
    <row r="25057" ht="14.25" customHeight="1"/>
    <row r="25058" ht="14.25" customHeight="1"/>
    <row r="25059" ht="14.25" customHeight="1"/>
    <row r="25060" ht="14.25" customHeight="1"/>
    <row r="25061" ht="14.25" customHeight="1"/>
    <row r="25062" ht="14.25" customHeight="1"/>
    <row r="25063" ht="14.25" customHeight="1"/>
    <row r="25064" ht="14.25" customHeight="1"/>
    <row r="25065" ht="14.25" customHeight="1"/>
    <row r="25066" ht="14.25" customHeight="1"/>
    <row r="25067" ht="14.25" customHeight="1"/>
    <row r="25068" ht="14.25" customHeight="1"/>
    <row r="25069" ht="14.25" customHeight="1"/>
    <row r="25070" ht="14.25" customHeight="1"/>
    <row r="25071" ht="14.25" customHeight="1"/>
    <row r="25072" ht="14.25" customHeight="1"/>
    <row r="25073" ht="14.25" customHeight="1"/>
    <row r="25074" ht="14.25" customHeight="1"/>
    <row r="25075" ht="14.25" customHeight="1"/>
    <row r="25076" ht="14.25" customHeight="1"/>
    <row r="25077" ht="14.25" customHeight="1"/>
    <row r="25078" ht="14.25" customHeight="1"/>
    <row r="25079" ht="14.25" customHeight="1"/>
    <row r="25080" ht="14.25" customHeight="1"/>
    <row r="25081" ht="14.25" customHeight="1"/>
    <row r="25082" ht="14.25" customHeight="1"/>
    <row r="25083" ht="14.25" customHeight="1"/>
    <row r="25084" ht="14.25" customHeight="1"/>
    <row r="25085" ht="14.25" customHeight="1"/>
    <row r="25086" ht="14.25" customHeight="1"/>
    <row r="25087" ht="14.25" customHeight="1"/>
    <row r="25088" ht="14.25" customHeight="1"/>
    <row r="25089" ht="14.25" customHeight="1"/>
    <row r="25090" ht="14.25" customHeight="1"/>
    <row r="25091" ht="14.25" customHeight="1"/>
    <row r="25092" ht="14.25" customHeight="1"/>
    <row r="25093" ht="14.25" customHeight="1"/>
    <row r="25094" ht="14.25" customHeight="1"/>
    <row r="25095" ht="14.25" customHeight="1"/>
    <row r="25096" ht="14.25" customHeight="1"/>
    <row r="25097" ht="14.25" customHeight="1"/>
    <row r="25098" ht="14.25" customHeight="1"/>
    <row r="25099" ht="14.25" customHeight="1"/>
    <row r="25100" ht="14.25" customHeight="1"/>
    <row r="25101" ht="14.25" customHeight="1"/>
    <row r="25102" ht="14.25" customHeight="1"/>
    <row r="25103" ht="14.25" customHeight="1"/>
    <row r="25104" ht="14.25" customHeight="1"/>
    <row r="25105" ht="14.25" customHeight="1"/>
    <row r="25106" ht="14.25" customHeight="1"/>
    <row r="25107" ht="14.25" customHeight="1"/>
    <row r="25108" ht="14.25" customHeight="1"/>
    <row r="25109" ht="14.25" customHeight="1"/>
    <row r="25110" ht="14.25" customHeight="1"/>
    <row r="25111" ht="14.25" customHeight="1"/>
    <row r="25112" ht="14.25" customHeight="1"/>
    <row r="25113" ht="14.25" customHeight="1"/>
    <row r="25114" ht="14.25" customHeight="1"/>
    <row r="25115" ht="14.25" customHeight="1"/>
    <row r="25116" ht="14.25" customHeight="1"/>
    <row r="25117" ht="14.25" customHeight="1"/>
    <row r="25118" ht="14.25" customHeight="1"/>
    <row r="25119" ht="14.25" customHeight="1"/>
    <row r="25120" ht="14.25" customHeight="1"/>
    <row r="25121" ht="14.25" customHeight="1"/>
    <row r="25122" ht="14.25" customHeight="1"/>
    <row r="25123" ht="14.25" customHeight="1"/>
    <row r="25124" ht="14.25" customHeight="1"/>
    <row r="25125" ht="14.25" customHeight="1"/>
    <row r="25126" ht="14.25" customHeight="1"/>
    <row r="25127" ht="14.25" customHeight="1"/>
    <row r="25128" ht="14.25" customHeight="1"/>
    <row r="25129" ht="14.25" customHeight="1"/>
    <row r="25130" ht="14.25" customHeight="1"/>
    <row r="25131" ht="14.25" customHeight="1"/>
    <row r="25132" ht="14.25" customHeight="1"/>
    <row r="25133" ht="14.25" customHeight="1"/>
    <row r="25134" ht="14.25" customHeight="1"/>
    <row r="25135" ht="14.25" customHeight="1"/>
    <row r="25136" ht="14.25" customHeight="1"/>
    <row r="25137" ht="14.25" customHeight="1"/>
    <row r="25138" ht="14.25" customHeight="1"/>
    <row r="25139" ht="14.25" customHeight="1"/>
    <row r="25140" ht="14.25" customHeight="1"/>
    <row r="25141" ht="14.25" customHeight="1"/>
    <row r="25142" ht="14.25" customHeight="1"/>
    <row r="25143" ht="14.25" customHeight="1"/>
    <row r="25144" ht="14.25" customHeight="1"/>
    <row r="25145" ht="14.25" customHeight="1"/>
    <row r="25146" ht="14.25" customHeight="1"/>
    <row r="25147" ht="14.25" customHeight="1"/>
    <row r="25148" ht="14.25" customHeight="1"/>
    <row r="25149" ht="14.25" customHeight="1"/>
    <row r="25150" ht="14.25" customHeight="1"/>
    <row r="25151" ht="14.25" customHeight="1"/>
    <row r="25152" ht="14.25" customHeight="1"/>
    <row r="25153" ht="14.25" customHeight="1"/>
    <row r="25154" ht="14.25" customHeight="1"/>
    <row r="25155" ht="14.25" customHeight="1"/>
    <row r="25156" ht="14.25" customHeight="1"/>
    <row r="25157" ht="14.25" customHeight="1"/>
    <row r="25158" ht="14.25" customHeight="1"/>
    <row r="25159" ht="14.25" customHeight="1"/>
    <row r="25160" ht="14.25" customHeight="1"/>
    <row r="25161" ht="14.25" customHeight="1"/>
    <row r="25162" ht="14.25" customHeight="1"/>
    <row r="25163" ht="14.25" customHeight="1"/>
    <row r="25164" ht="14.25" customHeight="1"/>
    <row r="25165" ht="14.25" customHeight="1"/>
    <row r="25166" ht="14.25" customHeight="1"/>
    <row r="25167" ht="14.25" customHeight="1"/>
    <row r="25168" ht="14.25" customHeight="1"/>
    <row r="25169" ht="14.25" customHeight="1"/>
    <row r="25170" ht="14.25" customHeight="1"/>
    <row r="25171" ht="14.25" customHeight="1"/>
    <row r="25172" ht="14.25" customHeight="1"/>
    <row r="25173" ht="14.25" customHeight="1"/>
    <row r="25174" ht="14.25" customHeight="1"/>
    <row r="25175" ht="14.25" customHeight="1"/>
    <row r="25176" ht="14.25" customHeight="1"/>
    <row r="25177" ht="14.25" customHeight="1"/>
    <row r="25178" ht="14.25" customHeight="1"/>
    <row r="25179" ht="14.25" customHeight="1"/>
    <row r="25180" ht="14.25" customHeight="1"/>
    <row r="25181" ht="14.25" customHeight="1"/>
    <row r="25182" ht="14.25" customHeight="1"/>
    <row r="25183" ht="14.25" customHeight="1"/>
    <row r="25184" ht="14.25" customHeight="1"/>
    <row r="25185" ht="14.25" customHeight="1"/>
    <row r="25186" ht="14.25" customHeight="1"/>
    <row r="25187" ht="14.25" customHeight="1"/>
    <row r="25188" ht="14.25" customHeight="1"/>
    <row r="25189" ht="14.25" customHeight="1"/>
    <row r="25190" ht="14.25" customHeight="1"/>
    <row r="25191" ht="14.25" customHeight="1"/>
    <row r="25192" ht="14.25" customHeight="1"/>
    <row r="25193" ht="14.25" customHeight="1"/>
    <row r="25194" ht="14.25" customHeight="1"/>
    <row r="25195" ht="14.25" customHeight="1"/>
    <row r="25196" ht="14.25" customHeight="1"/>
    <row r="25197" ht="14.25" customHeight="1"/>
    <row r="25198" ht="14.25" customHeight="1"/>
    <row r="25199" ht="14.25" customHeight="1"/>
    <row r="25200" ht="14.25" customHeight="1"/>
    <row r="25201" ht="14.25" customHeight="1"/>
    <row r="25202" ht="14.25" customHeight="1"/>
    <row r="25203" ht="14.25" customHeight="1"/>
    <row r="25204" ht="14.25" customHeight="1"/>
    <row r="25205" ht="14.25" customHeight="1"/>
    <row r="25206" ht="14.25" customHeight="1"/>
    <row r="25207" ht="14.25" customHeight="1"/>
    <row r="25208" ht="14.25" customHeight="1"/>
    <row r="25209" ht="14.25" customHeight="1"/>
    <row r="25210" ht="14.25" customHeight="1"/>
    <row r="25211" ht="14.25" customHeight="1"/>
    <row r="25212" ht="14.25" customHeight="1"/>
    <row r="25213" ht="14.25" customHeight="1"/>
    <row r="25214" ht="14.25" customHeight="1"/>
    <row r="25215" ht="14.25" customHeight="1"/>
    <row r="25216" ht="14.25" customHeight="1"/>
    <row r="25217" ht="14.25" customHeight="1"/>
    <row r="25218" ht="14.25" customHeight="1"/>
    <row r="25219" ht="14.25" customHeight="1"/>
    <row r="25220" ht="14.25" customHeight="1"/>
    <row r="25221" ht="14.25" customHeight="1"/>
    <row r="25222" ht="14.25" customHeight="1"/>
    <row r="25223" ht="14.25" customHeight="1"/>
    <row r="25224" ht="14.25" customHeight="1"/>
    <row r="25225" ht="14.25" customHeight="1"/>
    <row r="25226" ht="14.25" customHeight="1"/>
    <row r="25227" ht="14.25" customHeight="1"/>
    <row r="25228" ht="14.25" customHeight="1"/>
    <row r="25229" ht="14.25" customHeight="1"/>
    <row r="25230" ht="14.25" customHeight="1"/>
    <row r="25231" ht="14.25" customHeight="1"/>
    <row r="25232" ht="14.25" customHeight="1"/>
    <row r="25233" ht="14.25" customHeight="1"/>
    <row r="25234" ht="14.25" customHeight="1"/>
    <row r="25235" ht="14.25" customHeight="1"/>
    <row r="25236" ht="14.25" customHeight="1"/>
    <row r="25237" ht="14.25" customHeight="1"/>
    <row r="25238" ht="14.25" customHeight="1"/>
    <row r="25239" ht="14.25" customHeight="1"/>
    <row r="25240" ht="14.25" customHeight="1"/>
    <row r="25241" ht="14.25" customHeight="1"/>
    <row r="25242" ht="14.25" customHeight="1"/>
    <row r="25243" ht="14.25" customHeight="1"/>
    <row r="25244" ht="14.25" customHeight="1"/>
    <row r="25245" ht="14.25" customHeight="1"/>
    <row r="25246" ht="14.25" customHeight="1"/>
    <row r="25247" ht="14.25" customHeight="1"/>
    <row r="25248" ht="14.25" customHeight="1"/>
    <row r="25249" ht="14.25" customHeight="1"/>
    <row r="25250" ht="14.25" customHeight="1"/>
    <row r="25251" ht="14.25" customHeight="1"/>
    <row r="25252" ht="14.25" customHeight="1"/>
    <row r="25253" ht="14.25" customHeight="1"/>
    <row r="25254" ht="14.25" customHeight="1"/>
    <row r="25255" ht="14.25" customHeight="1"/>
    <row r="25256" ht="14.25" customHeight="1"/>
    <row r="25257" ht="14.25" customHeight="1"/>
    <row r="25258" ht="14.25" customHeight="1"/>
    <row r="25259" ht="14.25" customHeight="1"/>
    <row r="25260" ht="14.25" customHeight="1"/>
    <row r="25261" ht="14.25" customHeight="1"/>
    <row r="25262" ht="14.25" customHeight="1"/>
    <row r="25263" ht="14.25" customHeight="1"/>
    <row r="25264" ht="14.25" customHeight="1"/>
    <row r="25265" ht="14.25" customHeight="1"/>
    <row r="25266" ht="14.25" customHeight="1"/>
    <row r="25267" ht="14.25" customHeight="1"/>
    <row r="25268" ht="14.25" customHeight="1"/>
    <row r="25269" ht="14.25" customHeight="1"/>
    <row r="25270" ht="14.25" customHeight="1"/>
    <row r="25271" ht="14.25" customHeight="1"/>
    <row r="25272" ht="14.25" customHeight="1"/>
    <row r="25273" ht="14.25" customHeight="1"/>
    <row r="25274" ht="14.25" customHeight="1"/>
    <row r="25275" ht="14.25" customHeight="1"/>
    <row r="25276" ht="14.25" customHeight="1"/>
    <row r="25277" ht="14.25" customHeight="1"/>
    <row r="25278" ht="14.25" customHeight="1"/>
    <row r="25279" ht="14.25" customHeight="1"/>
    <row r="25280" ht="14.25" customHeight="1"/>
    <row r="25281" ht="14.25" customHeight="1"/>
    <row r="25282" ht="14.25" customHeight="1"/>
    <row r="25283" ht="14.25" customHeight="1"/>
    <row r="25284" ht="14.25" customHeight="1"/>
    <row r="25285" ht="14.25" customHeight="1"/>
    <row r="25286" ht="14.25" customHeight="1"/>
    <row r="25287" ht="14.25" customHeight="1"/>
    <row r="25288" ht="14.25" customHeight="1"/>
    <row r="25289" ht="14.25" customHeight="1"/>
    <row r="25290" ht="14.25" customHeight="1"/>
    <row r="25291" ht="14.25" customHeight="1"/>
    <row r="25292" ht="14.25" customHeight="1"/>
    <row r="25293" ht="14.25" customHeight="1"/>
    <row r="25294" ht="14.25" customHeight="1"/>
    <row r="25295" ht="14.25" customHeight="1"/>
    <row r="25296" ht="14.25" customHeight="1"/>
    <row r="25297" ht="14.25" customHeight="1"/>
    <row r="25298" ht="14.25" customHeight="1"/>
    <row r="25299" ht="14.25" customHeight="1"/>
    <row r="25300" ht="14.25" customHeight="1"/>
    <row r="25301" ht="14.25" customHeight="1"/>
    <row r="25302" ht="14.25" customHeight="1"/>
    <row r="25303" ht="14.25" customHeight="1"/>
    <row r="25304" ht="14.25" customHeight="1"/>
    <row r="25305" ht="14.25" customHeight="1"/>
    <row r="25306" ht="14.25" customHeight="1"/>
    <row r="25307" ht="14.25" customHeight="1"/>
    <row r="25308" ht="14.25" customHeight="1"/>
    <row r="25309" ht="14.25" customHeight="1"/>
    <row r="25310" ht="14.25" customHeight="1"/>
    <row r="25311" ht="14.25" customHeight="1"/>
    <row r="25312" ht="14.25" customHeight="1"/>
    <row r="25313" ht="14.25" customHeight="1"/>
    <row r="25314" ht="14.25" customHeight="1"/>
    <row r="25315" ht="14.25" customHeight="1"/>
    <row r="25316" ht="14.25" customHeight="1"/>
    <row r="25317" ht="14.25" customHeight="1"/>
    <row r="25318" ht="14.25" customHeight="1"/>
    <row r="25319" ht="14.25" customHeight="1"/>
    <row r="25320" ht="14.25" customHeight="1"/>
    <row r="25321" ht="14.25" customHeight="1"/>
    <row r="25322" ht="14.25" customHeight="1"/>
    <row r="25323" ht="14.25" customHeight="1"/>
    <row r="25324" ht="14.25" customHeight="1"/>
    <row r="25325" ht="14.25" customHeight="1"/>
    <row r="25326" ht="14.25" customHeight="1"/>
    <row r="25327" ht="14.25" customHeight="1"/>
    <row r="25328" ht="14.25" customHeight="1"/>
    <row r="25329" ht="14.25" customHeight="1"/>
    <row r="25330" ht="14.25" customHeight="1"/>
    <row r="25331" ht="14.25" customHeight="1"/>
    <row r="25332" ht="14.25" customHeight="1"/>
    <row r="25333" ht="14.25" customHeight="1"/>
    <row r="25334" ht="14.25" customHeight="1"/>
    <row r="25335" ht="14.25" customHeight="1"/>
    <row r="25336" ht="14.25" customHeight="1"/>
    <row r="25337" ht="14.25" customHeight="1"/>
    <row r="25338" ht="14.25" customHeight="1"/>
    <row r="25339" ht="14.25" customHeight="1"/>
    <row r="25340" ht="14.25" customHeight="1"/>
    <row r="25341" ht="14.25" customHeight="1"/>
    <row r="25342" ht="14.25" customHeight="1"/>
    <row r="25343" ht="14.25" customHeight="1"/>
    <row r="25344" ht="14.25" customHeight="1"/>
    <row r="25345" ht="14.25" customHeight="1"/>
    <row r="25346" ht="14.25" customHeight="1"/>
    <row r="25347" ht="14.25" customHeight="1"/>
    <row r="25348" ht="14.25" customHeight="1"/>
    <row r="25349" ht="14.25" customHeight="1"/>
    <row r="25350" ht="14.25" customHeight="1"/>
    <row r="25351" ht="14.25" customHeight="1"/>
    <row r="25352" ht="14.25" customHeight="1"/>
    <row r="25353" ht="14.25" customHeight="1"/>
    <row r="25354" ht="14.25" customHeight="1"/>
    <row r="25355" ht="14.25" customHeight="1"/>
    <row r="25356" ht="14.25" customHeight="1"/>
    <row r="25357" ht="14.25" customHeight="1"/>
    <row r="25358" ht="14.25" customHeight="1"/>
    <row r="25359" ht="14.25" customHeight="1"/>
    <row r="25360" ht="14.25" customHeight="1"/>
    <row r="25361" ht="14.25" customHeight="1"/>
    <row r="25362" ht="14.25" customHeight="1"/>
    <row r="25363" ht="14.25" customHeight="1"/>
    <row r="25364" ht="14.25" customHeight="1"/>
    <row r="25365" ht="14.25" customHeight="1"/>
    <row r="25366" ht="14.25" customHeight="1"/>
    <row r="25367" ht="14.25" customHeight="1"/>
    <row r="25368" ht="14.25" customHeight="1"/>
    <row r="25369" ht="14.25" customHeight="1"/>
    <row r="25370" ht="14.25" customHeight="1"/>
    <row r="25371" ht="14.25" customHeight="1"/>
    <row r="25372" ht="14.25" customHeight="1"/>
    <row r="25373" ht="14.25" customHeight="1"/>
    <row r="25374" ht="14.25" customHeight="1"/>
    <row r="25375" ht="14.25" customHeight="1"/>
    <row r="25376" ht="14.25" customHeight="1"/>
    <row r="25377" ht="14.25" customHeight="1"/>
    <row r="25378" ht="14.25" customHeight="1"/>
    <row r="25379" ht="14.25" customHeight="1"/>
    <row r="25380" ht="14.25" customHeight="1"/>
    <row r="25381" ht="14.25" customHeight="1"/>
    <row r="25382" ht="14.25" customHeight="1"/>
    <row r="25383" ht="14.25" customHeight="1"/>
    <row r="25384" ht="14.25" customHeight="1"/>
    <row r="25385" ht="14.25" customHeight="1"/>
    <row r="25386" ht="14.25" customHeight="1"/>
    <row r="25387" ht="14.25" customHeight="1"/>
    <row r="25388" ht="14.25" customHeight="1"/>
    <row r="25389" ht="14.25" customHeight="1"/>
    <row r="25390" ht="14.25" customHeight="1"/>
    <row r="25391" ht="14.25" customHeight="1"/>
    <row r="25392" ht="14.25" customHeight="1"/>
    <row r="25393" ht="14.25" customHeight="1"/>
    <row r="25394" ht="14.25" customHeight="1"/>
    <row r="25395" ht="14.25" customHeight="1"/>
    <row r="25396" ht="14.25" customHeight="1"/>
    <row r="25397" ht="14.25" customHeight="1"/>
    <row r="25398" ht="14.25" customHeight="1"/>
    <row r="25399" ht="14.25" customHeight="1"/>
    <row r="25400" ht="14.25" customHeight="1"/>
    <row r="25401" ht="14.25" customHeight="1"/>
    <row r="25402" ht="14.25" customHeight="1"/>
    <row r="25403" ht="14.25" customHeight="1"/>
    <row r="25404" ht="14.25" customHeight="1"/>
    <row r="25405" ht="14.25" customHeight="1"/>
    <row r="25406" ht="14.25" customHeight="1"/>
    <row r="25407" ht="14.25" customHeight="1"/>
    <row r="25408" ht="14.25" customHeight="1"/>
    <row r="25409" ht="14.25" customHeight="1"/>
    <row r="25410" ht="14.25" customHeight="1"/>
    <row r="25411" ht="14.25" customHeight="1"/>
    <row r="25412" ht="14.25" customHeight="1"/>
    <row r="25413" ht="14.25" customHeight="1"/>
    <row r="25414" ht="14.25" customHeight="1"/>
    <row r="25415" ht="14.25" customHeight="1"/>
    <row r="25416" ht="14.25" customHeight="1"/>
    <row r="25417" ht="14.25" customHeight="1"/>
    <row r="25418" ht="14.25" customHeight="1"/>
    <row r="25419" ht="14.25" customHeight="1"/>
    <row r="25420" ht="14.25" customHeight="1"/>
    <row r="25421" ht="14.25" customHeight="1"/>
    <row r="25422" ht="14.25" customHeight="1"/>
    <row r="25423" ht="14.25" customHeight="1"/>
    <row r="25424" ht="14.25" customHeight="1"/>
    <row r="25425" ht="14.25" customHeight="1"/>
    <row r="25426" ht="14.25" customHeight="1"/>
    <row r="25427" ht="14.25" customHeight="1"/>
    <row r="25428" ht="14.25" customHeight="1"/>
    <row r="25429" ht="14.25" customHeight="1"/>
    <row r="25430" ht="14.25" customHeight="1"/>
    <row r="25431" ht="14.25" customHeight="1"/>
    <row r="25432" ht="14.25" customHeight="1"/>
    <row r="25433" ht="14.25" customHeight="1"/>
    <row r="25434" ht="14.25" customHeight="1"/>
    <row r="25435" ht="14.25" customHeight="1"/>
    <row r="25436" ht="14.25" customHeight="1"/>
    <row r="25437" ht="14.25" customHeight="1"/>
    <row r="25438" ht="14.25" customHeight="1"/>
    <row r="25439" ht="14.25" customHeight="1"/>
    <row r="25440" ht="14.25" customHeight="1"/>
    <row r="25441" ht="14.25" customHeight="1"/>
    <row r="25442" ht="14.25" customHeight="1"/>
    <row r="25443" ht="14.25" customHeight="1"/>
    <row r="25444" ht="14.25" customHeight="1"/>
    <row r="25445" ht="14.25" customHeight="1"/>
    <row r="25446" ht="14.25" customHeight="1"/>
    <row r="25447" ht="14.25" customHeight="1"/>
    <row r="25448" ht="14.25" customHeight="1"/>
    <row r="25449" ht="14.25" customHeight="1"/>
    <row r="25450" ht="14.25" customHeight="1"/>
    <row r="25451" ht="14.25" customHeight="1"/>
    <row r="25452" ht="14.25" customHeight="1"/>
    <row r="25453" ht="14.25" customHeight="1"/>
    <row r="25454" ht="14.25" customHeight="1"/>
    <row r="25455" ht="14.25" customHeight="1"/>
    <row r="25456" ht="14.25" customHeight="1"/>
    <row r="25457" ht="14.25" customHeight="1"/>
    <row r="25458" ht="14.25" customHeight="1"/>
    <row r="25459" ht="14.25" customHeight="1"/>
    <row r="25460" ht="14.25" customHeight="1"/>
    <row r="25461" ht="14.25" customHeight="1"/>
    <row r="25462" ht="14.25" customHeight="1"/>
    <row r="25463" ht="14.25" customHeight="1"/>
    <row r="25464" ht="14.25" customHeight="1"/>
    <row r="25465" ht="14.25" customHeight="1"/>
    <row r="25466" ht="14.25" customHeight="1"/>
    <row r="25467" ht="14.25" customHeight="1"/>
    <row r="25468" ht="14.25" customHeight="1"/>
    <row r="25469" ht="14.25" customHeight="1"/>
    <row r="25470" ht="14.25" customHeight="1"/>
    <row r="25471" ht="14.25" customHeight="1"/>
    <row r="25472" ht="14.25" customHeight="1"/>
    <row r="25473" ht="14.25" customHeight="1"/>
    <row r="25474" ht="14.25" customHeight="1"/>
    <row r="25475" ht="14.25" customHeight="1"/>
    <row r="25476" ht="14.25" customHeight="1"/>
    <row r="25477" ht="14.25" customHeight="1"/>
    <row r="25478" ht="14.25" customHeight="1"/>
    <row r="25479" ht="14.25" customHeight="1"/>
    <row r="25480" ht="14.25" customHeight="1"/>
    <row r="25481" ht="14.25" customHeight="1"/>
    <row r="25482" ht="14.25" customHeight="1"/>
    <row r="25483" ht="14.25" customHeight="1"/>
    <row r="25484" ht="14.25" customHeight="1"/>
    <row r="25485" ht="14.25" customHeight="1"/>
    <row r="25486" ht="14.25" customHeight="1"/>
    <row r="25487" ht="14.25" customHeight="1"/>
    <row r="25488" ht="14.25" customHeight="1"/>
    <row r="25489" ht="14.25" customHeight="1"/>
    <row r="25490" ht="14.25" customHeight="1"/>
    <row r="25491" ht="14.25" customHeight="1"/>
    <row r="25492" ht="14.25" customHeight="1"/>
    <row r="25493" ht="14.25" customHeight="1"/>
    <row r="25494" ht="14.25" customHeight="1"/>
    <row r="25495" ht="14.25" customHeight="1"/>
    <row r="25496" ht="14.25" customHeight="1"/>
    <row r="25497" ht="14.25" customHeight="1"/>
    <row r="25498" ht="14.25" customHeight="1"/>
    <row r="25499" ht="14.25" customHeight="1"/>
    <row r="25500" ht="14.25" customHeight="1"/>
    <row r="25501" ht="14.25" customHeight="1"/>
    <row r="25502" ht="14.25" customHeight="1"/>
    <row r="25503" ht="14.25" customHeight="1"/>
    <row r="25504" ht="14.25" customHeight="1"/>
    <row r="25505" ht="14.25" customHeight="1"/>
    <row r="25506" ht="14.25" customHeight="1"/>
    <row r="25507" ht="14.25" customHeight="1"/>
    <row r="25508" ht="14.25" customHeight="1"/>
    <row r="25509" ht="14.25" customHeight="1"/>
    <row r="25510" ht="14.25" customHeight="1"/>
    <row r="25511" ht="14.25" customHeight="1"/>
    <row r="25512" ht="14.25" customHeight="1"/>
    <row r="25513" ht="14.25" customHeight="1"/>
    <row r="25514" ht="14.25" customHeight="1"/>
    <row r="25515" ht="14.25" customHeight="1"/>
    <row r="25516" ht="14.25" customHeight="1"/>
    <row r="25517" ht="14.25" customHeight="1"/>
    <row r="25518" ht="14.25" customHeight="1"/>
    <row r="25519" ht="14.25" customHeight="1"/>
    <row r="25520" ht="14.25" customHeight="1"/>
    <row r="25521" ht="14.25" customHeight="1"/>
    <row r="25522" ht="14.25" customHeight="1"/>
    <row r="25523" ht="14.25" customHeight="1"/>
    <row r="25524" ht="14.25" customHeight="1"/>
    <row r="25525" ht="14.25" customHeight="1"/>
    <row r="25526" ht="14.25" customHeight="1"/>
    <row r="25527" ht="14.25" customHeight="1"/>
    <row r="25528" ht="14.25" customHeight="1"/>
    <row r="25529" ht="14.25" customHeight="1"/>
    <row r="25530" ht="14.25" customHeight="1"/>
    <row r="25531" ht="14.25" customHeight="1"/>
    <row r="25532" ht="14.25" customHeight="1"/>
    <row r="25533" ht="14.25" customHeight="1"/>
    <row r="25534" ht="14.25" customHeight="1"/>
    <row r="25535" ht="14.25" customHeight="1"/>
    <row r="25536" ht="14.25" customHeight="1"/>
    <row r="25537" ht="14.25" customHeight="1"/>
    <row r="25538" ht="14.25" customHeight="1"/>
    <row r="25539" ht="14.25" customHeight="1"/>
    <row r="25540" ht="14.25" customHeight="1"/>
    <row r="25541" ht="14.25" customHeight="1"/>
    <row r="25542" ht="14.25" customHeight="1"/>
    <row r="25543" ht="14.25" customHeight="1"/>
    <row r="25544" ht="14.25" customHeight="1"/>
    <row r="25545" ht="14.25" customHeight="1"/>
    <row r="25546" ht="14.25" customHeight="1"/>
    <row r="25547" ht="14.25" customHeight="1"/>
    <row r="25548" ht="14.25" customHeight="1"/>
    <row r="25549" ht="14.25" customHeight="1"/>
    <row r="25550" ht="14.25" customHeight="1"/>
    <row r="25551" ht="14.25" customHeight="1"/>
    <row r="25552" ht="14.25" customHeight="1"/>
    <row r="25553" ht="14.25" customHeight="1"/>
    <row r="25554" ht="14.25" customHeight="1"/>
    <row r="25555" ht="14.25" customHeight="1"/>
    <row r="25556" ht="14.25" customHeight="1"/>
    <row r="25557" ht="14.25" customHeight="1"/>
    <row r="25558" ht="14.25" customHeight="1"/>
    <row r="25559" ht="14.25" customHeight="1"/>
    <row r="25560" ht="14.25" customHeight="1"/>
    <row r="25561" ht="14.25" customHeight="1"/>
    <row r="25562" ht="14.25" customHeight="1"/>
    <row r="25563" ht="14.25" customHeight="1"/>
    <row r="25564" ht="14.25" customHeight="1"/>
    <row r="25565" ht="14.25" customHeight="1"/>
    <row r="25566" ht="14.25" customHeight="1"/>
    <row r="25567" ht="14.25" customHeight="1"/>
    <row r="25568" ht="14.25" customHeight="1"/>
    <row r="25569" ht="14.25" customHeight="1"/>
    <row r="25570" ht="14.25" customHeight="1"/>
    <row r="25571" ht="14.25" customHeight="1"/>
    <row r="25572" ht="14.25" customHeight="1"/>
    <row r="25573" ht="14.25" customHeight="1"/>
    <row r="25574" ht="14.25" customHeight="1"/>
    <row r="25575" ht="14.25" customHeight="1"/>
    <row r="25576" ht="14.25" customHeight="1"/>
    <row r="25577" ht="14.25" customHeight="1"/>
    <row r="25578" ht="14.25" customHeight="1"/>
    <row r="25579" ht="14.25" customHeight="1"/>
    <row r="25580" ht="14.25" customHeight="1"/>
    <row r="25581" ht="14.25" customHeight="1"/>
    <row r="25582" ht="14.25" customHeight="1"/>
    <row r="25583" ht="14.25" customHeight="1"/>
    <row r="25584" ht="14.25" customHeight="1"/>
    <row r="25585" ht="14.25" customHeight="1"/>
    <row r="25586" ht="14.25" customHeight="1"/>
    <row r="25587" ht="14.25" customHeight="1"/>
    <row r="25588" ht="14.25" customHeight="1"/>
    <row r="25589" ht="14.25" customHeight="1"/>
    <row r="25590" ht="14.25" customHeight="1"/>
    <row r="25591" ht="14.25" customHeight="1"/>
    <row r="25592" ht="14.25" customHeight="1"/>
    <row r="25593" ht="14.25" customHeight="1"/>
    <row r="25594" ht="14.25" customHeight="1"/>
    <row r="25595" ht="14.25" customHeight="1"/>
    <row r="25596" ht="14.25" customHeight="1"/>
    <row r="25597" ht="14.25" customHeight="1"/>
    <row r="25598" ht="14.25" customHeight="1"/>
    <row r="25599" ht="14.25" customHeight="1"/>
    <row r="25600" ht="14.25" customHeight="1"/>
    <row r="25601" ht="14.25" customHeight="1"/>
    <row r="25602" ht="14.25" customHeight="1"/>
    <row r="25603" ht="14.25" customHeight="1"/>
    <row r="25604" ht="14.25" customHeight="1"/>
    <row r="25605" ht="14.25" customHeight="1"/>
    <row r="25606" ht="14.25" customHeight="1"/>
    <row r="25607" ht="14.25" customHeight="1"/>
    <row r="25608" ht="14.25" customHeight="1"/>
    <row r="25609" ht="14.25" customHeight="1"/>
    <row r="25610" ht="14.25" customHeight="1"/>
    <row r="25611" ht="14.25" customHeight="1"/>
    <row r="25612" ht="14.25" customHeight="1"/>
    <row r="25613" ht="14.25" customHeight="1"/>
    <row r="25614" ht="14.25" customHeight="1"/>
    <row r="25615" ht="14.25" customHeight="1"/>
    <row r="25616" ht="14.25" customHeight="1"/>
    <row r="25617" ht="14.25" customHeight="1"/>
    <row r="25618" ht="14.25" customHeight="1"/>
    <row r="25619" ht="14.25" customHeight="1"/>
    <row r="25620" ht="14.25" customHeight="1"/>
    <row r="25621" ht="14.25" customHeight="1"/>
    <row r="25622" ht="14.25" customHeight="1"/>
    <row r="25623" ht="14.25" customHeight="1"/>
    <row r="25624" ht="14.25" customHeight="1"/>
    <row r="25625" ht="14.25" customHeight="1"/>
    <row r="25626" ht="14.25" customHeight="1"/>
    <row r="25627" ht="14.25" customHeight="1"/>
    <row r="25628" ht="14.25" customHeight="1"/>
    <row r="25629" ht="14.25" customHeight="1"/>
    <row r="25630" ht="14.25" customHeight="1"/>
    <row r="25631" ht="14.25" customHeight="1"/>
    <row r="25632" ht="14.25" customHeight="1"/>
    <row r="25633" ht="14.25" customHeight="1"/>
    <row r="25634" ht="14.25" customHeight="1"/>
    <row r="25635" ht="14.25" customHeight="1"/>
    <row r="25636" ht="14.25" customHeight="1"/>
    <row r="25637" ht="14.25" customHeight="1"/>
    <row r="25638" ht="14.25" customHeight="1"/>
    <row r="25639" ht="14.25" customHeight="1"/>
    <row r="25640" ht="14.25" customHeight="1"/>
    <row r="25641" ht="14.25" customHeight="1"/>
    <row r="25642" ht="14.25" customHeight="1"/>
    <row r="25643" ht="14.25" customHeight="1"/>
    <row r="25644" ht="14.25" customHeight="1"/>
    <row r="25645" ht="14.25" customHeight="1"/>
    <row r="25646" ht="14.25" customHeight="1"/>
    <row r="25647" ht="14.25" customHeight="1"/>
    <row r="25648" ht="14.25" customHeight="1"/>
    <row r="25649" ht="14.25" customHeight="1"/>
    <row r="25650" ht="14.25" customHeight="1"/>
    <row r="25651" ht="14.25" customHeight="1"/>
    <row r="25652" ht="14.25" customHeight="1"/>
    <row r="25653" ht="14.25" customHeight="1"/>
    <row r="25654" ht="14.25" customHeight="1"/>
    <row r="25655" ht="14.25" customHeight="1"/>
    <row r="25656" ht="14.25" customHeight="1"/>
    <row r="25657" ht="14.25" customHeight="1"/>
    <row r="25658" ht="14.25" customHeight="1"/>
    <row r="25659" ht="14.25" customHeight="1"/>
    <row r="25660" ht="14.25" customHeight="1"/>
    <row r="25661" ht="14.25" customHeight="1"/>
    <row r="25662" ht="14.25" customHeight="1"/>
    <row r="25663" ht="14.25" customHeight="1"/>
    <row r="25664" ht="14.25" customHeight="1"/>
    <row r="25665" ht="14.25" customHeight="1"/>
    <row r="25666" ht="14.25" customHeight="1"/>
    <row r="25667" ht="14.25" customHeight="1"/>
    <row r="25668" ht="14.25" customHeight="1"/>
    <row r="25669" ht="14.25" customHeight="1"/>
    <row r="25670" ht="14.25" customHeight="1"/>
    <row r="25671" ht="14.25" customHeight="1"/>
    <row r="25672" ht="14.25" customHeight="1"/>
    <row r="25673" ht="14.25" customHeight="1"/>
    <row r="25674" ht="14.25" customHeight="1"/>
    <row r="25675" ht="14.25" customHeight="1"/>
    <row r="25676" ht="14.25" customHeight="1"/>
    <row r="25677" ht="14.25" customHeight="1"/>
    <row r="25678" ht="14.25" customHeight="1"/>
    <row r="25679" ht="14.25" customHeight="1"/>
    <row r="25680" ht="14.25" customHeight="1"/>
    <row r="25681" ht="14.25" customHeight="1"/>
    <row r="25682" ht="14.25" customHeight="1"/>
    <row r="25683" ht="14.25" customHeight="1"/>
    <row r="25684" ht="14.25" customHeight="1"/>
    <row r="25685" ht="14.25" customHeight="1"/>
    <row r="25686" ht="14.25" customHeight="1"/>
    <row r="25687" ht="14.25" customHeight="1"/>
    <row r="25688" ht="14.25" customHeight="1"/>
    <row r="25689" ht="14.25" customHeight="1"/>
    <row r="25690" ht="14.25" customHeight="1"/>
    <row r="25691" ht="14.25" customHeight="1"/>
    <row r="25692" ht="14.25" customHeight="1"/>
    <row r="25693" ht="14.25" customHeight="1"/>
    <row r="25694" ht="14.25" customHeight="1"/>
    <row r="25695" ht="14.25" customHeight="1"/>
    <row r="25696" ht="14.25" customHeight="1"/>
    <row r="25697" ht="14.25" customHeight="1"/>
    <row r="25698" ht="14.25" customHeight="1"/>
    <row r="25699" ht="14.25" customHeight="1"/>
    <row r="25700" ht="14.25" customHeight="1"/>
    <row r="25701" ht="14.25" customHeight="1"/>
    <row r="25702" ht="14.25" customHeight="1"/>
    <row r="25703" ht="14.25" customHeight="1"/>
    <row r="25704" ht="14.25" customHeight="1"/>
    <row r="25705" ht="14.25" customHeight="1"/>
    <row r="25706" ht="14.25" customHeight="1"/>
    <row r="25707" ht="14.25" customHeight="1"/>
    <row r="25708" ht="14.25" customHeight="1"/>
    <row r="25709" ht="14.25" customHeight="1"/>
    <row r="25710" ht="14.25" customHeight="1"/>
    <row r="25711" ht="14.25" customHeight="1"/>
    <row r="25712" ht="14.25" customHeight="1"/>
    <row r="25713" ht="14.25" customHeight="1"/>
    <row r="25714" ht="14.25" customHeight="1"/>
    <row r="25715" ht="14.25" customHeight="1"/>
    <row r="25716" ht="14.25" customHeight="1"/>
    <row r="25717" ht="14.25" customHeight="1"/>
    <row r="25718" ht="14.25" customHeight="1"/>
    <row r="25719" ht="14.25" customHeight="1"/>
    <row r="25720" ht="14.25" customHeight="1"/>
    <row r="25721" ht="14.25" customHeight="1"/>
    <row r="25722" ht="14.25" customHeight="1"/>
    <row r="25723" ht="14.25" customHeight="1"/>
    <row r="25724" ht="14.25" customHeight="1"/>
    <row r="25725" ht="14.25" customHeight="1"/>
    <row r="25726" ht="14.25" customHeight="1"/>
    <row r="25727" ht="14.25" customHeight="1"/>
    <row r="25728" ht="14.25" customHeight="1"/>
    <row r="25729" ht="14.25" customHeight="1"/>
    <row r="25730" ht="14.25" customHeight="1"/>
    <row r="25731" ht="14.25" customHeight="1"/>
    <row r="25732" ht="14.25" customHeight="1"/>
    <row r="25733" ht="14.25" customHeight="1"/>
    <row r="25734" ht="14.25" customHeight="1"/>
    <row r="25735" ht="14.25" customHeight="1"/>
    <row r="25736" ht="14.25" customHeight="1"/>
    <row r="25737" ht="14.25" customHeight="1"/>
    <row r="25738" ht="14.25" customHeight="1"/>
    <row r="25739" ht="14.25" customHeight="1"/>
    <row r="25740" ht="14.25" customHeight="1"/>
    <row r="25741" ht="14.25" customHeight="1"/>
    <row r="25742" ht="14.25" customHeight="1"/>
    <row r="25743" ht="14.25" customHeight="1"/>
    <row r="25744" ht="14.25" customHeight="1"/>
    <row r="25745" ht="14.25" customHeight="1"/>
    <row r="25746" ht="14.25" customHeight="1"/>
    <row r="25747" ht="14.25" customHeight="1"/>
    <row r="25748" ht="14.25" customHeight="1"/>
    <row r="25749" ht="14.25" customHeight="1"/>
    <row r="25750" ht="14.25" customHeight="1"/>
    <row r="25751" ht="14.25" customHeight="1"/>
    <row r="25752" ht="14.25" customHeight="1"/>
    <row r="25753" ht="14.25" customHeight="1"/>
    <row r="25754" ht="14.25" customHeight="1"/>
    <row r="25755" ht="14.25" customHeight="1"/>
    <row r="25756" ht="14.25" customHeight="1"/>
    <row r="25757" ht="14.25" customHeight="1"/>
    <row r="25758" ht="14.25" customHeight="1"/>
    <row r="25759" ht="14.25" customHeight="1"/>
    <row r="25760" ht="14.25" customHeight="1"/>
    <row r="25761" ht="14.25" customHeight="1"/>
    <row r="25762" ht="14.25" customHeight="1"/>
    <row r="25763" ht="14.25" customHeight="1"/>
    <row r="25764" ht="14.25" customHeight="1"/>
    <row r="25765" ht="14.25" customHeight="1"/>
    <row r="25766" ht="14.25" customHeight="1"/>
    <row r="25767" ht="14.25" customHeight="1"/>
    <row r="25768" ht="14.25" customHeight="1"/>
    <row r="25769" ht="14.25" customHeight="1"/>
    <row r="25770" ht="14.25" customHeight="1"/>
    <row r="25771" ht="14.25" customHeight="1"/>
    <row r="25772" ht="14.25" customHeight="1"/>
    <row r="25773" ht="14.25" customHeight="1"/>
    <row r="25774" ht="14.25" customHeight="1"/>
    <row r="25775" ht="14.25" customHeight="1"/>
    <row r="25776" ht="14.25" customHeight="1"/>
    <row r="25777" ht="14.25" customHeight="1"/>
    <row r="25778" ht="14.25" customHeight="1"/>
    <row r="25779" ht="14.25" customHeight="1"/>
    <row r="25780" ht="14.25" customHeight="1"/>
    <row r="25781" ht="14.25" customHeight="1"/>
    <row r="25782" ht="14.25" customHeight="1"/>
    <row r="25783" ht="14.25" customHeight="1"/>
    <row r="25784" ht="14.25" customHeight="1"/>
    <row r="25785" ht="14.25" customHeight="1"/>
    <row r="25786" ht="14.25" customHeight="1"/>
    <row r="25787" ht="14.25" customHeight="1"/>
    <row r="25788" ht="14.25" customHeight="1"/>
    <row r="25789" ht="14.25" customHeight="1"/>
    <row r="25790" ht="14.25" customHeight="1"/>
    <row r="25791" ht="14.25" customHeight="1"/>
    <row r="25792" ht="14.25" customHeight="1"/>
    <row r="25793" ht="14.25" customHeight="1"/>
    <row r="25794" ht="14.25" customHeight="1"/>
    <row r="25795" ht="14.25" customHeight="1"/>
    <row r="25796" ht="14.25" customHeight="1"/>
    <row r="25797" ht="14.25" customHeight="1"/>
    <row r="25798" ht="14.25" customHeight="1"/>
    <row r="25799" ht="14.25" customHeight="1"/>
    <row r="25800" ht="14.25" customHeight="1"/>
    <row r="25801" ht="14.25" customHeight="1"/>
    <row r="25802" ht="14.25" customHeight="1"/>
    <row r="25803" ht="14.25" customHeight="1"/>
    <row r="25804" ht="14.25" customHeight="1"/>
    <row r="25805" ht="14.25" customHeight="1"/>
    <row r="25806" ht="14.25" customHeight="1"/>
    <row r="25807" ht="14.25" customHeight="1"/>
    <row r="25808" ht="14.25" customHeight="1"/>
    <row r="25809" ht="14.25" customHeight="1"/>
    <row r="25810" ht="14.25" customHeight="1"/>
    <row r="25811" ht="14.25" customHeight="1"/>
    <row r="25812" ht="14.25" customHeight="1"/>
    <row r="25813" ht="14.25" customHeight="1"/>
    <row r="25814" ht="14.25" customHeight="1"/>
    <row r="25815" ht="14.25" customHeight="1"/>
    <row r="25816" ht="14.25" customHeight="1"/>
    <row r="25817" ht="14.25" customHeight="1"/>
    <row r="25818" ht="14.25" customHeight="1"/>
    <row r="25819" ht="14.25" customHeight="1"/>
    <row r="25820" ht="14.25" customHeight="1"/>
    <row r="25821" ht="14.25" customHeight="1"/>
    <row r="25822" ht="14.25" customHeight="1"/>
    <row r="25823" ht="14.25" customHeight="1"/>
    <row r="25824" ht="14.25" customHeight="1"/>
    <row r="25825" ht="14.25" customHeight="1"/>
    <row r="25826" ht="14.25" customHeight="1"/>
    <row r="25827" ht="14.25" customHeight="1"/>
    <row r="25828" ht="14.25" customHeight="1"/>
    <row r="25829" ht="14.25" customHeight="1"/>
    <row r="25830" ht="14.25" customHeight="1"/>
    <row r="25831" ht="14.25" customHeight="1"/>
    <row r="25832" ht="14.25" customHeight="1"/>
    <row r="25833" ht="14.25" customHeight="1"/>
    <row r="25834" ht="14.25" customHeight="1"/>
    <row r="25835" ht="14.25" customHeight="1"/>
    <row r="25836" ht="14.25" customHeight="1"/>
    <row r="25837" ht="14.25" customHeight="1"/>
    <row r="25838" ht="14.25" customHeight="1"/>
    <row r="25839" ht="14.25" customHeight="1"/>
    <row r="25840" ht="14.25" customHeight="1"/>
    <row r="25841" ht="14.25" customHeight="1"/>
    <row r="25842" ht="14.25" customHeight="1"/>
    <row r="25843" ht="14.25" customHeight="1"/>
    <row r="25844" ht="14.25" customHeight="1"/>
    <row r="25845" ht="14.25" customHeight="1"/>
    <row r="25846" ht="14.25" customHeight="1"/>
    <row r="25847" ht="14.25" customHeight="1"/>
    <row r="25848" ht="14.25" customHeight="1"/>
    <row r="25849" ht="14.25" customHeight="1"/>
    <row r="25850" ht="14.25" customHeight="1"/>
    <row r="25851" ht="14.25" customHeight="1"/>
    <row r="25852" ht="14.25" customHeight="1"/>
    <row r="25853" ht="14.25" customHeight="1"/>
    <row r="25854" ht="14.25" customHeight="1"/>
    <row r="25855" ht="14.25" customHeight="1"/>
    <row r="25856" ht="14.25" customHeight="1"/>
    <row r="25857" ht="14.25" customHeight="1"/>
    <row r="25858" ht="14.25" customHeight="1"/>
    <row r="25859" ht="14.25" customHeight="1"/>
    <row r="25860" ht="14.25" customHeight="1"/>
    <row r="25861" ht="14.25" customHeight="1"/>
    <row r="25862" ht="14.25" customHeight="1"/>
    <row r="25863" ht="14.25" customHeight="1"/>
    <row r="25864" ht="14.25" customHeight="1"/>
    <row r="25865" ht="14.25" customHeight="1"/>
    <row r="25866" ht="14.25" customHeight="1"/>
    <row r="25867" ht="14.25" customHeight="1"/>
    <row r="25868" ht="14.25" customHeight="1"/>
    <row r="25869" ht="14.25" customHeight="1"/>
    <row r="25870" ht="14.25" customHeight="1"/>
    <row r="25871" ht="14.25" customHeight="1"/>
    <row r="25872" ht="14.25" customHeight="1"/>
    <row r="25873" ht="14.25" customHeight="1"/>
    <row r="25874" ht="14.25" customHeight="1"/>
    <row r="25875" ht="14.25" customHeight="1"/>
    <row r="25876" ht="14.25" customHeight="1"/>
    <row r="25877" ht="14.25" customHeight="1"/>
    <row r="25878" ht="14.25" customHeight="1"/>
    <row r="25879" ht="14.25" customHeight="1"/>
    <row r="25880" ht="14.25" customHeight="1"/>
    <row r="25881" ht="14.25" customHeight="1"/>
    <row r="25882" ht="14.25" customHeight="1"/>
    <row r="25883" ht="14.25" customHeight="1"/>
    <row r="25884" ht="14.25" customHeight="1"/>
    <row r="25885" ht="14.25" customHeight="1"/>
    <row r="25886" ht="14.25" customHeight="1"/>
    <row r="25887" ht="14.25" customHeight="1"/>
    <row r="25888" ht="14.25" customHeight="1"/>
    <row r="25889" ht="14.25" customHeight="1"/>
    <row r="25890" ht="14.25" customHeight="1"/>
    <row r="25891" ht="14.25" customHeight="1"/>
    <row r="25892" ht="14.25" customHeight="1"/>
    <row r="25893" ht="14.25" customHeight="1"/>
    <row r="25894" ht="14.25" customHeight="1"/>
    <row r="25895" ht="14.25" customHeight="1"/>
    <row r="25896" ht="14.25" customHeight="1"/>
    <row r="25897" ht="14.25" customHeight="1"/>
    <row r="25898" ht="14.25" customHeight="1"/>
    <row r="25899" ht="14.25" customHeight="1"/>
    <row r="25900" ht="14.25" customHeight="1"/>
    <row r="25901" ht="14.25" customHeight="1"/>
    <row r="25902" ht="14.25" customHeight="1"/>
    <row r="25903" ht="14.25" customHeight="1"/>
    <row r="25904" ht="14.25" customHeight="1"/>
    <row r="25905" ht="14.25" customHeight="1"/>
    <row r="25906" ht="14.25" customHeight="1"/>
    <row r="25907" ht="14.25" customHeight="1"/>
    <row r="25908" ht="14.25" customHeight="1"/>
    <row r="25909" ht="14.25" customHeight="1"/>
    <row r="25910" ht="14.25" customHeight="1"/>
    <row r="25911" ht="14.25" customHeight="1"/>
    <row r="25912" ht="14.25" customHeight="1"/>
    <row r="25913" ht="14.25" customHeight="1"/>
    <row r="25914" ht="14.25" customHeight="1"/>
    <row r="25915" ht="14.25" customHeight="1"/>
    <row r="25916" ht="14.25" customHeight="1"/>
    <row r="25917" ht="14.25" customHeight="1"/>
    <row r="25918" ht="14.25" customHeight="1"/>
    <row r="25919" ht="14.25" customHeight="1"/>
    <row r="25920" ht="14.25" customHeight="1"/>
    <row r="25921" ht="14.25" customHeight="1"/>
    <row r="25922" ht="14.25" customHeight="1"/>
    <row r="25923" ht="14.25" customHeight="1"/>
    <row r="25924" ht="14.25" customHeight="1"/>
    <row r="25925" ht="14.25" customHeight="1"/>
    <row r="25926" ht="14.25" customHeight="1"/>
    <row r="25927" ht="14.25" customHeight="1"/>
    <row r="25928" ht="14.25" customHeight="1"/>
    <row r="25929" ht="14.25" customHeight="1"/>
    <row r="25930" ht="14.25" customHeight="1"/>
    <row r="25931" ht="14.25" customHeight="1"/>
    <row r="25932" ht="14.25" customHeight="1"/>
    <row r="25933" ht="14.25" customHeight="1"/>
    <row r="25934" ht="14.25" customHeight="1"/>
    <row r="25935" ht="14.25" customHeight="1"/>
    <row r="25936" ht="14.25" customHeight="1"/>
    <row r="25937" ht="14.25" customHeight="1"/>
    <row r="25938" ht="14.25" customHeight="1"/>
    <row r="25939" ht="14.25" customHeight="1"/>
    <row r="25940" ht="14.25" customHeight="1"/>
    <row r="25941" ht="14.25" customHeight="1"/>
    <row r="25942" ht="14.25" customHeight="1"/>
    <row r="25943" ht="14.25" customHeight="1"/>
    <row r="25944" ht="14.25" customHeight="1"/>
    <row r="25945" ht="14.25" customHeight="1"/>
    <row r="25946" ht="14.25" customHeight="1"/>
    <row r="25947" ht="14.25" customHeight="1"/>
    <row r="25948" ht="14.25" customHeight="1"/>
    <row r="25949" ht="14.25" customHeight="1"/>
    <row r="25950" ht="14.25" customHeight="1"/>
    <row r="25951" ht="14.25" customHeight="1"/>
    <row r="25952" ht="14.25" customHeight="1"/>
    <row r="25953" ht="14.25" customHeight="1"/>
    <row r="25954" ht="14.25" customHeight="1"/>
    <row r="25955" ht="14.25" customHeight="1"/>
    <row r="25956" ht="14.25" customHeight="1"/>
    <row r="25957" ht="14.25" customHeight="1"/>
    <row r="25958" ht="14.25" customHeight="1"/>
    <row r="25959" ht="14.25" customHeight="1"/>
    <row r="25960" ht="14.25" customHeight="1"/>
    <row r="25961" ht="14.25" customHeight="1"/>
    <row r="25962" ht="14.25" customHeight="1"/>
    <row r="25963" ht="14.25" customHeight="1"/>
    <row r="25964" ht="14.25" customHeight="1"/>
    <row r="25965" ht="14.25" customHeight="1"/>
    <row r="25966" ht="14.25" customHeight="1"/>
    <row r="25967" ht="14.25" customHeight="1"/>
    <row r="25968" ht="14.25" customHeight="1"/>
    <row r="25969" ht="14.25" customHeight="1"/>
    <row r="25970" ht="14.25" customHeight="1"/>
    <row r="25971" ht="14.25" customHeight="1"/>
    <row r="25972" ht="14.25" customHeight="1"/>
    <row r="25973" ht="14.25" customHeight="1"/>
    <row r="25974" ht="14.25" customHeight="1"/>
    <row r="25975" ht="14.25" customHeight="1"/>
    <row r="25976" ht="14.25" customHeight="1"/>
    <row r="25977" ht="14.25" customHeight="1"/>
    <row r="25978" ht="14.25" customHeight="1"/>
    <row r="25979" ht="14.25" customHeight="1"/>
    <row r="25980" ht="14.25" customHeight="1"/>
    <row r="25981" ht="14.25" customHeight="1"/>
    <row r="25982" ht="14.25" customHeight="1"/>
    <row r="25983" ht="14.25" customHeight="1"/>
    <row r="25984" ht="14.25" customHeight="1"/>
    <row r="25985" ht="14.25" customHeight="1"/>
    <row r="25986" ht="14.25" customHeight="1"/>
    <row r="25987" ht="14.25" customHeight="1"/>
    <row r="25988" ht="14.25" customHeight="1"/>
    <row r="25989" ht="14.25" customHeight="1"/>
    <row r="25990" ht="14.25" customHeight="1"/>
    <row r="25991" ht="14.25" customHeight="1"/>
    <row r="25992" ht="14.25" customHeight="1"/>
    <row r="25993" ht="14.25" customHeight="1"/>
    <row r="25994" ht="14.25" customHeight="1"/>
    <row r="25995" ht="14.25" customHeight="1"/>
    <row r="25996" ht="14.25" customHeight="1"/>
    <row r="25997" ht="14.25" customHeight="1"/>
    <row r="25998" ht="14.25" customHeight="1"/>
    <row r="25999" ht="14.25" customHeight="1"/>
    <row r="26000" ht="14.25" customHeight="1"/>
    <row r="26001" ht="14.25" customHeight="1"/>
    <row r="26002" ht="14.25" customHeight="1"/>
    <row r="26003" ht="14.25" customHeight="1"/>
    <row r="26004" ht="14.25" customHeight="1"/>
    <row r="26005" ht="14.25" customHeight="1"/>
    <row r="26006" ht="14.25" customHeight="1"/>
    <row r="26007" ht="14.25" customHeight="1"/>
    <row r="26008" ht="14.25" customHeight="1"/>
    <row r="26009" ht="14.25" customHeight="1"/>
    <row r="26010" ht="14.25" customHeight="1"/>
    <row r="26011" ht="14.25" customHeight="1"/>
    <row r="26012" ht="14.25" customHeight="1"/>
    <row r="26013" ht="14.25" customHeight="1"/>
    <row r="26014" ht="14.25" customHeight="1"/>
    <row r="26015" ht="14.25" customHeight="1"/>
    <row r="26016" ht="14.25" customHeight="1"/>
    <row r="26017" ht="14.25" customHeight="1"/>
    <row r="26018" ht="14.25" customHeight="1"/>
    <row r="26019" ht="14.25" customHeight="1"/>
    <row r="26020" ht="14.25" customHeight="1"/>
    <row r="26021" ht="14.25" customHeight="1"/>
    <row r="26022" ht="14.25" customHeight="1"/>
    <row r="26023" ht="14.25" customHeight="1"/>
    <row r="26024" ht="14.25" customHeight="1"/>
    <row r="26025" ht="14.25" customHeight="1"/>
    <row r="26026" ht="14.25" customHeight="1"/>
    <row r="26027" ht="14.25" customHeight="1"/>
    <row r="26028" ht="14.25" customHeight="1"/>
    <row r="26029" ht="14.25" customHeight="1"/>
    <row r="26030" ht="14.25" customHeight="1"/>
    <row r="26031" ht="14.25" customHeight="1"/>
    <row r="26032" ht="14.25" customHeight="1"/>
    <row r="26033" ht="14.25" customHeight="1"/>
    <row r="26034" ht="14.25" customHeight="1"/>
    <row r="26035" ht="14.25" customHeight="1"/>
    <row r="26036" ht="14.25" customHeight="1"/>
    <row r="26037" ht="14.25" customHeight="1"/>
    <row r="26038" ht="14.25" customHeight="1"/>
    <row r="26039" ht="14.25" customHeight="1"/>
    <row r="26040" ht="14.25" customHeight="1"/>
    <row r="26041" ht="14.25" customHeight="1"/>
    <row r="26042" ht="14.25" customHeight="1"/>
    <row r="26043" ht="14.25" customHeight="1"/>
    <row r="26044" ht="14.25" customHeight="1"/>
    <row r="26045" ht="14.25" customHeight="1"/>
    <row r="26046" ht="14.25" customHeight="1"/>
    <row r="26047" ht="14.25" customHeight="1"/>
    <row r="26048" ht="14.25" customHeight="1"/>
    <row r="26049" ht="14.25" customHeight="1"/>
    <row r="26050" ht="14.25" customHeight="1"/>
    <row r="26051" ht="14.25" customHeight="1"/>
    <row r="26052" ht="14.25" customHeight="1"/>
    <row r="26053" ht="14.25" customHeight="1"/>
    <row r="26054" ht="14.25" customHeight="1"/>
    <row r="26055" ht="14.25" customHeight="1"/>
    <row r="26056" ht="14.25" customHeight="1"/>
    <row r="26057" ht="14.25" customHeight="1"/>
    <row r="26058" ht="14.25" customHeight="1"/>
    <row r="26059" ht="14.25" customHeight="1"/>
    <row r="26060" ht="14.25" customHeight="1"/>
    <row r="26061" ht="14.25" customHeight="1"/>
    <row r="26062" ht="14.25" customHeight="1"/>
    <row r="26063" ht="14.25" customHeight="1"/>
    <row r="26064" ht="14.25" customHeight="1"/>
    <row r="26065" ht="14.25" customHeight="1"/>
    <row r="26066" ht="14.25" customHeight="1"/>
    <row r="26067" ht="14.25" customHeight="1"/>
    <row r="26068" ht="14.25" customHeight="1"/>
    <row r="26069" ht="14.25" customHeight="1"/>
    <row r="26070" ht="14.25" customHeight="1"/>
    <row r="26071" ht="14.25" customHeight="1"/>
    <row r="26072" ht="14.25" customHeight="1"/>
    <row r="26073" ht="14.25" customHeight="1"/>
    <row r="26074" ht="14.25" customHeight="1"/>
    <row r="26075" ht="14.25" customHeight="1"/>
    <row r="26076" ht="14.25" customHeight="1"/>
    <row r="26077" ht="14.25" customHeight="1"/>
    <row r="26078" ht="14.25" customHeight="1"/>
    <row r="26079" ht="14.25" customHeight="1"/>
    <row r="26080" ht="14.25" customHeight="1"/>
    <row r="26081" ht="14.25" customHeight="1"/>
    <row r="26082" ht="14.25" customHeight="1"/>
    <row r="26083" ht="14.25" customHeight="1"/>
    <row r="26084" ht="14.25" customHeight="1"/>
    <row r="26085" ht="14.25" customHeight="1"/>
    <row r="26086" ht="14.25" customHeight="1"/>
    <row r="26087" ht="14.25" customHeight="1"/>
    <row r="26088" ht="14.25" customHeight="1"/>
    <row r="26089" ht="14.25" customHeight="1"/>
    <row r="26090" ht="14.25" customHeight="1"/>
    <row r="26091" ht="14.25" customHeight="1"/>
    <row r="26092" ht="14.25" customHeight="1"/>
    <row r="26093" ht="14.25" customHeight="1"/>
    <row r="26094" ht="14.25" customHeight="1"/>
    <row r="26095" ht="14.25" customHeight="1"/>
    <row r="26096" ht="14.25" customHeight="1"/>
    <row r="26097" ht="14.25" customHeight="1"/>
    <row r="26098" ht="14.25" customHeight="1"/>
    <row r="26099" ht="14.25" customHeight="1"/>
    <row r="26100" ht="14.25" customHeight="1"/>
    <row r="26101" ht="14.25" customHeight="1"/>
    <row r="26102" ht="14.25" customHeight="1"/>
    <row r="26103" ht="14.25" customHeight="1"/>
    <row r="26104" ht="14.25" customHeight="1"/>
    <row r="26105" ht="14.25" customHeight="1"/>
    <row r="26106" ht="14.25" customHeight="1"/>
    <row r="26107" ht="14.25" customHeight="1"/>
    <row r="26108" ht="14.25" customHeight="1"/>
    <row r="26109" ht="14.25" customHeight="1"/>
    <row r="26110" ht="14.25" customHeight="1"/>
    <row r="26111" ht="14.25" customHeight="1"/>
    <row r="26112" ht="14.25" customHeight="1"/>
    <row r="26113" ht="14.25" customHeight="1"/>
    <row r="26114" ht="14.25" customHeight="1"/>
    <row r="26115" ht="14.25" customHeight="1"/>
    <row r="26116" ht="14.25" customHeight="1"/>
    <row r="26117" ht="14.25" customHeight="1"/>
    <row r="26118" ht="14.25" customHeight="1"/>
    <row r="26119" ht="14.25" customHeight="1"/>
    <row r="26120" ht="14.25" customHeight="1"/>
    <row r="26121" ht="14.25" customHeight="1"/>
    <row r="26122" ht="14.25" customHeight="1"/>
    <row r="26123" ht="14.25" customHeight="1"/>
    <row r="26124" ht="14.25" customHeight="1"/>
    <row r="26125" ht="14.25" customHeight="1"/>
    <row r="26126" ht="14.25" customHeight="1"/>
    <row r="26127" ht="14.25" customHeight="1"/>
    <row r="26128" ht="14.25" customHeight="1"/>
    <row r="26129" ht="14.25" customHeight="1"/>
    <row r="26130" ht="14.25" customHeight="1"/>
    <row r="26131" ht="14.25" customHeight="1"/>
    <row r="26132" ht="14.25" customHeight="1"/>
    <row r="26133" ht="14.25" customHeight="1"/>
    <row r="26134" ht="14.25" customHeight="1"/>
    <row r="26135" ht="14.25" customHeight="1"/>
    <row r="26136" ht="14.25" customHeight="1"/>
    <row r="26137" ht="14.25" customHeight="1"/>
    <row r="26138" ht="14.25" customHeight="1"/>
    <row r="26139" ht="14.25" customHeight="1"/>
    <row r="26140" ht="14.25" customHeight="1"/>
    <row r="26141" ht="14.25" customHeight="1"/>
    <row r="26142" ht="14.25" customHeight="1"/>
    <row r="26143" ht="14.25" customHeight="1"/>
    <row r="26144" ht="14.25" customHeight="1"/>
    <row r="26145" ht="14.25" customHeight="1"/>
    <row r="26146" ht="14.25" customHeight="1"/>
    <row r="26147" ht="14.25" customHeight="1"/>
    <row r="26148" ht="14.25" customHeight="1"/>
    <row r="26149" ht="14.25" customHeight="1"/>
    <row r="26150" ht="14.25" customHeight="1"/>
    <row r="26151" ht="14.25" customHeight="1"/>
    <row r="26152" ht="14.25" customHeight="1"/>
    <row r="26153" ht="14.25" customHeight="1"/>
    <row r="26154" ht="14.25" customHeight="1"/>
    <row r="26155" ht="14.25" customHeight="1"/>
    <row r="26156" ht="14.25" customHeight="1"/>
    <row r="26157" ht="14.25" customHeight="1"/>
    <row r="26158" ht="14.25" customHeight="1"/>
    <row r="26159" ht="14.25" customHeight="1"/>
    <row r="26160" ht="14.25" customHeight="1"/>
    <row r="26161" ht="14.25" customHeight="1"/>
    <row r="26162" ht="14.25" customHeight="1"/>
    <row r="26163" ht="14.25" customHeight="1"/>
    <row r="26164" ht="14.25" customHeight="1"/>
    <row r="26165" ht="14.25" customHeight="1"/>
    <row r="26166" ht="14.25" customHeight="1"/>
    <row r="26167" ht="14.25" customHeight="1"/>
    <row r="26168" ht="14.25" customHeight="1"/>
    <row r="26169" ht="14.25" customHeight="1"/>
    <row r="26170" ht="14.25" customHeight="1"/>
    <row r="26171" ht="14.25" customHeight="1"/>
    <row r="26172" ht="14.25" customHeight="1"/>
    <row r="26173" ht="14.25" customHeight="1"/>
    <row r="26174" ht="14.25" customHeight="1"/>
    <row r="26175" ht="14.25" customHeight="1"/>
    <row r="26176" ht="14.25" customHeight="1"/>
    <row r="26177" ht="14.25" customHeight="1"/>
    <row r="26178" ht="14.25" customHeight="1"/>
    <row r="26179" ht="14.25" customHeight="1"/>
    <row r="26180" ht="14.25" customHeight="1"/>
    <row r="26181" ht="14.25" customHeight="1"/>
    <row r="26182" ht="14.25" customHeight="1"/>
    <row r="26183" ht="14.25" customHeight="1"/>
    <row r="26184" ht="14.25" customHeight="1"/>
    <row r="26185" ht="14.25" customHeight="1"/>
    <row r="26186" ht="14.25" customHeight="1"/>
    <row r="26187" ht="14.25" customHeight="1"/>
    <row r="26188" ht="14.25" customHeight="1"/>
    <row r="26189" ht="14.25" customHeight="1"/>
    <row r="26190" ht="14.25" customHeight="1"/>
    <row r="26191" ht="14.25" customHeight="1"/>
    <row r="26192" ht="14.25" customHeight="1"/>
    <row r="26193" ht="14.25" customHeight="1"/>
    <row r="26194" ht="14.25" customHeight="1"/>
    <row r="26195" ht="14.25" customHeight="1"/>
    <row r="26196" ht="14.25" customHeight="1"/>
    <row r="26197" ht="14.25" customHeight="1"/>
    <row r="26198" ht="14.25" customHeight="1"/>
    <row r="26199" ht="14.25" customHeight="1"/>
    <row r="26200" ht="14.25" customHeight="1"/>
    <row r="26201" ht="14.25" customHeight="1"/>
    <row r="26202" ht="14.25" customHeight="1"/>
    <row r="26203" ht="14.25" customHeight="1"/>
    <row r="26204" ht="14.25" customHeight="1"/>
    <row r="26205" ht="14.25" customHeight="1"/>
    <row r="26206" ht="14.25" customHeight="1"/>
    <row r="26207" ht="14.25" customHeight="1"/>
    <row r="26208" ht="14.25" customHeight="1"/>
    <row r="26209" ht="14.25" customHeight="1"/>
    <row r="26210" ht="14.25" customHeight="1"/>
    <row r="26211" ht="14.25" customHeight="1"/>
    <row r="26212" ht="14.25" customHeight="1"/>
    <row r="26213" ht="14.25" customHeight="1"/>
    <row r="26214" ht="14.25" customHeight="1"/>
    <row r="26215" ht="14.25" customHeight="1"/>
    <row r="26216" ht="14.25" customHeight="1"/>
    <row r="26217" ht="14.25" customHeight="1"/>
    <row r="26218" ht="14.25" customHeight="1"/>
    <row r="26219" ht="14.25" customHeight="1"/>
    <row r="26220" ht="14.25" customHeight="1"/>
    <row r="26221" ht="14.25" customHeight="1"/>
    <row r="26222" ht="14.25" customHeight="1"/>
    <row r="26223" ht="14.25" customHeight="1"/>
    <row r="26224" ht="14.25" customHeight="1"/>
    <row r="26225" ht="14.25" customHeight="1"/>
    <row r="26226" ht="14.25" customHeight="1"/>
    <row r="26227" ht="14.25" customHeight="1"/>
    <row r="26228" ht="14.25" customHeight="1"/>
    <row r="26229" ht="14.25" customHeight="1"/>
    <row r="26230" ht="14.25" customHeight="1"/>
    <row r="26231" ht="14.25" customHeight="1"/>
    <row r="26232" ht="14.25" customHeight="1"/>
    <row r="26233" ht="14.25" customHeight="1"/>
    <row r="26234" ht="14.25" customHeight="1"/>
    <row r="26235" ht="14.25" customHeight="1"/>
    <row r="26236" ht="14.25" customHeight="1"/>
    <row r="26237" ht="14.25" customHeight="1"/>
    <row r="26238" ht="14.25" customHeight="1"/>
    <row r="26239" ht="14.25" customHeight="1"/>
    <row r="26240" ht="14.25" customHeight="1"/>
    <row r="26241" ht="14.25" customHeight="1"/>
    <row r="26242" ht="14.25" customHeight="1"/>
    <row r="26243" ht="14.25" customHeight="1"/>
    <row r="26244" ht="14.25" customHeight="1"/>
    <row r="26245" ht="14.25" customHeight="1"/>
    <row r="26246" ht="14.25" customHeight="1"/>
    <row r="26247" ht="14.25" customHeight="1"/>
    <row r="26248" ht="14.25" customHeight="1"/>
    <row r="26249" ht="14.25" customHeight="1"/>
    <row r="26250" ht="14.25" customHeight="1"/>
    <row r="26251" ht="14.25" customHeight="1"/>
    <row r="26252" ht="14.25" customHeight="1"/>
    <row r="26253" ht="14.25" customHeight="1"/>
    <row r="26254" ht="14.25" customHeight="1"/>
    <row r="26255" ht="14.25" customHeight="1"/>
    <row r="26256" ht="14.25" customHeight="1"/>
    <row r="26257" ht="14.25" customHeight="1"/>
    <row r="26258" ht="14.25" customHeight="1"/>
    <row r="26259" ht="14.25" customHeight="1"/>
    <row r="26260" ht="14.25" customHeight="1"/>
    <row r="26261" ht="14.25" customHeight="1"/>
    <row r="26262" ht="14.25" customHeight="1"/>
    <row r="26263" ht="14.25" customHeight="1"/>
    <row r="26264" ht="14.25" customHeight="1"/>
    <row r="26265" ht="14.25" customHeight="1"/>
    <row r="26266" ht="14.25" customHeight="1"/>
    <row r="26267" ht="14.25" customHeight="1"/>
    <row r="26268" ht="14.25" customHeight="1"/>
    <row r="26269" ht="14.25" customHeight="1"/>
    <row r="26270" ht="14.25" customHeight="1"/>
    <row r="26271" ht="14.25" customHeight="1"/>
    <row r="26272" ht="14.25" customHeight="1"/>
    <row r="26273" ht="14.25" customHeight="1"/>
    <row r="26274" ht="14.25" customHeight="1"/>
    <row r="26275" ht="14.25" customHeight="1"/>
    <row r="26276" ht="14.25" customHeight="1"/>
    <row r="26277" ht="14.25" customHeight="1"/>
    <row r="26278" ht="14.25" customHeight="1"/>
    <row r="26279" ht="14.25" customHeight="1"/>
    <row r="26280" ht="14.25" customHeight="1"/>
    <row r="26281" ht="14.25" customHeight="1"/>
    <row r="26282" ht="14.25" customHeight="1"/>
    <row r="26283" ht="14.25" customHeight="1"/>
    <row r="26284" ht="14.25" customHeight="1"/>
    <row r="26285" ht="14.25" customHeight="1"/>
    <row r="26286" ht="14.25" customHeight="1"/>
    <row r="26287" ht="14.25" customHeight="1"/>
    <row r="26288" ht="14.25" customHeight="1"/>
    <row r="26289" ht="14.25" customHeight="1"/>
    <row r="26290" ht="14.25" customHeight="1"/>
    <row r="26291" ht="14.25" customHeight="1"/>
    <row r="26292" ht="14.25" customHeight="1"/>
    <row r="26293" ht="14.25" customHeight="1"/>
    <row r="26294" ht="14.25" customHeight="1"/>
    <row r="26295" ht="14.25" customHeight="1"/>
    <row r="26296" ht="14.25" customHeight="1"/>
    <row r="26297" ht="14.25" customHeight="1"/>
    <row r="26298" ht="14.25" customHeight="1"/>
    <row r="26299" ht="14.25" customHeight="1"/>
    <row r="26300" ht="14.25" customHeight="1"/>
    <row r="26301" ht="14.25" customHeight="1"/>
    <row r="26302" ht="14.25" customHeight="1"/>
    <row r="26303" ht="14.25" customHeight="1"/>
    <row r="26304" ht="14.25" customHeight="1"/>
    <row r="26305" ht="14.25" customHeight="1"/>
    <row r="26306" ht="14.25" customHeight="1"/>
    <row r="26307" ht="14.25" customHeight="1"/>
    <row r="26308" ht="14.25" customHeight="1"/>
    <row r="26309" ht="14.25" customHeight="1"/>
    <row r="26310" ht="14.25" customHeight="1"/>
    <row r="26311" ht="14.25" customHeight="1"/>
    <row r="26312" ht="14.25" customHeight="1"/>
    <row r="26313" ht="14.25" customHeight="1"/>
    <row r="26314" ht="14.25" customHeight="1"/>
    <row r="26315" ht="14.25" customHeight="1"/>
    <row r="26316" ht="14.25" customHeight="1"/>
    <row r="26317" ht="14.25" customHeight="1"/>
    <row r="26318" ht="14.25" customHeight="1"/>
    <row r="26319" ht="14.25" customHeight="1"/>
    <row r="26320" ht="14.25" customHeight="1"/>
    <row r="26321" ht="14.25" customHeight="1"/>
    <row r="26322" ht="14.25" customHeight="1"/>
    <row r="26323" ht="14.25" customHeight="1"/>
    <row r="26324" ht="14.25" customHeight="1"/>
    <row r="26325" ht="14.25" customHeight="1"/>
    <row r="26326" ht="14.25" customHeight="1"/>
    <row r="26327" ht="14.25" customHeight="1"/>
    <row r="26328" ht="14.25" customHeight="1"/>
    <row r="26329" ht="14.25" customHeight="1"/>
    <row r="26330" ht="14.25" customHeight="1"/>
    <row r="26331" ht="14.25" customHeight="1"/>
    <row r="26332" ht="14.25" customHeight="1"/>
    <row r="26333" ht="14.25" customHeight="1"/>
    <row r="26334" ht="14.25" customHeight="1"/>
    <row r="26335" ht="14.25" customHeight="1"/>
    <row r="26336" ht="14.25" customHeight="1"/>
    <row r="26337" ht="14.25" customHeight="1"/>
    <row r="26338" ht="14.25" customHeight="1"/>
    <row r="26339" ht="14.25" customHeight="1"/>
    <row r="26340" ht="14.25" customHeight="1"/>
    <row r="26341" ht="14.25" customHeight="1"/>
    <row r="26342" ht="14.25" customHeight="1"/>
    <row r="26343" ht="14.25" customHeight="1"/>
    <row r="26344" ht="14.25" customHeight="1"/>
    <row r="26345" ht="14.25" customHeight="1"/>
    <row r="26346" ht="14.25" customHeight="1"/>
    <row r="26347" ht="14.25" customHeight="1"/>
    <row r="26348" ht="14.25" customHeight="1"/>
    <row r="26349" ht="14.25" customHeight="1"/>
    <row r="26350" ht="14.25" customHeight="1"/>
    <row r="26351" ht="14.25" customHeight="1"/>
    <row r="26352" ht="14.25" customHeight="1"/>
    <row r="26353" ht="14.25" customHeight="1"/>
    <row r="26354" ht="14.25" customHeight="1"/>
    <row r="26355" ht="14.25" customHeight="1"/>
    <row r="26356" ht="14.25" customHeight="1"/>
    <row r="26357" ht="14.25" customHeight="1"/>
    <row r="26358" ht="14.25" customHeight="1"/>
    <row r="26359" ht="14.25" customHeight="1"/>
    <row r="26360" ht="14.25" customHeight="1"/>
    <row r="26361" ht="14.25" customHeight="1"/>
    <row r="26362" ht="14.25" customHeight="1"/>
    <row r="26363" ht="14.25" customHeight="1"/>
    <row r="26364" ht="14.25" customHeight="1"/>
    <row r="26365" ht="14.25" customHeight="1"/>
    <row r="26366" ht="14.25" customHeight="1"/>
    <row r="26367" ht="14.25" customHeight="1"/>
    <row r="26368" ht="14.25" customHeight="1"/>
    <row r="26369" ht="14.25" customHeight="1"/>
    <row r="26370" ht="14.25" customHeight="1"/>
    <row r="26371" ht="14.25" customHeight="1"/>
    <row r="26372" ht="14.25" customHeight="1"/>
    <row r="26373" ht="14.25" customHeight="1"/>
    <row r="26374" ht="14.25" customHeight="1"/>
    <row r="26375" ht="14.25" customHeight="1"/>
    <row r="26376" ht="14.25" customHeight="1"/>
    <row r="26377" ht="14.25" customHeight="1"/>
    <row r="26378" ht="14.25" customHeight="1"/>
    <row r="26379" ht="14.25" customHeight="1"/>
    <row r="26380" ht="14.25" customHeight="1"/>
    <row r="26381" ht="14.25" customHeight="1"/>
    <row r="26382" ht="14.25" customHeight="1"/>
    <row r="26383" ht="14.25" customHeight="1"/>
    <row r="26384" ht="14.25" customHeight="1"/>
    <row r="26385" ht="14.25" customHeight="1"/>
    <row r="26386" ht="14.25" customHeight="1"/>
    <row r="26387" ht="14.25" customHeight="1"/>
    <row r="26388" ht="14.25" customHeight="1"/>
    <row r="26389" ht="14.25" customHeight="1"/>
    <row r="26390" ht="14.25" customHeight="1"/>
    <row r="26391" ht="14.25" customHeight="1"/>
    <row r="26392" ht="14.25" customHeight="1"/>
    <row r="26393" ht="14.25" customHeight="1"/>
    <row r="26394" ht="14.25" customHeight="1"/>
    <row r="26395" ht="14.25" customHeight="1"/>
    <row r="26396" ht="14.25" customHeight="1"/>
    <row r="26397" ht="14.25" customHeight="1"/>
    <row r="26398" ht="14.25" customHeight="1"/>
    <row r="26399" ht="14.25" customHeight="1"/>
    <row r="26400" ht="14.25" customHeight="1"/>
    <row r="26401" ht="14.25" customHeight="1"/>
    <row r="26402" ht="14.25" customHeight="1"/>
    <row r="26403" ht="14.25" customHeight="1"/>
    <row r="26404" ht="14.25" customHeight="1"/>
    <row r="26405" ht="14.25" customHeight="1"/>
    <row r="26406" ht="14.25" customHeight="1"/>
    <row r="26407" ht="14.25" customHeight="1"/>
    <row r="26408" ht="14.25" customHeight="1"/>
    <row r="26409" ht="14.25" customHeight="1"/>
    <row r="26410" ht="14.25" customHeight="1"/>
    <row r="26411" ht="14.25" customHeight="1"/>
    <row r="26412" ht="14.25" customHeight="1"/>
    <row r="26413" ht="14.25" customHeight="1"/>
    <row r="26414" ht="14.25" customHeight="1"/>
    <row r="26415" ht="14.25" customHeight="1"/>
    <row r="26416" ht="14.25" customHeight="1"/>
    <row r="26417" ht="14.25" customHeight="1"/>
    <row r="26418" ht="14.25" customHeight="1"/>
    <row r="26419" ht="14.25" customHeight="1"/>
    <row r="26420" ht="14.25" customHeight="1"/>
    <row r="26421" ht="14.25" customHeight="1"/>
    <row r="26422" ht="14.25" customHeight="1"/>
    <row r="26423" ht="14.25" customHeight="1"/>
    <row r="26424" ht="14.25" customHeight="1"/>
    <row r="26425" ht="14.25" customHeight="1"/>
    <row r="26426" ht="14.25" customHeight="1"/>
    <row r="26427" ht="14.25" customHeight="1"/>
    <row r="26428" ht="14.25" customHeight="1"/>
    <row r="26429" ht="14.25" customHeight="1"/>
    <row r="26430" ht="14.25" customHeight="1"/>
    <row r="26431" ht="14.25" customHeight="1"/>
    <row r="26432" ht="14.25" customHeight="1"/>
    <row r="26433" ht="14.25" customHeight="1"/>
    <row r="26434" ht="14.25" customHeight="1"/>
    <row r="26435" ht="14.25" customHeight="1"/>
    <row r="26436" ht="14.25" customHeight="1"/>
    <row r="26437" ht="14.25" customHeight="1"/>
    <row r="26438" ht="14.25" customHeight="1"/>
    <row r="26439" ht="14.25" customHeight="1"/>
    <row r="26440" ht="14.25" customHeight="1"/>
    <row r="26441" ht="14.25" customHeight="1"/>
    <row r="26442" ht="14.25" customHeight="1"/>
    <row r="26443" ht="14.25" customHeight="1"/>
    <row r="26444" ht="14.25" customHeight="1"/>
    <row r="26445" ht="14.25" customHeight="1"/>
    <row r="26446" ht="14.25" customHeight="1"/>
    <row r="26447" ht="14.25" customHeight="1"/>
    <row r="26448" ht="14.25" customHeight="1"/>
    <row r="26449" ht="14.25" customHeight="1"/>
    <row r="26450" ht="14.25" customHeight="1"/>
    <row r="26451" ht="14.25" customHeight="1"/>
    <row r="26452" ht="14.25" customHeight="1"/>
    <row r="26453" ht="14.25" customHeight="1"/>
    <row r="26454" ht="14.25" customHeight="1"/>
    <row r="26455" ht="14.25" customHeight="1"/>
    <row r="26456" ht="14.25" customHeight="1"/>
    <row r="26457" ht="14.25" customHeight="1"/>
    <row r="26458" ht="14.25" customHeight="1"/>
    <row r="26459" ht="14.25" customHeight="1"/>
    <row r="26460" ht="14.25" customHeight="1"/>
    <row r="26461" ht="14.25" customHeight="1"/>
    <row r="26462" ht="14.25" customHeight="1"/>
    <row r="26463" ht="14.25" customHeight="1"/>
    <row r="26464" ht="14.25" customHeight="1"/>
    <row r="26465" ht="14.25" customHeight="1"/>
    <row r="26466" ht="14.25" customHeight="1"/>
    <row r="26467" ht="14.25" customHeight="1"/>
    <row r="26468" ht="14.25" customHeight="1"/>
    <row r="26469" ht="14.25" customHeight="1"/>
    <row r="26470" ht="14.25" customHeight="1"/>
    <row r="26471" ht="14.25" customHeight="1"/>
    <row r="26472" ht="14.25" customHeight="1"/>
    <row r="26473" ht="14.25" customHeight="1"/>
    <row r="26474" ht="14.25" customHeight="1"/>
    <row r="26475" ht="14.25" customHeight="1"/>
    <row r="26476" ht="14.25" customHeight="1"/>
    <row r="26477" ht="14.25" customHeight="1"/>
    <row r="26478" ht="14.25" customHeight="1"/>
    <row r="26479" ht="14.25" customHeight="1"/>
    <row r="26480" ht="14.25" customHeight="1"/>
    <row r="26481" ht="14.25" customHeight="1"/>
    <row r="26482" ht="14.25" customHeight="1"/>
    <row r="26483" ht="14.25" customHeight="1"/>
    <row r="26484" ht="14.25" customHeight="1"/>
    <row r="26485" ht="14.25" customHeight="1"/>
    <row r="26486" ht="14.25" customHeight="1"/>
    <row r="26487" ht="14.25" customHeight="1"/>
    <row r="26488" ht="14.25" customHeight="1"/>
    <row r="26489" ht="14.25" customHeight="1"/>
    <row r="26490" ht="14.25" customHeight="1"/>
    <row r="26491" ht="14.25" customHeight="1"/>
    <row r="26492" ht="14.25" customHeight="1"/>
    <row r="26493" ht="14.25" customHeight="1"/>
    <row r="26494" ht="14.25" customHeight="1"/>
    <row r="26495" ht="14.25" customHeight="1"/>
    <row r="26496" ht="14.25" customHeight="1"/>
    <row r="26497" ht="14.25" customHeight="1"/>
    <row r="26498" ht="14.25" customHeight="1"/>
    <row r="26499" ht="14.25" customHeight="1"/>
    <row r="26500" ht="14.25" customHeight="1"/>
    <row r="26501" ht="14.25" customHeight="1"/>
    <row r="26502" ht="14.25" customHeight="1"/>
    <row r="26503" ht="14.25" customHeight="1"/>
    <row r="26504" ht="14.25" customHeight="1"/>
    <row r="26505" ht="14.25" customHeight="1"/>
    <row r="26506" ht="14.25" customHeight="1"/>
    <row r="26507" ht="14.25" customHeight="1"/>
    <row r="26508" ht="14.25" customHeight="1"/>
    <row r="26509" ht="14.25" customHeight="1"/>
    <row r="26510" ht="14.25" customHeight="1"/>
    <row r="26511" ht="14.25" customHeight="1"/>
    <row r="26512" ht="14.25" customHeight="1"/>
    <row r="26513" ht="14.25" customHeight="1"/>
    <row r="26514" ht="14.25" customHeight="1"/>
    <row r="26515" ht="14.25" customHeight="1"/>
    <row r="26516" ht="14.25" customHeight="1"/>
    <row r="26517" ht="14.25" customHeight="1"/>
    <row r="26518" ht="14.25" customHeight="1"/>
    <row r="26519" ht="14.25" customHeight="1"/>
    <row r="26520" ht="14.25" customHeight="1"/>
    <row r="26521" ht="14.25" customHeight="1"/>
    <row r="26522" ht="14.25" customHeight="1"/>
    <row r="26523" ht="14.25" customHeight="1"/>
    <row r="26524" ht="14.25" customHeight="1"/>
    <row r="26525" ht="14.25" customHeight="1"/>
    <row r="26526" ht="14.25" customHeight="1"/>
    <row r="26527" ht="14.25" customHeight="1"/>
    <row r="26528" ht="14.25" customHeight="1"/>
    <row r="26529" ht="14.25" customHeight="1"/>
    <row r="26530" ht="14.25" customHeight="1"/>
    <row r="26531" ht="14.25" customHeight="1"/>
    <row r="26532" ht="14.25" customHeight="1"/>
    <row r="26533" ht="14.25" customHeight="1"/>
    <row r="26534" ht="14.25" customHeight="1"/>
    <row r="26535" ht="14.25" customHeight="1"/>
    <row r="26536" ht="14.25" customHeight="1"/>
    <row r="26537" ht="14.25" customHeight="1"/>
    <row r="26538" ht="14.25" customHeight="1"/>
    <row r="26539" ht="14.25" customHeight="1"/>
    <row r="26540" ht="14.25" customHeight="1"/>
    <row r="26541" ht="14.25" customHeight="1"/>
    <row r="26542" ht="14.25" customHeight="1"/>
    <row r="26543" ht="14.25" customHeight="1"/>
    <row r="26544" ht="14.25" customHeight="1"/>
    <row r="26545" ht="14.25" customHeight="1"/>
    <row r="26546" ht="14.25" customHeight="1"/>
    <row r="26547" ht="14.25" customHeight="1"/>
    <row r="26548" ht="14.25" customHeight="1"/>
    <row r="26549" ht="14.25" customHeight="1"/>
    <row r="26550" ht="14.25" customHeight="1"/>
    <row r="26551" ht="14.25" customHeight="1"/>
    <row r="26552" ht="14.25" customHeight="1"/>
    <row r="26553" ht="14.25" customHeight="1"/>
    <row r="26554" ht="14.25" customHeight="1"/>
    <row r="26555" ht="14.25" customHeight="1"/>
    <row r="26556" ht="14.25" customHeight="1"/>
    <row r="26557" ht="14.25" customHeight="1"/>
    <row r="26558" ht="14.25" customHeight="1"/>
    <row r="26559" ht="14.25" customHeight="1"/>
    <row r="26560" ht="14.25" customHeight="1"/>
    <row r="26561" ht="14.25" customHeight="1"/>
    <row r="26562" ht="14.25" customHeight="1"/>
    <row r="26563" ht="14.25" customHeight="1"/>
    <row r="26564" ht="14.25" customHeight="1"/>
    <row r="26565" ht="14.25" customHeight="1"/>
    <row r="26566" ht="14.25" customHeight="1"/>
    <row r="26567" ht="14.25" customHeight="1"/>
    <row r="26568" ht="14.25" customHeight="1"/>
    <row r="26569" ht="14.25" customHeight="1"/>
    <row r="26570" ht="14.25" customHeight="1"/>
    <row r="26571" ht="14.25" customHeight="1"/>
    <row r="26572" ht="14.25" customHeight="1"/>
    <row r="26573" ht="14.25" customHeight="1"/>
    <row r="26574" ht="14.25" customHeight="1"/>
    <row r="26575" ht="14.25" customHeight="1"/>
    <row r="26576" ht="14.25" customHeight="1"/>
    <row r="26577" ht="14.25" customHeight="1"/>
    <row r="26578" ht="14.25" customHeight="1"/>
    <row r="26579" ht="14.25" customHeight="1"/>
    <row r="26580" ht="14.25" customHeight="1"/>
    <row r="26581" ht="14.25" customHeight="1"/>
    <row r="26582" ht="14.25" customHeight="1"/>
    <row r="26583" ht="14.25" customHeight="1"/>
    <row r="26584" ht="14.25" customHeight="1"/>
    <row r="26585" ht="14.25" customHeight="1"/>
    <row r="26586" ht="14.25" customHeight="1"/>
    <row r="26587" ht="14.25" customHeight="1"/>
    <row r="26588" ht="14.25" customHeight="1"/>
    <row r="26589" ht="14.25" customHeight="1"/>
    <row r="26590" ht="14.25" customHeight="1"/>
    <row r="26591" ht="14.25" customHeight="1"/>
    <row r="26592" ht="14.25" customHeight="1"/>
    <row r="26593" ht="14.25" customHeight="1"/>
    <row r="26594" ht="14.25" customHeight="1"/>
    <row r="26595" ht="14.25" customHeight="1"/>
    <row r="26596" ht="14.25" customHeight="1"/>
    <row r="26597" ht="14.25" customHeight="1"/>
    <row r="26598" ht="14.25" customHeight="1"/>
    <row r="26599" ht="14.25" customHeight="1"/>
    <row r="26600" ht="14.25" customHeight="1"/>
    <row r="26601" ht="14.25" customHeight="1"/>
    <row r="26602" ht="14.25" customHeight="1"/>
    <row r="26603" ht="14.25" customHeight="1"/>
    <row r="26604" ht="14.25" customHeight="1"/>
    <row r="26605" ht="14.25" customHeight="1"/>
    <row r="26606" ht="14.25" customHeight="1"/>
    <row r="26607" ht="14.25" customHeight="1"/>
    <row r="26608" ht="14.25" customHeight="1"/>
    <row r="26609" ht="14.25" customHeight="1"/>
    <row r="26610" ht="14.25" customHeight="1"/>
    <row r="26611" ht="14.25" customHeight="1"/>
    <row r="26612" ht="14.25" customHeight="1"/>
    <row r="26613" ht="14.25" customHeight="1"/>
    <row r="26614" ht="14.25" customHeight="1"/>
    <row r="26615" ht="14.25" customHeight="1"/>
    <row r="26616" ht="14.25" customHeight="1"/>
    <row r="26617" ht="14.25" customHeight="1"/>
    <row r="26618" ht="14.25" customHeight="1"/>
    <row r="26619" ht="14.25" customHeight="1"/>
    <row r="26620" ht="14.25" customHeight="1"/>
    <row r="26621" ht="14.25" customHeight="1"/>
    <row r="26622" ht="14.25" customHeight="1"/>
    <row r="26623" ht="14.25" customHeight="1"/>
    <row r="26624" ht="14.25" customHeight="1"/>
    <row r="26625" ht="14.25" customHeight="1"/>
    <row r="26626" ht="14.25" customHeight="1"/>
    <row r="26627" ht="14.25" customHeight="1"/>
    <row r="26628" ht="14.25" customHeight="1"/>
    <row r="26629" ht="14.25" customHeight="1"/>
    <row r="26630" ht="14.25" customHeight="1"/>
    <row r="26631" ht="14.25" customHeight="1"/>
    <row r="26632" ht="14.25" customHeight="1"/>
    <row r="26633" ht="14.25" customHeight="1"/>
    <row r="26634" ht="14.25" customHeight="1"/>
    <row r="26635" ht="14.25" customHeight="1"/>
    <row r="26636" ht="14.25" customHeight="1"/>
    <row r="26637" ht="14.25" customHeight="1"/>
    <row r="26638" ht="14.25" customHeight="1"/>
    <row r="26639" ht="14.25" customHeight="1"/>
    <row r="26640" ht="14.25" customHeight="1"/>
    <row r="26641" ht="14.25" customHeight="1"/>
    <row r="26642" ht="14.25" customHeight="1"/>
    <row r="26643" ht="14.25" customHeight="1"/>
    <row r="26644" ht="14.25" customHeight="1"/>
    <row r="26645" ht="14.25" customHeight="1"/>
    <row r="26646" ht="14.25" customHeight="1"/>
    <row r="26647" ht="14.25" customHeight="1"/>
    <row r="26648" ht="14.25" customHeight="1"/>
    <row r="26649" ht="14.25" customHeight="1"/>
    <row r="26650" ht="14.25" customHeight="1"/>
    <row r="26651" ht="14.25" customHeight="1"/>
    <row r="26652" ht="14.25" customHeight="1"/>
    <row r="26653" ht="14.25" customHeight="1"/>
    <row r="26654" ht="14.25" customHeight="1"/>
    <row r="26655" ht="14.25" customHeight="1"/>
    <row r="26656" ht="14.25" customHeight="1"/>
    <row r="26657" ht="14.25" customHeight="1"/>
    <row r="26658" ht="14.25" customHeight="1"/>
    <row r="26659" ht="14.25" customHeight="1"/>
    <row r="26660" ht="14.25" customHeight="1"/>
    <row r="26661" ht="14.25" customHeight="1"/>
    <row r="26662" ht="14.25" customHeight="1"/>
    <row r="26663" ht="14.25" customHeight="1"/>
    <row r="26664" ht="14.25" customHeight="1"/>
    <row r="26665" ht="14.25" customHeight="1"/>
    <row r="26666" ht="14.25" customHeight="1"/>
    <row r="26667" ht="14.25" customHeight="1"/>
    <row r="26668" ht="14.25" customHeight="1"/>
    <row r="26669" ht="14.25" customHeight="1"/>
    <row r="26670" ht="14.25" customHeight="1"/>
    <row r="26671" ht="14.25" customHeight="1"/>
    <row r="26672" ht="14.25" customHeight="1"/>
    <row r="26673" ht="14.25" customHeight="1"/>
    <row r="26674" ht="14.25" customHeight="1"/>
    <row r="26675" ht="14.25" customHeight="1"/>
    <row r="26676" ht="14.25" customHeight="1"/>
    <row r="26677" ht="14.25" customHeight="1"/>
    <row r="26678" ht="14.25" customHeight="1"/>
    <row r="26679" ht="14.25" customHeight="1"/>
    <row r="26680" ht="14.25" customHeight="1"/>
    <row r="26681" ht="14.25" customHeight="1"/>
    <row r="26682" ht="14.25" customHeight="1"/>
    <row r="26683" ht="14.25" customHeight="1"/>
    <row r="26684" ht="14.25" customHeight="1"/>
    <row r="26685" ht="14.25" customHeight="1"/>
    <row r="26686" ht="14.25" customHeight="1"/>
    <row r="26687" ht="14.25" customHeight="1"/>
    <row r="26688" ht="14.25" customHeight="1"/>
    <row r="26689" ht="14.25" customHeight="1"/>
    <row r="26690" ht="14.25" customHeight="1"/>
    <row r="26691" ht="14.25" customHeight="1"/>
    <row r="26692" ht="14.25" customHeight="1"/>
    <row r="26693" ht="14.25" customHeight="1"/>
    <row r="26694" ht="14.25" customHeight="1"/>
    <row r="26695" ht="14.25" customHeight="1"/>
    <row r="26696" ht="14.25" customHeight="1"/>
    <row r="26697" ht="14.25" customHeight="1"/>
    <row r="26698" ht="14.25" customHeight="1"/>
    <row r="26699" ht="14.25" customHeight="1"/>
    <row r="26700" ht="14.25" customHeight="1"/>
    <row r="26701" ht="14.25" customHeight="1"/>
    <row r="26702" ht="14.25" customHeight="1"/>
    <row r="26703" ht="14.25" customHeight="1"/>
    <row r="26704" ht="14.25" customHeight="1"/>
    <row r="26705" ht="14.25" customHeight="1"/>
    <row r="26706" ht="14.25" customHeight="1"/>
    <row r="26707" ht="14.25" customHeight="1"/>
    <row r="26708" ht="14.25" customHeight="1"/>
    <row r="26709" ht="14.25" customHeight="1"/>
    <row r="26710" ht="14.25" customHeight="1"/>
    <row r="26711" ht="14.25" customHeight="1"/>
    <row r="26712" ht="14.25" customHeight="1"/>
    <row r="26713" ht="14.25" customHeight="1"/>
    <row r="26714" ht="14.25" customHeight="1"/>
    <row r="26715" ht="14.25" customHeight="1"/>
    <row r="26716" ht="14.25" customHeight="1"/>
    <row r="26717" ht="14.25" customHeight="1"/>
    <row r="26718" ht="14.25" customHeight="1"/>
    <row r="26719" ht="14.25" customHeight="1"/>
    <row r="26720" ht="14.25" customHeight="1"/>
    <row r="26721" ht="14.25" customHeight="1"/>
    <row r="26722" ht="14.25" customHeight="1"/>
    <row r="26723" ht="14.25" customHeight="1"/>
    <row r="26724" ht="14.25" customHeight="1"/>
    <row r="26725" ht="14.25" customHeight="1"/>
    <row r="26726" ht="14.25" customHeight="1"/>
    <row r="26727" ht="14.25" customHeight="1"/>
    <row r="26728" ht="14.25" customHeight="1"/>
    <row r="26729" ht="14.25" customHeight="1"/>
    <row r="26730" ht="14.25" customHeight="1"/>
    <row r="26731" ht="14.25" customHeight="1"/>
    <row r="26732" ht="14.25" customHeight="1"/>
    <row r="26733" ht="14.25" customHeight="1"/>
    <row r="26734" ht="14.25" customHeight="1"/>
    <row r="26735" ht="14.25" customHeight="1"/>
    <row r="26736" ht="14.25" customHeight="1"/>
    <row r="26737" ht="14.25" customHeight="1"/>
    <row r="26738" ht="14.25" customHeight="1"/>
    <row r="26739" ht="14.25" customHeight="1"/>
    <row r="26740" ht="14.25" customHeight="1"/>
    <row r="26741" ht="14.25" customHeight="1"/>
    <row r="26742" ht="14.25" customHeight="1"/>
    <row r="26743" ht="14.25" customHeight="1"/>
    <row r="26744" ht="14.25" customHeight="1"/>
    <row r="26745" ht="14.25" customHeight="1"/>
    <row r="26746" ht="14.25" customHeight="1"/>
    <row r="26747" ht="14.25" customHeight="1"/>
    <row r="26748" ht="14.25" customHeight="1"/>
    <row r="26749" ht="14.25" customHeight="1"/>
    <row r="26750" ht="14.25" customHeight="1"/>
    <row r="26751" ht="14.25" customHeight="1"/>
    <row r="26752" ht="14.25" customHeight="1"/>
    <row r="26753" ht="14.25" customHeight="1"/>
    <row r="26754" ht="14.25" customHeight="1"/>
    <row r="26755" ht="14.25" customHeight="1"/>
    <row r="26756" ht="14.25" customHeight="1"/>
    <row r="26757" ht="14.25" customHeight="1"/>
    <row r="26758" ht="14.25" customHeight="1"/>
    <row r="26759" ht="14.25" customHeight="1"/>
    <row r="26760" ht="14.25" customHeight="1"/>
    <row r="26761" ht="14.25" customHeight="1"/>
    <row r="26762" ht="14.25" customHeight="1"/>
    <row r="26763" ht="14.25" customHeight="1"/>
    <row r="26764" ht="14.25" customHeight="1"/>
    <row r="26765" ht="14.25" customHeight="1"/>
    <row r="26766" ht="14.25" customHeight="1"/>
    <row r="26767" ht="14.25" customHeight="1"/>
    <row r="26768" ht="14.25" customHeight="1"/>
    <row r="26769" ht="14.25" customHeight="1"/>
    <row r="26770" ht="14.25" customHeight="1"/>
    <row r="26771" ht="14.25" customHeight="1"/>
    <row r="26772" ht="14.25" customHeight="1"/>
    <row r="26773" ht="14.25" customHeight="1"/>
    <row r="26774" ht="14.25" customHeight="1"/>
    <row r="26775" ht="14.25" customHeight="1"/>
    <row r="26776" ht="14.25" customHeight="1"/>
    <row r="26777" ht="14.25" customHeight="1"/>
    <row r="26778" ht="14.25" customHeight="1"/>
    <row r="26779" ht="14.25" customHeight="1"/>
    <row r="26780" ht="14.25" customHeight="1"/>
    <row r="26781" ht="14.25" customHeight="1"/>
    <row r="26782" ht="14.25" customHeight="1"/>
    <row r="26783" ht="14.25" customHeight="1"/>
    <row r="26784" ht="14.25" customHeight="1"/>
    <row r="26785" ht="14.25" customHeight="1"/>
    <row r="26786" ht="14.25" customHeight="1"/>
    <row r="26787" ht="14.25" customHeight="1"/>
    <row r="26788" ht="14.25" customHeight="1"/>
    <row r="26789" ht="14.25" customHeight="1"/>
    <row r="26790" ht="14.25" customHeight="1"/>
    <row r="26791" ht="14.25" customHeight="1"/>
    <row r="26792" ht="14.25" customHeight="1"/>
    <row r="26793" ht="14.25" customHeight="1"/>
    <row r="26794" ht="14.25" customHeight="1"/>
    <row r="26795" ht="14.25" customHeight="1"/>
    <row r="26796" ht="14.25" customHeight="1"/>
    <row r="26797" ht="14.25" customHeight="1"/>
    <row r="26798" ht="14.25" customHeight="1"/>
    <row r="26799" ht="14.25" customHeight="1"/>
    <row r="26800" ht="14.25" customHeight="1"/>
    <row r="26801" ht="14.25" customHeight="1"/>
    <row r="26802" ht="14.25" customHeight="1"/>
    <row r="26803" ht="14.25" customHeight="1"/>
    <row r="26804" ht="14.25" customHeight="1"/>
    <row r="26805" ht="14.25" customHeight="1"/>
    <row r="26806" ht="14.25" customHeight="1"/>
    <row r="26807" ht="14.25" customHeight="1"/>
    <row r="26808" ht="14.25" customHeight="1"/>
    <row r="26809" ht="14.25" customHeight="1"/>
    <row r="26810" ht="14.25" customHeight="1"/>
    <row r="26811" ht="14.25" customHeight="1"/>
    <row r="26812" ht="14.25" customHeight="1"/>
    <row r="26813" ht="14.25" customHeight="1"/>
    <row r="26814" ht="14.25" customHeight="1"/>
    <row r="26815" ht="14.25" customHeight="1"/>
    <row r="26816" ht="14.25" customHeight="1"/>
    <row r="26817" ht="14.25" customHeight="1"/>
    <row r="26818" ht="14.25" customHeight="1"/>
    <row r="26819" ht="14.25" customHeight="1"/>
    <row r="26820" ht="14.25" customHeight="1"/>
    <row r="26821" ht="14.25" customHeight="1"/>
    <row r="26822" ht="14.25" customHeight="1"/>
    <row r="26823" ht="14.25" customHeight="1"/>
    <row r="26824" ht="14.25" customHeight="1"/>
    <row r="26825" ht="14.25" customHeight="1"/>
    <row r="26826" ht="14.25" customHeight="1"/>
    <row r="26827" ht="14.25" customHeight="1"/>
    <row r="26828" ht="14.25" customHeight="1"/>
    <row r="26829" ht="14.25" customHeight="1"/>
    <row r="26830" ht="14.25" customHeight="1"/>
    <row r="26831" ht="14.25" customHeight="1"/>
    <row r="26832" ht="14.25" customHeight="1"/>
    <row r="26833" ht="14.25" customHeight="1"/>
    <row r="26834" ht="14.25" customHeight="1"/>
    <row r="26835" ht="14.25" customHeight="1"/>
    <row r="26836" ht="14.25" customHeight="1"/>
    <row r="26837" ht="14.25" customHeight="1"/>
    <row r="26838" ht="14.25" customHeight="1"/>
    <row r="26839" ht="14.25" customHeight="1"/>
    <row r="26840" ht="14.25" customHeight="1"/>
    <row r="26841" ht="14.25" customHeight="1"/>
    <row r="26842" ht="14.25" customHeight="1"/>
    <row r="26843" ht="14.25" customHeight="1"/>
    <row r="26844" ht="14.25" customHeight="1"/>
    <row r="26845" ht="14.25" customHeight="1"/>
    <row r="26846" ht="14.25" customHeight="1"/>
    <row r="26847" ht="14.25" customHeight="1"/>
    <row r="26848" ht="14.25" customHeight="1"/>
    <row r="26849" ht="14.25" customHeight="1"/>
    <row r="26850" ht="14.25" customHeight="1"/>
    <row r="26851" ht="14.25" customHeight="1"/>
    <row r="26852" ht="14.25" customHeight="1"/>
    <row r="26853" ht="14.25" customHeight="1"/>
    <row r="26854" ht="14.25" customHeight="1"/>
    <row r="26855" ht="14.25" customHeight="1"/>
    <row r="26856" ht="14.25" customHeight="1"/>
    <row r="26857" ht="14.25" customHeight="1"/>
    <row r="26858" ht="14.25" customHeight="1"/>
    <row r="26859" ht="14.25" customHeight="1"/>
    <row r="26860" ht="14.25" customHeight="1"/>
    <row r="26861" ht="14.25" customHeight="1"/>
    <row r="26862" ht="14.25" customHeight="1"/>
    <row r="26863" ht="14.25" customHeight="1"/>
    <row r="26864" ht="14.25" customHeight="1"/>
    <row r="26865" ht="14.25" customHeight="1"/>
    <row r="26866" ht="14.25" customHeight="1"/>
    <row r="26867" ht="14.25" customHeight="1"/>
    <row r="26868" ht="14.25" customHeight="1"/>
    <row r="26869" ht="14.25" customHeight="1"/>
    <row r="26870" ht="14.25" customHeight="1"/>
    <row r="26871" ht="14.25" customHeight="1"/>
    <row r="26872" ht="14.25" customHeight="1"/>
    <row r="26873" ht="14.25" customHeight="1"/>
    <row r="26874" ht="14.25" customHeight="1"/>
    <row r="26875" ht="14.25" customHeight="1"/>
    <row r="26876" ht="14.25" customHeight="1"/>
    <row r="26877" ht="14.25" customHeight="1"/>
    <row r="26878" ht="14.25" customHeight="1"/>
    <row r="26879" ht="14.25" customHeight="1"/>
    <row r="26880" ht="14.25" customHeight="1"/>
    <row r="26881" ht="14.25" customHeight="1"/>
    <row r="26882" ht="14.25" customHeight="1"/>
    <row r="26883" ht="14.25" customHeight="1"/>
    <row r="26884" ht="14.25" customHeight="1"/>
    <row r="26885" ht="14.25" customHeight="1"/>
    <row r="26886" ht="14.25" customHeight="1"/>
    <row r="26887" ht="14.25" customHeight="1"/>
    <row r="26888" ht="14.25" customHeight="1"/>
    <row r="26889" ht="14.25" customHeight="1"/>
    <row r="26890" ht="14.25" customHeight="1"/>
    <row r="26891" ht="14.25" customHeight="1"/>
    <row r="26892" ht="14.25" customHeight="1"/>
    <row r="26893" ht="14.25" customHeight="1"/>
    <row r="26894" ht="14.25" customHeight="1"/>
    <row r="26895" ht="14.25" customHeight="1"/>
    <row r="26896" ht="14.25" customHeight="1"/>
    <row r="26897" ht="14.25" customHeight="1"/>
    <row r="26898" ht="14.25" customHeight="1"/>
    <row r="26899" ht="14.25" customHeight="1"/>
    <row r="26900" ht="14.25" customHeight="1"/>
    <row r="26901" ht="14.25" customHeight="1"/>
    <row r="26902" ht="14.25" customHeight="1"/>
    <row r="26903" ht="14.25" customHeight="1"/>
    <row r="26904" ht="14.25" customHeight="1"/>
    <row r="26905" ht="14.25" customHeight="1"/>
    <row r="26906" ht="14.25" customHeight="1"/>
    <row r="26907" ht="14.25" customHeight="1"/>
    <row r="26908" ht="14.25" customHeight="1"/>
    <row r="26909" ht="14.25" customHeight="1"/>
    <row r="26910" ht="14.25" customHeight="1"/>
    <row r="26911" ht="14.25" customHeight="1"/>
    <row r="26912" ht="14.25" customHeight="1"/>
    <row r="26913" ht="14.25" customHeight="1"/>
    <row r="26914" ht="14.25" customHeight="1"/>
    <row r="26915" ht="14.25" customHeight="1"/>
    <row r="26916" ht="14.25" customHeight="1"/>
    <row r="26917" ht="14.25" customHeight="1"/>
    <row r="26918" ht="14.25" customHeight="1"/>
    <row r="26919" ht="14.25" customHeight="1"/>
    <row r="26920" ht="14.25" customHeight="1"/>
    <row r="26921" ht="14.25" customHeight="1"/>
    <row r="26922" ht="14.25" customHeight="1"/>
    <row r="26923" ht="14.25" customHeight="1"/>
    <row r="26924" ht="14.25" customHeight="1"/>
    <row r="26925" ht="14.25" customHeight="1"/>
    <row r="26926" ht="14.25" customHeight="1"/>
    <row r="26927" ht="14.25" customHeight="1"/>
    <row r="26928" ht="14.25" customHeight="1"/>
    <row r="26929" ht="14.25" customHeight="1"/>
    <row r="26930" ht="14.25" customHeight="1"/>
    <row r="26931" ht="14.25" customHeight="1"/>
    <row r="26932" ht="14.25" customHeight="1"/>
    <row r="26933" ht="14.25" customHeight="1"/>
    <row r="26934" ht="14.25" customHeight="1"/>
    <row r="26935" ht="14.25" customHeight="1"/>
    <row r="26936" ht="14.25" customHeight="1"/>
    <row r="26937" ht="14.25" customHeight="1"/>
    <row r="26938" ht="14.25" customHeight="1"/>
    <row r="26939" ht="14.25" customHeight="1"/>
    <row r="26940" ht="14.25" customHeight="1"/>
    <row r="26941" ht="14.25" customHeight="1"/>
    <row r="26942" ht="14.25" customHeight="1"/>
    <row r="26943" ht="14.25" customHeight="1"/>
    <row r="26944" ht="14.25" customHeight="1"/>
    <row r="26945" ht="14.25" customHeight="1"/>
    <row r="26946" ht="14.25" customHeight="1"/>
    <row r="26947" ht="14.25" customHeight="1"/>
    <row r="26948" ht="14.25" customHeight="1"/>
    <row r="26949" ht="14.25" customHeight="1"/>
    <row r="26950" ht="14.25" customHeight="1"/>
    <row r="26951" ht="14.25" customHeight="1"/>
    <row r="26952" ht="14.25" customHeight="1"/>
    <row r="26953" ht="14.25" customHeight="1"/>
    <row r="26954" ht="14.25" customHeight="1"/>
    <row r="26955" ht="14.25" customHeight="1"/>
    <row r="26956" ht="14.25" customHeight="1"/>
    <row r="26957" ht="14.25" customHeight="1"/>
    <row r="26958" ht="14.25" customHeight="1"/>
    <row r="26959" ht="14.25" customHeight="1"/>
    <row r="26960" ht="14.25" customHeight="1"/>
    <row r="26961" ht="14.25" customHeight="1"/>
    <row r="26962" ht="14.25" customHeight="1"/>
    <row r="26963" ht="14.25" customHeight="1"/>
    <row r="26964" ht="14.25" customHeight="1"/>
    <row r="26965" ht="14.25" customHeight="1"/>
    <row r="26966" ht="14.25" customHeight="1"/>
    <row r="26967" ht="14.25" customHeight="1"/>
    <row r="26968" ht="14.25" customHeight="1"/>
    <row r="26969" ht="14.25" customHeight="1"/>
    <row r="26970" ht="14.25" customHeight="1"/>
    <row r="26971" ht="14.25" customHeight="1"/>
    <row r="26972" ht="14.25" customHeight="1"/>
    <row r="26973" ht="14.25" customHeight="1"/>
    <row r="26974" ht="14.25" customHeight="1"/>
    <row r="26975" ht="14.25" customHeight="1"/>
    <row r="26976" ht="14.25" customHeight="1"/>
    <row r="26977" ht="14.25" customHeight="1"/>
    <row r="26978" ht="14.25" customHeight="1"/>
    <row r="26979" ht="14.25" customHeight="1"/>
    <row r="26980" ht="14.25" customHeight="1"/>
    <row r="26981" ht="14.25" customHeight="1"/>
    <row r="26982" ht="14.25" customHeight="1"/>
    <row r="26983" ht="14.25" customHeight="1"/>
    <row r="26984" ht="14.25" customHeight="1"/>
    <row r="26985" ht="14.25" customHeight="1"/>
    <row r="26986" ht="14.25" customHeight="1"/>
    <row r="26987" ht="14.25" customHeight="1"/>
    <row r="26988" ht="14.25" customHeight="1"/>
    <row r="26989" ht="14.25" customHeight="1"/>
    <row r="26990" ht="14.25" customHeight="1"/>
    <row r="26991" ht="14.25" customHeight="1"/>
    <row r="26992" ht="14.25" customHeight="1"/>
    <row r="26993" ht="14.25" customHeight="1"/>
    <row r="26994" ht="14.25" customHeight="1"/>
    <row r="26995" ht="14.25" customHeight="1"/>
    <row r="26996" ht="14.25" customHeight="1"/>
    <row r="26997" ht="14.25" customHeight="1"/>
    <row r="26998" ht="14.25" customHeight="1"/>
    <row r="26999" ht="14.25" customHeight="1"/>
    <row r="27000" ht="14.25" customHeight="1"/>
    <row r="27001" ht="14.25" customHeight="1"/>
    <row r="27002" ht="14.25" customHeight="1"/>
    <row r="27003" ht="14.25" customHeight="1"/>
    <row r="27004" ht="14.25" customHeight="1"/>
    <row r="27005" ht="14.25" customHeight="1"/>
    <row r="27006" ht="14.25" customHeight="1"/>
    <row r="27007" ht="14.25" customHeight="1"/>
    <row r="27008" ht="14.25" customHeight="1"/>
    <row r="27009" ht="14.25" customHeight="1"/>
    <row r="27010" ht="14.25" customHeight="1"/>
    <row r="27011" ht="14.25" customHeight="1"/>
    <row r="27012" ht="14.25" customHeight="1"/>
    <row r="27013" ht="14.25" customHeight="1"/>
    <row r="27014" ht="14.25" customHeight="1"/>
    <row r="27015" ht="14.25" customHeight="1"/>
    <row r="27016" ht="14.25" customHeight="1"/>
    <row r="27017" ht="14.25" customHeight="1"/>
    <row r="27018" ht="14.25" customHeight="1"/>
    <row r="27019" ht="14.25" customHeight="1"/>
    <row r="27020" ht="14.25" customHeight="1"/>
    <row r="27021" ht="14.25" customHeight="1"/>
    <row r="27022" ht="14.25" customHeight="1"/>
    <row r="27023" ht="14.25" customHeight="1"/>
    <row r="27024" ht="14.25" customHeight="1"/>
    <row r="27025" ht="14.25" customHeight="1"/>
    <row r="27026" ht="14.25" customHeight="1"/>
    <row r="27027" ht="14.25" customHeight="1"/>
    <row r="27028" ht="14.25" customHeight="1"/>
    <row r="27029" ht="14.25" customHeight="1"/>
    <row r="27030" ht="14.25" customHeight="1"/>
    <row r="27031" ht="14.25" customHeight="1"/>
    <row r="27032" ht="14.25" customHeight="1"/>
    <row r="27033" ht="14.25" customHeight="1"/>
    <row r="27034" ht="14.25" customHeight="1"/>
    <row r="27035" ht="14.25" customHeight="1"/>
    <row r="27036" ht="14.25" customHeight="1"/>
    <row r="27037" ht="14.25" customHeight="1"/>
    <row r="27038" ht="14.25" customHeight="1"/>
    <row r="27039" ht="14.25" customHeight="1"/>
    <row r="27040" ht="14.25" customHeight="1"/>
    <row r="27041" ht="14.25" customHeight="1"/>
    <row r="27042" ht="14.25" customHeight="1"/>
    <row r="27043" ht="14.25" customHeight="1"/>
    <row r="27044" ht="14.25" customHeight="1"/>
    <row r="27045" ht="14.25" customHeight="1"/>
    <row r="27046" ht="14.25" customHeight="1"/>
    <row r="27047" ht="14.25" customHeight="1"/>
    <row r="27048" ht="14.25" customHeight="1"/>
    <row r="27049" ht="14.25" customHeight="1"/>
    <row r="27050" ht="14.25" customHeight="1"/>
    <row r="27051" ht="14.25" customHeight="1"/>
    <row r="27052" ht="14.25" customHeight="1"/>
    <row r="27053" ht="14.25" customHeight="1"/>
    <row r="27054" ht="14.25" customHeight="1"/>
    <row r="27055" ht="14.25" customHeight="1"/>
    <row r="27056" ht="14.25" customHeight="1"/>
    <row r="27057" ht="14.25" customHeight="1"/>
    <row r="27058" ht="14.25" customHeight="1"/>
    <row r="27059" ht="14.25" customHeight="1"/>
    <row r="27060" ht="14.25" customHeight="1"/>
    <row r="27061" ht="14.25" customHeight="1"/>
    <row r="27062" ht="14.25" customHeight="1"/>
    <row r="27063" ht="14.25" customHeight="1"/>
    <row r="27064" ht="14.25" customHeight="1"/>
    <row r="27065" ht="14.25" customHeight="1"/>
    <row r="27066" ht="14.25" customHeight="1"/>
    <row r="27067" ht="14.25" customHeight="1"/>
    <row r="27068" ht="14.25" customHeight="1"/>
    <row r="27069" ht="14.25" customHeight="1"/>
    <row r="27070" ht="14.25" customHeight="1"/>
    <row r="27071" ht="14.25" customHeight="1"/>
    <row r="27072" ht="14.25" customHeight="1"/>
    <row r="27073" ht="14.25" customHeight="1"/>
    <row r="27074" ht="14.25" customHeight="1"/>
    <row r="27075" ht="14.25" customHeight="1"/>
    <row r="27076" ht="14.25" customHeight="1"/>
    <row r="27077" ht="14.25" customHeight="1"/>
    <row r="27078" ht="14.25" customHeight="1"/>
    <row r="27079" ht="14.25" customHeight="1"/>
    <row r="27080" ht="14.25" customHeight="1"/>
    <row r="27081" ht="14.25" customHeight="1"/>
    <row r="27082" ht="14.25" customHeight="1"/>
    <row r="27083" ht="14.25" customHeight="1"/>
    <row r="27084" ht="14.25" customHeight="1"/>
    <row r="27085" ht="14.25" customHeight="1"/>
    <row r="27086" ht="14.25" customHeight="1"/>
    <row r="27087" ht="14.25" customHeight="1"/>
    <row r="27088" ht="14.25" customHeight="1"/>
    <row r="27089" ht="14.25" customHeight="1"/>
    <row r="27090" ht="14.25" customHeight="1"/>
    <row r="27091" ht="14.25" customHeight="1"/>
    <row r="27092" ht="14.25" customHeight="1"/>
    <row r="27093" ht="14.25" customHeight="1"/>
    <row r="27094" ht="14.25" customHeight="1"/>
    <row r="27095" ht="14.25" customHeight="1"/>
    <row r="27096" ht="14.25" customHeight="1"/>
    <row r="27097" ht="14.25" customHeight="1"/>
    <row r="27098" ht="14.25" customHeight="1"/>
    <row r="27099" ht="14.25" customHeight="1"/>
    <row r="27100" ht="14.25" customHeight="1"/>
    <row r="27101" ht="14.25" customHeight="1"/>
    <row r="27102" ht="14.25" customHeight="1"/>
    <row r="27103" ht="14.25" customHeight="1"/>
    <row r="27104" ht="14.25" customHeight="1"/>
    <row r="27105" ht="14.25" customHeight="1"/>
    <row r="27106" ht="14.25" customHeight="1"/>
    <row r="27107" ht="14.25" customHeight="1"/>
    <row r="27108" ht="14.25" customHeight="1"/>
    <row r="27109" ht="14.25" customHeight="1"/>
    <row r="27110" ht="14.25" customHeight="1"/>
    <row r="27111" ht="14.25" customHeight="1"/>
    <row r="27112" ht="14.25" customHeight="1"/>
    <row r="27113" ht="14.25" customHeight="1"/>
    <row r="27114" ht="14.25" customHeight="1"/>
    <row r="27115" ht="14.25" customHeight="1"/>
    <row r="27116" ht="14.25" customHeight="1"/>
    <row r="27117" ht="14.25" customHeight="1"/>
    <row r="27118" ht="14.25" customHeight="1"/>
    <row r="27119" ht="14.25" customHeight="1"/>
    <row r="27120" ht="14.25" customHeight="1"/>
    <row r="27121" ht="14.25" customHeight="1"/>
    <row r="27122" ht="14.25" customHeight="1"/>
    <row r="27123" ht="14.25" customHeight="1"/>
    <row r="27124" ht="14.25" customHeight="1"/>
    <row r="27125" ht="14.25" customHeight="1"/>
    <row r="27126" ht="14.25" customHeight="1"/>
    <row r="27127" ht="14.25" customHeight="1"/>
    <row r="27128" ht="14.25" customHeight="1"/>
    <row r="27129" ht="14.25" customHeight="1"/>
    <row r="27130" ht="14.25" customHeight="1"/>
    <row r="27131" ht="14.25" customHeight="1"/>
    <row r="27132" ht="14.25" customHeight="1"/>
    <row r="27133" ht="14.25" customHeight="1"/>
    <row r="27134" ht="14.25" customHeight="1"/>
    <row r="27135" ht="14.25" customHeight="1"/>
    <row r="27136" ht="14.25" customHeight="1"/>
    <row r="27137" ht="14.25" customHeight="1"/>
    <row r="27138" ht="14.25" customHeight="1"/>
    <row r="27139" ht="14.25" customHeight="1"/>
    <row r="27140" ht="14.25" customHeight="1"/>
    <row r="27141" ht="14.25" customHeight="1"/>
    <row r="27142" ht="14.25" customHeight="1"/>
    <row r="27143" ht="14.25" customHeight="1"/>
    <row r="27144" ht="14.25" customHeight="1"/>
    <row r="27145" ht="14.25" customHeight="1"/>
    <row r="27146" ht="14.25" customHeight="1"/>
    <row r="27147" ht="14.25" customHeight="1"/>
    <row r="27148" ht="14.25" customHeight="1"/>
    <row r="27149" ht="14.25" customHeight="1"/>
    <row r="27150" ht="14.25" customHeight="1"/>
    <row r="27151" ht="14.25" customHeight="1"/>
    <row r="27152" ht="14.25" customHeight="1"/>
    <row r="27153" ht="14.25" customHeight="1"/>
    <row r="27154" ht="14.25" customHeight="1"/>
    <row r="27155" ht="14.25" customHeight="1"/>
    <row r="27156" ht="14.25" customHeight="1"/>
    <row r="27157" ht="14.25" customHeight="1"/>
    <row r="27158" ht="14.25" customHeight="1"/>
    <row r="27159" ht="14.25" customHeight="1"/>
    <row r="27160" ht="14.25" customHeight="1"/>
    <row r="27161" ht="14.25" customHeight="1"/>
    <row r="27162" ht="14.25" customHeight="1"/>
    <row r="27163" ht="14.25" customHeight="1"/>
    <row r="27164" ht="14.25" customHeight="1"/>
    <row r="27165" ht="14.25" customHeight="1"/>
    <row r="27166" ht="14.25" customHeight="1"/>
    <row r="27167" ht="14.25" customHeight="1"/>
    <row r="27168" ht="14.25" customHeight="1"/>
    <row r="27169" ht="14.25" customHeight="1"/>
    <row r="27170" ht="14.25" customHeight="1"/>
    <row r="27171" ht="14.25" customHeight="1"/>
    <row r="27172" ht="14.25" customHeight="1"/>
    <row r="27173" ht="14.25" customHeight="1"/>
    <row r="27174" ht="14.25" customHeight="1"/>
    <row r="27175" ht="14.25" customHeight="1"/>
    <row r="27176" ht="14.25" customHeight="1"/>
    <row r="27177" ht="14.25" customHeight="1"/>
    <row r="27178" ht="14.25" customHeight="1"/>
    <row r="27179" ht="14.25" customHeight="1"/>
    <row r="27180" ht="14.25" customHeight="1"/>
    <row r="27181" ht="14.25" customHeight="1"/>
    <row r="27182" ht="14.25" customHeight="1"/>
    <row r="27183" ht="14.25" customHeight="1"/>
    <row r="27184" ht="14.25" customHeight="1"/>
    <row r="27185" ht="14.25" customHeight="1"/>
    <row r="27186" ht="14.25" customHeight="1"/>
    <row r="27187" ht="14.25" customHeight="1"/>
    <row r="27188" ht="14.25" customHeight="1"/>
    <row r="27189" ht="14.25" customHeight="1"/>
    <row r="27190" ht="14.25" customHeight="1"/>
    <row r="27191" ht="14.25" customHeight="1"/>
    <row r="27192" ht="14.25" customHeight="1"/>
    <row r="27193" ht="14.25" customHeight="1"/>
    <row r="27194" ht="14.25" customHeight="1"/>
    <row r="27195" ht="14.25" customHeight="1"/>
    <row r="27196" ht="14.25" customHeight="1"/>
    <row r="27197" ht="14.25" customHeight="1"/>
    <row r="27198" ht="14.25" customHeight="1"/>
    <row r="27199" ht="14.25" customHeight="1"/>
    <row r="27200" ht="14.25" customHeight="1"/>
    <row r="27201" ht="14.25" customHeight="1"/>
    <row r="27202" ht="14.25" customHeight="1"/>
    <row r="27203" ht="14.25" customHeight="1"/>
    <row r="27204" ht="14.25" customHeight="1"/>
    <row r="27205" ht="14.25" customHeight="1"/>
    <row r="27206" ht="14.25" customHeight="1"/>
    <row r="27207" ht="14.25" customHeight="1"/>
    <row r="27208" ht="14.25" customHeight="1"/>
    <row r="27209" ht="14.25" customHeight="1"/>
    <row r="27210" ht="14.25" customHeight="1"/>
    <row r="27211" ht="14.25" customHeight="1"/>
    <row r="27212" ht="14.25" customHeight="1"/>
    <row r="27213" ht="14.25" customHeight="1"/>
    <row r="27214" ht="14.25" customHeight="1"/>
    <row r="27215" ht="14.25" customHeight="1"/>
    <row r="27216" ht="14.25" customHeight="1"/>
    <row r="27217" ht="14.25" customHeight="1"/>
    <row r="27218" ht="14.25" customHeight="1"/>
    <row r="27219" ht="14.25" customHeight="1"/>
    <row r="27220" ht="14.25" customHeight="1"/>
    <row r="27221" ht="14.25" customHeight="1"/>
    <row r="27222" ht="14.25" customHeight="1"/>
    <row r="27223" ht="14.25" customHeight="1"/>
    <row r="27224" ht="14.25" customHeight="1"/>
    <row r="27225" ht="14.25" customHeight="1"/>
    <row r="27226" ht="14.25" customHeight="1"/>
    <row r="27227" ht="14.25" customHeight="1"/>
    <row r="27228" ht="14.25" customHeight="1"/>
    <row r="27229" ht="14.25" customHeight="1"/>
    <row r="27230" ht="14.25" customHeight="1"/>
    <row r="27231" ht="14.25" customHeight="1"/>
    <row r="27232" ht="14.25" customHeight="1"/>
    <row r="27233" ht="14.25" customHeight="1"/>
    <row r="27234" ht="14.25" customHeight="1"/>
    <row r="27235" ht="14.25" customHeight="1"/>
    <row r="27236" ht="14.25" customHeight="1"/>
    <row r="27237" ht="14.25" customHeight="1"/>
    <row r="27238" ht="14.25" customHeight="1"/>
    <row r="27239" ht="14.25" customHeight="1"/>
    <row r="27240" ht="14.25" customHeight="1"/>
    <row r="27241" ht="14.25" customHeight="1"/>
    <row r="27242" ht="14.25" customHeight="1"/>
    <row r="27243" ht="14.25" customHeight="1"/>
    <row r="27244" ht="14.25" customHeight="1"/>
    <row r="27245" ht="14.25" customHeight="1"/>
    <row r="27246" ht="14.25" customHeight="1"/>
    <row r="27247" ht="14.25" customHeight="1"/>
    <row r="27248" ht="14.25" customHeight="1"/>
    <row r="27249" ht="14.25" customHeight="1"/>
    <row r="27250" ht="14.25" customHeight="1"/>
    <row r="27251" ht="14.25" customHeight="1"/>
    <row r="27252" ht="14.25" customHeight="1"/>
    <row r="27253" ht="14.25" customHeight="1"/>
    <row r="27254" ht="14.25" customHeight="1"/>
    <row r="27255" ht="14.25" customHeight="1"/>
    <row r="27256" ht="14.25" customHeight="1"/>
    <row r="27257" ht="14.25" customHeight="1"/>
    <row r="27258" ht="14.25" customHeight="1"/>
    <row r="27259" ht="14.25" customHeight="1"/>
    <row r="27260" ht="14.25" customHeight="1"/>
    <row r="27261" ht="14.25" customHeight="1"/>
    <row r="27262" ht="14.25" customHeight="1"/>
    <row r="27263" ht="14.25" customHeight="1"/>
    <row r="27264" ht="14.25" customHeight="1"/>
    <row r="27265" ht="14.25" customHeight="1"/>
    <row r="27266" ht="14.25" customHeight="1"/>
    <row r="27267" ht="14.25" customHeight="1"/>
    <row r="27268" ht="14.25" customHeight="1"/>
    <row r="27269" ht="14.25" customHeight="1"/>
    <row r="27270" ht="14.25" customHeight="1"/>
    <row r="27271" ht="14.25" customHeight="1"/>
    <row r="27272" ht="14.25" customHeight="1"/>
    <row r="27273" ht="14.25" customHeight="1"/>
    <row r="27274" ht="14.25" customHeight="1"/>
    <row r="27275" ht="14.25" customHeight="1"/>
    <row r="27276" ht="14.25" customHeight="1"/>
    <row r="27277" ht="14.25" customHeight="1"/>
    <row r="27278" ht="14.25" customHeight="1"/>
    <row r="27279" ht="14.25" customHeight="1"/>
    <row r="27280" ht="14.25" customHeight="1"/>
    <row r="27281" ht="14.25" customHeight="1"/>
    <row r="27282" ht="14.25" customHeight="1"/>
    <row r="27283" ht="14.25" customHeight="1"/>
    <row r="27284" ht="14.25" customHeight="1"/>
    <row r="27285" ht="14.25" customHeight="1"/>
    <row r="27286" ht="14.25" customHeight="1"/>
    <row r="27287" ht="14.25" customHeight="1"/>
    <row r="27288" ht="14.25" customHeight="1"/>
    <row r="27289" ht="14.25" customHeight="1"/>
    <row r="27290" ht="14.25" customHeight="1"/>
    <row r="27291" ht="14.25" customHeight="1"/>
    <row r="27292" ht="14.25" customHeight="1"/>
    <row r="27293" ht="14.25" customHeight="1"/>
    <row r="27294" ht="14.25" customHeight="1"/>
    <row r="27295" ht="14.25" customHeight="1"/>
    <row r="27296" ht="14.25" customHeight="1"/>
    <row r="27297" ht="14.25" customHeight="1"/>
    <row r="27298" ht="14.25" customHeight="1"/>
    <row r="27299" ht="14.25" customHeight="1"/>
    <row r="27300" ht="14.25" customHeight="1"/>
    <row r="27301" ht="14.25" customHeight="1"/>
    <row r="27302" ht="14.25" customHeight="1"/>
    <row r="27303" ht="14.25" customHeight="1"/>
    <row r="27304" ht="14.25" customHeight="1"/>
    <row r="27305" ht="14.25" customHeight="1"/>
    <row r="27306" ht="14.25" customHeight="1"/>
    <row r="27307" ht="14.25" customHeight="1"/>
    <row r="27308" ht="14.25" customHeight="1"/>
    <row r="27309" ht="14.25" customHeight="1"/>
    <row r="27310" ht="14.25" customHeight="1"/>
    <row r="27311" ht="14.25" customHeight="1"/>
    <row r="27312" ht="14.25" customHeight="1"/>
    <row r="27313" ht="14.25" customHeight="1"/>
    <row r="27314" ht="14.25" customHeight="1"/>
    <row r="27315" ht="14.25" customHeight="1"/>
    <row r="27316" ht="14.25" customHeight="1"/>
    <row r="27317" ht="14.25" customHeight="1"/>
    <row r="27318" ht="14.25" customHeight="1"/>
    <row r="27319" ht="14.25" customHeight="1"/>
    <row r="27320" ht="14.25" customHeight="1"/>
    <row r="27321" ht="14.25" customHeight="1"/>
    <row r="27322" ht="14.25" customHeight="1"/>
    <row r="27323" ht="14.25" customHeight="1"/>
    <row r="27324" ht="14.25" customHeight="1"/>
    <row r="27325" ht="14.25" customHeight="1"/>
    <row r="27326" ht="14.25" customHeight="1"/>
    <row r="27327" ht="14.25" customHeight="1"/>
    <row r="27328" ht="14.25" customHeight="1"/>
    <row r="27329" ht="14.25" customHeight="1"/>
    <row r="27330" ht="14.25" customHeight="1"/>
    <row r="27331" ht="14.25" customHeight="1"/>
    <row r="27332" ht="14.25" customHeight="1"/>
    <row r="27333" ht="14.25" customHeight="1"/>
    <row r="27334" ht="14.25" customHeight="1"/>
    <row r="27335" ht="14.25" customHeight="1"/>
    <row r="27336" ht="14.25" customHeight="1"/>
    <row r="27337" ht="14.25" customHeight="1"/>
    <row r="27338" ht="14.25" customHeight="1"/>
    <row r="27339" ht="14.25" customHeight="1"/>
    <row r="27340" ht="14.25" customHeight="1"/>
    <row r="27341" ht="14.25" customHeight="1"/>
    <row r="27342" ht="14.25" customHeight="1"/>
    <row r="27343" ht="14.25" customHeight="1"/>
    <row r="27344" ht="14.25" customHeight="1"/>
    <row r="27345" ht="14.25" customHeight="1"/>
    <row r="27346" ht="14.25" customHeight="1"/>
    <row r="27347" ht="14.25" customHeight="1"/>
    <row r="27348" ht="14.25" customHeight="1"/>
    <row r="27349" ht="14.25" customHeight="1"/>
    <row r="27350" ht="14.25" customHeight="1"/>
    <row r="27351" ht="14.25" customHeight="1"/>
    <row r="27352" ht="14.25" customHeight="1"/>
    <row r="27353" ht="14.25" customHeight="1"/>
    <row r="27354" ht="14.25" customHeight="1"/>
    <row r="27355" ht="14.25" customHeight="1"/>
    <row r="27356" ht="14.25" customHeight="1"/>
    <row r="27357" ht="14.25" customHeight="1"/>
    <row r="27358" ht="14.25" customHeight="1"/>
    <row r="27359" ht="14.25" customHeight="1"/>
    <row r="27360" ht="14.25" customHeight="1"/>
    <row r="27361" ht="14.25" customHeight="1"/>
    <row r="27362" ht="14.25" customHeight="1"/>
    <row r="27363" ht="14.25" customHeight="1"/>
    <row r="27364" ht="14.25" customHeight="1"/>
    <row r="27365" ht="14.25" customHeight="1"/>
    <row r="27366" ht="14.25" customHeight="1"/>
    <row r="27367" ht="14.25" customHeight="1"/>
    <row r="27368" ht="14.25" customHeight="1"/>
    <row r="27369" ht="14.25" customHeight="1"/>
    <row r="27370" ht="14.25" customHeight="1"/>
    <row r="27371" ht="14.25" customHeight="1"/>
    <row r="27372" ht="14.25" customHeight="1"/>
    <row r="27373" ht="14.25" customHeight="1"/>
    <row r="27374" ht="14.25" customHeight="1"/>
    <row r="27375" ht="14.25" customHeight="1"/>
    <row r="27376" ht="14.25" customHeight="1"/>
    <row r="27377" ht="14.25" customHeight="1"/>
    <row r="27378" ht="14.25" customHeight="1"/>
    <row r="27379" ht="14.25" customHeight="1"/>
    <row r="27380" ht="14.25" customHeight="1"/>
    <row r="27381" ht="14.25" customHeight="1"/>
    <row r="27382" ht="14.25" customHeight="1"/>
    <row r="27383" ht="14.25" customHeight="1"/>
    <row r="27384" ht="14.25" customHeight="1"/>
    <row r="27385" ht="14.25" customHeight="1"/>
    <row r="27386" ht="14.25" customHeight="1"/>
    <row r="27387" ht="14.25" customHeight="1"/>
    <row r="27388" ht="14.25" customHeight="1"/>
    <row r="27389" ht="14.25" customHeight="1"/>
    <row r="27390" ht="14.25" customHeight="1"/>
    <row r="27391" ht="14.25" customHeight="1"/>
    <row r="27392" ht="14.25" customHeight="1"/>
    <row r="27393" ht="14.25" customHeight="1"/>
    <row r="27394" ht="14.25" customHeight="1"/>
    <row r="27395" ht="14.25" customHeight="1"/>
    <row r="27396" ht="14.25" customHeight="1"/>
    <row r="27397" ht="14.25" customHeight="1"/>
    <row r="27398" ht="14.25" customHeight="1"/>
    <row r="27399" ht="14.25" customHeight="1"/>
    <row r="27400" ht="14.25" customHeight="1"/>
    <row r="27401" ht="14.25" customHeight="1"/>
    <row r="27402" ht="14.25" customHeight="1"/>
    <row r="27403" ht="14.25" customHeight="1"/>
    <row r="27404" ht="14.25" customHeight="1"/>
    <row r="27405" ht="14.25" customHeight="1"/>
    <row r="27406" ht="14.25" customHeight="1"/>
    <row r="27407" ht="14.25" customHeight="1"/>
    <row r="27408" ht="14.25" customHeight="1"/>
    <row r="27409" ht="14.25" customHeight="1"/>
    <row r="27410" ht="14.25" customHeight="1"/>
    <row r="27411" ht="14.25" customHeight="1"/>
    <row r="27412" ht="14.25" customHeight="1"/>
    <row r="27413" ht="14.25" customHeight="1"/>
    <row r="27414" ht="14.25" customHeight="1"/>
    <row r="27415" ht="14.25" customHeight="1"/>
    <row r="27416" ht="14.25" customHeight="1"/>
    <row r="27417" ht="14.25" customHeight="1"/>
    <row r="27418" ht="14.25" customHeight="1"/>
    <row r="27419" ht="14.25" customHeight="1"/>
    <row r="27420" ht="14.25" customHeight="1"/>
    <row r="27421" ht="14.25" customHeight="1"/>
    <row r="27422" ht="14.25" customHeight="1"/>
    <row r="27423" ht="14.25" customHeight="1"/>
    <row r="27424" ht="14.25" customHeight="1"/>
    <row r="27425" ht="14.25" customHeight="1"/>
    <row r="27426" ht="14.25" customHeight="1"/>
    <row r="27427" ht="14.25" customHeight="1"/>
    <row r="27428" ht="14.25" customHeight="1"/>
    <row r="27429" ht="14.25" customHeight="1"/>
    <row r="27430" ht="14.25" customHeight="1"/>
    <row r="27431" ht="14.25" customHeight="1"/>
    <row r="27432" ht="14.25" customHeight="1"/>
    <row r="27433" ht="14.25" customHeight="1"/>
    <row r="27434" ht="14.25" customHeight="1"/>
    <row r="27435" ht="14.25" customHeight="1"/>
    <row r="27436" ht="14.25" customHeight="1"/>
    <row r="27437" ht="14.25" customHeight="1"/>
    <row r="27438" ht="14.25" customHeight="1"/>
    <row r="27439" ht="14.25" customHeight="1"/>
    <row r="27440" ht="14.25" customHeight="1"/>
    <row r="27441" ht="14.25" customHeight="1"/>
    <row r="27442" ht="14.25" customHeight="1"/>
    <row r="27443" ht="14.25" customHeight="1"/>
    <row r="27444" ht="14.25" customHeight="1"/>
    <row r="27445" ht="14.25" customHeight="1"/>
    <row r="27446" ht="14.25" customHeight="1"/>
    <row r="27447" ht="14.25" customHeight="1"/>
    <row r="27448" ht="14.25" customHeight="1"/>
    <row r="27449" ht="14.25" customHeight="1"/>
    <row r="27450" ht="14.25" customHeight="1"/>
    <row r="27451" ht="14.25" customHeight="1"/>
    <row r="27452" ht="14.25" customHeight="1"/>
    <row r="27453" ht="14.25" customHeight="1"/>
    <row r="27454" ht="14.25" customHeight="1"/>
    <row r="27455" ht="14.25" customHeight="1"/>
    <row r="27456" ht="14.25" customHeight="1"/>
    <row r="27457" ht="14.25" customHeight="1"/>
    <row r="27458" ht="14.25" customHeight="1"/>
    <row r="27459" ht="14.25" customHeight="1"/>
    <row r="27460" ht="14.25" customHeight="1"/>
    <row r="27461" ht="14.25" customHeight="1"/>
    <row r="27462" ht="14.25" customHeight="1"/>
    <row r="27463" ht="14.25" customHeight="1"/>
    <row r="27464" ht="14.25" customHeight="1"/>
    <row r="27465" ht="14.25" customHeight="1"/>
    <row r="27466" ht="14.25" customHeight="1"/>
    <row r="27467" ht="14.25" customHeight="1"/>
    <row r="27468" ht="14.25" customHeight="1"/>
    <row r="27469" ht="14.25" customHeight="1"/>
    <row r="27470" ht="14.25" customHeight="1"/>
    <row r="27471" ht="14.25" customHeight="1"/>
    <row r="27472" ht="14.25" customHeight="1"/>
    <row r="27473" ht="14.25" customHeight="1"/>
    <row r="27474" ht="14.25" customHeight="1"/>
    <row r="27475" ht="14.25" customHeight="1"/>
    <row r="27476" ht="14.25" customHeight="1"/>
    <row r="27477" ht="14.25" customHeight="1"/>
    <row r="27478" ht="14.25" customHeight="1"/>
    <row r="27479" ht="14.25" customHeight="1"/>
    <row r="27480" ht="14.25" customHeight="1"/>
    <row r="27481" ht="14.25" customHeight="1"/>
    <row r="27482" ht="14.25" customHeight="1"/>
    <row r="27483" ht="14.25" customHeight="1"/>
    <row r="27484" ht="14.25" customHeight="1"/>
    <row r="27485" ht="14.25" customHeight="1"/>
    <row r="27486" ht="14.25" customHeight="1"/>
    <row r="27487" ht="14.25" customHeight="1"/>
    <row r="27488" ht="14.25" customHeight="1"/>
    <row r="27489" ht="14.25" customHeight="1"/>
    <row r="27490" ht="14.25" customHeight="1"/>
    <row r="27491" ht="14.25" customHeight="1"/>
    <row r="27492" ht="14.25" customHeight="1"/>
    <row r="27493" ht="14.25" customHeight="1"/>
    <row r="27494" ht="14.25" customHeight="1"/>
    <row r="27495" ht="14.25" customHeight="1"/>
    <row r="27496" ht="14.25" customHeight="1"/>
    <row r="27497" ht="14.25" customHeight="1"/>
    <row r="27498" ht="14.25" customHeight="1"/>
    <row r="27499" ht="14.25" customHeight="1"/>
    <row r="27500" ht="14.25" customHeight="1"/>
    <row r="27501" ht="14.25" customHeight="1"/>
    <row r="27502" ht="14.25" customHeight="1"/>
    <row r="27503" ht="14.25" customHeight="1"/>
    <row r="27504" ht="14.25" customHeight="1"/>
    <row r="27505" ht="14.25" customHeight="1"/>
    <row r="27506" ht="14.25" customHeight="1"/>
    <row r="27507" ht="14.25" customHeight="1"/>
    <row r="27508" ht="14.25" customHeight="1"/>
    <row r="27509" ht="14.25" customHeight="1"/>
    <row r="27510" ht="14.25" customHeight="1"/>
    <row r="27511" ht="14.25" customHeight="1"/>
    <row r="27512" ht="14.25" customHeight="1"/>
    <row r="27513" ht="14.25" customHeight="1"/>
    <row r="27514" ht="14.25" customHeight="1"/>
    <row r="27515" ht="14.25" customHeight="1"/>
    <row r="27516" ht="14.25" customHeight="1"/>
    <row r="27517" ht="14.25" customHeight="1"/>
    <row r="27518" ht="14.25" customHeight="1"/>
    <row r="27519" ht="14.25" customHeight="1"/>
    <row r="27520" ht="14.25" customHeight="1"/>
    <row r="27521" ht="14.25" customHeight="1"/>
    <row r="27522" ht="14.25" customHeight="1"/>
    <row r="27523" ht="14.25" customHeight="1"/>
    <row r="27524" ht="14.25" customHeight="1"/>
    <row r="27525" ht="14.25" customHeight="1"/>
    <row r="27526" ht="14.25" customHeight="1"/>
    <row r="27527" ht="14.25" customHeight="1"/>
    <row r="27528" ht="14.25" customHeight="1"/>
    <row r="27529" ht="14.25" customHeight="1"/>
    <row r="27530" ht="14.25" customHeight="1"/>
    <row r="27531" ht="14.25" customHeight="1"/>
    <row r="27532" ht="14.25" customHeight="1"/>
    <row r="27533" ht="14.25" customHeight="1"/>
    <row r="27534" ht="14.25" customHeight="1"/>
    <row r="27535" ht="14.25" customHeight="1"/>
    <row r="27536" ht="14.25" customHeight="1"/>
    <row r="27537" ht="14.25" customHeight="1"/>
    <row r="27538" ht="14.25" customHeight="1"/>
    <row r="27539" ht="14.25" customHeight="1"/>
    <row r="27540" ht="14.25" customHeight="1"/>
    <row r="27541" ht="14.25" customHeight="1"/>
    <row r="27542" ht="14.25" customHeight="1"/>
    <row r="27543" ht="14.25" customHeight="1"/>
    <row r="27544" ht="14.25" customHeight="1"/>
    <row r="27545" ht="14.25" customHeight="1"/>
    <row r="27546" ht="14.25" customHeight="1"/>
    <row r="27547" ht="14.25" customHeight="1"/>
    <row r="27548" ht="14.25" customHeight="1"/>
    <row r="27549" ht="14.25" customHeight="1"/>
    <row r="27550" ht="14.25" customHeight="1"/>
    <row r="27551" ht="14.25" customHeight="1"/>
    <row r="27552" ht="14.25" customHeight="1"/>
    <row r="27553" ht="14.25" customHeight="1"/>
    <row r="27554" ht="14.25" customHeight="1"/>
    <row r="27555" ht="14.25" customHeight="1"/>
    <row r="27556" ht="14.25" customHeight="1"/>
    <row r="27557" ht="14.25" customHeight="1"/>
    <row r="27558" ht="14.25" customHeight="1"/>
    <row r="27559" ht="14.25" customHeight="1"/>
    <row r="27560" ht="14.25" customHeight="1"/>
    <row r="27561" ht="14.25" customHeight="1"/>
    <row r="27562" ht="14.25" customHeight="1"/>
    <row r="27563" ht="14.25" customHeight="1"/>
    <row r="27564" ht="14.25" customHeight="1"/>
    <row r="27565" ht="14.25" customHeight="1"/>
    <row r="27566" ht="14.25" customHeight="1"/>
    <row r="27567" ht="14.25" customHeight="1"/>
    <row r="27568" ht="14.25" customHeight="1"/>
    <row r="27569" ht="14.25" customHeight="1"/>
    <row r="27570" ht="14.25" customHeight="1"/>
    <row r="27571" ht="14.25" customHeight="1"/>
    <row r="27572" ht="14.25" customHeight="1"/>
    <row r="27573" ht="14.25" customHeight="1"/>
    <row r="27574" ht="14.25" customHeight="1"/>
    <row r="27575" ht="14.25" customHeight="1"/>
    <row r="27576" ht="14.25" customHeight="1"/>
    <row r="27577" ht="14.25" customHeight="1"/>
    <row r="27578" ht="14.25" customHeight="1"/>
    <row r="27579" ht="14.25" customHeight="1"/>
    <row r="27580" ht="14.25" customHeight="1"/>
    <row r="27581" ht="14.25" customHeight="1"/>
    <row r="27582" ht="14.25" customHeight="1"/>
    <row r="27583" ht="14.25" customHeight="1"/>
    <row r="27584" ht="14.25" customHeight="1"/>
    <row r="27585" ht="14.25" customHeight="1"/>
    <row r="27586" ht="14.25" customHeight="1"/>
    <row r="27587" ht="14.25" customHeight="1"/>
    <row r="27588" ht="14.25" customHeight="1"/>
    <row r="27589" ht="14.25" customHeight="1"/>
    <row r="27590" ht="14.25" customHeight="1"/>
    <row r="27591" ht="14.25" customHeight="1"/>
    <row r="27592" ht="14.25" customHeight="1"/>
    <row r="27593" ht="14.25" customHeight="1"/>
    <row r="27594" ht="14.25" customHeight="1"/>
    <row r="27595" ht="14.25" customHeight="1"/>
    <row r="27596" ht="14.25" customHeight="1"/>
    <row r="27597" ht="14.25" customHeight="1"/>
    <row r="27598" ht="14.25" customHeight="1"/>
    <row r="27599" ht="14.25" customHeight="1"/>
    <row r="27600" ht="14.25" customHeight="1"/>
    <row r="27601" ht="14.25" customHeight="1"/>
    <row r="27602" ht="14.25" customHeight="1"/>
    <row r="27603" ht="14.25" customHeight="1"/>
    <row r="27604" ht="14.25" customHeight="1"/>
    <row r="27605" ht="14.25" customHeight="1"/>
    <row r="27606" ht="14.25" customHeight="1"/>
    <row r="27607" ht="14.25" customHeight="1"/>
    <row r="27608" ht="14.25" customHeight="1"/>
    <row r="27609" ht="14.25" customHeight="1"/>
    <row r="27610" ht="14.25" customHeight="1"/>
    <row r="27611" ht="14.25" customHeight="1"/>
    <row r="27612" ht="14.25" customHeight="1"/>
    <row r="27613" ht="14.25" customHeight="1"/>
    <row r="27614" ht="14.25" customHeight="1"/>
    <row r="27615" ht="14.25" customHeight="1"/>
    <row r="27616" ht="14.25" customHeight="1"/>
    <row r="27617" ht="14.25" customHeight="1"/>
    <row r="27618" ht="14.25" customHeight="1"/>
    <row r="27619" ht="14.25" customHeight="1"/>
    <row r="27620" ht="14.25" customHeight="1"/>
    <row r="27621" ht="14.25" customHeight="1"/>
    <row r="27622" ht="14.25" customHeight="1"/>
    <row r="27623" ht="14.25" customHeight="1"/>
    <row r="27624" ht="14.25" customHeight="1"/>
    <row r="27625" ht="14.25" customHeight="1"/>
    <row r="27626" ht="14.25" customHeight="1"/>
    <row r="27627" ht="14.25" customHeight="1"/>
    <row r="27628" ht="14.25" customHeight="1"/>
    <row r="27629" ht="14.25" customHeight="1"/>
    <row r="27630" ht="14.25" customHeight="1"/>
    <row r="27631" ht="14.25" customHeight="1"/>
    <row r="27632" ht="14.25" customHeight="1"/>
    <row r="27633" ht="14.25" customHeight="1"/>
    <row r="27634" ht="14.25" customHeight="1"/>
    <row r="27635" ht="14.25" customHeight="1"/>
    <row r="27636" ht="14.25" customHeight="1"/>
    <row r="27637" ht="14.25" customHeight="1"/>
    <row r="27638" ht="14.25" customHeight="1"/>
    <row r="27639" ht="14.25" customHeight="1"/>
    <row r="27640" ht="14.25" customHeight="1"/>
    <row r="27641" ht="14.25" customHeight="1"/>
    <row r="27642" ht="14.25" customHeight="1"/>
    <row r="27643" ht="14.25" customHeight="1"/>
    <row r="27644" ht="14.25" customHeight="1"/>
    <row r="27645" ht="14.25" customHeight="1"/>
    <row r="27646" ht="14.25" customHeight="1"/>
    <row r="27647" ht="14.25" customHeight="1"/>
    <row r="27648" ht="14.25" customHeight="1"/>
    <row r="27649" ht="14.25" customHeight="1"/>
    <row r="27650" ht="14.25" customHeight="1"/>
    <row r="27651" ht="14.25" customHeight="1"/>
    <row r="27652" ht="14.25" customHeight="1"/>
    <row r="27653" ht="14.25" customHeight="1"/>
    <row r="27654" ht="14.25" customHeight="1"/>
    <row r="27655" ht="14.25" customHeight="1"/>
    <row r="27656" ht="14.25" customHeight="1"/>
    <row r="27657" ht="14.25" customHeight="1"/>
    <row r="27658" ht="14.25" customHeight="1"/>
    <row r="27659" ht="14.25" customHeight="1"/>
    <row r="27660" ht="14.25" customHeight="1"/>
    <row r="27661" ht="14.25" customHeight="1"/>
    <row r="27662" ht="14.25" customHeight="1"/>
    <row r="27663" ht="14.25" customHeight="1"/>
    <row r="27664" ht="14.25" customHeight="1"/>
    <row r="27665" ht="14.25" customHeight="1"/>
    <row r="27666" ht="14.25" customHeight="1"/>
    <row r="27667" ht="14.25" customHeight="1"/>
    <row r="27668" ht="14.25" customHeight="1"/>
    <row r="27669" ht="14.25" customHeight="1"/>
    <row r="27670" ht="14.25" customHeight="1"/>
    <row r="27671" ht="14.25" customHeight="1"/>
    <row r="27672" ht="14.25" customHeight="1"/>
    <row r="27673" ht="14.25" customHeight="1"/>
    <row r="27674" ht="14.25" customHeight="1"/>
    <row r="27675" ht="14.25" customHeight="1"/>
    <row r="27676" ht="14.25" customHeight="1"/>
    <row r="27677" ht="14.25" customHeight="1"/>
    <row r="27678" ht="14.25" customHeight="1"/>
    <row r="27679" ht="14.25" customHeight="1"/>
    <row r="27680" ht="14.25" customHeight="1"/>
    <row r="27681" ht="14.25" customHeight="1"/>
    <row r="27682" ht="14.25" customHeight="1"/>
    <row r="27683" ht="14.25" customHeight="1"/>
    <row r="27684" ht="14.25" customHeight="1"/>
    <row r="27685" ht="14.25" customHeight="1"/>
    <row r="27686" ht="14.25" customHeight="1"/>
    <row r="27687" ht="14.25" customHeight="1"/>
    <row r="27688" ht="14.25" customHeight="1"/>
    <row r="27689" ht="14.25" customHeight="1"/>
    <row r="27690" ht="14.25" customHeight="1"/>
    <row r="27691" ht="14.25" customHeight="1"/>
    <row r="27692" ht="14.25" customHeight="1"/>
    <row r="27693" ht="14.25" customHeight="1"/>
    <row r="27694" ht="14.25" customHeight="1"/>
    <row r="27695" ht="14.25" customHeight="1"/>
    <row r="27696" ht="14.25" customHeight="1"/>
    <row r="27697" ht="14.25" customHeight="1"/>
    <row r="27698" ht="14.25" customHeight="1"/>
    <row r="27699" ht="14.25" customHeight="1"/>
    <row r="27700" ht="14.25" customHeight="1"/>
    <row r="27701" ht="14.25" customHeight="1"/>
    <row r="27702" ht="14.25" customHeight="1"/>
    <row r="27703" ht="14.25" customHeight="1"/>
    <row r="27704" ht="14.25" customHeight="1"/>
    <row r="27705" ht="14.25" customHeight="1"/>
    <row r="27706" ht="14.25" customHeight="1"/>
    <row r="27707" ht="14.25" customHeight="1"/>
    <row r="27708" ht="14.25" customHeight="1"/>
    <row r="27709" ht="14.25" customHeight="1"/>
    <row r="27710" ht="14.25" customHeight="1"/>
    <row r="27711" ht="14.25" customHeight="1"/>
    <row r="27712" ht="14.25" customHeight="1"/>
    <row r="27713" ht="14.25" customHeight="1"/>
    <row r="27714" ht="14.25" customHeight="1"/>
    <row r="27715" ht="14.25" customHeight="1"/>
    <row r="27716" ht="14.25" customHeight="1"/>
    <row r="27717" ht="14.25" customHeight="1"/>
    <row r="27718" ht="14.25" customHeight="1"/>
    <row r="27719" ht="14.25" customHeight="1"/>
    <row r="27720" ht="14.25" customHeight="1"/>
    <row r="27721" ht="14.25" customHeight="1"/>
    <row r="27722" ht="14.25" customHeight="1"/>
    <row r="27723" ht="14.25" customHeight="1"/>
    <row r="27724" ht="14.25" customHeight="1"/>
    <row r="27725" ht="14.25" customHeight="1"/>
    <row r="27726" ht="14.25" customHeight="1"/>
    <row r="27727" ht="14.25" customHeight="1"/>
    <row r="27728" ht="14.25" customHeight="1"/>
    <row r="27729" ht="14.25" customHeight="1"/>
    <row r="27730" ht="14.25" customHeight="1"/>
    <row r="27731" ht="14.25" customHeight="1"/>
    <row r="27732" ht="14.25" customHeight="1"/>
    <row r="27733" ht="14.25" customHeight="1"/>
    <row r="27734" ht="14.25" customHeight="1"/>
    <row r="27735" ht="14.25" customHeight="1"/>
    <row r="27736" ht="14.25" customHeight="1"/>
    <row r="27737" ht="14.25" customHeight="1"/>
    <row r="27738" ht="14.25" customHeight="1"/>
    <row r="27739" ht="14.25" customHeight="1"/>
    <row r="27740" ht="14.25" customHeight="1"/>
    <row r="27741" ht="14.25" customHeight="1"/>
    <row r="27742" ht="14.25" customHeight="1"/>
    <row r="27743" ht="14.25" customHeight="1"/>
    <row r="27744" ht="14.25" customHeight="1"/>
    <row r="27745" ht="14.25" customHeight="1"/>
    <row r="27746" ht="14.25" customHeight="1"/>
    <row r="27747" ht="14.25" customHeight="1"/>
    <row r="27748" ht="14.25" customHeight="1"/>
    <row r="27749" ht="14.25" customHeight="1"/>
    <row r="27750" ht="14.25" customHeight="1"/>
    <row r="27751" ht="14.25" customHeight="1"/>
    <row r="27752" ht="14.25" customHeight="1"/>
    <row r="27753" ht="14.25" customHeight="1"/>
    <row r="27754" ht="14.25" customHeight="1"/>
    <row r="27755" ht="14.25" customHeight="1"/>
    <row r="27756" ht="14.25" customHeight="1"/>
    <row r="27757" ht="14.25" customHeight="1"/>
    <row r="27758" ht="14.25" customHeight="1"/>
    <row r="27759" ht="14.25" customHeight="1"/>
    <row r="27760" ht="14.25" customHeight="1"/>
    <row r="27761" ht="14.25" customHeight="1"/>
    <row r="27762" ht="14.25" customHeight="1"/>
    <row r="27763" ht="14.25" customHeight="1"/>
    <row r="27764" ht="14.25" customHeight="1"/>
    <row r="27765" ht="14.25" customHeight="1"/>
    <row r="27766" ht="14.25" customHeight="1"/>
    <row r="27767" ht="14.25" customHeight="1"/>
    <row r="27768" ht="14.25" customHeight="1"/>
    <row r="27769" ht="14.25" customHeight="1"/>
    <row r="27770" ht="14.25" customHeight="1"/>
    <row r="27771" ht="14.25" customHeight="1"/>
    <row r="27772" ht="14.25" customHeight="1"/>
    <row r="27773" ht="14.25" customHeight="1"/>
    <row r="27774" ht="14.25" customHeight="1"/>
    <row r="27775" ht="14.25" customHeight="1"/>
    <row r="27776" ht="14.25" customHeight="1"/>
    <row r="27777" ht="14.25" customHeight="1"/>
    <row r="27778" ht="14.25" customHeight="1"/>
    <row r="27779" ht="14.25" customHeight="1"/>
    <row r="27780" ht="14.25" customHeight="1"/>
    <row r="27781" ht="14.25" customHeight="1"/>
    <row r="27782" ht="14.25" customHeight="1"/>
    <row r="27783" ht="14.25" customHeight="1"/>
    <row r="27784" ht="14.25" customHeight="1"/>
    <row r="27785" ht="14.25" customHeight="1"/>
    <row r="27786" ht="14.25" customHeight="1"/>
    <row r="27787" ht="14.25" customHeight="1"/>
    <row r="27788" ht="14.25" customHeight="1"/>
    <row r="27789" ht="14.25" customHeight="1"/>
    <row r="27790" ht="14.25" customHeight="1"/>
    <row r="27791" ht="14.25" customHeight="1"/>
    <row r="27792" ht="14.25" customHeight="1"/>
    <row r="27793" ht="14.25" customHeight="1"/>
    <row r="27794" ht="14.25" customHeight="1"/>
    <row r="27795" ht="14.25" customHeight="1"/>
    <row r="27796" ht="14.25" customHeight="1"/>
    <row r="27797" ht="14.25" customHeight="1"/>
    <row r="27798" ht="14.25" customHeight="1"/>
    <row r="27799" ht="14.25" customHeight="1"/>
    <row r="27800" ht="14.25" customHeight="1"/>
    <row r="27801" ht="14.25" customHeight="1"/>
    <row r="27802" ht="14.25" customHeight="1"/>
    <row r="27803" ht="14.25" customHeight="1"/>
    <row r="27804" ht="14.25" customHeight="1"/>
    <row r="27805" ht="14.25" customHeight="1"/>
    <row r="27806" ht="14.25" customHeight="1"/>
    <row r="27807" ht="14.25" customHeight="1"/>
    <row r="27808" ht="14.25" customHeight="1"/>
    <row r="27809" ht="14.25" customHeight="1"/>
    <row r="27810" ht="14.25" customHeight="1"/>
    <row r="27811" ht="14.25" customHeight="1"/>
    <row r="27812" ht="14.25" customHeight="1"/>
    <row r="27813" ht="14.25" customHeight="1"/>
    <row r="27814" ht="14.25" customHeight="1"/>
    <row r="27815" ht="14.25" customHeight="1"/>
    <row r="27816" ht="14.25" customHeight="1"/>
    <row r="27817" ht="14.25" customHeight="1"/>
    <row r="27818" ht="14.25" customHeight="1"/>
    <row r="27819" ht="14.25" customHeight="1"/>
    <row r="27820" ht="14.25" customHeight="1"/>
    <row r="27821" ht="14.25" customHeight="1"/>
    <row r="27822" ht="14.25" customHeight="1"/>
    <row r="27823" ht="14.25" customHeight="1"/>
    <row r="27824" ht="14.25" customHeight="1"/>
    <row r="27825" ht="14.25" customHeight="1"/>
    <row r="27826" ht="14.25" customHeight="1"/>
    <row r="27827" ht="14.25" customHeight="1"/>
    <row r="27828" ht="14.25" customHeight="1"/>
    <row r="27829" ht="14.25" customHeight="1"/>
    <row r="27830" ht="14.25" customHeight="1"/>
    <row r="27831" ht="14.25" customHeight="1"/>
    <row r="27832" ht="14.25" customHeight="1"/>
    <row r="27833" ht="14.25" customHeight="1"/>
    <row r="27834" ht="14.25" customHeight="1"/>
    <row r="27835" ht="14.25" customHeight="1"/>
    <row r="27836" ht="14.25" customHeight="1"/>
    <row r="27837" ht="14.25" customHeight="1"/>
    <row r="27838" ht="14.25" customHeight="1"/>
    <row r="27839" ht="14.25" customHeight="1"/>
    <row r="27840" ht="14.25" customHeight="1"/>
    <row r="27841" ht="14.25" customHeight="1"/>
    <row r="27842" ht="14.25" customHeight="1"/>
    <row r="27843" ht="14.25" customHeight="1"/>
    <row r="27844" ht="14.25" customHeight="1"/>
    <row r="27845" ht="14.25" customHeight="1"/>
    <row r="27846" ht="14.25" customHeight="1"/>
    <row r="27847" ht="14.25" customHeight="1"/>
    <row r="27848" ht="14.25" customHeight="1"/>
    <row r="27849" ht="14.25" customHeight="1"/>
    <row r="27850" ht="14.25" customHeight="1"/>
    <row r="27851" ht="14.25" customHeight="1"/>
    <row r="27852" ht="14.25" customHeight="1"/>
    <row r="27853" ht="14.25" customHeight="1"/>
    <row r="27854" ht="14.25" customHeight="1"/>
    <row r="27855" ht="14.25" customHeight="1"/>
    <row r="27856" ht="14.25" customHeight="1"/>
    <row r="27857" ht="14.25" customHeight="1"/>
    <row r="27858" ht="14.25" customHeight="1"/>
    <row r="27859" ht="14.25" customHeight="1"/>
    <row r="27860" ht="14.25" customHeight="1"/>
    <row r="27861" ht="14.25" customHeight="1"/>
    <row r="27862" ht="14.25" customHeight="1"/>
    <row r="27863" ht="14.25" customHeight="1"/>
    <row r="27864" ht="14.25" customHeight="1"/>
    <row r="27865" ht="14.25" customHeight="1"/>
    <row r="27866" ht="14.25" customHeight="1"/>
    <row r="27867" ht="14.25" customHeight="1"/>
    <row r="27868" ht="14.25" customHeight="1"/>
    <row r="27869" ht="14.25" customHeight="1"/>
    <row r="27870" ht="14.25" customHeight="1"/>
    <row r="27871" ht="14.25" customHeight="1"/>
    <row r="27872" ht="14.25" customHeight="1"/>
    <row r="27873" ht="14.25" customHeight="1"/>
    <row r="27874" ht="14.25" customHeight="1"/>
    <row r="27875" ht="14.25" customHeight="1"/>
    <row r="27876" ht="14.25" customHeight="1"/>
    <row r="27877" ht="14.25" customHeight="1"/>
    <row r="27878" ht="14.25" customHeight="1"/>
    <row r="27879" ht="14.25" customHeight="1"/>
    <row r="27880" ht="14.25" customHeight="1"/>
    <row r="27881" ht="14.25" customHeight="1"/>
    <row r="27882" ht="14.25" customHeight="1"/>
    <row r="27883" ht="14.25" customHeight="1"/>
    <row r="27884" ht="14.25" customHeight="1"/>
    <row r="27885" ht="14.25" customHeight="1"/>
    <row r="27886" ht="14.25" customHeight="1"/>
    <row r="27887" ht="14.25" customHeight="1"/>
    <row r="27888" ht="14.25" customHeight="1"/>
    <row r="27889" ht="14.25" customHeight="1"/>
    <row r="27890" ht="14.25" customHeight="1"/>
    <row r="27891" ht="14.25" customHeight="1"/>
    <row r="27892" ht="14.25" customHeight="1"/>
    <row r="27893" ht="14.25" customHeight="1"/>
    <row r="27894" ht="14.25" customHeight="1"/>
    <row r="27895" ht="14.25" customHeight="1"/>
    <row r="27896" ht="14.25" customHeight="1"/>
    <row r="27897" ht="14.25" customHeight="1"/>
    <row r="27898" ht="14.25" customHeight="1"/>
    <row r="27899" ht="14.25" customHeight="1"/>
    <row r="27900" ht="14.25" customHeight="1"/>
    <row r="27901" ht="14.25" customHeight="1"/>
    <row r="27902" ht="14.25" customHeight="1"/>
    <row r="27903" ht="14.25" customHeight="1"/>
    <row r="27904" ht="14.25" customHeight="1"/>
    <row r="27905" ht="14.25" customHeight="1"/>
    <row r="27906" ht="14.25" customHeight="1"/>
    <row r="27907" ht="14.25" customHeight="1"/>
    <row r="27908" ht="14.25" customHeight="1"/>
    <row r="27909" ht="14.25" customHeight="1"/>
    <row r="27910" ht="14.25" customHeight="1"/>
    <row r="27911" ht="14.25" customHeight="1"/>
    <row r="27912" ht="14.25" customHeight="1"/>
    <row r="27913" ht="14.25" customHeight="1"/>
    <row r="27914" ht="14.25" customHeight="1"/>
    <row r="27915" ht="14.25" customHeight="1"/>
    <row r="27916" ht="14.25" customHeight="1"/>
    <row r="27917" ht="14.25" customHeight="1"/>
    <row r="27918" ht="14.25" customHeight="1"/>
    <row r="27919" ht="14.25" customHeight="1"/>
    <row r="27920" ht="14.25" customHeight="1"/>
    <row r="27921" ht="14.25" customHeight="1"/>
    <row r="27922" ht="14.25" customHeight="1"/>
    <row r="27923" ht="14.25" customHeight="1"/>
    <row r="27924" ht="14.25" customHeight="1"/>
    <row r="27925" ht="14.25" customHeight="1"/>
    <row r="27926" ht="14.25" customHeight="1"/>
    <row r="27927" ht="14.25" customHeight="1"/>
    <row r="27928" ht="14.25" customHeight="1"/>
    <row r="27929" ht="14.25" customHeight="1"/>
    <row r="27930" ht="14.25" customHeight="1"/>
    <row r="27931" ht="14.25" customHeight="1"/>
    <row r="27932" ht="14.25" customHeight="1"/>
    <row r="27933" ht="14.25" customHeight="1"/>
    <row r="27934" ht="14.25" customHeight="1"/>
    <row r="27935" ht="14.25" customHeight="1"/>
    <row r="27936" ht="14.25" customHeight="1"/>
    <row r="27937" ht="14.25" customHeight="1"/>
    <row r="27938" ht="14.25" customHeight="1"/>
    <row r="27939" ht="14.25" customHeight="1"/>
    <row r="27940" ht="14.25" customHeight="1"/>
    <row r="27941" ht="14.25" customHeight="1"/>
    <row r="27942" ht="14.25" customHeight="1"/>
    <row r="27943" ht="14.25" customHeight="1"/>
    <row r="27944" ht="14.25" customHeight="1"/>
    <row r="27945" ht="14.25" customHeight="1"/>
    <row r="27946" ht="14.25" customHeight="1"/>
    <row r="27947" ht="14.25" customHeight="1"/>
    <row r="27948" ht="14.25" customHeight="1"/>
    <row r="27949" ht="14.25" customHeight="1"/>
    <row r="27950" ht="14.25" customHeight="1"/>
    <row r="27951" ht="14.25" customHeight="1"/>
    <row r="27952" ht="14.25" customHeight="1"/>
    <row r="27953" ht="14.25" customHeight="1"/>
    <row r="27954" ht="14.25" customHeight="1"/>
    <row r="27955" ht="14.25" customHeight="1"/>
    <row r="27956" ht="14.25" customHeight="1"/>
    <row r="27957" ht="14.25" customHeight="1"/>
    <row r="27958" ht="14.25" customHeight="1"/>
    <row r="27959" ht="14.25" customHeight="1"/>
    <row r="27960" ht="14.25" customHeight="1"/>
    <row r="27961" ht="14.25" customHeight="1"/>
    <row r="27962" ht="14.25" customHeight="1"/>
    <row r="27963" ht="14.25" customHeight="1"/>
    <row r="27964" ht="14.25" customHeight="1"/>
    <row r="27965" ht="14.25" customHeight="1"/>
    <row r="27966" ht="14.25" customHeight="1"/>
    <row r="27967" ht="14.25" customHeight="1"/>
    <row r="27968" ht="14.25" customHeight="1"/>
    <row r="27969" ht="14.25" customHeight="1"/>
    <row r="27970" ht="14.25" customHeight="1"/>
    <row r="27971" ht="14.25" customHeight="1"/>
    <row r="27972" ht="14.25" customHeight="1"/>
    <row r="27973" ht="14.25" customHeight="1"/>
    <row r="27974" ht="14.25" customHeight="1"/>
    <row r="27975" ht="14.25" customHeight="1"/>
    <row r="27976" ht="14.25" customHeight="1"/>
    <row r="27977" ht="14.25" customHeight="1"/>
    <row r="27978" ht="14.25" customHeight="1"/>
    <row r="27979" ht="14.25" customHeight="1"/>
    <row r="27980" ht="14.25" customHeight="1"/>
    <row r="27981" ht="14.25" customHeight="1"/>
    <row r="27982" ht="14.25" customHeight="1"/>
    <row r="27983" ht="14.25" customHeight="1"/>
    <row r="27984" ht="14.25" customHeight="1"/>
    <row r="27985" ht="14.25" customHeight="1"/>
    <row r="27986" ht="14.25" customHeight="1"/>
    <row r="27987" ht="14.25" customHeight="1"/>
    <row r="27988" ht="14.25" customHeight="1"/>
    <row r="27989" ht="14.25" customHeight="1"/>
    <row r="27990" ht="14.25" customHeight="1"/>
    <row r="27991" ht="14.25" customHeight="1"/>
    <row r="27992" ht="14.25" customHeight="1"/>
    <row r="27993" ht="14.25" customHeight="1"/>
    <row r="27994" ht="14.25" customHeight="1"/>
    <row r="27995" ht="14.25" customHeight="1"/>
    <row r="27996" ht="14.25" customHeight="1"/>
    <row r="27997" ht="14.25" customHeight="1"/>
    <row r="27998" ht="14.25" customHeight="1"/>
    <row r="27999" ht="14.25" customHeight="1"/>
    <row r="28000" ht="14.25" customHeight="1"/>
    <row r="28001" ht="14.25" customHeight="1"/>
    <row r="28002" ht="14.25" customHeight="1"/>
    <row r="28003" ht="14.25" customHeight="1"/>
    <row r="28004" ht="14.25" customHeight="1"/>
    <row r="28005" ht="14.25" customHeight="1"/>
    <row r="28006" ht="14.25" customHeight="1"/>
    <row r="28007" ht="14.25" customHeight="1"/>
    <row r="28008" ht="14.25" customHeight="1"/>
    <row r="28009" ht="14.25" customHeight="1"/>
    <row r="28010" ht="14.25" customHeight="1"/>
    <row r="28011" ht="14.25" customHeight="1"/>
    <row r="28012" ht="14.25" customHeight="1"/>
    <row r="28013" ht="14.25" customHeight="1"/>
    <row r="28014" ht="14.25" customHeight="1"/>
    <row r="28015" ht="14.25" customHeight="1"/>
    <row r="28016" ht="14.25" customHeight="1"/>
    <row r="28017" ht="14.25" customHeight="1"/>
    <row r="28018" ht="14.25" customHeight="1"/>
    <row r="28019" ht="14.25" customHeight="1"/>
    <row r="28020" ht="14.25" customHeight="1"/>
    <row r="28021" ht="14.25" customHeight="1"/>
    <row r="28022" ht="14.25" customHeight="1"/>
    <row r="28023" ht="14.25" customHeight="1"/>
    <row r="28024" ht="14.25" customHeight="1"/>
    <row r="28025" ht="14.25" customHeight="1"/>
    <row r="28026" ht="14.25" customHeight="1"/>
    <row r="28027" ht="14.25" customHeight="1"/>
    <row r="28028" ht="14.25" customHeight="1"/>
    <row r="28029" ht="14.25" customHeight="1"/>
    <row r="28030" ht="14.25" customHeight="1"/>
    <row r="28031" ht="14.25" customHeight="1"/>
    <row r="28032" ht="14.25" customHeight="1"/>
    <row r="28033" ht="14.25" customHeight="1"/>
    <row r="28034" ht="14.25" customHeight="1"/>
    <row r="28035" ht="14.25" customHeight="1"/>
    <row r="28036" ht="14.25" customHeight="1"/>
    <row r="28037" ht="14.25" customHeight="1"/>
    <row r="28038" ht="14.25" customHeight="1"/>
    <row r="28039" ht="14.25" customHeight="1"/>
    <row r="28040" ht="14.25" customHeight="1"/>
    <row r="28041" ht="14.25" customHeight="1"/>
    <row r="28042" ht="14.25" customHeight="1"/>
    <row r="28043" ht="14.25" customHeight="1"/>
    <row r="28044" ht="14.25" customHeight="1"/>
    <row r="28045" ht="14.25" customHeight="1"/>
    <row r="28046" ht="14.25" customHeight="1"/>
    <row r="28047" ht="14.25" customHeight="1"/>
    <row r="28048" ht="14.25" customHeight="1"/>
    <row r="28049" ht="14.25" customHeight="1"/>
    <row r="28050" ht="14.25" customHeight="1"/>
    <row r="28051" ht="14.25" customHeight="1"/>
    <row r="28052" ht="14.25" customHeight="1"/>
    <row r="28053" ht="14.25" customHeight="1"/>
    <row r="28054" ht="14.25" customHeight="1"/>
    <row r="28055" ht="14.25" customHeight="1"/>
    <row r="28056" ht="14.25" customHeight="1"/>
    <row r="28057" ht="14.25" customHeight="1"/>
    <row r="28058" ht="14.25" customHeight="1"/>
    <row r="28059" ht="14.25" customHeight="1"/>
    <row r="28060" ht="14.25" customHeight="1"/>
    <row r="28061" ht="14.25" customHeight="1"/>
    <row r="28062" ht="14.25" customHeight="1"/>
    <row r="28063" ht="14.25" customHeight="1"/>
    <row r="28064" ht="14.25" customHeight="1"/>
    <row r="28065" ht="14.25" customHeight="1"/>
    <row r="28066" ht="14.25" customHeight="1"/>
    <row r="28067" ht="14.25" customHeight="1"/>
    <row r="28068" ht="14.25" customHeight="1"/>
    <row r="28069" ht="14.25" customHeight="1"/>
    <row r="28070" ht="14.25" customHeight="1"/>
    <row r="28071" ht="14.25" customHeight="1"/>
    <row r="28072" ht="14.25" customHeight="1"/>
    <row r="28073" ht="14.25" customHeight="1"/>
    <row r="28074" ht="14.25" customHeight="1"/>
    <row r="28075" ht="14.25" customHeight="1"/>
    <row r="28076" ht="14.25" customHeight="1"/>
    <row r="28077" ht="14.25" customHeight="1"/>
    <row r="28078" ht="14.25" customHeight="1"/>
    <row r="28079" ht="14.25" customHeight="1"/>
    <row r="28080" ht="14.25" customHeight="1"/>
    <row r="28081" ht="14.25" customHeight="1"/>
    <row r="28082" ht="14.25" customHeight="1"/>
    <row r="28083" ht="14.25" customHeight="1"/>
    <row r="28084" ht="14.25" customHeight="1"/>
    <row r="28085" ht="14.25" customHeight="1"/>
    <row r="28086" ht="14.25" customHeight="1"/>
    <row r="28087" ht="14.25" customHeight="1"/>
    <row r="28088" ht="14.25" customHeight="1"/>
    <row r="28089" ht="14.25" customHeight="1"/>
    <row r="28090" ht="14.25" customHeight="1"/>
    <row r="28091" ht="14.25" customHeight="1"/>
    <row r="28092" ht="14.25" customHeight="1"/>
    <row r="28093" ht="14.25" customHeight="1"/>
    <row r="28094" ht="14.25" customHeight="1"/>
    <row r="28095" ht="14.25" customHeight="1"/>
    <row r="28096" ht="14.25" customHeight="1"/>
    <row r="28097" ht="14.25" customHeight="1"/>
    <row r="28098" ht="14.25" customHeight="1"/>
    <row r="28099" ht="14.25" customHeight="1"/>
    <row r="28100" ht="14.25" customHeight="1"/>
    <row r="28101" ht="14.25" customHeight="1"/>
    <row r="28102" ht="14.25" customHeight="1"/>
    <row r="28103" ht="14.25" customHeight="1"/>
    <row r="28104" ht="14.25" customHeight="1"/>
    <row r="28105" ht="14.25" customHeight="1"/>
    <row r="28106" ht="14.25" customHeight="1"/>
    <row r="28107" ht="14.25" customHeight="1"/>
    <row r="28108" ht="14.25" customHeight="1"/>
    <row r="28109" ht="14.25" customHeight="1"/>
    <row r="28110" ht="14.25" customHeight="1"/>
    <row r="28111" ht="14.25" customHeight="1"/>
    <row r="28112" ht="14.25" customHeight="1"/>
    <row r="28113" ht="14.25" customHeight="1"/>
    <row r="28114" ht="14.25" customHeight="1"/>
    <row r="28115" ht="14.25" customHeight="1"/>
    <row r="28116" ht="14.25" customHeight="1"/>
    <row r="28117" ht="14.25" customHeight="1"/>
    <row r="28118" ht="14.25" customHeight="1"/>
    <row r="28119" ht="14.25" customHeight="1"/>
    <row r="28120" ht="14.25" customHeight="1"/>
    <row r="28121" ht="14.25" customHeight="1"/>
    <row r="28122" ht="14.25" customHeight="1"/>
    <row r="28123" ht="14.25" customHeight="1"/>
    <row r="28124" ht="14.25" customHeight="1"/>
    <row r="28125" ht="14.25" customHeight="1"/>
    <row r="28126" ht="14.25" customHeight="1"/>
    <row r="28127" ht="14.25" customHeight="1"/>
    <row r="28128" ht="14.25" customHeight="1"/>
    <row r="28129" ht="14.25" customHeight="1"/>
    <row r="28130" ht="14.25" customHeight="1"/>
    <row r="28131" ht="14.25" customHeight="1"/>
    <row r="28132" ht="14.25" customHeight="1"/>
    <row r="28133" ht="14.25" customHeight="1"/>
    <row r="28134" ht="14.25" customHeight="1"/>
    <row r="28135" ht="14.25" customHeight="1"/>
    <row r="28136" ht="14.25" customHeight="1"/>
    <row r="28137" ht="14.25" customHeight="1"/>
    <row r="28138" ht="14.25" customHeight="1"/>
    <row r="28139" ht="14.25" customHeight="1"/>
    <row r="28140" ht="14.25" customHeight="1"/>
    <row r="28141" ht="14.25" customHeight="1"/>
    <row r="28142" ht="14.25" customHeight="1"/>
    <row r="28143" ht="14.25" customHeight="1"/>
    <row r="28144" ht="14.25" customHeight="1"/>
    <row r="28145" ht="14.25" customHeight="1"/>
    <row r="28146" ht="14.25" customHeight="1"/>
    <row r="28147" ht="14.25" customHeight="1"/>
    <row r="28148" ht="14.25" customHeight="1"/>
    <row r="28149" ht="14.25" customHeight="1"/>
    <row r="28150" ht="14.25" customHeight="1"/>
    <row r="28151" ht="14.25" customHeight="1"/>
    <row r="28152" ht="14.25" customHeight="1"/>
    <row r="28153" ht="14.25" customHeight="1"/>
    <row r="28154" ht="14.25" customHeight="1"/>
    <row r="28155" ht="14.25" customHeight="1"/>
    <row r="28156" ht="14.25" customHeight="1"/>
    <row r="28157" ht="14.25" customHeight="1"/>
    <row r="28158" ht="14.25" customHeight="1"/>
    <row r="28159" ht="14.25" customHeight="1"/>
    <row r="28160" ht="14.25" customHeight="1"/>
    <row r="28161" ht="14.25" customHeight="1"/>
    <row r="28162" ht="14.25" customHeight="1"/>
    <row r="28163" ht="14.25" customHeight="1"/>
    <row r="28164" ht="14.25" customHeight="1"/>
    <row r="28165" ht="14.25" customHeight="1"/>
    <row r="28166" ht="14.25" customHeight="1"/>
    <row r="28167" ht="14.25" customHeight="1"/>
    <row r="28168" ht="14.25" customHeight="1"/>
    <row r="28169" ht="14.25" customHeight="1"/>
    <row r="28170" ht="14.25" customHeight="1"/>
    <row r="28171" ht="14.25" customHeight="1"/>
    <row r="28172" ht="14.25" customHeight="1"/>
    <row r="28173" ht="14.25" customHeight="1"/>
    <row r="28174" ht="14.25" customHeight="1"/>
    <row r="28175" ht="14.25" customHeight="1"/>
    <row r="28176" ht="14.25" customHeight="1"/>
    <row r="28177" ht="14.25" customHeight="1"/>
    <row r="28178" ht="14.25" customHeight="1"/>
    <row r="28179" ht="14.25" customHeight="1"/>
    <row r="28180" ht="14.25" customHeight="1"/>
    <row r="28181" ht="14.25" customHeight="1"/>
    <row r="28182" ht="14.25" customHeight="1"/>
    <row r="28183" ht="14.25" customHeight="1"/>
    <row r="28184" ht="14.25" customHeight="1"/>
    <row r="28185" ht="14.25" customHeight="1"/>
    <row r="28186" ht="14.25" customHeight="1"/>
    <row r="28187" ht="14.25" customHeight="1"/>
    <row r="28188" ht="14.25" customHeight="1"/>
    <row r="28189" ht="14.25" customHeight="1"/>
    <row r="28190" ht="14.25" customHeight="1"/>
    <row r="28191" ht="14.25" customHeight="1"/>
    <row r="28192" ht="14.25" customHeight="1"/>
    <row r="28193" ht="14.25" customHeight="1"/>
    <row r="28194" ht="14.25" customHeight="1"/>
    <row r="28195" ht="14.25" customHeight="1"/>
    <row r="28196" ht="14.25" customHeight="1"/>
    <row r="28197" ht="14.25" customHeight="1"/>
    <row r="28198" ht="14.25" customHeight="1"/>
    <row r="28199" ht="14.25" customHeight="1"/>
    <row r="28200" ht="14.25" customHeight="1"/>
    <row r="28201" ht="14.25" customHeight="1"/>
    <row r="28202" ht="14.25" customHeight="1"/>
    <row r="28203" ht="14.25" customHeight="1"/>
    <row r="28204" ht="14.25" customHeight="1"/>
    <row r="28205" ht="14.25" customHeight="1"/>
    <row r="28206" ht="14.25" customHeight="1"/>
    <row r="28207" ht="14.25" customHeight="1"/>
    <row r="28208" ht="14.25" customHeight="1"/>
    <row r="28209" ht="14.25" customHeight="1"/>
    <row r="28210" ht="14.25" customHeight="1"/>
    <row r="28211" ht="14.25" customHeight="1"/>
    <row r="28212" ht="14.25" customHeight="1"/>
    <row r="28213" ht="14.25" customHeight="1"/>
    <row r="28214" ht="14.25" customHeight="1"/>
    <row r="28215" ht="14.25" customHeight="1"/>
    <row r="28216" ht="14.25" customHeight="1"/>
    <row r="28217" ht="14.25" customHeight="1"/>
    <row r="28218" ht="14.25" customHeight="1"/>
    <row r="28219" ht="14.25" customHeight="1"/>
    <row r="28220" ht="14.25" customHeight="1"/>
    <row r="28221" ht="14.25" customHeight="1"/>
    <row r="28222" ht="14.25" customHeight="1"/>
    <row r="28223" ht="14.25" customHeight="1"/>
    <row r="28224" ht="14.25" customHeight="1"/>
    <row r="28225" ht="14.25" customHeight="1"/>
    <row r="28226" ht="14.25" customHeight="1"/>
    <row r="28227" ht="14.25" customHeight="1"/>
    <row r="28228" ht="14.25" customHeight="1"/>
    <row r="28229" ht="14.25" customHeight="1"/>
    <row r="28230" ht="14.25" customHeight="1"/>
    <row r="28231" ht="14.25" customHeight="1"/>
    <row r="28232" ht="14.25" customHeight="1"/>
    <row r="28233" ht="14.25" customHeight="1"/>
    <row r="28234" ht="14.25" customHeight="1"/>
    <row r="28235" ht="14.25" customHeight="1"/>
    <row r="28236" ht="14.25" customHeight="1"/>
    <row r="28237" ht="14.25" customHeight="1"/>
    <row r="28238" ht="14.25" customHeight="1"/>
    <row r="28239" ht="14.25" customHeight="1"/>
    <row r="28240" ht="14.25" customHeight="1"/>
    <row r="28241" ht="14.25" customHeight="1"/>
    <row r="28242" ht="14.25" customHeight="1"/>
    <row r="28243" ht="14.25" customHeight="1"/>
    <row r="28244" ht="14.25" customHeight="1"/>
    <row r="28245" ht="14.25" customHeight="1"/>
    <row r="28246" ht="14.25" customHeight="1"/>
    <row r="28247" ht="14.25" customHeight="1"/>
    <row r="28248" ht="14.25" customHeight="1"/>
    <row r="28249" ht="14.25" customHeight="1"/>
    <row r="28250" ht="14.25" customHeight="1"/>
    <row r="28251" ht="14.25" customHeight="1"/>
    <row r="28252" ht="14.25" customHeight="1"/>
    <row r="28253" ht="14.25" customHeight="1"/>
    <row r="28254" ht="14.25" customHeight="1"/>
    <row r="28255" ht="14.25" customHeight="1"/>
    <row r="28256" ht="14.25" customHeight="1"/>
    <row r="28257" ht="14.25" customHeight="1"/>
    <row r="28258" ht="14.25" customHeight="1"/>
    <row r="28259" ht="14.25" customHeight="1"/>
    <row r="28260" ht="14.25" customHeight="1"/>
    <row r="28261" ht="14.25" customHeight="1"/>
    <row r="28262" ht="14.25" customHeight="1"/>
    <row r="28263" ht="14.25" customHeight="1"/>
    <row r="28264" ht="14.25" customHeight="1"/>
    <row r="28265" ht="14.25" customHeight="1"/>
    <row r="28266" ht="14.25" customHeight="1"/>
    <row r="28267" ht="14.25" customHeight="1"/>
    <row r="28268" ht="14.25" customHeight="1"/>
    <row r="28269" ht="14.25" customHeight="1"/>
    <row r="28270" ht="14.25" customHeight="1"/>
    <row r="28271" ht="14.25" customHeight="1"/>
    <row r="28272" ht="14.25" customHeight="1"/>
    <row r="28273" ht="14.25" customHeight="1"/>
    <row r="28274" ht="14.25" customHeight="1"/>
    <row r="28275" ht="14.25" customHeight="1"/>
    <row r="28276" ht="14.25" customHeight="1"/>
    <row r="28277" ht="14.25" customHeight="1"/>
    <row r="28278" ht="14.25" customHeight="1"/>
    <row r="28279" ht="14.25" customHeight="1"/>
    <row r="28280" ht="14.25" customHeight="1"/>
    <row r="28281" ht="14.25" customHeight="1"/>
    <row r="28282" ht="14.25" customHeight="1"/>
    <row r="28283" ht="14.25" customHeight="1"/>
    <row r="28284" ht="14.25" customHeight="1"/>
    <row r="28285" ht="14.25" customHeight="1"/>
    <row r="28286" ht="14.25" customHeight="1"/>
    <row r="28287" ht="14.25" customHeight="1"/>
    <row r="28288" ht="14.25" customHeight="1"/>
    <row r="28289" ht="14.25" customHeight="1"/>
    <row r="28290" ht="14.25" customHeight="1"/>
    <row r="28291" ht="14.25" customHeight="1"/>
    <row r="28292" ht="14.25" customHeight="1"/>
    <row r="28293" ht="14.25" customHeight="1"/>
    <row r="28294" ht="14.25" customHeight="1"/>
    <row r="28295" ht="14.25" customHeight="1"/>
    <row r="28296" ht="14.25" customHeight="1"/>
    <row r="28297" ht="14.25" customHeight="1"/>
    <row r="28298" ht="14.25" customHeight="1"/>
    <row r="28299" ht="14.25" customHeight="1"/>
    <row r="28300" ht="14.25" customHeight="1"/>
    <row r="28301" ht="14.25" customHeight="1"/>
    <row r="28302" ht="14.25" customHeight="1"/>
    <row r="28303" ht="14.25" customHeight="1"/>
    <row r="28304" ht="14.25" customHeight="1"/>
    <row r="28305" ht="14.25" customHeight="1"/>
    <row r="28306" ht="14.25" customHeight="1"/>
    <row r="28307" ht="14.25" customHeight="1"/>
    <row r="28308" ht="14.25" customHeight="1"/>
    <row r="28309" ht="14.25" customHeight="1"/>
    <row r="28310" ht="14.25" customHeight="1"/>
    <row r="28311" ht="14.25" customHeight="1"/>
    <row r="28312" ht="14.25" customHeight="1"/>
    <row r="28313" ht="14.25" customHeight="1"/>
    <row r="28314" ht="14.25" customHeight="1"/>
    <row r="28315" ht="14.25" customHeight="1"/>
    <row r="28316" ht="14.25" customHeight="1"/>
    <row r="28317" ht="14.25" customHeight="1"/>
    <row r="28318" ht="14.25" customHeight="1"/>
    <row r="28319" ht="14.25" customHeight="1"/>
    <row r="28320" ht="14.25" customHeight="1"/>
    <row r="28321" ht="14.25" customHeight="1"/>
    <row r="28322" ht="14.25" customHeight="1"/>
    <row r="28323" ht="14.25" customHeight="1"/>
    <row r="28324" ht="14.25" customHeight="1"/>
    <row r="28325" ht="14.25" customHeight="1"/>
    <row r="28326" ht="14.25" customHeight="1"/>
    <row r="28327" ht="14.25" customHeight="1"/>
    <row r="28328" ht="14.25" customHeight="1"/>
    <row r="28329" ht="14.25" customHeight="1"/>
    <row r="28330" ht="14.25" customHeight="1"/>
    <row r="28331" ht="14.25" customHeight="1"/>
    <row r="28332" ht="14.25" customHeight="1"/>
    <row r="28333" ht="14.25" customHeight="1"/>
    <row r="28334" ht="14.25" customHeight="1"/>
    <row r="28335" ht="14.25" customHeight="1"/>
    <row r="28336" ht="14.25" customHeight="1"/>
    <row r="28337" ht="14.25" customHeight="1"/>
    <row r="28338" ht="14.25" customHeight="1"/>
    <row r="28339" ht="14.25" customHeight="1"/>
    <row r="28340" ht="14.25" customHeight="1"/>
    <row r="28341" ht="14.25" customHeight="1"/>
    <row r="28342" ht="14.25" customHeight="1"/>
    <row r="28343" ht="14.25" customHeight="1"/>
    <row r="28344" ht="14.25" customHeight="1"/>
    <row r="28345" ht="14.25" customHeight="1"/>
    <row r="28346" ht="14.25" customHeight="1"/>
    <row r="28347" ht="14.25" customHeight="1"/>
    <row r="28348" ht="14.25" customHeight="1"/>
    <row r="28349" ht="14.25" customHeight="1"/>
    <row r="28350" ht="14.25" customHeight="1"/>
    <row r="28351" ht="14.25" customHeight="1"/>
    <row r="28352" ht="14.25" customHeight="1"/>
    <row r="28353" ht="14.25" customHeight="1"/>
    <row r="28354" ht="14.25" customHeight="1"/>
    <row r="28355" ht="14.25" customHeight="1"/>
    <row r="28356" ht="14.25" customHeight="1"/>
    <row r="28357" ht="14.25" customHeight="1"/>
    <row r="28358" ht="14.25" customHeight="1"/>
    <row r="28359" ht="14.25" customHeight="1"/>
    <row r="28360" ht="14.25" customHeight="1"/>
    <row r="28361" ht="14.25" customHeight="1"/>
    <row r="28362" ht="14.25" customHeight="1"/>
    <row r="28363" ht="14.25" customHeight="1"/>
    <row r="28364" ht="14.25" customHeight="1"/>
    <row r="28365" ht="14.25" customHeight="1"/>
    <row r="28366" ht="14.25" customHeight="1"/>
    <row r="28367" ht="14.25" customHeight="1"/>
    <row r="28368" ht="14.25" customHeight="1"/>
    <row r="28369" ht="14.25" customHeight="1"/>
    <row r="28370" ht="14.25" customHeight="1"/>
    <row r="28371" ht="14.25" customHeight="1"/>
    <row r="28372" ht="14.25" customHeight="1"/>
    <row r="28373" ht="14.25" customHeight="1"/>
    <row r="28374" ht="14.25" customHeight="1"/>
    <row r="28375" ht="14.25" customHeight="1"/>
    <row r="28376" ht="14.25" customHeight="1"/>
    <row r="28377" ht="14.25" customHeight="1"/>
    <row r="28378" ht="14.25" customHeight="1"/>
    <row r="28379" ht="14.25" customHeight="1"/>
    <row r="28380" ht="14.25" customHeight="1"/>
    <row r="28381" ht="14.25" customHeight="1"/>
    <row r="28382" ht="14.25" customHeight="1"/>
    <row r="28383" ht="14.25" customHeight="1"/>
    <row r="28384" ht="14.25" customHeight="1"/>
    <row r="28385" ht="14.25" customHeight="1"/>
    <row r="28386" ht="14.25" customHeight="1"/>
    <row r="28387" ht="14.25" customHeight="1"/>
    <row r="28388" ht="14.25" customHeight="1"/>
    <row r="28389" ht="14.25" customHeight="1"/>
    <row r="28390" ht="14.25" customHeight="1"/>
    <row r="28391" ht="14.25" customHeight="1"/>
    <row r="28392" ht="14.25" customHeight="1"/>
    <row r="28393" ht="14.25" customHeight="1"/>
    <row r="28394" ht="14.25" customHeight="1"/>
    <row r="28395" ht="14.25" customHeight="1"/>
    <row r="28396" ht="14.25" customHeight="1"/>
    <row r="28397" ht="14.25" customHeight="1"/>
    <row r="28398" ht="14.25" customHeight="1"/>
    <row r="28399" ht="14.25" customHeight="1"/>
    <row r="28400" ht="14.25" customHeight="1"/>
    <row r="28401" ht="14.25" customHeight="1"/>
    <row r="28402" ht="14.25" customHeight="1"/>
    <row r="28403" ht="14.25" customHeight="1"/>
    <row r="28404" ht="14.25" customHeight="1"/>
    <row r="28405" ht="14.25" customHeight="1"/>
    <row r="28406" ht="14.25" customHeight="1"/>
    <row r="28407" ht="14.25" customHeight="1"/>
    <row r="28408" ht="14.25" customHeight="1"/>
    <row r="28409" ht="14.25" customHeight="1"/>
    <row r="28410" ht="14.25" customHeight="1"/>
    <row r="28411" ht="14.25" customHeight="1"/>
    <row r="28412" ht="14.25" customHeight="1"/>
    <row r="28413" ht="14.25" customHeight="1"/>
    <row r="28414" ht="14.25" customHeight="1"/>
    <row r="28415" ht="14.25" customHeight="1"/>
    <row r="28416" ht="14.25" customHeight="1"/>
    <row r="28417" ht="14.25" customHeight="1"/>
    <row r="28418" ht="14.25" customHeight="1"/>
    <row r="28419" ht="14.25" customHeight="1"/>
    <row r="28420" ht="14.25" customHeight="1"/>
    <row r="28421" ht="14.25" customHeight="1"/>
    <row r="28422" ht="14.25" customHeight="1"/>
    <row r="28423" ht="14.25" customHeight="1"/>
    <row r="28424" ht="14.25" customHeight="1"/>
    <row r="28425" ht="14.25" customHeight="1"/>
    <row r="28426" ht="14.25" customHeight="1"/>
    <row r="28427" ht="14.25" customHeight="1"/>
    <row r="28428" ht="14.25" customHeight="1"/>
    <row r="28429" ht="14.25" customHeight="1"/>
    <row r="28430" ht="14.25" customHeight="1"/>
    <row r="28431" ht="14.25" customHeight="1"/>
    <row r="28432" ht="14.25" customHeight="1"/>
    <row r="28433" ht="14.25" customHeight="1"/>
    <row r="28434" ht="14.25" customHeight="1"/>
    <row r="28435" ht="14.25" customHeight="1"/>
    <row r="28436" ht="14.25" customHeight="1"/>
    <row r="28437" ht="14.25" customHeight="1"/>
    <row r="28438" ht="14.25" customHeight="1"/>
    <row r="28439" ht="14.25" customHeight="1"/>
    <row r="28440" ht="14.25" customHeight="1"/>
    <row r="28441" ht="14.25" customHeight="1"/>
    <row r="28442" ht="14.25" customHeight="1"/>
    <row r="28443" ht="14.25" customHeight="1"/>
    <row r="28444" ht="14.25" customHeight="1"/>
    <row r="28445" ht="14.25" customHeight="1"/>
    <row r="28446" ht="14.25" customHeight="1"/>
    <row r="28447" ht="14.25" customHeight="1"/>
    <row r="28448" ht="14.25" customHeight="1"/>
    <row r="28449" ht="14.25" customHeight="1"/>
    <row r="28450" ht="14.25" customHeight="1"/>
    <row r="28451" ht="14.25" customHeight="1"/>
    <row r="28452" ht="14.25" customHeight="1"/>
    <row r="28453" ht="14.25" customHeight="1"/>
    <row r="28454" ht="14.25" customHeight="1"/>
    <row r="28455" ht="14.25" customHeight="1"/>
    <row r="28456" ht="14.25" customHeight="1"/>
    <row r="28457" ht="14.25" customHeight="1"/>
    <row r="28458" ht="14.25" customHeight="1"/>
    <row r="28459" ht="14.25" customHeight="1"/>
    <row r="28460" ht="14.25" customHeight="1"/>
    <row r="28461" ht="14.25" customHeight="1"/>
    <row r="28462" ht="14.25" customHeight="1"/>
    <row r="28463" ht="14.25" customHeight="1"/>
    <row r="28464" ht="14.25" customHeight="1"/>
    <row r="28465" ht="14.25" customHeight="1"/>
    <row r="28466" ht="14.25" customHeight="1"/>
    <row r="28467" ht="14.25" customHeight="1"/>
    <row r="28468" ht="14.25" customHeight="1"/>
    <row r="28469" ht="14.25" customHeight="1"/>
    <row r="28470" ht="14.25" customHeight="1"/>
    <row r="28471" ht="14.25" customHeight="1"/>
    <row r="28472" ht="14.25" customHeight="1"/>
    <row r="28473" ht="14.25" customHeight="1"/>
    <row r="28474" ht="14.25" customHeight="1"/>
    <row r="28475" ht="14.25" customHeight="1"/>
    <row r="28476" ht="14.25" customHeight="1"/>
    <row r="28477" ht="14.25" customHeight="1"/>
    <row r="28478" ht="14.25" customHeight="1"/>
    <row r="28479" ht="14.25" customHeight="1"/>
    <row r="28480" ht="14.25" customHeight="1"/>
    <row r="28481" ht="14.25" customHeight="1"/>
    <row r="28482" ht="14.25" customHeight="1"/>
    <row r="28483" ht="14.25" customHeight="1"/>
    <row r="28484" ht="14.25" customHeight="1"/>
    <row r="28485" ht="14.25" customHeight="1"/>
    <row r="28486" ht="14.25" customHeight="1"/>
    <row r="28487" ht="14.25" customHeight="1"/>
    <row r="28488" ht="14.25" customHeight="1"/>
    <row r="28489" ht="14.25" customHeight="1"/>
    <row r="28490" ht="14.25" customHeight="1"/>
    <row r="28491" ht="14.25" customHeight="1"/>
    <row r="28492" ht="14.25" customHeight="1"/>
    <row r="28493" ht="14.25" customHeight="1"/>
    <row r="28494" ht="14.25" customHeight="1"/>
    <row r="28495" ht="14.25" customHeight="1"/>
    <row r="28496" ht="14.25" customHeight="1"/>
    <row r="28497" ht="14.25" customHeight="1"/>
    <row r="28498" ht="14.25" customHeight="1"/>
    <row r="28499" ht="14.25" customHeight="1"/>
    <row r="28500" ht="14.25" customHeight="1"/>
    <row r="28501" ht="14.25" customHeight="1"/>
    <row r="28502" ht="14.25" customHeight="1"/>
    <row r="28503" ht="14.25" customHeight="1"/>
    <row r="28504" ht="14.25" customHeight="1"/>
    <row r="28505" ht="14.25" customHeight="1"/>
    <row r="28506" ht="14.25" customHeight="1"/>
    <row r="28507" ht="14.25" customHeight="1"/>
    <row r="28508" ht="14.25" customHeight="1"/>
    <row r="28509" ht="14.25" customHeight="1"/>
    <row r="28510" ht="14.25" customHeight="1"/>
    <row r="28511" ht="14.25" customHeight="1"/>
    <row r="28512" ht="14.25" customHeight="1"/>
    <row r="28513" ht="14.25" customHeight="1"/>
    <row r="28514" ht="14.25" customHeight="1"/>
    <row r="28515" ht="14.25" customHeight="1"/>
    <row r="28516" ht="14.25" customHeight="1"/>
    <row r="28517" ht="14.25" customHeight="1"/>
    <row r="28518" ht="14.25" customHeight="1"/>
    <row r="28519" ht="14.25" customHeight="1"/>
    <row r="28520" ht="14.25" customHeight="1"/>
    <row r="28521" ht="14.25" customHeight="1"/>
    <row r="28522" ht="14.25" customHeight="1"/>
    <row r="28523" ht="14.25" customHeight="1"/>
    <row r="28524" ht="14.25" customHeight="1"/>
    <row r="28525" ht="14.25" customHeight="1"/>
    <row r="28526" ht="14.25" customHeight="1"/>
    <row r="28527" ht="14.25" customHeight="1"/>
    <row r="28528" ht="14.25" customHeight="1"/>
    <row r="28529" ht="14.25" customHeight="1"/>
    <row r="28530" ht="14.25" customHeight="1"/>
    <row r="28531" ht="14.25" customHeight="1"/>
    <row r="28532" ht="14.25" customHeight="1"/>
    <row r="28533" ht="14.25" customHeight="1"/>
    <row r="28534" ht="14.25" customHeight="1"/>
    <row r="28535" ht="14.25" customHeight="1"/>
    <row r="28536" ht="14.25" customHeight="1"/>
    <row r="28537" ht="14.25" customHeight="1"/>
    <row r="28538" ht="14.25" customHeight="1"/>
    <row r="28539" ht="14.25" customHeight="1"/>
    <row r="28540" ht="14.25" customHeight="1"/>
    <row r="28541" ht="14.25" customHeight="1"/>
    <row r="28542" ht="14.25" customHeight="1"/>
    <row r="28543" ht="14.25" customHeight="1"/>
    <row r="28544" ht="14.25" customHeight="1"/>
    <row r="28545" ht="14.25" customHeight="1"/>
    <row r="28546" ht="14.25" customHeight="1"/>
    <row r="28547" ht="14.25" customHeight="1"/>
    <row r="28548" ht="14.25" customHeight="1"/>
    <row r="28549" ht="14.25" customHeight="1"/>
    <row r="28550" ht="14.25" customHeight="1"/>
    <row r="28551" ht="14.25" customHeight="1"/>
    <row r="28552" ht="14.25" customHeight="1"/>
    <row r="28553" ht="14.25" customHeight="1"/>
    <row r="28554" ht="14.25" customHeight="1"/>
    <row r="28555" ht="14.25" customHeight="1"/>
    <row r="28556" ht="14.25" customHeight="1"/>
    <row r="28557" ht="14.25" customHeight="1"/>
    <row r="28558" ht="14.25" customHeight="1"/>
    <row r="28559" ht="14.25" customHeight="1"/>
    <row r="28560" ht="14.25" customHeight="1"/>
    <row r="28561" ht="14.25" customHeight="1"/>
    <row r="28562" ht="14.25" customHeight="1"/>
    <row r="28563" ht="14.25" customHeight="1"/>
    <row r="28564" ht="14.25" customHeight="1"/>
    <row r="28565" ht="14.25" customHeight="1"/>
    <row r="28566" ht="14.25" customHeight="1"/>
    <row r="28567" ht="14.25" customHeight="1"/>
    <row r="28568" ht="14.25" customHeight="1"/>
    <row r="28569" ht="14.25" customHeight="1"/>
    <row r="28570" ht="14.25" customHeight="1"/>
    <row r="28571" ht="14.25" customHeight="1"/>
    <row r="28572" ht="14.25" customHeight="1"/>
    <row r="28573" ht="14.25" customHeight="1"/>
    <row r="28574" ht="14.25" customHeight="1"/>
    <row r="28575" ht="14.25" customHeight="1"/>
    <row r="28576" ht="14.25" customHeight="1"/>
    <row r="28577" ht="14.25" customHeight="1"/>
    <row r="28578" ht="14.25" customHeight="1"/>
    <row r="28579" ht="14.25" customHeight="1"/>
    <row r="28580" ht="14.25" customHeight="1"/>
    <row r="28581" ht="14.25" customHeight="1"/>
    <row r="28582" ht="14.25" customHeight="1"/>
    <row r="28583" ht="14.25" customHeight="1"/>
    <row r="28584" ht="14.25" customHeight="1"/>
    <row r="28585" ht="14.25" customHeight="1"/>
    <row r="28586" ht="14.25" customHeight="1"/>
    <row r="28587" ht="14.25" customHeight="1"/>
    <row r="28588" ht="14.25" customHeight="1"/>
    <row r="28589" ht="14.25" customHeight="1"/>
    <row r="28590" ht="14.25" customHeight="1"/>
    <row r="28591" ht="14.25" customHeight="1"/>
    <row r="28592" ht="14.25" customHeight="1"/>
    <row r="28593" ht="14.25" customHeight="1"/>
    <row r="28594" ht="14.25" customHeight="1"/>
    <row r="28595" ht="14.25" customHeight="1"/>
    <row r="28596" ht="14.25" customHeight="1"/>
    <row r="28597" ht="14.25" customHeight="1"/>
    <row r="28598" ht="14.25" customHeight="1"/>
    <row r="28599" ht="14.25" customHeight="1"/>
    <row r="28600" ht="14.25" customHeight="1"/>
    <row r="28601" ht="14.25" customHeight="1"/>
    <row r="28602" ht="14.25" customHeight="1"/>
    <row r="28603" ht="14.25" customHeight="1"/>
    <row r="28604" ht="14.25" customHeight="1"/>
    <row r="28605" ht="14.25" customHeight="1"/>
    <row r="28606" ht="14.25" customHeight="1"/>
    <row r="28607" ht="14.25" customHeight="1"/>
    <row r="28608" ht="14.25" customHeight="1"/>
    <row r="28609" ht="14.25" customHeight="1"/>
    <row r="28610" ht="14.25" customHeight="1"/>
    <row r="28611" ht="14.25" customHeight="1"/>
    <row r="28612" ht="14.25" customHeight="1"/>
    <row r="28613" ht="14.25" customHeight="1"/>
    <row r="28614" ht="14.25" customHeight="1"/>
    <row r="28615" ht="14.25" customHeight="1"/>
    <row r="28616" ht="14.25" customHeight="1"/>
    <row r="28617" ht="14.25" customHeight="1"/>
    <row r="28618" ht="14.25" customHeight="1"/>
    <row r="28619" ht="14.25" customHeight="1"/>
    <row r="28620" ht="14.25" customHeight="1"/>
    <row r="28621" ht="14.25" customHeight="1"/>
    <row r="28622" ht="14.25" customHeight="1"/>
    <row r="28623" ht="14.25" customHeight="1"/>
    <row r="28624" ht="14.25" customHeight="1"/>
    <row r="28625" ht="14.25" customHeight="1"/>
    <row r="28626" ht="14.25" customHeight="1"/>
    <row r="28627" ht="14.25" customHeight="1"/>
    <row r="28628" ht="14.25" customHeight="1"/>
    <row r="28629" ht="14.25" customHeight="1"/>
    <row r="28630" ht="14.25" customHeight="1"/>
    <row r="28631" ht="14.25" customHeight="1"/>
    <row r="28632" ht="14.25" customHeight="1"/>
    <row r="28633" ht="14.25" customHeight="1"/>
    <row r="28634" ht="14.25" customHeight="1"/>
    <row r="28635" ht="14.25" customHeight="1"/>
    <row r="28636" ht="14.25" customHeight="1"/>
    <row r="28637" ht="14.25" customHeight="1"/>
    <row r="28638" ht="14.25" customHeight="1"/>
    <row r="28639" ht="14.25" customHeight="1"/>
    <row r="28640" ht="14.25" customHeight="1"/>
    <row r="28641" ht="14.25" customHeight="1"/>
    <row r="28642" ht="14.25" customHeight="1"/>
    <row r="28643" ht="14.25" customHeight="1"/>
    <row r="28644" ht="14.25" customHeight="1"/>
    <row r="28645" ht="14.25" customHeight="1"/>
    <row r="28646" ht="14.25" customHeight="1"/>
    <row r="28647" ht="14.25" customHeight="1"/>
    <row r="28648" ht="14.25" customHeight="1"/>
    <row r="28649" ht="14.25" customHeight="1"/>
    <row r="28650" ht="14.25" customHeight="1"/>
    <row r="28651" ht="14.25" customHeight="1"/>
    <row r="28652" ht="14.25" customHeight="1"/>
    <row r="28653" ht="14.25" customHeight="1"/>
    <row r="28654" ht="14.25" customHeight="1"/>
    <row r="28655" ht="14.25" customHeight="1"/>
    <row r="28656" ht="14.25" customHeight="1"/>
    <row r="28657" ht="14.25" customHeight="1"/>
    <row r="28658" ht="14.25" customHeight="1"/>
    <row r="28659" ht="14.25" customHeight="1"/>
    <row r="28660" ht="14.25" customHeight="1"/>
    <row r="28661" ht="14.25" customHeight="1"/>
    <row r="28662" ht="14.25" customHeight="1"/>
    <row r="28663" ht="14.25" customHeight="1"/>
    <row r="28664" ht="14.25" customHeight="1"/>
    <row r="28665" ht="14.25" customHeight="1"/>
    <row r="28666" ht="14.25" customHeight="1"/>
    <row r="28667" ht="14.25" customHeight="1"/>
    <row r="28668" ht="14.25" customHeight="1"/>
    <row r="28669" ht="14.25" customHeight="1"/>
    <row r="28670" ht="14.25" customHeight="1"/>
    <row r="28671" ht="14.25" customHeight="1"/>
    <row r="28672" ht="14.25" customHeight="1"/>
    <row r="28673" ht="14.25" customHeight="1"/>
    <row r="28674" ht="14.25" customHeight="1"/>
    <row r="28675" ht="14.25" customHeight="1"/>
    <row r="28676" ht="14.25" customHeight="1"/>
    <row r="28677" ht="14.25" customHeight="1"/>
    <row r="28678" ht="14.25" customHeight="1"/>
    <row r="28679" ht="14.25" customHeight="1"/>
    <row r="28680" ht="14.25" customHeight="1"/>
    <row r="28681" ht="14.25" customHeight="1"/>
    <row r="28682" ht="14.25" customHeight="1"/>
    <row r="28683" ht="14.25" customHeight="1"/>
    <row r="28684" ht="14.25" customHeight="1"/>
    <row r="28685" ht="14.25" customHeight="1"/>
    <row r="28686" ht="14.25" customHeight="1"/>
    <row r="28687" ht="14.25" customHeight="1"/>
    <row r="28688" ht="14.25" customHeight="1"/>
    <row r="28689" ht="14.25" customHeight="1"/>
    <row r="28690" ht="14.25" customHeight="1"/>
    <row r="28691" ht="14.25" customHeight="1"/>
    <row r="28692" ht="14.25" customHeight="1"/>
    <row r="28693" ht="14.25" customHeight="1"/>
    <row r="28694" ht="14.25" customHeight="1"/>
    <row r="28695" ht="14.25" customHeight="1"/>
    <row r="28696" ht="14.25" customHeight="1"/>
    <row r="28697" ht="14.25" customHeight="1"/>
    <row r="28698" ht="14.25" customHeight="1"/>
    <row r="28699" ht="14.25" customHeight="1"/>
    <row r="28700" ht="14.25" customHeight="1"/>
    <row r="28701" ht="14.25" customHeight="1"/>
    <row r="28702" ht="14.25" customHeight="1"/>
    <row r="28703" ht="14.25" customHeight="1"/>
    <row r="28704" ht="14.25" customHeight="1"/>
    <row r="28705" ht="14.25" customHeight="1"/>
    <row r="28706" ht="14.25" customHeight="1"/>
    <row r="28707" ht="14.25" customHeight="1"/>
    <row r="28708" ht="14.25" customHeight="1"/>
    <row r="28709" ht="14.25" customHeight="1"/>
    <row r="28710" ht="14.25" customHeight="1"/>
    <row r="28711" ht="14.25" customHeight="1"/>
    <row r="28712" ht="14.25" customHeight="1"/>
    <row r="28713" ht="14.25" customHeight="1"/>
    <row r="28714" ht="14.25" customHeight="1"/>
    <row r="28715" ht="14.25" customHeight="1"/>
    <row r="28716" ht="14.25" customHeight="1"/>
    <row r="28717" ht="14.25" customHeight="1"/>
    <row r="28718" ht="14.25" customHeight="1"/>
    <row r="28719" ht="14.25" customHeight="1"/>
    <row r="28720" ht="14.25" customHeight="1"/>
    <row r="28721" ht="14.25" customHeight="1"/>
    <row r="28722" ht="14.25" customHeight="1"/>
    <row r="28723" ht="14.25" customHeight="1"/>
    <row r="28724" ht="14.25" customHeight="1"/>
    <row r="28725" ht="14.25" customHeight="1"/>
    <row r="28726" ht="14.25" customHeight="1"/>
    <row r="28727" ht="14.25" customHeight="1"/>
    <row r="28728" ht="14.25" customHeight="1"/>
    <row r="28729" ht="14.25" customHeight="1"/>
    <row r="28730" ht="14.25" customHeight="1"/>
    <row r="28731" ht="14.25" customHeight="1"/>
    <row r="28732" ht="14.25" customHeight="1"/>
    <row r="28733" ht="14.25" customHeight="1"/>
    <row r="28734" ht="14.25" customHeight="1"/>
    <row r="28735" ht="14.25" customHeight="1"/>
    <row r="28736" ht="14.25" customHeight="1"/>
    <row r="28737" ht="14.25" customHeight="1"/>
    <row r="28738" ht="14.25" customHeight="1"/>
    <row r="28739" ht="14.25" customHeight="1"/>
    <row r="28740" ht="14.25" customHeight="1"/>
    <row r="28741" ht="14.25" customHeight="1"/>
    <row r="28742" ht="14.25" customHeight="1"/>
    <row r="28743" ht="14.25" customHeight="1"/>
    <row r="28744" ht="14.25" customHeight="1"/>
    <row r="28745" ht="14.25" customHeight="1"/>
    <row r="28746" ht="14.25" customHeight="1"/>
    <row r="28747" ht="14.25" customHeight="1"/>
    <row r="28748" ht="14.25" customHeight="1"/>
    <row r="28749" ht="14.25" customHeight="1"/>
    <row r="28750" ht="14.25" customHeight="1"/>
    <row r="28751" ht="14.25" customHeight="1"/>
    <row r="28752" ht="14.25" customHeight="1"/>
    <row r="28753" ht="14.25" customHeight="1"/>
    <row r="28754" ht="14.25" customHeight="1"/>
    <row r="28755" ht="14.25" customHeight="1"/>
    <row r="28756" ht="14.25" customHeight="1"/>
    <row r="28757" ht="14.25" customHeight="1"/>
    <row r="28758" ht="14.25" customHeight="1"/>
    <row r="28759" ht="14.25" customHeight="1"/>
    <row r="28760" ht="14.25" customHeight="1"/>
    <row r="28761" ht="14.25" customHeight="1"/>
    <row r="28762" ht="14.25" customHeight="1"/>
    <row r="28763" ht="14.25" customHeight="1"/>
    <row r="28764" ht="14.25" customHeight="1"/>
    <row r="28765" ht="14.25" customHeight="1"/>
    <row r="28766" ht="14.25" customHeight="1"/>
    <row r="28767" ht="14.25" customHeight="1"/>
    <row r="28768" ht="14.25" customHeight="1"/>
    <row r="28769" ht="14.25" customHeight="1"/>
    <row r="28770" ht="14.25" customHeight="1"/>
    <row r="28771" ht="14.25" customHeight="1"/>
    <row r="28772" ht="14.25" customHeight="1"/>
    <row r="28773" ht="14.25" customHeight="1"/>
    <row r="28774" ht="14.25" customHeight="1"/>
    <row r="28775" ht="14.25" customHeight="1"/>
    <row r="28776" ht="14.25" customHeight="1"/>
    <row r="28777" ht="14.25" customHeight="1"/>
    <row r="28778" ht="14.25" customHeight="1"/>
    <row r="28779" ht="14.25" customHeight="1"/>
    <row r="28780" ht="14.25" customHeight="1"/>
    <row r="28781" ht="14.25" customHeight="1"/>
    <row r="28782" ht="14.25" customHeight="1"/>
    <row r="28783" ht="14.25" customHeight="1"/>
    <row r="28784" ht="14.25" customHeight="1"/>
    <row r="28785" ht="14.25" customHeight="1"/>
    <row r="28786" ht="14.25" customHeight="1"/>
    <row r="28787" ht="14.25" customHeight="1"/>
    <row r="28788" ht="14.25" customHeight="1"/>
    <row r="28789" ht="14.25" customHeight="1"/>
    <row r="28790" ht="14.25" customHeight="1"/>
    <row r="28791" ht="14.25" customHeight="1"/>
    <row r="28792" ht="14.25" customHeight="1"/>
    <row r="28793" ht="14.25" customHeight="1"/>
    <row r="28794" ht="14.25" customHeight="1"/>
    <row r="28795" ht="14.25" customHeight="1"/>
    <row r="28796" ht="14.25" customHeight="1"/>
    <row r="28797" ht="14.25" customHeight="1"/>
    <row r="28798" ht="14.25" customHeight="1"/>
    <row r="28799" ht="14.25" customHeight="1"/>
    <row r="28800" ht="14.25" customHeight="1"/>
    <row r="28801" ht="14.25" customHeight="1"/>
    <row r="28802" ht="14.25" customHeight="1"/>
    <row r="28803" ht="14.25" customHeight="1"/>
    <row r="28804" ht="14.25" customHeight="1"/>
    <row r="28805" ht="14.25" customHeight="1"/>
    <row r="28806" ht="14.25" customHeight="1"/>
    <row r="28807" ht="14.25" customHeight="1"/>
    <row r="28808" ht="14.25" customHeight="1"/>
    <row r="28809" ht="14.25" customHeight="1"/>
    <row r="28810" ht="14.25" customHeight="1"/>
    <row r="28811" ht="14.25" customHeight="1"/>
    <row r="28812" ht="14.25" customHeight="1"/>
    <row r="28813" ht="14.25" customHeight="1"/>
    <row r="28814" ht="14.25" customHeight="1"/>
    <row r="28815" ht="14.25" customHeight="1"/>
    <row r="28816" ht="14.25" customHeight="1"/>
    <row r="28817" ht="14.25" customHeight="1"/>
    <row r="28818" ht="14.25" customHeight="1"/>
    <row r="28819" ht="14.25" customHeight="1"/>
    <row r="28820" ht="14.25" customHeight="1"/>
    <row r="28821" ht="14.25" customHeight="1"/>
    <row r="28822" ht="14.25" customHeight="1"/>
    <row r="28823" ht="14.25" customHeight="1"/>
    <row r="28824" ht="14.25" customHeight="1"/>
    <row r="28825" ht="14.25" customHeight="1"/>
    <row r="28826" ht="14.25" customHeight="1"/>
    <row r="28827" ht="14.25" customHeight="1"/>
    <row r="28828" ht="14.25" customHeight="1"/>
    <row r="28829" ht="14.25" customHeight="1"/>
    <row r="28830" ht="14.25" customHeight="1"/>
    <row r="28831" ht="14.25" customHeight="1"/>
    <row r="28832" ht="14.25" customHeight="1"/>
    <row r="28833" ht="14.25" customHeight="1"/>
    <row r="28834" ht="14.25" customHeight="1"/>
    <row r="28835" ht="14.25" customHeight="1"/>
    <row r="28836" ht="14.25" customHeight="1"/>
    <row r="28837" ht="14.25" customHeight="1"/>
    <row r="28838" ht="14.25" customHeight="1"/>
    <row r="28839" ht="14.25" customHeight="1"/>
    <row r="28840" ht="14.25" customHeight="1"/>
    <row r="28841" ht="14.25" customHeight="1"/>
    <row r="28842" ht="14.25" customHeight="1"/>
    <row r="28843" ht="14.25" customHeight="1"/>
    <row r="28844" ht="14.25" customHeight="1"/>
    <row r="28845" ht="14.25" customHeight="1"/>
    <row r="28846" ht="14.25" customHeight="1"/>
    <row r="28847" ht="14.25" customHeight="1"/>
    <row r="28848" ht="14.25" customHeight="1"/>
    <row r="28849" ht="14.25" customHeight="1"/>
    <row r="28850" ht="14.25" customHeight="1"/>
    <row r="28851" ht="14.25" customHeight="1"/>
    <row r="28852" ht="14.25" customHeight="1"/>
    <row r="28853" ht="14.25" customHeight="1"/>
    <row r="28854" ht="14.25" customHeight="1"/>
    <row r="28855" ht="14.25" customHeight="1"/>
    <row r="28856" ht="14.25" customHeight="1"/>
    <row r="28857" ht="14.25" customHeight="1"/>
    <row r="28858" ht="14.25" customHeight="1"/>
    <row r="28859" ht="14.25" customHeight="1"/>
    <row r="28860" ht="14.25" customHeight="1"/>
    <row r="28861" ht="14.25" customHeight="1"/>
    <row r="28862" ht="14.25" customHeight="1"/>
    <row r="28863" ht="14.25" customHeight="1"/>
    <row r="28864" ht="14.25" customHeight="1"/>
    <row r="28865" ht="14.25" customHeight="1"/>
    <row r="28866" ht="14.25" customHeight="1"/>
    <row r="28867" ht="14.25" customHeight="1"/>
    <row r="28868" ht="14.25" customHeight="1"/>
    <row r="28869" ht="14.25" customHeight="1"/>
    <row r="28870" ht="14.25" customHeight="1"/>
    <row r="28871" ht="14.25" customHeight="1"/>
    <row r="28872" ht="14.25" customHeight="1"/>
    <row r="28873" ht="14.25" customHeight="1"/>
    <row r="28874" ht="14.25" customHeight="1"/>
    <row r="28875" ht="14.25" customHeight="1"/>
    <row r="28876" ht="14.25" customHeight="1"/>
    <row r="28877" ht="14.25" customHeight="1"/>
    <row r="28878" ht="14.25" customHeight="1"/>
    <row r="28879" ht="14.25" customHeight="1"/>
    <row r="28880" ht="14.25" customHeight="1"/>
    <row r="28881" ht="14.25" customHeight="1"/>
    <row r="28882" ht="14.25" customHeight="1"/>
    <row r="28883" ht="14.25" customHeight="1"/>
    <row r="28884" ht="14.25" customHeight="1"/>
    <row r="28885" ht="14.25" customHeight="1"/>
    <row r="28886" ht="14.25" customHeight="1"/>
    <row r="28887" ht="14.25" customHeight="1"/>
    <row r="28888" ht="14.25" customHeight="1"/>
    <row r="28889" ht="14.25" customHeight="1"/>
    <row r="28890" ht="14.25" customHeight="1"/>
    <row r="28891" ht="14.25" customHeight="1"/>
    <row r="28892" ht="14.25" customHeight="1"/>
    <row r="28893" ht="14.25" customHeight="1"/>
    <row r="28894" ht="14.25" customHeight="1"/>
    <row r="28895" ht="14.25" customHeight="1"/>
    <row r="28896" ht="14.25" customHeight="1"/>
    <row r="28897" ht="14.25" customHeight="1"/>
    <row r="28898" ht="14.25" customHeight="1"/>
    <row r="28899" ht="14.25" customHeight="1"/>
    <row r="28900" ht="14.25" customHeight="1"/>
    <row r="28901" ht="14.25" customHeight="1"/>
    <row r="28902" ht="14.25" customHeight="1"/>
    <row r="28903" ht="14.25" customHeight="1"/>
    <row r="28904" ht="14.25" customHeight="1"/>
    <row r="28905" ht="14.25" customHeight="1"/>
    <row r="28906" ht="14.25" customHeight="1"/>
    <row r="28907" ht="14.25" customHeight="1"/>
    <row r="28908" ht="14.25" customHeight="1"/>
    <row r="28909" ht="14.25" customHeight="1"/>
    <row r="28910" ht="14.25" customHeight="1"/>
    <row r="28911" ht="14.25" customHeight="1"/>
    <row r="28912" ht="14.25" customHeight="1"/>
    <row r="28913" ht="14.25" customHeight="1"/>
    <row r="28914" ht="14.25" customHeight="1"/>
    <row r="28915" ht="14.25" customHeight="1"/>
    <row r="28916" ht="14.25" customHeight="1"/>
    <row r="28917" ht="14.25" customHeight="1"/>
    <row r="28918" ht="14.25" customHeight="1"/>
    <row r="28919" ht="14.25" customHeight="1"/>
    <row r="28920" ht="14.25" customHeight="1"/>
    <row r="28921" ht="14.25" customHeight="1"/>
    <row r="28922" ht="14.25" customHeight="1"/>
    <row r="28923" ht="14.25" customHeight="1"/>
    <row r="28924" ht="14.25" customHeight="1"/>
    <row r="28925" ht="14.25" customHeight="1"/>
    <row r="28926" ht="14.25" customHeight="1"/>
    <row r="28927" ht="14.25" customHeight="1"/>
    <row r="28928" ht="14.25" customHeight="1"/>
    <row r="28929" ht="14.25" customHeight="1"/>
    <row r="28930" ht="14.25" customHeight="1"/>
    <row r="28931" ht="14.25" customHeight="1"/>
    <row r="28932" ht="14.25" customHeight="1"/>
    <row r="28933" ht="14.25" customHeight="1"/>
    <row r="28934" ht="14.25" customHeight="1"/>
    <row r="28935" ht="14.25" customHeight="1"/>
    <row r="28936" ht="14.25" customHeight="1"/>
    <row r="28937" ht="14.25" customHeight="1"/>
    <row r="28938" ht="14.25" customHeight="1"/>
    <row r="28939" ht="14.25" customHeight="1"/>
    <row r="28940" ht="14.25" customHeight="1"/>
    <row r="28941" ht="14.25" customHeight="1"/>
    <row r="28942" ht="14.25" customHeight="1"/>
    <row r="28943" ht="14.25" customHeight="1"/>
    <row r="28944" ht="14.25" customHeight="1"/>
    <row r="28945" ht="14.25" customHeight="1"/>
    <row r="28946" ht="14.25" customHeight="1"/>
    <row r="28947" ht="14.25" customHeight="1"/>
    <row r="28948" ht="14.25" customHeight="1"/>
    <row r="28949" ht="14.25" customHeight="1"/>
    <row r="28950" ht="14.25" customHeight="1"/>
    <row r="28951" ht="14.25" customHeight="1"/>
    <row r="28952" ht="14.25" customHeight="1"/>
    <row r="28953" ht="14.25" customHeight="1"/>
    <row r="28954" ht="14.25" customHeight="1"/>
    <row r="28955" ht="14.25" customHeight="1"/>
    <row r="28956" ht="14.25" customHeight="1"/>
    <row r="28957" ht="14.25" customHeight="1"/>
    <row r="28958" ht="14.25" customHeight="1"/>
    <row r="28959" ht="14.25" customHeight="1"/>
    <row r="28960" ht="14.25" customHeight="1"/>
    <row r="28961" ht="14.25" customHeight="1"/>
    <row r="28962" ht="14.25" customHeight="1"/>
    <row r="28963" ht="14.25" customHeight="1"/>
    <row r="28964" ht="14.25" customHeight="1"/>
    <row r="28965" ht="14.25" customHeight="1"/>
    <row r="28966" ht="14.25" customHeight="1"/>
    <row r="28967" ht="14.25" customHeight="1"/>
    <row r="28968" ht="14.25" customHeight="1"/>
    <row r="28969" ht="14.25" customHeight="1"/>
    <row r="28970" ht="14.25" customHeight="1"/>
    <row r="28971" ht="14.25" customHeight="1"/>
    <row r="28972" ht="14.25" customHeight="1"/>
    <row r="28973" ht="14.25" customHeight="1"/>
    <row r="28974" ht="14.25" customHeight="1"/>
    <row r="28975" ht="14.25" customHeight="1"/>
    <row r="28976" ht="14.25" customHeight="1"/>
    <row r="28977" ht="14.25" customHeight="1"/>
    <row r="28978" ht="14.25" customHeight="1"/>
    <row r="28979" ht="14.25" customHeight="1"/>
    <row r="28980" ht="14.25" customHeight="1"/>
    <row r="28981" ht="14.25" customHeight="1"/>
    <row r="28982" ht="14.25" customHeight="1"/>
    <row r="28983" ht="14.25" customHeight="1"/>
    <row r="28984" ht="14.25" customHeight="1"/>
    <row r="28985" ht="14.25" customHeight="1"/>
    <row r="28986" ht="14.25" customHeight="1"/>
    <row r="28987" ht="14.25" customHeight="1"/>
    <row r="28988" ht="14.25" customHeight="1"/>
    <row r="28989" ht="14.25" customHeight="1"/>
    <row r="28990" ht="14.25" customHeight="1"/>
    <row r="28991" ht="14.25" customHeight="1"/>
    <row r="28992" ht="14.25" customHeight="1"/>
    <row r="28993" ht="14.25" customHeight="1"/>
    <row r="28994" ht="14.25" customHeight="1"/>
    <row r="28995" ht="14.25" customHeight="1"/>
    <row r="28996" ht="14.25" customHeight="1"/>
    <row r="28997" ht="14.25" customHeight="1"/>
    <row r="28998" ht="14.25" customHeight="1"/>
    <row r="28999" ht="14.25" customHeight="1"/>
    <row r="29000" ht="14.25" customHeight="1"/>
    <row r="29001" ht="14.25" customHeight="1"/>
    <row r="29002" ht="14.25" customHeight="1"/>
    <row r="29003" ht="14.25" customHeight="1"/>
    <row r="29004" ht="14.25" customHeight="1"/>
    <row r="29005" ht="14.25" customHeight="1"/>
    <row r="29006" ht="14.25" customHeight="1"/>
    <row r="29007" ht="14.25" customHeight="1"/>
    <row r="29008" ht="14.25" customHeight="1"/>
    <row r="29009" ht="14.25" customHeight="1"/>
    <row r="29010" ht="14.25" customHeight="1"/>
    <row r="29011" ht="14.25" customHeight="1"/>
    <row r="29012" ht="14.25" customHeight="1"/>
    <row r="29013" ht="14.25" customHeight="1"/>
    <row r="29014" ht="14.25" customHeight="1"/>
    <row r="29015" ht="14.25" customHeight="1"/>
    <row r="29016" ht="14.25" customHeight="1"/>
    <row r="29017" ht="14.25" customHeight="1"/>
    <row r="29018" ht="14.25" customHeight="1"/>
    <row r="29019" ht="14.25" customHeight="1"/>
    <row r="29020" ht="14.25" customHeight="1"/>
    <row r="29021" ht="14.25" customHeight="1"/>
    <row r="29022" ht="14.25" customHeight="1"/>
    <row r="29023" ht="14.25" customHeight="1"/>
    <row r="29024" ht="14.25" customHeight="1"/>
    <row r="29025" ht="14.25" customHeight="1"/>
    <row r="29026" ht="14.25" customHeight="1"/>
    <row r="29027" ht="14.25" customHeight="1"/>
    <row r="29028" ht="14.25" customHeight="1"/>
    <row r="29029" ht="14.25" customHeight="1"/>
    <row r="29030" ht="14.25" customHeight="1"/>
    <row r="29031" ht="14.25" customHeight="1"/>
    <row r="29032" ht="14.25" customHeight="1"/>
    <row r="29033" ht="14.25" customHeight="1"/>
    <row r="29034" ht="14.25" customHeight="1"/>
    <row r="29035" ht="14.25" customHeight="1"/>
    <row r="29036" ht="14.25" customHeight="1"/>
    <row r="29037" ht="14.25" customHeight="1"/>
    <row r="29038" ht="14.25" customHeight="1"/>
    <row r="29039" ht="14.25" customHeight="1"/>
    <row r="29040" ht="14.25" customHeight="1"/>
    <row r="29041" ht="14.25" customHeight="1"/>
    <row r="29042" ht="14.25" customHeight="1"/>
    <row r="29043" ht="14.25" customHeight="1"/>
    <row r="29044" ht="14.25" customHeight="1"/>
    <row r="29045" ht="14.25" customHeight="1"/>
    <row r="29046" ht="14.25" customHeight="1"/>
    <row r="29047" ht="14.25" customHeight="1"/>
    <row r="29048" ht="14.25" customHeight="1"/>
    <row r="29049" ht="14.25" customHeight="1"/>
    <row r="29050" ht="14.25" customHeight="1"/>
    <row r="29051" ht="14.25" customHeight="1"/>
    <row r="29052" ht="14.25" customHeight="1"/>
    <row r="29053" ht="14.25" customHeight="1"/>
    <row r="29054" ht="14.25" customHeight="1"/>
    <row r="29055" ht="14.25" customHeight="1"/>
    <row r="29056" ht="14.25" customHeight="1"/>
    <row r="29057" ht="14.25" customHeight="1"/>
    <row r="29058" ht="14.25" customHeight="1"/>
    <row r="29059" ht="14.25" customHeight="1"/>
    <row r="29060" ht="14.25" customHeight="1"/>
    <row r="29061" ht="14.25" customHeight="1"/>
    <row r="29062" ht="14.25" customHeight="1"/>
    <row r="29063" ht="14.25" customHeight="1"/>
    <row r="29064" ht="14.25" customHeight="1"/>
    <row r="29065" ht="14.25" customHeight="1"/>
    <row r="29066" ht="14.25" customHeight="1"/>
    <row r="29067" ht="14.25" customHeight="1"/>
    <row r="29068" ht="14.25" customHeight="1"/>
    <row r="29069" ht="14.25" customHeight="1"/>
    <row r="29070" ht="14.25" customHeight="1"/>
    <row r="29071" ht="14.25" customHeight="1"/>
    <row r="29072" ht="14.25" customHeight="1"/>
    <row r="29073" ht="14.25" customHeight="1"/>
    <row r="29074" ht="14.25" customHeight="1"/>
    <row r="29075" ht="14.25" customHeight="1"/>
    <row r="29076" ht="14.25" customHeight="1"/>
    <row r="29077" ht="14.25" customHeight="1"/>
    <row r="29078" ht="14.25" customHeight="1"/>
    <row r="29079" ht="14.25" customHeight="1"/>
    <row r="29080" ht="14.25" customHeight="1"/>
    <row r="29081" ht="14.25" customHeight="1"/>
    <row r="29082" ht="14.25" customHeight="1"/>
    <row r="29083" ht="14.25" customHeight="1"/>
    <row r="29084" ht="14.25" customHeight="1"/>
    <row r="29085" ht="14.25" customHeight="1"/>
    <row r="29086" ht="14.25" customHeight="1"/>
    <row r="29087" ht="14.25" customHeight="1"/>
    <row r="29088" ht="14.25" customHeight="1"/>
    <row r="29089" ht="14.25" customHeight="1"/>
    <row r="29090" ht="14.25" customHeight="1"/>
    <row r="29091" ht="14.25" customHeight="1"/>
    <row r="29092" ht="14.25" customHeight="1"/>
    <row r="29093" ht="14.25" customHeight="1"/>
    <row r="29094" ht="14.25" customHeight="1"/>
    <row r="29095" ht="14.25" customHeight="1"/>
    <row r="29096" ht="14.25" customHeight="1"/>
    <row r="29097" ht="14.25" customHeight="1"/>
    <row r="29098" ht="14.25" customHeight="1"/>
    <row r="29099" ht="14.25" customHeight="1"/>
    <row r="29100" ht="14.25" customHeight="1"/>
    <row r="29101" ht="14.25" customHeight="1"/>
    <row r="29102" ht="14.25" customHeight="1"/>
    <row r="29103" ht="14.25" customHeight="1"/>
    <row r="29104" ht="14.25" customHeight="1"/>
    <row r="29105" ht="14.25" customHeight="1"/>
    <row r="29106" ht="14.25" customHeight="1"/>
    <row r="29107" ht="14.25" customHeight="1"/>
    <row r="29108" ht="14.25" customHeight="1"/>
    <row r="29109" ht="14.25" customHeight="1"/>
    <row r="29110" ht="14.25" customHeight="1"/>
    <row r="29111" ht="14.25" customHeight="1"/>
    <row r="29112" ht="14.25" customHeight="1"/>
    <row r="29113" ht="14.25" customHeight="1"/>
    <row r="29114" ht="14.25" customHeight="1"/>
    <row r="29115" ht="14.25" customHeight="1"/>
    <row r="29116" ht="14.25" customHeight="1"/>
    <row r="29117" ht="14.25" customHeight="1"/>
    <row r="29118" ht="14.25" customHeight="1"/>
    <row r="29119" ht="14.25" customHeight="1"/>
    <row r="29120" ht="14.25" customHeight="1"/>
    <row r="29121" ht="14.25" customHeight="1"/>
    <row r="29122" ht="14.25" customHeight="1"/>
    <row r="29123" ht="14.25" customHeight="1"/>
    <row r="29124" ht="14.25" customHeight="1"/>
    <row r="29125" ht="14.25" customHeight="1"/>
    <row r="29126" ht="14.25" customHeight="1"/>
    <row r="29127" ht="14.25" customHeight="1"/>
    <row r="29128" ht="14.25" customHeight="1"/>
    <row r="29129" ht="14.25" customHeight="1"/>
    <row r="29130" ht="14.25" customHeight="1"/>
    <row r="29131" ht="14.25" customHeight="1"/>
    <row r="29132" ht="14.25" customHeight="1"/>
    <row r="29133" ht="14.25" customHeight="1"/>
    <row r="29134" ht="14.25" customHeight="1"/>
    <row r="29135" ht="14.25" customHeight="1"/>
    <row r="29136" ht="14.25" customHeight="1"/>
    <row r="29137" ht="14.25" customHeight="1"/>
    <row r="29138" ht="14.25" customHeight="1"/>
    <row r="29139" ht="14.25" customHeight="1"/>
    <row r="29140" ht="14.25" customHeight="1"/>
    <row r="29141" ht="14.25" customHeight="1"/>
    <row r="29142" ht="14.25" customHeight="1"/>
    <row r="29143" ht="14.25" customHeight="1"/>
    <row r="29144" ht="14.25" customHeight="1"/>
    <row r="29145" ht="14.25" customHeight="1"/>
    <row r="29146" ht="14.25" customHeight="1"/>
    <row r="29147" ht="14.25" customHeight="1"/>
    <row r="29148" ht="14.25" customHeight="1"/>
    <row r="29149" ht="14.25" customHeight="1"/>
    <row r="29150" ht="14.25" customHeight="1"/>
    <row r="29151" ht="14.25" customHeight="1"/>
    <row r="29152" ht="14.25" customHeight="1"/>
    <row r="29153" ht="14.25" customHeight="1"/>
    <row r="29154" ht="14.25" customHeight="1"/>
    <row r="29155" ht="14.25" customHeight="1"/>
    <row r="29156" ht="14.25" customHeight="1"/>
    <row r="29157" ht="14.25" customHeight="1"/>
    <row r="29158" ht="14.25" customHeight="1"/>
    <row r="29159" ht="14.25" customHeight="1"/>
    <row r="29160" ht="14.25" customHeight="1"/>
    <row r="29161" ht="14.25" customHeight="1"/>
    <row r="29162" ht="14.25" customHeight="1"/>
    <row r="29163" ht="14.25" customHeight="1"/>
    <row r="29164" ht="14.25" customHeight="1"/>
    <row r="29165" ht="14.25" customHeight="1"/>
    <row r="29166" ht="14.25" customHeight="1"/>
    <row r="29167" ht="14.25" customHeight="1"/>
    <row r="29168" ht="14.25" customHeight="1"/>
    <row r="29169" ht="14.25" customHeight="1"/>
    <row r="29170" ht="14.25" customHeight="1"/>
    <row r="29171" ht="14.25" customHeight="1"/>
    <row r="29172" ht="14.25" customHeight="1"/>
    <row r="29173" ht="14.25" customHeight="1"/>
    <row r="29174" ht="14.25" customHeight="1"/>
    <row r="29175" ht="14.25" customHeight="1"/>
    <row r="29176" ht="14.25" customHeight="1"/>
    <row r="29177" ht="14.25" customHeight="1"/>
    <row r="29178" ht="14.25" customHeight="1"/>
    <row r="29179" ht="14.25" customHeight="1"/>
    <row r="29180" ht="14.25" customHeight="1"/>
    <row r="29181" ht="14.25" customHeight="1"/>
    <row r="29182" ht="14.25" customHeight="1"/>
    <row r="29183" ht="14.25" customHeight="1"/>
    <row r="29184" ht="14.25" customHeight="1"/>
    <row r="29185" ht="14.25" customHeight="1"/>
    <row r="29186" ht="14.25" customHeight="1"/>
    <row r="29187" ht="14.25" customHeight="1"/>
    <row r="29188" ht="14.25" customHeight="1"/>
    <row r="29189" ht="14.25" customHeight="1"/>
    <row r="29190" ht="14.25" customHeight="1"/>
    <row r="29191" ht="14.25" customHeight="1"/>
    <row r="29192" ht="14.25" customHeight="1"/>
    <row r="29193" ht="14.25" customHeight="1"/>
    <row r="29194" ht="14.25" customHeight="1"/>
    <row r="29195" ht="14.25" customHeight="1"/>
    <row r="29196" ht="14.25" customHeight="1"/>
    <row r="29197" ht="14.25" customHeight="1"/>
    <row r="29198" ht="14.25" customHeight="1"/>
    <row r="29199" ht="14.25" customHeight="1"/>
    <row r="29200" ht="14.25" customHeight="1"/>
    <row r="29201" ht="14.25" customHeight="1"/>
    <row r="29202" ht="14.25" customHeight="1"/>
    <row r="29203" ht="14.25" customHeight="1"/>
    <row r="29204" ht="14.25" customHeight="1"/>
    <row r="29205" ht="14.25" customHeight="1"/>
    <row r="29206" ht="14.25" customHeight="1"/>
    <row r="29207" ht="14.25" customHeight="1"/>
    <row r="29208" ht="14.25" customHeight="1"/>
    <row r="29209" ht="14.25" customHeight="1"/>
    <row r="29210" ht="14.25" customHeight="1"/>
    <row r="29211" ht="14.25" customHeight="1"/>
    <row r="29212" ht="14.25" customHeight="1"/>
    <row r="29213" ht="14.25" customHeight="1"/>
    <row r="29214" ht="14.25" customHeight="1"/>
    <row r="29215" ht="14.25" customHeight="1"/>
    <row r="29216" ht="14.25" customHeight="1"/>
    <row r="29217" ht="14.25" customHeight="1"/>
    <row r="29218" ht="14.25" customHeight="1"/>
    <row r="29219" ht="14.25" customHeight="1"/>
    <row r="29220" ht="14.25" customHeight="1"/>
    <row r="29221" ht="14.25" customHeight="1"/>
    <row r="29222" ht="14.25" customHeight="1"/>
    <row r="29223" ht="14.25" customHeight="1"/>
    <row r="29224" ht="14.25" customHeight="1"/>
    <row r="29225" ht="14.25" customHeight="1"/>
    <row r="29226" ht="14.25" customHeight="1"/>
    <row r="29227" ht="14.25" customHeight="1"/>
    <row r="29228" ht="14.25" customHeight="1"/>
    <row r="29229" ht="14.25" customHeight="1"/>
    <row r="29230" ht="14.25" customHeight="1"/>
    <row r="29231" ht="14.25" customHeight="1"/>
    <row r="29232" ht="14.25" customHeight="1"/>
    <row r="29233" ht="14.25" customHeight="1"/>
    <row r="29234" ht="14.25" customHeight="1"/>
    <row r="29235" ht="14.25" customHeight="1"/>
    <row r="29236" ht="14.25" customHeight="1"/>
    <row r="29237" ht="14.25" customHeight="1"/>
    <row r="29238" ht="14.25" customHeight="1"/>
    <row r="29239" ht="14.25" customHeight="1"/>
    <row r="29240" ht="14.25" customHeight="1"/>
    <row r="29241" ht="14.25" customHeight="1"/>
    <row r="29242" ht="14.25" customHeight="1"/>
    <row r="29243" ht="14.25" customHeight="1"/>
    <row r="29244" ht="14.25" customHeight="1"/>
    <row r="29245" ht="14.25" customHeight="1"/>
    <row r="29246" ht="14.25" customHeight="1"/>
    <row r="29247" ht="14.25" customHeight="1"/>
    <row r="29248" ht="14.25" customHeight="1"/>
    <row r="29249" ht="14.25" customHeight="1"/>
    <row r="29250" ht="14.25" customHeight="1"/>
    <row r="29251" ht="14.25" customHeight="1"/>
    <row r="29252" ht="14.25" customHeight="1"/>
    <row r="29253" ht="14.25" customHeight="1"/>
    <row r="29254" ht="14.25" customHeight="1"/>
    <row r="29255" ht="14.25" customHeight="1"/>
    <row r="29256" ht="14.25" customHeight="1"/>
    <row r="29257" ht="14.25" customHeight="1"/>
    <row r="29258" ht="14.25" customHeight="1"/>
    <row r="29259" ht="14.25" customHeight="1"/>
    <row r="29260" ht="14.25" customHeight="1"/>
    <row r="29261" ht="14.25" customHeight="1"/>
    <row r="29262" ht="14.25" customHeight="1"/>
    <row r="29263" ht="14.25" customHeight="1"/>
    <row r="29264" ht="14.25" customHeight="1"/>
    <row r="29265" ht="14.25" customHeight="1"/>
    <row r="29266" ht="14.25" customHeight="1"/>
    <row r="29267" ht="14.25" customHeight="1"/>
    <row r="29268" ht="14.25" customHeight="1"/>
    <row r="29269" ht="14.25" customHeight="1"/>
    <row r="29270" ht="14.25" customHeight="1"/>
    <row r="29271" ht="14.25" customHeight="1"/>
    <row r="29272" ht="14.25" customHeight="1"/>
    <row r="29273" ht="14.25" customHeight="1"/>
    <row r="29274" ht="14.25" customHeight="1"/>
    <row r="29275" ht="14.25" customHeight="1"/>
    <row r="29276" ht="14.25" customHeight="1"/>
    <row r="29277" ht="14.25" customHeight="1"/>
    <row r="29278" ht="14.25" customHeight="1"/>
    <row r="29279" ht="14.25" customHeight="1"/>
    <row r="29280" ht="14.25" customHeight="1"/>
    <row r="29281" ht="14.25" customHeight="1"/>
    <row r="29282" ht="14.25" customHeight="1"/>
    <row r="29283" ht="14.25" customHeight="1"/>
    <row r="29284" ht="14.25" customHeight="1"/>
    <row r="29285" ht="14.25" customHeight="1"/>
    <row r="29286" ht="14.25" customHeight="1"/>
    <row r="29287" ht="14.25" customHeight="1"/>
    <row r="29288" ht="14.25" customHeight="1"/>
    <row r="29289" ht="14.25" customHeight="1"/>
    <row r="29290" ht="14.25" customHeight="1"/>
    <row r="29291" ht="14.25" customHeight="1"/>
    <row r="29292" ht="14.25" customHeight="1"/>
    <row r="29293" ht="14.25" customHeight="1"/>
    <row r="29294" ht="14.25" customHeight="1"/>
    <row r="29295" ht="14.25" customHeight="1"/>
    <row r="29296" ht="14.25" customHeight="1"/>
    <row r="29297" ht="14.25" customHeight="1"/>
    <row r="29298" ht="14.25" customHeight="1"/>
    <row r="29299" ht="14.25" customHeight="1"/>
    <row r="29300" ht="14.25" customHeight="1"/>
    <row r="29301" ht="14.25" customHeight="1"/>
    <row r="29302" ht="14.25" customHeight="1"/>
    <row r="29303" ht="14.25" customHeight="1"/>
    <row r="29304" ht="14.25" customHeight="1"/>
    <row r="29305" ht="14.25" customHeight="1"/>
    <row r="29306" ht="14.25" customHeight="1"/>
    <row r="29307" ht="14.25" customHeight="1"/>
    <row r="29308" ht="14.25" customHeight="1"/>
    <row r="29309" ht="14.25" customHeight="1"/>
    <row r="29310" ht="14.25" customHeight="1"/>
    <row r="29311" ht="14.25" customHeight="1"/>
    <row r="29312" ht="14.25" customHeight="1"/>
    <row r="29313" ht="14.25" customHeight="1"/>
    <row r="29314" ht="14.25" customHeight="1"/>
    <row r="29315" ht="14.25" customHeight="1"/>
    <row r="29316" ht="14.25" customHeight="1"/>
    <row r="29317" ht="14.25" customHeight="1"/>
    <row r="29318" ht="14.25" customHeight="1"/>
    <row r="29319" ht="14.25" customHeight="1"/>
    <row r="29320" ht="14.25" customHeight="1"/>
    <row r="29321" ht="14.25" customHeight="1"/>
    <row r="29322" ht="14.25" customHeight="1"/>
    <row r="29323" ht="14.25" customHeight="1"/>
    <row r="29324" ht="14.25" customHeight="1"/>
    <row r="29325" ht="14.25" customHeight="1"/>
    <row r="29326" ht="14.25" customHeight="1"/>
    <row r="29327" ht="14.25" customHeight="1"/>
    <row r="29328" ht="14.25" customHeight="1"/>
    <row r="29329" ht="14.25" customHeight="1"/>
    <row r="29330" ht="14.25" customHeight="1"/>
    <row r="29331" ht="14.25" customHeight="1"/>
    <row r="29332" ht="14.25" customHeight="1"/>
    <row r="29333" ht="14.25" customHeight="1"/>
    <row r="29334" ht="14.25" customHeight="1"/>
    <row r="29335" ht="14.25" customHeight="1"/>
    <row r="29336" ht="14.25" customHeight="1"/>
    <row r="29337" ht="14.25" customHeight="1"/>
    <row r="29338" ht="14.25" customHeight="1"/>
    <row r="29339" ht="14.25" customHeight="1"/>
    <row r="29340" ht="14.25" customHeight="1"/>
    <row r="29341" ht="14.25" customHeight="1"/>
    <row r="29342" ht="14.25" customHeight="1"/>
    <row r="29343" ht="14.25" customHeight="1"/>
    <row r="29344" ht="14.25" customHeight="1"/>
    <row r="29345" ht="14.25" customHeight="1"/>
    <row r="29346" ht="14.25" customHeight="1"/>
    <row r="29347" ht="14.25" customHeight="1"/>
    <row r="29348" ht="14.25" customHeight="1"/>
    <row r="29349" ht="14.25" customHeight="1"/>
    <row r="29350" ht="14.25" customHeight="1"/>
    <row r="29351" ht="14.25" customHeight="1"/>
    <row r="29352" ht="14.25" customHeight="1"/>
    <row r="29353" ht="14.25" customHeight="1"/>
    <row r="29354" ht="14.25" customHeight="1"/>
    <row r="29355" ht="14.25" customHeight="1"/>
    <row r="29356" ht="14.25" customHeight="1"/>
    <row r="29357" ht="14.25" customHeight="1"/>
    <row r="29358" ht="14.25" customHeight="1"/>
    <row r="29359" ht="14.25" customHeight="1"/>
    <row r="29360" ht="14.25" customHeight="1"/>
    <row r="29361" ht="14.25" customHeight="1"/>
    <row r="29362" ht="14.25" customHeight="1"/>
    <row r="29363" ht="14.25" customHeight="1"/>
    <row r="29364" ht="14.25" customHeight="1"/>
    <row r="29365" ht="14.25" customHeight="1"/>
    <row r="29366" ht="14.25" customHeight="1"/>
    <row r="29367" ht="14.25" customHeight="1"/>
    <row r="29368" ht="14.25" customHeight="1"/>
    <row r="29369" ht="14.25" customHeight="1"/>
    <row r="29370" ht="14.25" customHeight="1"/>
    <row r="29371" ht="14.25" customHeight="1"/>
    <row r="29372" ht="14.25" customHeight="1"/>
    <row r="29373" ht="14.25" customHeight="1"/>
    <row r="29374" ht="14.25" customHeight="1"/>
    <row r="29375" ht="14.25" customHeight="1"/>
    <row r="29376" ht="14.25" customHeight="1"/>
    <row r="29377" ht="14.25" customHeight="1"/>
    <row r="29378" ht="14.25" customHeight="1"/>
    <row r="29379" ht="14.25" customHeight="1"/>
    <row r="29380" ht="14.25" customHeight="1"/>
    <row r="29381" ht="14.25" customHeight="1"/>
    <row r="29382" ht="14.25" customHeight="1"/>
    <row r="29383" ht="14.25" customHeight="1"/>
    <row r="29384" ht="14.25" customHeight="1"/>
    <row r="29385" ht="14.25" customHeight="1"/>
    <row r="29386" ht="14.25" customHeight="1"/>
    <row r="29387" ht="14.25" customHeight="1"/>
    <row r="29388" ht="14.25" customHeight="1"/>
    <row r="29389" ht="14.25" customHeight="1"/>
    <row r="29390" ht="14.25" customHeight="1"/>
    <row r="29391" ht="14.25" customHeight="1"/>
    <row r="29392" ht="14.25" customHeight="1"/>
    <row r="29393" ht="14.25" customHeight="1"/>
    <row r="29394" ht="14.25" customHeight="1"/>
    <row r="29395" ht="14.25" customHeight="1"/>
    <row r="29396" ht="14.25" customHeight="1"/>
    <row r="29397" ht="14.25" customHeight="1"/>
    <row r="29398" ht="14.25" customHeight="1"/>
    <row r="29399" ht="14.25" customHeight="1"/>
    <row r="29400" ht="14.25" customHeight="1"/>
    <row r="29401" ht="14.25" customHeight="1"/>
    <row r="29402" ht="14.25" customHeight="1"/>
    <row r="29403" ht="14.25" customHeight="1"/>
    <row r="29404" ht="14.25" customHeight="1"/>
    <row r="29405" ht="14.25" customHeight="1"/>
    <row r="29406" ht="14.25" customHeight="1"/>
    <row r="29407" ht="14.25" customHeight="1"/>
    <row r="29408" ht="14.25" customHeight="1"/>
    <row r="29409" ht="14.25" customHeight="1"/>
    <row r="29410" ht="14.25" customHeight="1"/>
    <row r="29411" ht="14.25" customHeight="1"/>
    <row r="29412" ht="14.25" customHeight="1"/>
    <row r="29413" ht="14.25" customHeight="1"/>
    <row r="29414" ht="14.25" customHeight="1"/>
    <row r="29415" ht="14.25" customHeight="1"/>
    <row r="29416" ht="14.25" customHeight="1"/>
    <row r="29417" ht="14.25" customHeight="1"/>
    <row r="29418" ht="14.25" customHeight="1"/>
    <row r="29419" ht="14.25" customHeight="1"/>
    <row r="29420" ht="14.25" customHeight="1"/>
    <row r="29421" ht="14.25" customHeight="1"/>
    <row r="29422" ht="14.25" customHeight="1"/>
    <row r="29423" ht="14.25" customHeight="1"/>
    <row r="29424" ht="14.25" customHeight="1"/>
    <row r="29425" ht="14.25" customHeight="1"/>
    <row r="29426" ht="14.25" customHeight="1"/>
    <row r="29427" ht="14.25" customHeight="1"/>
    <row r="29428" ht="14.25" customHeight="1"/>
    <row r="29429" ht="14.25" customHeight="1"/>
    <row r="29430" ht="14.25" customHeight="1"/>
    <row r="29431" ht="14.25" customHeight="1"/>
    <row r="29432" ht="14.25" customHeight="1"/>
    <row r="29433" ht="14.25" customHeight="1"/>
    <row r="29434" ht="14.25" customHeight="1"/>
    <row r="29435" ht="14.25" customHeight="1"/>
    <row r="29436" ht="14.25" customHeight="1"/>
    <row r="29437" ht="14.25" customHeight="1"/>
    <row r="29438" ht="14.25" customHeight="1"/>
    <row r="29439" ht="14.25" customHeight="1"/>
    <row r="29440" ht="14.25" customHeight="1"/>
    <row r="29441" ht="14.25" customHeight="1"/>
    <row r="29442" ht="14.25" customHeight="1"/>
    <row r="29443" ht="14.25" customHeight="1"/>
    <row r="29444" ht="14.25" customHeight="1"/>
    <row r="29445" ht="14.25" customHeight="1"/>
    <row r="29446" ht="14.25" customHeight="1"/>
    <row r="29447" ht="14.25" customHeight="1"/>
    <row r="29448" ht="14.25" customHeight="1"/>
    <row r="29449" ht="14.25" customHeight="1"/>
    <row r="29450" ht="14.25" customHeight="1"/>
    <row r="29451" ht="14.25" customHeight="1"/>
    <row r="29452" ht="14.25" customHeight="1"/>
    <row r="29453" ht="14.25" customHeight="1"/>
    <row r="29454" ht="14.25" customHeight="1"/>
    <row r="29455" ht="14.25" customHeight="1"/>
    <row r="29456" ht="14.25" customHeight="1"/>
    <row r="29457" ht="14.25" customHeight="1"/>
    <row r="29458" ht="14.25" customHeight="1"/>
    <row r="29459" ht="14.25" customHeight="1"/>
    <row r="29460" ht="14.25" customHeight="1"/>
    <row r="29461" ht="14.25" customHeight="1"/>
    <row r="29462" ht="14.25" customHeight="1"/>
    <row r="29463" ht="14.25" customHeight="1"/>
    <row r="29464" ht="14.25" customHeight="1"/>
    <row r="29465" ht="14.25" customHeight="1"/>
    <row r="29466" ht="14.25" customHeight="1"/>
    <row r="29467" ht="14.25" customHeight="1"/>
    <row r="29468" ht="14.25" customHeight="1"/>
    <row r="29469" ht="14.25" customHeight="1"/>
    <row r="29470" ht="14.25" customHeight="1"/>
    <row r="29471" ht="14.25" customHeight="1"/>
    <row r="29472" ht="14.25" customHeight="1"/>
    <row r="29473" ht="14.25" customHeight="1"/>
    <row r="29474" ht="14.25" customHeight="1"/>
    <row r="29475" ht="14.25" customHeight="1"/>
    <row r="29476" ht="14.25" customHeight="1"/>
    <row r="29477" ht="14.25" customHeight="1"/>
    <row r="29478" ht="14.25" customHeight="1"/>
    <row r="29479" ht="14.25" customHeight="1"/>
    <row r="29480" ht="14.25" customHeight="1"/>
    <row r="29481" ht="14.25" customHeight="1"/>
    <row r="29482" ht="14.25" customHeight="1"/>
    <row r="29483" ht="14.25" customHeight="1"/>
    <row r="29484" ht="14.25" customHeight="1"/>
    <row r="29485" ht="14.25" customHeight="1"/>
    <row r="29486" ht="14.25" customHeight="1"/>
    <row r="29487" ht="14.25" customHeight="1"/>
    <row r="29488" ht="14.25" customHeight="1"/>
    <row r="29489" ht="14.25" customHeight="1"/>
    <row r="29490" ht="14.25" customHeight="1"/>
    <row r="29491" ht="14.25" customHeight="1"/>
    <row r="29492" ht="14.25" customHeight="1"/>
    <row r="29493" ht="14.25" customHeight="1"/>
    <row r="29494" ht="14.25" customHeight="1"/>
    <row r="29495" ht="14.25" customHeight="1"/>
    <row r="29496" ht="14.25" customHeight="1"/>
    <row r="29497" ht="14.25" customHeight="1"/>
    <row r="29498" ht="14.25" customHeight="1"/>
    <row r="29499" ht="14.25" customHeight="1"/>
    <row r="29500" ht="14.25" customHeight="1"/>
    <row r="29501" ht="14.25" customHeight="1"/>
    <row r="29502" ht="14.25" customHeight="1"/>
    <row r="29503" ht="14.25" customHeight="1"/>
    <row r="29504" ht="14.25" customHeight="1"/>
    <row r="29505" ht="14.25" customHeight="1"/>
    <row r="29506" ht="14.25" customHeight="1"/>
    <row r="29507" ht="14.25" customHeight="1"/>
    <row r="29508" ht="14.25" customHeight="1"/>
    <row r="29509" ht="14.25" customHeight="1"/>
    <row r="29510" ht="14.25" customHeight="1"/>
    <row r="29511" ht="14.25" customHeight="1"/>
    <row r="29512" ht="14.25" customHeight="1"/>
    <row r="29513" ht="14.25" customHeight="1"/>
    <row r="29514" ht="14.25" customHeight="1"/>
    <row r="29515" ht="14.25" customHeight="1"/>
    <row r="29516" ht="14.25" customHeight="1"/>
    <row r="29517" ht="14.25" customHeight="1"/>
    <row r="29518" ht="14.25" customHeight="1"/>
    <row r="29519" ht="14.25" customHeight="1"/>
    <row r="29520" ht="14.25" customHeight="1"/>
    <row r="29521" ht="14.25" customHeight="1"/>
    <row r="29522" ht="14.25" customHeight="1"/>
    <row r="29523" ht="14.25" customHeight="1"/>
    <row r="29524" ht="14.25" customHeight="1"/>
    <row r="29525" ht="14.25" customHeight="1"/>
    <row r="29526" ht="14.25" customHeight="1"/>
    <row r="29527" ht="14.25" customHeight="1"/>
    <row r="29528" ht="14.25" customHeight="1"/>
    <row r="29529" ht="14.25" customHeight="1"/>
    <row r="29530" ht="14.25" customHeight="1"/>
    <row r="29531" ht="14.25" customHeight="1"/>
    <row r="29532" ht="14.25" customHeight="1"/>
    <row r="29533" ht="14.25" customHeight="1"/>
    <row r="29534" ht="14.25" customHeight="1"/>
    <row r="29535" ht="14.25" customHeight="1"/>
    <row r="29536" ht="14.25" customHeight="1"/>
    <row r="29537" ht="14.25" customHeight="1"/>
    <row r="29538" ht="14.25" customHeight="1"/>
    <row r="29539" ht="14.25" customHeight="1"/>
    <row r="29540" ht="14.25" customHeight="1"/>
    <row r="29541" ht="14.25" customHeight="1"/>
    <row r="29542" ht="14.25" customHeight="1"/>
    <row r="29543" ht="14.25" customHeight="1"/>
    <row r="29544" ht="14.25" customHeight="1"/>
    <row r="29545" ht="14.25" customHeight="1"/>
    <row r="29546" ht="14.25" customHeight="1"/>
    <row r="29547" ht="14.25" customHeight="1"/>
    <row r="29548" ht="14.25" customHeight="1"/>
    <row r="29549" ht="14.25" customHeight="1"/>
    <row r="29550" ht="14.25" customHeight="1"/>
    <row r="29551" ht="14.25" customHeight="1"/>
    <row r="29552" ht="14.25" customHeight="1"/>
    <row r="29553" ht="14.25" customHeight="1"/>
    <row r="29554" ht="14.25" customHeight="1"/>
    <row r="29555" ht="14.25" customHeight="1"/>
    <row r="29556" ht="14.25" customHeight="1"/>
    <row r="29557" ht="14.25" customHeight="1"/>
    <row r="29558" ht="14.25" customHeight="1"/>
    <row r="29559" ht="14.25" customHeight="1"/>
    <row r="29560" ht="14.25" customHeight="1"/>
    <row r="29561" ht="14.25" customHeight="1"/>
    <row r="29562" ht="14.25" customHeight="1"/>
    <row r="29563" ht="14.25" customHeight="1"/>
    <row r="29564" ht="14.25" customHeight="1"/>
    <row r="29565" ht="14.25" customHeight="1"/>
    <row r="29566" ht="14.25" customHeight="1"/>
    <row r="29567" ht="14.25" customHeight="1"/>
    <row r="29568" ht="14.25" customHeight="1"/>
    <row r="29569" ht="14.25" customHeight="1"/>
    <row r="29570" ht="14.25" customHeight="1"/>
    <row r="29571" ht="14.25" customHeight="1"/>
    <row r="29572" ht="14.25" customHeight="1"/>
    <row r="29573" ht="14.25" customHeight="1"/>
    <row r="29574" ht="14.25" customHeight="1"/>
    <row r="29575" ht="14.25" customHeight="1"/>
    <row r="29576" ht="14.25" customHeight="1"/>
    <row r="29577" ht="14.25" customHeight="1"/>
    <row r="29578" ht="14.25" customHeight="1"/>
    <row r="29579" ht="14.25" customHeight="1"/>
    <row r="29580" ht="14.25" customHeight="1"/>
    <row r="29581" ht="14.25" customHeight="1"/>
    <row r="29582" ht="14.25" customHeight="1"/>
    <row r="29583" ht="14.25" customHeight="1"/>
    <row r="29584" ht="14.25" customHeight="1"/>
    <row r="29585" ht="14.25" customHeight="1"/>
    <row r="29586" ht="14.25" customHeight="1"/>
    <row r="29587" ht="14.25" customHeight="1"/>
    <row r="29588" ht="14.25" customHeight="1"/>
    <row r="29589" ht="14.25" customHeight="1"/>
    <row r="29590" ht="14.25" customHeight="1"/>
    <row r="29591" ht="14.25" customHeight="1"/>
    <row r="29592" ht="14.25" customHeight="1"/>
    <row r="29593" ht="14.25" customHeight="1"/>
    <row r="29594" ht="14.25" customHeight="1"/>
    <row r="29595" ht="14.25" customHeight="1"/>
    <row r="29596" ht="14.25" customHeight="1"/>
    <row r="29597" ht="14.25" customHeight="1"/>
    <row r="29598" ht="14.25" customHeight="1"/>
    <row r="29599" ht="14.25" customHeight="1"/>
    <row r="29600" ht="14.25" customHeight="1"/>
    <row r="29601" ht="14.25" customHeight="1"/>
    <row r="29602" ht="14.25" customHeight="1"/>
    <row r="29603" ht="14.25" customHeight="1"/>
    <row r="29604" ht="14.25" customHeight="1"/>
    <row r="29605" ht="14.25" customHeight="1"/>
    <row r="29606" ht="14.25" customHeight="1"/>
    <row r="29607" ht="14.25" customHeight="1"/>
    <row r="29608" ht="14.25" customHeight="1"/>
    <row r="29609" ht="14.25" customHeight="1"/>
    <row r="29610" ht="14.25" customHeight="1"/>
    <row r="29611" ht="14.25" customHeight="1"/>
    <row r="29612" ht="14.25" customHeight="1"/>
    <row r="29613" ht="14.25" customHeight="1"/>
    <row r="29614" ht="14.25" customHeight="1"/>
    <row r="29615" ht="14.25" customHeight="1"/>
    <row r="29616" ht="14.25" customHeight="1"/>
    <row r="29617" ht="14.25" customHeight="1"/>
    <row r="29618" ht="14.25" customHeight="1"/>
    <row r="29619" ht="14.25" customHeight="1"/>
    <row r="29620" ht="14.25" customHeight="1"/>
    <row r="29621" ht="14.25" customHeight="1"/>
    <row r="29622" ht="14.25" customHeight="1"/>
    <row r="29623" ht="14.25" customHeight="1"/>
    <row r="29624" ht="14.25" customHeight="1"/>
    <row r="29625" ht="14.25" customHeight="1"/>
    <row r="29626" ht="14.25" customHeight="1"/>
    <row r="29627" ht="14.25" customHeight="1"/>
    <row r="29628" ht="14.25" customHeight="1"/>
    <row r="29629" ht="14.25" customHeight="1"/>
    <row r="29630" ht="14.25" customHeight="1"/>
    <row r="29631" ht="14.25" customHeight="1"/>
    <row r="29632" ht="14.25" customHeight="1"/>
    <row r="29633" ht="14.25" customHeight="1"/>
    <row r="29634" ht="14.25" customHeight="1"/>
    <row r="29635" ht="14.25" customHeight="1"/>
    <row r="29636" ht="14.25" customHeight="1"/>
    <row r="29637" ht="14.25" customHeight="1"/>
    <row r="29638" ht="14.25" customHeight="1"/>
    <row r="29639" ht="14.25" customHeight="1"/>
    <row r="29640" ht="14.25" customHeight="1"/>
    <row r="29641" ht="14.25" customHeight="1"/>
    <row r="29642" ht="14.25" customHeight="1"/>
    <row r="29643" ht="14.25" customHeight="1"/>
    <row r="29644" ht="14.25" customHeight="1"/>
    <row r="29645" ht="14.25" customHeight="1"/>
    <row r="29646" ht="14.25" customHeight="1"/>
    <row r="29647" ht="14.25" customHeight="1"/>
    <row r="29648" ht="14.25" customHeight="1"/>
    <row r="29649" ht="14.25" customHeight="1"/>
    <row r="29650" ht="14.25" customHeight="1"/>
    <row r="29651" ht="14.25" customHeight="1"/>
    <row r="29652" ht="14.25" customHeight="1"/>
    <row r="29653" ht="14.25" customHeight="1"/>
    <row r="29654" ht="14.25" customHeight="1"/>
    <row r="29655" ht="14.25" customHeight="1"/>
    <row r="29656" ht="14.25" customHeight="1"/>
    <row r="29657" ht="14.25" customHeight="1"/>
    <row r="29658" ht="14.25" customHeight="1"/>
    <row r="29659" ht="14.25" customHeight="1"/>
    <row r="29660" ht="14.25" customHeight="1"/>
    <row r="29661" ht="14.25" customHeight="1"/>
    <row r="29662" ht="14.25" customHeight="1"/>
    <row r="29663" ht="14.25" customHeight="1"/>
    <row r="29664" ht="14.25" customHeight="1"/>
    <row r="29665" ht="14.25" customHeight="1"/>
    <row r="29666" ht="14.25" customHeight="1"/>
    <row r="29667" ht="14.25" customHeight="1"/>
    <row r="29668" ht="14.25" customHeight="1"/>
    <row r="29669" ht="14.25" customHeight="1"/>
    <row r="29670" ht="14.25" customHeight="1"/>
    <row r="29671" ht="14.25" customHeight="1"/>
    <row r="29672" ht="14.25" customHeight="1"/>
    <row r="29673" ht="14.25" customHeight="1"/>
    <row r="29674" ht="14.25" customHeight="1"/>
    <row r="29675" ht="14.25" customHeight="1"/>
    <row r="29676" ht="14.25" customHeight="1"/>
    <row r="29677" ht="14.25" customHeight="1"/>
    <row r="29678" ht="14.25" customHeight="1"/>
    <row r="29679" ht="14.25" customHeight="1"/>
    <row r="29680" ht="14.25" customHeight="1"/>
    <row r="29681" ht="14.25" customHeight="1"/>
    <row r="29682" ht="14.25" customHeight="1"/>
    <row r="29683" ht="14.25" customHeight="1"/>
    <row r="29684" ht="14.25" customHeight="1"/>
    <row r="29685" ht="14.25" customHeight="1"/>
    <row r="29686" ht="14.25" customHeight="1"/>
    <row r="29687" ht="14.25" customHeight="1"/>
    <row r="29688" ht="14.25" customHeight="1"/>
    <row r="29689" ht="14.25" customHeight="1"/>
    <row r="29690" ht="14.25" customHeight="1"/>
    <row r="29691" ht="14.25" customHeight="1"/>
    <row r="29692" ht="14.25" customHeight="1"/>
    <row r="29693" ht="14.25" customHeight="1"/>
    <row r="29694" ht="14.25" customHeight="1"/>
    <row r="29695" ht="14.25" customHeight="1"/>
    <row r="29696" ht="14.25" customHeight="1"/>
    <row r="29697" ht="14.25" customHeight="1"/>
    <row r="29698" ht="14.25" customHeight="1"/>
    <row r="29699" ht="14.25" customHeight="1"/>
    <row r="29700" ht="14.25" customHeight="1"/>
    <row r="29701" ht="14.25" customHeight="1"/>
    <row r="29702" ht="14.25" customHeight="1"/>
    <row r="29703" ht="14.25" customHeight="1"/>
    <row r="29704" ht="14.25" customHeight="1"/>
    <row r="29705" ht="14.25" customHeight="1"/>
    <row r="29706" ht="14.25" customHeight="1"/>
    <row r="29707" ht="14.25" customHeight="1"/>
    <row r="29708" ht="14.25" customHeight="1"/>
    <row r="29709" ht="14.25" customHeight="1"/>
    <row r="29710" ht="14.25" customHeight="1"/>
    <row r="29711" ht="14.25" customHeight="1"/>
    <row r="29712" ht="14.25" customHeight="1"/>
    <row r="29713" ht="14.25" customHeight="1"/>
    <row r="29714" ht="14.25" customHeight="1"/>
    <row r="29715" ht="14.25" customHeight="1"/>
    <row r="29716" ht="14.25" customHeight="1"/>
    <row r="29717" ht="14.25" customHeight="1"/>
    <row r="29718" ht="14.25" customHeight="1"/>
    <row r="29719" ht="14.25" customHeight="1"/>
    <row r="29720" ht="14.25" customHeight="1"/>
    <row r="29721" ht="14.25" customHeight="1"/>
    <row r="29722" ht="14.25" customHeight="1"/>
    <row r="29723" ht="14.25" customHeight="1"/>
    <row r="29724" ht="14.25" customHeight="1"/>
    <row r="29725" ht="14.25" customHeight="1"/>
    <row r="29726" ht="14.25" customHeight="1"/>
    <row r="29727" ht="14.25" customHeight="1"/>
    <row r="29728" ht="14.25" customHeight="1"/>
    <row r="29729" ht="14.25" customHeight="1"/>
    <row r="29730" ht="14.25" customHeight="1"/>
    <row r="29731" ht="14.25" customHeight="1"/>
    <row r="29732" ht="14.25" customHeight="1"/>
    <row r="29733" ht="14.25" customHeight="1"/>
    <row r="29734" ht="14.25" customHeight="1"/>
    <row r="29735" ht="14.25" customHeight="1"/>
    <row r="29736" ht="14.25" customHeight="1"/>
    <row r="29737" ht="14.25" customHeight="1"/>
    <row r="29738" ht="14.25" customHeight="1"/>
    <row r="29739" ht="14.25" customHeight="1"/>
    <row r="29740" ht="14.25" customHeight="1"/>
    <row r="29741" ht="14.25" customHeight="1"/>
    <row r="29742" ht="14.25" customHeight="1"/>
    <row r="29743" ht="14.25" customHeight="1"/>
    <row r="29744" ht="14.25" customHeight="1"/>
    <row r="29745" ht="14.25" customHeight="1"/>
    <row r="29746" ht="14.25" customHeight="1"/>
    <row r="29747" ht="14.25" customHeight="1"/>
    <row r="29748" ht="14.25" customHeight="1"/>
    <row r="29749" ht="14.25" customHeight="1"/>
    <row r="29750" ht="14.25" customHeight="1"/>
    <row r="29751" ht="14.25" customHeight="1"/>
    <row r="29752" ht="14.25" customHeight="1"/>
    <row r="29753" ht="14.25" customHeight="1"/>
    <row r="29754" ht="14.25" customHeight="1"/>
    <row r="29755" ht="14.25" customHeight="1"/>
    <row r="29756" ht="14.25" customHeight="1"/>
    <row r="29757" ht="14.25" customHeight="1"/>
    <row r="29758" ht="14.25" customHeight="1"/>
    <row r="29759" ht="14.25" customHeight="1"/>
    <row r="29760" ht="14.25" customHeight="1"/>
    <row r="29761" ht="14.25" customHeight="1"/>
    <row r="29762" ht="14.25" customHeight="1"/>
    <row r="29763" ht="14.25" customHeight="1"/>
    <row r="29764" ht="14.25" customHeight="1"/>
    <row r="29765" ht="14.25" customHeight="1"/>
    <row r="29766" ht="14.25" customHeight="1"/>
    <row r="29767" ht="14.25" customHeight="1"/>
    <row r="29768" ht="14.25" customHeight="1"/>
    <row r="29769" ht="14.25" customHeight="1"/>
    <row r="29770" ht="14.25" customHeight="1"/>
    <row r="29771" ht="14.25" customHeight="1"/>
    <row r="29772" ht="14.25" customHeight="1"/>
    <row r="29773" ht="14.25" customHeight="1"/>
    <row r="29774" ht="14.25" customHeight="1"/>
    <row r="29775" ht="14.25" customHeight="1"/>
    <row r="29776" ht="14.25" customHeight="1"/>
    <row r="29777" ht="14.25" customHeight="1"/>
    <row r="29778" ht="14.25" customHeight="1"/>
    <row r="29779" ht="14.25" customHeight="1"/>
    <row r="29780" ht="14.25" customHeight="1"/>
    <row r="29781" ht="14.25" customHeight="1"/>
    <row r="29782" ht="14.25" customHeight="1"/>
    <row r="29783" ht="14.25" customHeight="1"/>
    <row r="29784" ht="14.25" customHeight="1"/>
    <row r="29785" ht="14.25" customHeight="1"/>
    <row r="29786" ht="14.25" customHeight="1"/>
    <row r="29787" ht="14.25" customHeight="1"/>
    <row r="29788" ht="14.25" customHeight="1"/>
    <row r="29789" ht="14.25" customHeight="1"/>
    <row r="29790" ht="14.25" customHeight="1"/>
    <row r="29791" ht="14.25" customHeight="1"/>
    <row r="29792" ht="14.25" customHeight="1"/>
    <row r="29793" ht="14.25" customHeight="1"/>
    <row r="29794" ht="14.25" customHeight="1"/>
    <row r="29795" ht="14.25" customHeight="1"/>
    <row r="29796" ht="14.25" customHeight="1"/>
    <row r="29797" ht="14.25" customHeight="1"/>
    <row r="29798" ht="14.25" customHeight="1"/>
    <row r="29799" ht="14.25" customHeight="1"/>
    <row r="29800" ht="14.25" customHeight="1"/>
    <row r="29801" ht="14.25" customHeight="1"/>
    <row r="29802" ht="14.25" customHeight="1"/>
    <row r="29803" ht="14.25" customHeight="1"/>
    <row r="29804" ht="14.25" customHeight="1"/>
    <row r="29805" ht="14.25" customHeight="1"/>
    <row r="29806" ht="14.25" customHeight="1"/>
    <row r="29807" ht="14.25" customHeight="1"/>
    <row r="29808" ht="14.25" customHeight="1"/>
    <row r="29809" ht="14.25" customHeight="1"/>
    <row r="29810" ht="14.25" customHeight="1"/>
    <row r="29811" ht="14.25" customHeight="1"/>
    <row r="29812" ht="14.25" customHeight="1"/>
    <row r="29813" ht="14.25" customHeight="1"/>
    <row r="29814" ht="14.25" customHeight="1"/>
    <row r="29815" ht="14.25" customHeight="1"/>
    <row r="29816" ht="14.25" customHeight="1"/>
    <row r="29817" ht="14.25" customHeight="1"/>
    <row r="29818" ht="14.25" customHeight="1"/>
    <row r="29819" ht="14.25" customHeight="1"/>
    <row r="29820" ht="14.25" customHeight="1"/>
    <row r="29821" ht="14.25" customHeight="1"/>
    <row r="29822" ht="14.25" customHeight="1"/>
    <row r="29823" ht="14.25" customHeight="1"/>
    <row r="29824" ht="14.25" customHeight="1"/>
    <row r="29825" ht="14.25" customHeight="1"/>
    <row r="29826" ht="14.25" customHeight="1"/>
    <row r="29827" ht="14.25" customHeight="1"/>
    <row r="29828" ht="14.25" customHeight="1"/>
    <row r="29829" ht="14.25" customHeight="1"/>
    <row r="29830" ht="14.25" customHeight="1"/>
    <row r="29831" ht="14.25" customHeight="1"/>
    <row r="29832" ht="14.25" customHeight="1"/>
    <row r="29833" ht="14.25" customHeight="1"/>
    <row r="29834" ht="14.25" customHeight="1"/>
    <row r="29835" ht="14.25" customHeight="1"/>
    <row r="29836" ht="14.25" customHeight="1"/>
    <row r="29837" ht="14.25" customHeight="1"/>
    <row r="29838" ht="14.25" customHeight="1"/>
    <row r="29839" ht="14.25" customHeight="1"/>
    <row r="29840" ht="14.25" customHeight="1"/>
    <row r="29841" ht="14.25" customHeight="1"/>
    <row r="29842" ht="14.25" customHeight="1"/>
    <row r="29843" ht="14.25" customHeight="1"/>
    <row r="29844" ht="14.25" customHeight="1"/>
    <row r="29845" ht="14.25" customHeight="1"/>
    <row r="29846" ht="14.25" customHeight="1"/>
    <row r="29847" ht="14.25" customHeight="1"/>
    <row r="29848" ht="14.25" customHeight="1"/>
    <row r="29849" ht="14.25" customHeight="1"/>
    <row r="29850" ht="14.25" customHeight="1"/>
    <row r="29851" ht="14.25" customHeight="1"/>
    <row r="29852" ht="14.25" customHeight="1"/>
    <row r="29853" ht="14.25" customHeight="1"/>
    <row r="29854" ht="14.25" customHeight="1"/>
    <row r="29855" ht="14.25" customHeight="1"/>
    <row r="29856" ht="14.25" customHeight="1"/>
    <row r="29857" ht="14.25" customHeight="1"/>
    <row r="29858" ht="14.25" customHeight="1"/>
    <row r="29859" ht="14.25" customHeight="1"/>
    <row r="29860" ht="14.25" customHeight="1"/>
    <row r="29861" ht="14.25" customHeight="1"/>
    <row r="29862" ht="14.25" customHeight="1"/>
    <row r="29863" ht="14.25" customHeight="1"/>
    <row r="29864" ht="14.25" customHeight="1"/>
    <row r="29865" ht="14.25" customHeight="1"/>
    <row r="29866" ht="14.25" customHeight="1"/>
    <row r="29867" ht="14.25" customHeight="1"/>
    <row r="29868" ht="14.25" customHeight="1"/>
    <row r="29869" ht="14.25" customHeight="1"/>
    <row r="29870" ht="14.25" customHeight="1"/>
    <row r="29871" ht="14.25" customHeight="1"/>
    <row r="29872" ht="14.25" customHeight="1"/>
    <row r="29873" ht="14.25" customHeight="1"/>
    <row r="29874" ht="14.25" customHeight="1"/>
    <row r="29875" ht="14.25" customHeight="1"/>
    <row r="29876" ht="14.25" customHeight="1"/>
    <row r="29877" ht="14.25" customHeight="1"/>
    <row r="29878" ht="14.25" customHeight="1"/>
    <row r="29879" ht="14.25" customHeight="1"/>
    <row r="29880" ht="14.25" customHeight="1"/>
    <row r="29881" ht="14.25" customHeight="1"/>
    <row r="29882" ht="14.25" customHeight="1"/>
    <row r="29883" ht="14.25" customHeight="1"/>
    <row r="29884" ht="14.25" customHeight="1"/>
    <row r="29885" ht="14.25" customHeight="1"/>
    <row r="29886" ht="14.25" customHeight="1"/>
    <row r="29887" ht="14.25" customHeight="1"/>
    <row r="29888" ht="14.25" customHeight="1"/>
    <row r="29889" ht="14.25" customHeight="1"/>
    <row r="29890" ht="14.25" customHeight="1"/>
    <row r="29891" ht="14.25" customHeight="1"/>
    <row r="29892" ht="14.25" customHeight="1"/>
    <row r="29893" ht="14.25" customHeight="1"/>
    <row r="29894" ht="14.25" customHeight="1"/>
    <row r="29895" ht="14.25" customHeight="1"/>
    <row r="29896" ht="14.25" customHeight="1"/>
    <row r="29897" ht="14.25" customHeight="1"/>
    <row r="29898" ht="14.25" customHeight="1"/>
    <row r="29899" ht="14.25" customHeight="1"/>
    <row r="29900" ht="14.25" customHeight="1"/>
    <row r="29901" ht="14.25" customHeight="1"/>
    <row r="29902" ht="14.25" customHeight="1"/>
    <row r="29903" ht="14.25" customHeight="1"/>
    <row r="29904" ht="14.25" customHeight="1"/>
    <row r="29905" ht="14.25" customHeight="1"/>
    <row r="29906" ht="14.25" customHeight="1"/>
    <row r="29907" ht="14.25" customHeight="1"/>
    <row r="29908" ht="14.25" customHeight="1"/>
    <row r="29909" ht="14.25" customHeight="1"/>
    <row r="29910" ht="14.25" customHeight="1"/>
    <row r="29911" ht="14.25" customHeight="1"/>
    <row r="29912" ht="14.25" customHeight="1"/>
    <row r="29913" ht="14.25" customHeight="1"/>
    <row r="29914" ht="14.25" customHeight="1"/>
    <row r="29915" ht="14.25" customHeight="1"/>
    <row r="29916" ht="14.25" customHeight="1"/>
    <row r="29917" ht="14.25" customHeight="1"/>
    <row r="29918" ht="14.25" customHeight="1"/>
    <row r="29919" ht="14.25" customHeight="1"/>
    <row r="29920" ht="14.25" customHeight="1"/>
    <row r="29921" ht="14.25" customHeight="1"/>
    <row r="29922" ht="14.25" customHeight="1"/>
    <row r="29923" ht="14.25" customHeight="1"/>
    <row r="29924" ht="14.25" customHeight="1"/>
    <row r="29925" ht="14.25" customHeight="1"/>
    <row r="29926" ht="14.25" customHeight="1"/>
    <row r="29927" ht="14.25" customHeight="1"/>
    <row r="29928" ht="14.25" customHeight="1"/>
    <row r="29929" ht="14.25" customHeight="1"/>
    <row r="29930" ht="14.25" customHeight="1"/>
    <row r="29931" ht="14.25" customHeight="1"/>
    <row r="29932" ht="14.25" customHeight="1"/>
    <row r="29933" ht="14.25" customHeight="1"/>
    <row r="29934" ht="14.25" customHeight="1"/>
    <row r="29935" ht="14.25" customHeight="1"/>
    <row r="29936" ht="14.25" customHeight="1"/>
    <row r="29937" ht="14.25" customHeight="1"/>
    <row r="29938" ht="14.25" customHeight="1"/>
    <row r="29939" ht="14.25" customHeight="1"/>
    <row r="29940" ht="14.25" customHeight="1"/>
    <row r="29941" ht="14.25" customHeight="1"/>
    <row r="29942" ht="14.25" customHeight="1"/>
    <row r="29943" ht="14.25" customHeight="1"/>
    <row r="29944" ht="14.25" customHeight="1"/>
    <row r="29945" ht="14.25" customHeight="1"/>
    <row r="29946" ht="14.25" customHeight="1"/>
    <row r="29947" ht="14.25" customHeight="1"/>
    <row r="29948" ht="14.25" customHeight="1"/>
    <row r="29949" ht="14.25" customHeight="1"/>
    <row r="29950" ht="14.25" customHeight="1"/>
    <row r="29951" ht="14.25" customHeight="1"/>
    <row r="29952" ht="14.25" customHeight="1"/>
    <row r="29953" ht="14.25" customHeight="1"/>
    <row r="29954" ht="14.25" customHeight="1"/>
    <row r="29955" ht="14.25" customHeight="1"/>
    <row r="29956" ht="14.25" customHeight="1"/>
    <row r="29957" ht="14.25" customHeight="1"/>
    <row r="29958" ht="14.25" customHeight="1"/>
    <row r="29959" ht="14.25" customHeight="1"/>
    <row r="29960" ht="14.25" customHeight="1"/>
    <row r="29961" ht="14.25" customHeight="1"/>
    <row r="29962" ht="14.25" customHeight="1"/>
    <row r="29963" ht="14.25" customHeight="1"/>
    <row r="29964" ht="14.25" customHeight="1"/>
    <row r="29965" ht="14.25" customHeight="1"/>
    <row r="29966" ht="14.25" customHeight="1"/>
    <row r="29967" ht="14.25" customHeight="1"/>
    <row r="29968" ht="14.25" customHeight="1"/>
    <row r="29969" ht="14.25" customHeight="1"/>
    <row r="29970" ht="14.25" customHeight="1"/>
    <row r="29971" ht="14.25" customHeight="1"/>
    <row r="29972" ht="14.25" customHeight="1"/>
    <row r="29973" ht="14.25" customHeight="1"/>
    <row r="29974" ht="14.25" customHeight="1"/>
    <row r="29975" ht="14.25" customHeight="1"/>
    <row r="29976" ht="14.25" customHeight="1"/>
    <row r="29977" ht="14.25" customHeight="1"/>
    <row r="29978" ht="14.25" customHeight="1"/>
    <row r="29979" ht="14.25" customHeight="1"/>
    <row r="29980" ht="14.25" customHeight="1"/>
    <row r="29981" ht="14.25" customHeight="1"/>
    <row r="29982" ht="14.25" customHeight="1"/>
    <row r="29983" ht="14.25" customHeight="1"/>
    <row r="29984" ht="14.25" customHeight="1"/>
    <row r="29985" ht="14.25" customHeight="1"/>
    <row r="29986" ht="14.25" customHeight="1"/>
    <row r="29987" ht="14.25" customHeight="1"/>
    <row r="29988" ht="14.25" customHeight="1"/>
    <row r="29989" ht="14.25" customHeight="1"/>
    <row r="29990" ht="14.25" customHeight="1"/>
    <row r="29991" ht="14.25" customHeight="1"/>
    <row r="29992" ht="14.25" customHeight="1"/>
    <row r="29993" ht="14.25" customHeight="1"/>
    <row r="29994" ht="14.25" customHeight="1"/>
    <row r="29995" ht="14.25" customHeight="1"/>
    <row r="29996" ht="14.25" customHeight="1"/>
    <row r="29997" ht="14.25" customHeight="1"/>
    <row r="29998" ht="14.25" customHeight="1"/>
    <row r="29999" ht="14.25" customHeight="1"/>
    <row r="30000" ht="14.25" customHeight="1"/>
    <row r="30001" ht="14.25" customHeight="1"/>
    <row r="30002" ht="14.25" customHeight="1"/>
    <row r="30003" ht="14.25" customHeight="1"/>
    <row r="30004" ht="14.25" customHeight="1"/>
    <row r="30005" ht="14.25" customHeight="1"/>
    <row r="30006" ht="14.25" customHeight="1"/>
    <row r="30007" ht="14.25" customHeight="1"/>
    <row r="30008" ht="14.25" customHeight="1"/>
    <row r="30009" ht="14.25" customHeight="1"/>
    <row r="30010" ht="14.25" customHeight="1"/>
    <row r="30011" ht="14.25" customHeight="1"/>
    <row r="30012" ht="14.25" customHeight="1"/>
    <row r="30013" ht="14.25" customHeight="1"/>
    <row r="30014" ht="14.25" customHeight="1"/>
    <row r="30015" ht="14.25" customHeight="1"/>
    <row r="30016" ht="14.25" customHeight="1"/>
    <row r="30017" ht="14.25" customHeight="1"/>
    <row r="30018" ht="14.25" customHeight="1"/>
    <row r="30019" ht="14.25" customHeight="1"/>
    <row r="30020" ht="14.25" customHeight="1"/>
    <row r="30021" ht="14.25" customHeight="1"/>
    <row r="30022" ht="14.25" customHeight="1"/>
    <row r="30023" ht="14.25" customHeight="1"/>
    <row r="30024" ht="14.25" customHeight="1"/>
    <row r="30025" ht="14.25" customHeight="1"/>
    <row r="30026" ht="14.25" customHeight="1"/>
    <row r="30027" ht="14.25" customHeight="1"/>
    <row r="30028" ht="14.25" customHeight="1"/>
    <row r="30029" ht="14.25" customHeight="1"/>
    <row r="30030" ht="14.25" customHeight="1"/>
    <row r="30031" ht="14.25" customHeight="1"/>
    <row r="30032" ht="14.25" customHeight="1"/>
    <row r="30033" ht="14.25" customHeight="1"/>
    <row r="30034" ht="14.25" customHeight="1"/>
    <row r="30035" ht="14.25" customHeight="1"/>
    <row r="30036" ht="14.25" customHeight="1"/>
    <row r="30037" ht="14.25" customHeight="1"/>
    <row r="30038" ht="14.25" customHeight="1"/>
    <row r="30039" ht="14.25" customHeight="1"/>
    <row r="30040" ht="14.25" customHeight="1"/>
    <row r="30041" ht="14.25" customHeight="1"/>
    <row r="30042" ht="14.25" customHeight="1"/>
    <row r="30043" ht="14.25" customHeight="1"/>
    <row r="30044" ht="14.25" customHeight="1"/>
    <row r="30045" ht="14.25" customHeight="1"/>
    <row r="30046" ht="14.25" customHeight="1"/>
    <row r="30047" ht="14.25" customHeight="1"/>
    <row r="30048" ht="14.25" customHeight="1"/>
    <row r="30049" ht="14.25" customHeight="1"/>
    <row r="30050" ht="14.25" customHeight="1"/>
    <row r="30051" ht="14.25" customHeight="1"/>
    <row r="30052" ht="14.25" customHeight="1"/>
    <row r="30053" ht="14.25" customHeight="1"/>
    <row r="30054" ht="14.25" customHeight="1"/>
    <row r="30055" ht="14.25" customHeight="1"/>
    <row r="30056" ht="14.25" customHeight="1"/>
    <row r="30057" ht="14.25" customHeight="1"/>
    <row r="30058" ht="14.25" customHeight="1"/>
    <row r="30059" ht="14.25" customHeight="1"/>
    <row r="30060" ht="14.25" customHeight="1"/>
    <row r="30061" ht="14.25" customHeight="1"/>
    <row r="30062" ht="14.25" customHeight="1"/>
    <row r="30063" ht="14.25" customHeight="1"/>
    <row r="30064" ht="14.25" customHeight="1"/>
    <row r="30065" ht="14.25" customHeight="1"/>
    <row r="30066" ht="14.25" customHeight="1"/>
    <row r="30067" ht="14.25" customHeight="1"/>
    <row r="30068" ht="14.25" customHeight="1"/>
    <row r="30069" ht="14.25" customHeight="1"/>
    <row r="30070" ht="14.25" customHeight="1"/>
    <row r="30071" ht="14.25" customHeight="1"/>
    <row r="30072" ht="14.25" customHeight="1"/>
    <row r="30073" ht="14.25" customHeight="1"/>
    <row r="30074" ht="14.25" customHeight="1"/>
    <row r="30075" ht="14.25" customHeight="1"/>
    <row r="30076" ht="14.25" customHeight="1"/>
    <row r="30077" ht="14.25" customHeight="1"/>
    <row r="30078" ht="14.25" customHeight="1"/>
    <row r="30079" ht="14.25" customHeight="1"/>
    <row r="30080" ht="14.25" customHeight="1"/>
    <row r="30081" ht="14.25" customHeight="1"/>
    <row r="30082" ht="14.25" customHeight="1"/>
    <row r="30083" ht="14.25" customHeight="1"/>
    <row r="30084" ht="14.25" customHeight="1"/>
    <row r="30085" ht="14.25" customHeight="1"/>
    <row r="30086" ht="14.25" customHeight="1"/>
    <row r="30087" ht="14.25" customHeight="1"/>
    <row r="30088" ht="14.25" customHeight="1"/>
    <row r="30089" ht="14.25" customHeight="1"/>
    <row r="30090" ht="14.25" customHeight="1"/>
    <row r="30091" ht="14.25" customHeight="1"/>
    <row r="30092" ht="14.25" customHeight="1"/>
    <row r="30093" ht="14.25" customHeight="1"/>
    <row r="30094" ht="14.25" customHeight="1"/>
    <row r="30095" ht="14.25" customHeight="1"/>
    <row r="30096" ht="14.25" customHeight="1"/>
    <row r="30097" ht="14.25" customHeight="1"/>
    <row r="30098" ht="14.25" customHeight="1"/>
    <row r="30099" ht="14.25" customHeight="1"/>
    <row r="30100" ht="14.25" customHeight="1"/>
    <row r="30101" ht="14.25" customHeight="1"/>
    <row r="30102" ht="14.25" customHeight="1"/>
    <row r="30103" ht="14.25" customHeight="1"/>
    <row r="30104" ht="14.25" customHeight="1"/>
    <row r="30105" ht="14.25" customHeight="1"/>
    <row r="30106" ht="14.25" customHeight="1"/>
    <row r="30107" ht="14.25" customHeight="1"/>
    <row r="30108" ht="14.25" customHeight="1"/>
    <row r="30109" ht="14.25" customHeight="1"/>
    <row r="30110" ht="14.25" customHeight="1"/>
    <row r="30111" ht="14.25" customHeight="1"/>
    <row r="30112" ht="14.25" customHeight="1"/>
    <row r="30113" ht="14.25" customHeight="1"/>
    <row r="30114" ht="14.25" customHeight="1"/>
    <row r="30115" ht="14.25" customHeight="1"/>
    <row r="30116" ht="14.25" customHeight="1"/>
    <row r="30117" ht="14.25" customHeight="1"/>
    <row r="30118" ht="14.25" customHeight="1"/>
    <row r="30119" ht="14.25" customHeight="1"/>
    <row r="30120" ht="14.25" customHeight="1"/>
    <row r="30121" ht="14.25" customHeight="1"/>
    <row r="30122" ht="14.25" customHeight="1"/>
    <row r="30123" ht="14.25" customHeight="1"/>
    <row r="30124" ht="14.25" customHeight="1"/>
    <row r="30125" ht="14.25" customHeight="1"/>
    <row r="30126" ht="14.25" customHeight="1"/>
    <row r="30127" ht="14.25" customHeight="1"/>
    <row r="30128" ht="14.25" customHeight="1"/>
    <row r="30129" ht="14.25" customHeight="1"/>
    <row r="30130" ht="14.25" customHeight="1"/>
    <row r="30131" ht="14.25" customHeight="1"/>
    <row r="30132" ht="14.25" customHeight="1"/>
    <row r="30133" ht="14.25" customHeight="1"/>
    <row r="30134" ht="14.25" customHeight="1"/>
    <row r="30135" ht="14.25" customHeight="1"/>
    <row r="30136" ht="14.25" customHeight="1"/>
    <row r="30137" ht="14.25" customHeight="1"/>
    <row r="30138" ht="14.25" customHeight="1"/>
    <row r="30139" ht="14.25" customHeight="1"/>
    <row r="30140" ht="14.25" customHeight="1"/>
    <row r="30141" ht="14.25" customHeight="1"/>
    <row r="30142" ht="14.25" customHeight="1"/>
    <row r="30143" ht="14.25" customHeight="1"/>
    <row r="30144" ht="14.25" customHeight="1"/>
    <row r="30145" ht="14.25" customHeight="1"/>
    <row r="30146" ht="14.25" customHeight="1"/>
    <row r="30147" ht="14.25" customHeight="1"/>
    <row r="30148" ht="14.25" customHeight="1"/>
    <row r="30149" ht="14.25" customHeight="1"/>
    <row r="30150" ht="14.25" customHeight="1"/>
    <row r="30151" ht="14.25" customHeight="1"/>
    <row r="30152" ht="14.25" customHeight="1"/>
    <row r="30153" ht="14.25" customHeight="1"/>
    <row r="30154" ht="14.25" customHeight="1"/>
    <row r="30155" ht="14.25" customHeight="1"/>
    <row r="30156" ht="14.25" customHeight="1"/>
    <row r="30157" ht="14.25" customHeight="1"/>
    <row r="30158" ht="14.25" customHeight="1"/>
    <row r="30159" ht="14.25" customHeight="1"/>
    <row r="30160" ht="14.25" customHeight="1"/>
    <row r="30161" ht="14.25" customHeight="1"/>
    <row r="30162" ht="14.25" customHeight="1"/>
    <row r="30163" ht="14.25" customHeight="1"/>
    <row r="30164" ht="14.25" customHeight="1"/>
    <row r="30165" ht="14.25" customHeight="1"/>
    <row r="30166" ht="14.25" customHeight="1"/>
    <row r="30167" ht="14.25" customHeight="1"/>
    <row r="30168" ht="14.25" customHeight="1"/>
    <row r="30169" ht="14.25" customHeight="1"/>
    <row r="30170" ht="14.25" customHeight="1"/>
    <row r="30171" ht="14.25" customHeight="1"/>
    <row r="30172" ht="14.25" customHeight="1"/>
    <row r="30173" ht="14.25" customHeight="1"/>
    <row r="30174" ht="14.25" customHeight="1"/>
    <row r="30175" ht="14.25" customHeight="1"/>
    <row r="30176" ht="14.25" customHeight="1"/>
    <row r="30177" ht="14.25" customHeight="1"/>
    <row r="30178" ht="14.25" customHeight="1"/>
    <row r="30179" ht="14.25" customHeight="1"/>
    <row r="30180" ht="14.25" customHeight="1"/>
    <row r="30181" ht="14.25" customHeight="1"/>
    <row r="30182" ht="14.25" customHeight="1"/>
    <row r="30183" ht="14.25" customHeight="1"/>
    <row r="30184" ht="14.25" customHeight="1"/>
    <row r="30185" ht="14.25" customHeight="1"/>
    <row r="30186" ht="14.25" customHeight="1"/>
    <row r="30187" ht="14.25" customHeight="1"/>
    <row r="30188" ht="14.25" customHeight="1"/>
    <row r="30189" ht="14.25" customHeight="1"/>
    <row r="30190" ht="14.25" customHeight="1"/>
    <row r="30191" ht="14.25" customHeight="1"/>
    <row r="30192" ht="14.25" customHeight="1"/>
    <row r="30193" ht="14.25" customHeight="1"/>
    <row r="30194" ht="14.25" customHeight="1"/>
    <row r="30195" ht="14.25" customHeight="1"/>
    <row r="30196" ht="14.25" customHeight="1"/>
    <row r="30197" ht="14.25" customHeight="1"/>
    <row r="30198" ht="14.25" customHeight="1"/>
    <row r="30199" ht="14.25" customHeight="1"/>
    <row r="30200" ht="14.25" customHeight="1"/>
    <row r="30201" ht="14.25" customHeight="1"/>
    <row r="30202" ht="14.25" customHeight="1"/>
    <row r="30203" ht="14.25" customHeight="1"/>
    <row r="30204" ht="14.25" customHeight="1"/>
    <row r="30205" ht="14.25" customHeight="1"/>
    <row r="30206" ht="14.25" customHeight="1"/>
    <row r="30207" ht="14.25" customHeight="1"/>
    <row r="30208" ht="14.25" customHeight="1"/>
    <row r="30209" ht="14.25" customHeight="1"/>
    <row r="30210" ht="14.25" customHeight="1"/>
    <row r="30211" ht="14.25" customHeight="1"/>
    <row r="30212" ht="14.25" customHeight="1"/>
    <row r="30213" ht="14.25" customHeight="1"/>
    <row r="30214" ht="14.25" customHeight="1"/>
    <row r="30215" ht="14.25" customHeight="1"/>
    <row r="30216" ht="14.25" customHeight="1"/>
    <row r="30217" ht="14.25" customHeight="1"/>
    <row r="30218" ht="14.25" customHeight="1"/>
    <row r="30219" ht="14.25" customHeight="1"/>
    <row r="30220" ht="14.25" customHeight="1"/>
    <row r="30221" ht="14.25" customHeight="1"/>
    <row r="30222" ht="14.25" customHeight="1"/>
    <row r="30223" ht="14.25" customHeight="1"/>
    <row r="30224" ht="14.25" customHeight="1"/>
    <row r="30225" ht="14.25" customHeight="1"/>
    <row r="30226" ht="14.25" customHeight="1"/>
    <row r="30227" ht="14.25" customHeight="1"/>
    <row r="30228" ht="14.25" customHeight="1"/>
    <row r="30229" ht="14.25" customHeight="1"/>
    <row r="30230" ht="14.25" customHeight="1"/>
    <row r="30231" ht="14.25" customHeight="1"/>
    <row r="30232" ht="14.25" customHeight="1"/>
    <row r="30233" ht="14.25" customHeight="1"/>
    <row r="30234" ht="14.25" customHeight="1"/>
    <row r="30235" ht="14.25" customHeight="1"/>
    <row r="30236" ht="14.25" customHeight="1"/>
    <row r="30237" ht="14.25" customHeight="1"/>
    <row r="30238" ht="14.25" customHeight="1"/>
    <row r="30239" ht="14.25" customHeight="1"/>
    <row r="30240" ht="14.25" customHeight="1"/>
    <row r="30241" ht="14.25" customHeight="1"/>
    <row r="30242" ht="14.25" customHeight="1"/>
    <row r="30243" ht="14.25" customHeight="1"/>
    <row r="30244" ht="14.25" customHeight="1"/>
    <row r="30245" ht="14.25" customHeight="1"/>
    <row r="30246" ht="14.25" customHeight="1"/>
    <row r="30247" ht="14.25" customHeight="1"/>
    <row r="30248" ht="14.25" customHeight="1"/>
    <row r="30249" ht="14.25" customHeight="1"/>
    <row r="30250" ht="14.25" customHeight="1"/>
    <row r="30251" ht="14.25" customHeight="1"/>
    <row r="30252" ht="14.25" customHeight="1"/>
    <row r="30253" ht="14.25" customHeight="1"/>
    <row r="30254" ht="14.25" customHeight="1"/>
    <row r="30255" ht="14.25" customHeight="1"/>
    <row r="30256" ht="14.25" customHeight="1"/>
    <row r="30257" ht="14.25" customHeight="1"/>
    <row r="30258" ht="14.25" customHeight="1"/>
    <row r="30259" ht="14.25" customHeight="1"/>
    <row r="30260" ht="14.25" customHeight="1"/>
    <row r="30261" ht="14.25" customHeight="1"/>
    <row r="30262" ht="14.25" customHeight="1"/>
    <row r="30263" ht="14.25" customHeight="1"/>
    <row r="30264" ht="14.25" customHeight="1"/>
    <row r="30265" ht="14.25" customHeight="1"/>
    <row r="30266" ht="14.25" customHeight="1"/>
    <row r="30267" ht="14.25" customHeight="1"/>
    <row r="30268" ht="14.25" customHeight="1"/>
    <row r="30269" ht="14.25" customHeight="1"/>
    <row r="30270" ht="14.25" customHeight="1"/>
    <row r="30271" ht="14.25" customHeight="1"/>
    <row r="30272" ht="14.25" customHeight="1"/>
    <row r="30273" ht="14.25" customHeight="1"/>
    <row r="30274" ht="14.25" customHeight="1"/>
    <row r="30275" ht="14.25" customHeight="1"/>
    <row r="30276" ht="14.25" customHeight="1"/>
    <row r="30277" ht="14.25" customHeight="1"/>
    <row r="30278" ht="14.25" customHeight="1"/>
    <row r="30279" ht="14.25" customHeight="1"/>
    <row r="30280" ht="14.25" customHeight="1"/>
    <row r="30281" ht="14.25" customHeight="1"/>
    <row r="30282" ht="14.25" customHeight="1"/>
    <row r="30283" ht="14.25" customHeight="1"/>
    <row r="30284" ht="14.25" customHeight="1"/>
    <row r="30285" ht="14.25" customHeight="1"/>
    <row r="30286" ht="14.25" customHeight="1"/>
    <row r="30287" ht="14.25" customHeight="1"/>
    <row r="30288" ht="14.25" customHeight="1"/>
    <row r="30289" ht="14.25" customHeight="1"/>
    <row r="30290" ht="14.25" customHeight="1"/>
    <row r="30291" ht="14.25" customHeight="1"/>
    <row r="30292" ht="14.25" customHeight="1"/>
    <row r="30293" ht="14.25" customHeight="1"/>
    <row r="30294" ht="14.25" customHeight="1"/>
    <row r="30295" ht="14.25" customHeight="1"/>
    <row r="30296" ht="14.25" customHeight="1"/>
    <row r="30297" ht="14.25" customHeight="1"/>
    <row r="30298" ht="14.25" customHeight="1"/>
    <row r="30299" ht="14.25" customHeight="1"/>
    <row r="30300" ht="14.25" customHeight="1"/>
    <row r="30301" ht="14.25" customHeight="1"/>
    <row r="30302" ht="14.25" customHeight="1"/>
    <row r="30303" ht="14.25" customHeight="1"/>
    <row r="30304" ht="14.25" customHeight="1"/>
    <row r="30305" ht="14.25" customHeight="1"/>
    <row r="30306" ht="14.25" customHeight="1"/>
    <row r="30307" ht="14.25" customHeight="1"/>
    <row r="30308" ht="14.25" customHeight="1"/>
    <row r="30309" ht="14.25" customHeight="1"/>
    <row r="30310" ht="14.25" customHeight="1"/>
    <row r="30311" ht="14.25" customHeight="1"/>
    <row r="30312" ht="14.25" customHeight="1"/>
    <row r="30313" ht="14.25" customHeight="1"/>
    <row r="30314" ht="14.25" customHeight="1"/>
    <row r="30315" ht="14.25" customHeight="1"/>
    <row r="30316" ht="14.25" customHeight="1"/>
    <row r="30317" ht="14.25" customHeight="1"/>
    <row r="30318" ht="14.25" customHeight="1"/>
    <row r="30319" ht="14.25" customHeight="1"/>
    <row r="30320" ht="14.25" customHeight="1"/>
    <row r="30321" ht="14.25" customHeight="1"/>
    <row r="30322" ht="14.25" customHeight="1"/>
    <row r="30323" ht="14.25" customHeight="1"/>
    <row r="30324" ht="14.25" customHeight="1"/>
    <row r="30325" ht="14.25" customHeight="1"/>
    <row r="30326" ht="14.25" customHeight="1"/>
    <row r="30327" ht="14.25" customHeight="1"/>
    <row r="30328" ht="14.25" customHeight="1"/>
    <row r="30329" ht="14.25" customHeight="1"/>
    <row r="30330" ht="14.25" customHeight="1"/>
    <row r="30331" ht="14.25" customHeight="1"/>
    <row r="30332" ht="14.25" customHeight="1"/>
    <row r="30333" ht="14.25" customHeight="1"/>
    <row r="30334" ht="14.25" customHeight="1"/>
    <row r="30335" ht="14.25" customHeight="1"/>
    <row r="30336" ht="14.25" customHeight="1"/>
    <row r="30337" ht="14.25" customHeight="1"/>
    <row r="30338" ht="14.25" customHeight="1"/>
    <row r="30339" ht="14.25" customHeight="1"/>
    <row r="30340" ht="14.25" customHeight="1"/>
    <row r="30341" ht="14.25" customHeight="1"/>
    <row r="30342" ht="14.25" customHeight="1"/>
    <row r="30343" ht="14.25" customHeight="1"/>
    <row r="30344" ht="14.25" customHeight="1"/>
    <row r="30345" ht="14.25" customHeight="1"/>
    <row r="30346" ht="14.25" customHeight="1"/>
    <row r="30347" ht="14.25" customHeight="1"/>
    <row r="30348" ht="14.25" customHeight="1"/>
    <row r="30349" ht="14.25" customHeight="1"/>
    <row r="30350" ht="14.25" customHeight="1"/>
    <row r="30351" ht="14.25" customHeight="1"/>
    <row r="30352" ht="14.25" customHeight="1"/>
    <row r="30353" ht="14.25" customHeight="1"/>
    <row r="30354" ht="14.25" customHeight="1"/>
    <row r="30355" ht="14.25" customHeight="1"/>
    <row r="30356" ht="14.25" customHeight="1"/>
    <row r="30357" ht="14.25" customHeight="1"/>
    <row r="30358" ht="14.25" customHeight="1"/>
    <row r="30359" ht="14.25" customHeight="1"/>
    <row r="30360" ht="14.25" customHeight="1"/>
    <row r="30361" ht="14.25" customHeight="1"/>
    <row r="30362" ht="14.25" customHeight="1"/>
    <row r="30363" ht="14.25" customHeight="1"/>
    <row r="30364" ht="14.25" customHeight="1"/>
    <row r="30365" ht="14.25" customHeight="1"/>
    <row r="30366" ht="14.25" customHeight="1"/>
    <row r="30367" ht="14.25" customHeight="1"/>
    <row r="30368" ht="14.25" customHeight="1"/>
    <row r="30369" ht="14.25" customHeight="1"/>
    <row r="30370" ht="14.25" customHeight="1"/>
    <row r="30371" ht="14.25" customHeight="1"/>
    <row r="30372" ht="14.25" customHeight="1"/>
    <row r="30373" ht="14.25" customHeight="1"/>
    <row r="30374" ht="14.25" customHeight="1"/>
    <row r="30375" ht="14.25" customHeight="1"/>
    <row r="30376" ht="14.25" customHeight="1"/>
    <row r="30377" ht="14.25" customHeight="1"/>
    <row r="30378" ht="14.25" customHeight="1"/>
    <row r="30379" ht="14.25" customHeight="1"/>
    <row r="30380" ht="14.25" customHeight="1"/>
    <row r="30381" ht="14.25" customHeight="1"/>
    <row r="30382" ht="14.25" customHeight="1"/>
    <row r="30383" ht="14.25" customHeight="1"/>
    <row r="30384" ht="14.25" customHeight="1"/>
    <row r="30385" ht="14.25" customHeight="1"/>
    <row r="30386" ht="14.25" customHeight="1"/>
    <row r="30387" ht="14.25" customHeight="1"/>
    <row r="30388" ht="14.25" customHeight="1"/>
    <row r="30389" ht="14.25" customHeight="1"/>
    <row r="30390" ht="14.25" customHeight="1"/>
    <row r="30391" ht="14.25" customHeight="1"/>
    <row r="30392" ht="14.25" customHeight="1"/>
    <row r="30393" ht="14.25" customHeight="1"/>
    <row r="30394" ht="14.25" customHeight="1"/>
    <row r="30395" ht="14.25" customHeight="1"/>
    <row r="30396" ht="14.25" customHeight="1"/>
    <row r="30397" ht="14.25" customHeight="1"/>
    <row r="30398" ht="14.25" customHeight="1"/>
    <row r="30399" ht="14.25" customHeight="1"/>
    <row r="30400" ht="14.25" customHeight="1"/>
    <row r="30401" ht="14.25" customHeight="1"/>
    <row r="30402" ht="14.25" customHeight="1"/>
    <row r="30403" ht="14.25" customHeight="1"/>
    <row r="30404" ht="14.25" customHeight="1"/>
    <row r="30405" ht="14.25" customHeight="1"/>
    <row r="30406" ht="14.25" customHeight="1"/>
    <row r="30407" ht="14.25" customHeight="1"/>
    <row r="30408" ht="14.25" customHeight="1"/>
    <row r="30409" ht="14.25" customHeight="1"/>
    <row r="30410" ht="14.25" customHeight="1"/>
    <row r="30411" ht="14.25" customHeight="1"/>
    <row r="30412" ht="14.25" customHeight="1"/>
    <row r="30413" ht="14.25" customHeight="1"/>
    <row r="30414" ht="14.25" customHeight="1"/>
    <row r="30415" ht="14.25" customHeight="1"/>
    <row r="30416" ht="14.25" customHeight="1"/>
    <row r="30417" ht="14.25" customHeight="1"/>
    <row r="30418" ht="14.25" customHeight="1"/>
    <row r="30419" ht="14.25" customHeight="1"/>
    <row r="30420" ht="14.25" customHeight="1"/>
    <row r="30421" ht="14.25" customHeight="1"/>
    <row r="30422" ht="14.25" customHeight="1"/>
    <row r="30423" ht="14.25" customHeight="1"/>
    <row r="30424" ht="14.25" customHeight="1"/>
    <row r="30425" ht="14.25" customHeight="1"/>
    <row r="30426" ht="14.25" customHeight="1"/>
    <row r="30427" ht="14.25" customHeight="1"/>
    <row r="30428" ht="14.25" customHeight="1"/>
    <row r="30429" ht="14.25" customHeight="1"/>
    <row r="30430" ht="14.25" customHeight="1"/>
    <row r="30431" ht="14.25" customHeight="1"/>
    <row r="30432" ht="14.25" customHeight="1"/>
    <row r="30433" ht="14.25" customHeight="1"/>
    <row r="30434" ht="14.25" customHeight="1"/>
    <row r="30435" ht="14.25" customHeight="1"/>
    <row r="30436" ht="14.25" customHeight="1"/>
    <row r="30437" ht="14.25" customHeight="1"/>
    <row r="30438" ht="14.25" customHeight="1"/>
    <row r="30439" ht="14.25" customHeight="1"/>
    <row r="30440" ht="14.25" customHeight="1"/>
    <row r="30441" ht="14.25" customHeight="1"/>
    <row r="30442" ht="14.25" customHeight="1"/>
    <row r="30443" ht="14.25" customHeight="1"/>
    <row r="30444" ht="14.25" customHeight="1"/>
    <row r="30445" ht="14.25" customHeight="1"/>
    <row r="30446" ht="14.25" customHeight="1"/>
    <row r="30447" ht="14.25" customHeight="1"/>
    <row r="30448" ht="14.25" customHeight="1"/>
    <row r="30449" ht="14.25" customHeight="1"/>
    <row r="30450" ht="14.25" customHeight="1"/>
    <row r="30451" ht="14.25" customHeight="1"/>
    <row r="30452" ht="14.25" customHeight="1"/>
    <row r="30453" ht="14.25" customHeight="1"/>
    <row r="30454" ht="14.25" customHeight="1"/>
    <row r="30455" ht="14.25" customHeight="1"/>
    <row r="30456" ht="14.25" customHeight="1"/>
    <row r="30457" ht="14.25" customHeight="1"/>
    <row r="30458" ht="14.25" customHeight="1"/>
    <row r="30459" ht="14.25" customHeight="1"/>
    <row r="30460" ht="14.25" customHeight="1"/>
    <row r="30461" ht="14.25" customHeight="1"/>
    <row r="30462" ht="14.25" customHeight="1"/>
    <row r="30463" ht="14.25" customHeight="1"/>
    <row r="30464" ht="14.25" customHeight="1"/>
    <row r="30465" ht="14.25" customHeight="1"/>
    <row r="30466" ht="14.25" customHeight="1"/>
    <row r="30467" ht="14.25" customHeight="1"/>
    <row r="30468" ht="14.25" customHeight="1"/>
    <row r="30469" ht="14.25" customHeight="1"/>
    <row r="30470" ht="14.25" customHeight="1"/>
    <row r="30471" ht="14.25" customHeight="1"/>
    <row r="30472" ht="14.25" customHeight="1"/>
    <row r="30473" ht="14.25" customHeight="1"/>
    <row r="30474" ht="14.25" customHeight="1"/>
    <row r="30475" ht="14.25" customHeight="1"/>
    <row r="30476" ht="14.25" customHeight="1"/>
    <row r="30477" ht="14.25" customHeight="1"/>
    <row r="30478" ht="14.25" customHeight="1"/>
    <row r="30479" ht="14.25" customHeight="1"/>
    <row r="30480" ht="14.25" customHeight="1"/>
    <row r="30481" ht="14.25" customHeight="1"/>
    <row r="30482" ht="14.25" customHeight="1"/>
    <row r="30483" ht="14.25" customHeight="1"/>
    <row r="30484" ht="14.25" customHeight="1"/>
    <row r="30485" ht="14.25" customHeight="1"/>
    <row r="30486" ht="14.25" customHeight="1"/>
    <row r="30487" ht="14.25" customHeight="1"/>
    <row r="30488" ht="14.25" customHeight="1"/>
    <row r="30489" ht="14.25" customHeight="1"/>
    <row r="30490" ht="14.25" customHeight="1"/>
    <row r="30491" ht="14.25" customHeight="1"/>
    <row r="30492" ht="14.25" customHeight="1"/>
    <row r="30493" ht="14.25" customHeight="1"/>
    <row r="30494" ht="14.25" customHeight="1"/>
    <row r="30495" ht="14.25" customHeight="1"/>
    <row r="30496" ht="14.25" customHeight="1"/>
    <row r="30497" ht="14.25" customHeight="1"/>
    <row r="30498" ht="14.25" customHeight="1"/>
    <row r="30499" ht="14.25" customHeight="1"/>
    <row r="30500" ht="14.25" customHeight="1"/>
    <row r="30501" ht="14.25" customHeight="1"/>
    <row r="30502" ht="14.25" customHeight="1"/>
    <row r="30503" ht="14.25" customHeight="1"/>
    <row r="30504" ht="14.25" customHeight="1"/>
    <row r="30505" ht="14.25" customHeight="1"/>
    <row r="30506" ht="14.25" customHeight="1"/>
    <row r="30507" ht="14.25" customHeight="1"/>
    <row r="30508" ht="14.25" customHeight="1"/>
    <row r="30509" ht="14.25" customHeight="1"/>
    <row r="30510" ht="14.25" customHeight="1"/>
    <row r="30511" ht="14.25" customHeight="1"/>
    <row r="30512" ht="14.25" customHeight="1"/>
    <row r="30513" ht="14.25" customHeight="1"/>
    <row r="30514" ht="14.25" customHeight="1"/>
    <row r="30515" ht="14.25" customHeight="1"/>
    <row r="30516" ht="14.25" customHeight="1"/>
    <row r="30517" ht="14.25" customHeight="1"/>
    <row r="30518" ht="14.25" customHeight="1"/>
    <row r="30519" ht="14.25" customHeight="1"/>
    <row r="30520" ht="14.25" customHeight="1"/>
    <row r="30521" ht="14.25" customHeight="1"/>
    <row r="30522" ht="14.25" customHeight="1"/>
    <row r="30523" ht="14.25" customHeight="1"/>
    <row r="30524" ht="14.25" customHeight="1"/>
    <row r="30525" ht="14.25" customHeight="1"/>
    <row r="30526" ht="14.25" customHeight="1"/>
    <row r="30527" ht="14.25" customHeight="1"/>
    <row r="30528" ht="14.25" customHeight="1"/>
    <row r="30529" ht="14.25" customHeight="1"/>
    <row r="30530" ht="14.25" customHeight="1"/>
    <row r="30531" ht="14.25" customHeight="1"/>
    <row r="30532" ht="14.25" customHeight="1"/>
    <row r="30533" ht="14.25" customHeight="1"/>
    <row r="30534" ht="14.25" customHeight="1"/>
    <row r="30535" ht="14.25" customHeight="1"/>
    <row r="30536" ht="14.25" customHeight="1"/>
    <row r="30537" ht="14.25" customHeight="1"/>
    <row r="30538" ht="14.25" customHeight="1"/>
    <row r="30539" ht="14.25" customHeight="1"/>
    <row r="30540" ht="14.25" customHeight="1"/>
    <row r="30541" ht="14.25" customHeight="1"/>
    <row r="30542" ht="14.25" customHeight="1"/>
    <row r="30543" ht="14.25" customHeight="1"/>
    <row r="30544" ht="14.25" customHeight="1"/>
    <row r="30545" ht="14.25" customHeight="1"/>
    <row r="30546" ht="14.25" customHeight="1"/>
    <row r="30547" ht="14.25" customHeight="1"/>
    <row r="30548" ht="14.25" customHeight="1"/>
    <row r="30549" ht="14.25" customHeight="1"/>
    <row r="30550" ht="14.25" customHeight="1"/>
    <row r="30551" ht="14.25" customHeight="1"/>
    <row r="30552" ht="14.25" customHeight="1"/>
    <row r="30553" ht="14.25" customHeight="1"/>
    <row r="30554" ht="14.25" customHeight="1"/>
    <row r="30555" ht="14.25" customHeight="1"/>
    <row r="30556" ht="14.25" customHeight="1"/>
    <row r="30557" ht="14.25" customHeight="1"/>
    <row r="30558" ht="14.25" customHeight="1"/>
    <row r="30559" ht="14.25" customHeight="1"/>
    <row r="30560" ht="14.25" customHeight="1"/>
    <row r="30561" ht="14.25" customHeight="1"/>
    <row r="30562" ht="14.25" customHeight="1"/>
    <row r="30563" ht="14.25" customHeight="1"/>
    <row r="30564" ht="14.25" customHeight="1"/>
    <row r="30565" ht="14.25" customHeight="1"/>
    <row r="30566" ht="14.25" customHeight="1"/>
    <row r="30567" ht="14.25" customHeight="1"/>
    <row r="30568" ht="14.25" customHeight="1"/>
    <row r="30569" ht="14.25" customHeight="1"/>
    <row r="30570" ht="14.25" customHeight="1"/>
    <row r="30571" ht="14.25" customHeight="1"/>
    <row r="30572" ht="14.25" customHeight="1"/>
    <row r="30573" ht="14.25" customHeight="1"/>
    <row r="30574" ht="14.25" customHeight="1"/>
    <row r="30575" ht="14.25" customHeight="1"/>
    <row r="30576" ht="14.25" customHeight="1"/>
    <row r="30577" ht="14.25" customHeight="1"/>
    <row r="30578" ht="14.25" customHeight="1"/>
    <row r="30579" ht="14.25" customHeight="1"/>
    <row r="30580" ht="14.25" customHeight="1"/>
    <row r="30581" ht="14.25" customHeight="1"/>
    <row r="30582" ht="14.25" customHeight="1"/>
    <row r="30583" ht="14.25" customHeight="1"/>
    <row r="30584" ht="14.25" customHeight="1"/>
    <row r="30585" ht="14.25" customHeight="1"/>
    <row r="30586" ht="14.25" customHeight="1"/>
    <row r="30587" ht="14.25" customHeight="1"/>
    <row r="30588" ht="14.25" customHeight="1"/>
    <row r="30589" ht="14.25" customHeight="1"/>
    <row r="30590" ht="14.25" customHeight="1"/>
    <row r="30591" ht="14.25" customHeight="1"/>
    <row r="30592" ht="14.25" customHeight="1"/>
    <row r="30593" ht="14.25" customHeight="1"/>
    <row r="30594" ht="14.25" customHeight="1"/>
    <row r="30595" ht="14.25" customHeight="1"/>
    <row r="30596" ht="14.25" customHeight="1"/>
    <row r="30597" ht="14.25" customHeight="1"/>
    <row r="30598" ht="14.25" customHeight="1"/>
    <row r="30599" ht="14.25" customHeight="1"/>
    <row r="30600" ht="14.25" customHeight="1"/>
    <row r="30601" ht="14.25" customHeight="1"/>
    <row r="30602" ht="14.25" customHeight="1"/>
    <row r="30603" ht="14.25" customHeight="1"/>
    <row r="30604" ht="14.25" customHeight="1"/>
    <row r="30605" ht="14.25" customHeight="1"/>
    <row r="30606" ht="14.25" customHeight="1"/>
    <row r="30607" ht="14.25" customHeight="1"/>
    <row r="30608" ht="14.25" customHeight="1"/>
    <row r="30609" ht="14.25" customHeight="1"/>
    <row r="30610" ht="14.25" customHeight="1"/>
    <row r="30611" ht="14.25" customHeight="1"/>
    <row r="30612" ht="14.25" customHeight="1"/>
    <row r="30613" ht="14.25" customHeight="1"/>
    <row r="30614" ht="14.25" customHeight="1"/>
    <row r="30615" ht="14.25" customHeight="1"/>
    <row r="30616" ht="14.25" customHeight="1"/>
    <row r="30617" ht="14.25" customHeight="1"/>
    <row r="30618" ht="14.25" customHeight="1"/>
    <row r="30619" ht="14.25" customHeight="1"/>
    <row r="30620" ht="14.25" customHeight="1"/>
    <row r="30621" ht="14.25" customHeight="1"/>
    <row r="30622" ht="14.25" customHeight="1"/>
    <row r="30623" ht="14.25" customHeight="1"/>
    <row r="30624" ht="14.25" customHeight="1"/>
    <row r="30625" ht="14.25" customHeight="1"/>
    <row r="30626" ht="14.25" customHeight="1"/>
    <row r="30627" ht="14.25" customHeight="1"/>
    <row r="30628" ht="14.25" customHeight="1"/>
    <row r="30629" ht="14.25" customHeight="1"/>
    <row r="30630" ht="14.25" customHeight="1"/>
    <row r="30631" ht="14.25" customHeight="1"/>
    <row r="30632" ht="14.25" customHeight="1"/>
    <row r="30633" ht="14.25" customHeight="1"/>
    <row r="30634" ht="14.25" customHeight="1"/>
    <row r="30635" ht="14.25" customHeight="1"/>
    <row r="30636" ht="14.25" customHeight="1"/>
    <row r="30637" ht="14.25" customHeight="1"/>
    <row r="30638" ht="14.25" customHeight="1"/>
    <row r="30639" ht="14.25" customHeight="1"/>
    <row r="30640" ht="14.25" customHeight="1"/>
    <row r="30641" ht="14.25" customHeight="1"/>
    <row r="30642" ht="14.25" customHeight="1"/>
    <row r="30643" ht="14.25" customHeight="1"/>
    <row r="30644" ht="14.25" customHeight="1"/>
    <row r="30645" ht="14.25" customHeight="1"/>
    <row r="30646" ht="14.25" customHeight="1"/>
    <row r="30647" ht="14.25" customHeight="1"/>
    <row r="30648" ht="14.25" customHeight="1"/>
    <row r="30649" ht="14.25" customHeight="1"/>
    <row r="30650" ht="14.25" customHeight="1"/>
    <row r="30651" ht="14.25" customHeight="1"/>
    <row r="30652" ht="14.25" customHeight="1"/>
    <row r="30653" ht="14.25" customHeight="1"/>
    <row r="30654" ht="14.25" customHeight="1"/>
    <row r="30655" ht="14.25" customHeight="1"/>
    <row r="30656" ht="14.25" customHeight="1"/>
    <row r="30657" ht="14.25" customHeight="1"/>
    <row r="30658" ht="14.25" customHeight="1"/>
    <row r="30659" ht="14.25" customHeight="1"/>
    <row r="30660" ht="14.25" customHeight="1"/>
    <row r="30661" ht="14.25" customHeight="1"/>
    <row r="30662" ht="14.25" customHeight="1"/>
    <row r="30663" ht="14.25" customHeight="1"/>
    <row r="30664" ht="14.25" customHeight="1"/>
    <row r="30665" ht="14.25" customHeight="1"/>
    <row r="30666" ht="14.25" customHeight="1"/>
    <row r="30667" ht="14.25" customHeight="1"/>
    <row r="30668" ht="14.25" customHeight="1"/>
    <row r="30669" ht="14.25" customHeight="1"/>
    <row r="30670" ht="14.25" customHeight="1"/>
    <row r="30671" ht="14.25" customHeight="1"/>
    <row r="30672" ht="14.25" customHeight="1"/>
    <row r="30673" ht="14.25" customHeight="1"/>
    <row r="30674" ht="14.25" customHeight="1"/>
    <row r="30675" ht="14.25" customHeight="1"/>
    <row r="30676" ht="14.25" customHeight="1"/>
    <row r="30677" ht="14.25" customHeight="1"/>
    <row r="30678" ht="14.25" customHeight="1"/>
    <row r="30679" ht="14.25" customHeight="1"/>
    <row r="30680" ht="14.25" customHeight="1"/>
    <row r="30681" ht="14.25" customHeight="1"/>
    <row r="30682" ht="14.25" customHeight="1"/>
    <row r="30683" ht="14.25" customHeight="1"/>
    <row r="30684" ht="14.25" customHeight="1"/>
    <row r="30685" ht="14.25" customHeight="1"/>
    <row r="30686" ht="14.25" customHeight="1"/>
    <row r="30687" ht="14.25" customHeight="1"/>
    <row r="30688" ht="14.25" customHeight="1"/>
    <row r="30689" ht="14.25" customHeight="1"/>
    <row r="30690" ht="14.25" customHeight="1"/>
    <row r="30691" ht="14.25" customHeight="1"/>
    <row r="30692" ht="14.25" customHeight="1"/>
    <row r="30693" ht="14.25" customHeight="1"/>
    <row r="30694" ht="14.25" customHeight="1"/>
    <row r="30695" ht="14.25" customHeight="1"/>
    <row r="30696" ht="14.25" customHeight="1"/>
    <row r="30697" ht="14.25" customHeight="1"/>
    <row r="30698" ht="14.25" customHeight="1"/>
    <row r="30699" ht="14.25" customHeight="1"/>
    <row r="30700" ht="14.25" customHeight="1"/>
    <row r="30701" ht="14.25" customHeight="1"/>
    <row r="30702" ht="14.25" customHeight="1"/>
    <row r="30703" ht="14.25" customHeight="1"/>
    <row r="30704" ht="14.25" customHeight="1"/>
    <row r="30705" ht="14.25" customHeight="1"/>
    <row r="30706" ht="14.25" customHeight="1"/>
    <row r="30707" ht="14.25" customHeight="1"/>
    <row r="30708" ht="14.25" customHeight="1"/>
    <row r="30709" ht="14.25" customHeight="1"/>
    <row r="30710" ht="14.25" customHeight="1"/>
    <row r="30711" ht="14.25" customHeight="1"/>
    <row r="30712" ht="14.25" customHeight="1"/>
    <row r="30713" ht="14.25" customHeight="1"/>
    <row r="30714" ht="14.25" customHeight="1"/>
    <row r="30715" ht="14.25" customHeight="1"/>
    <row r="30716" ht="14.25" customHeight="1"/>
    <row r="30717" ht="14.25" customHeight="1"/>
    <row r="30718" ht="14.25" customHeight="1"/>
    <row r="30719" ht="14.25" customHeight="1"/>
    <row r="30720" ht="14.25" customHeight="1"/>
    <row r="30721" ht="14.25" customHeight="1"/>
    <row r="30722" ht="14.25" customHeight="1"/>
    <row r="30723" ht="14.25" customHeight="1"/>
    <row r="30724" ht="14.25" customHeight="1"/>
    <row r="30725" ht="14.25" customHeight="1"/>
    <row r="30726" ht="14.25" customHeight="1"/>
    <row r="30727" ht="14.25" customHeight="1"/>
    <row r="30728" ht="14.25" customHeight="1"/>
    <row r="30729" ht="14.25" customHeight="1"/>
    <row r="30730" ht="14.25" customHeight="1"/>
    <row r="30731" ht="14.25" customHeight="1"/>
    <row r="30732" ht="14.25" customHeight="1"/>
    <row r="30733" ht="14.25" customHeight="1"/>
    <row r="30734" ht="14.25" customHeight="1"/>
    <row r="30735" ht="14.25" customHeight="1"/>
    <row r="30736" ht="14.25" customHeight="1"/>
    <row r="30737" ht="14.25" customHeight="1"/>
    <row r="30738" ht="14.25" customHeight="1"/>
    <row r="30739" ht="14.25" customHeight="1"/>
    <row r="30740" ht="14.25" customHeight="1"/>
    <row r="30741" ht="14.25" customHeight="1"/>
    <row r="30742" ht="14.25" customHeight="1"/>
    <row r="30743" ht="14.25" customHeight="1"/>
    <row r="30744" ht="14.25" customHeight="1"/>
    <row r="30745" ht="14.25" customHeight="1"/>
    <row r="30746" ht="14.25" customHeight="1"/>
    <row r="30747" ht="14.25" customHeight="1"/>
    <row r="30748" ht="14.25" customHeight="1"/>
    <row r="30749" ht="14.25" customHeight="1"/>
    <row r="30750" ht="14.25" customHeight="1"/>
    <row r="30751" ht="14.25" customHeight="1"/>
    <row r="30752" ht="14.25" customHeight="1"/>
    <row r="30753" ht="14.25" customHeight="1"/>
    <row r="30754" ht="14.25" customHeight="1"/>
    <row r="30755" ht="14.25" customHeight="1"/>
    <row r="30756" ht="14.25" customHeight="1"/>
    <row r="30757" ht="14.25" customHeight="1"/>
    <row r="30758" ht="14.25" customHeight="1"/>
    <row r="30759" ht="14.25" customHeight="1"/>
    <row r="30760" ht="14.25" customHeight="1"/>
    <row r="30761" ht="14.25" customHeight="1"/>
    <row r="30762" ht="14.25" customHeight="1"/>
    <row r="30763" ht="14.25" customHeight="1"/>
    <row r="30764" ht="14.25" customHeight="1"/>
    <row r="30765" ht="14.25" customHeight="1"/>
    <row r="30766" ht="14.25" customHeight="1"/>
    <row r="30767" ht="14.25" customHeight="1"/>
    <row r="30768" ht="14.25" customHeight="1"/>
    <row r="30769" ht="14.25" customHeight="1"/>
    <row r="30770" ht="14.25" customHeight="1"/>
    <row r="30771" ht="14.25" customHeight="1"/>
    <row r="30772" ht="14.25" customHeight="1"/>
    <row r="30773" ht="14.25" customHeight="1"/>
    <row r="30774" ht="14.25" customHeight="1"/>
    <row r="30775" ht="14.25" customHeight="1"/>
    <row r="30776" ht="14.25" customHeight="1"/>
    <row r="30777" ht="14.25" customHeight="1"/>
    <row r="30778" ht="14.25" customHeight="1"/>
    <row r="30779" ht="14.25" customHeight="1"/>
    <row r="30780" ht="14.25" customHeight="1"/>
    <row r="30781" ht="14.25" customHeight="1"/>
    <row r="30782" ht="14.25" customHeight="1"/>
    <row r="30783" ht="14.25" customHeight="1"/>
    <row r="30784" ht="14.25" customHeight="1"/>
    <row r="30785" ht="14.25" customHeight="1"/>
    <row r="30786" ht="14.25" customHeight="1"/>
    <row r="30787" ht="14.25" customHeight="1"/>
    <row r="30788" ht="14.25" customHeight="1"/>
    <row r="30789" ht="14.25" customHeight="1"/>
    <row r="30790" ht="14.25" customHeight="1"/>
    <row r="30791" ht="14.25" customHeight="1"/>
    <row r="30792" ht="14.25" customHeight="1"/>
    <row r="30793" ht="14.25" customHeight="1"/>
    <row r="30794" ht="14.25" customHeight="1"/>
    <row r="30795" ht="14.25" customHeight="1"/>
    <row r="30796" ht="14.25" customHeight="1"/>
    <row r="30797" ht="14.25" customHeight="1"/>
    <row r="30798" ht="14.25" customHeight="1"/>
    <row r="30799" ht="14.25" customHeight="1"/>
    <row r="30800" ht="14.25" customHeight="1"/>
    <row r="30801" ht="14.25" customHeight="1"/>
    <row r="30802" ht="14.25" customHeight="1"/>
    <row r="30803" ht="14.25" customHeight="1"/>
    <row r="30804" ht="14.25" customHeight="1"/>
    <row r="30805" ht="14.25" customHeight="1"/>
    <row r="30806" ht="14.25" customHeight="1"/>
    <row r="30807" ht="14.25" customHeight="1"/>
    <row r="30808" ht="14.25" customHeight="1"/>
    <row r="30809" ht="14.25" customHeight="1"/>
    <row r="30810" ht="14.25" customHeight="1"/>
    <row r="30811" ht="14.25" customHeight="1"/>
    <row r="30812" ht="14.25" customHeight="1"/>
    <row r="30813" ht="14.25" customHeight="1"/>
    <row r="30814" ht="14.25" customHeight="1"/>
    <row r="30815" ht="14.25" customHeight="1"/>
    <row r="30816" ht="14.25" customHeight="1"/>
    <row r="30817" ht="14.25" customHeight="1"/>
    <row r="30818" ht="14.25" customHeight="1"/>
    <row r="30819" ht="14.25" customHeight="1"/>
    <row r="30820" ht="14.25" customHeight="1"/>
    <row r="30821" ht="14.25" customHeight="1"/>
    <row r="30822" ht="14.25" customHeight="1"/>
    <row r="30823" ht="14.25" customHeight="1"/>
    <row r="30824" ht="14.25" customHeight="1"/>
    <row r="30825" ht="14.25" customHeight="1"/>
    <row r="30826" ht="14.25" customHeight="1"/>
    <row r="30827" ht="14.25" customHeight="1"/>
    <row r="30828" ht="14.25" customHeight="1"/>
    <row r="30829" ht="14.25" customHeight="1"/>
    <row r="30830" ht="14.25" customHeight="1"/>
    <row r="30831" ht="14.25" customHeight="1"/>
    <row r="30832" ht="14.25" customHeight="1"/>
    <row r="30833" ht="14.25" customHeight="1"/>
    <row r="30834" ht="14.25" customHeight="1"/>
    <row r="30835" ht="14.25" customHeight="1"/>
    <row r="30836" ht="14.25" customHeight="1"/>
    <row r="30837" ht="14.25" customHeight="1"/>
    <row r="30838" ht="14.25" customHeight="1"/>
    <row r="30839" ht="14.25" customHeight="1"/>
    <row r="30840" ht="14.25" customHeight="1"/>
    <row r="30841" ht="14.25" customHeight="1"/>
    <row r="30842" ht="14.25" customHeight="1"/>
    <row r="30843" ht="14.25" customHeight="1"/>
    <row r="30844" ht="14.25" customHeight="1"/>
    <row r="30845" ht="14.25" customHeight="1"/>
    <row r="30846" ht="14.25" customHeight="1"/>
    <row r="30847" ht="14.25" customHeight="1"/>
    <row r="30848" ht="14.25" customHeight="1"/>
    <row r="30849" ht="14.25" customHeight="1"/>
    <row r="30850" ht="14.25" customHeight="1"/>
    <row r="30851" ht="14.25" customHeight="1"/>
    <row r="30852" ht="14.25" customHeight="1"/>
    <row r="30853" ht="14.25" customHeight="1"/>
    <row r="30854" ht="14.25" customHeight="1"/>
    <row r="30855" ht="14.25" customHeight="1"/>
    <row r="30856" ht="14.25" customHeight="1"/>
    <row r="30857" ht="14.25" customHeight="1"/>
    <row r="30858" ht="14.25" customHeight="1"/>
    <row r="30859" ht="14.25" customHeight="1"/>
    <row r="30860" ht="14.25" customHeight="1"/>
    <row r="30861" ht="14.25" customHeight="1"/>
    <row r="30862" ht="14.25" customHeight="1"/>
    <row r="30863" ht="14.25" customHeight="1"/>
    <row r="30864" ht="14.25" customHeight="1"/>
    <row r="30865" ht="14.25" customHeight="1"/>
    <row r="30866" ht="14.25" customHeight="1"/>
    <row r="30867" ht="14.25" customHeight="1"/>
    <row r="30868" ht="14.25" customHeight="1"/>
    <row r="30869" ht="14.25" customHeight="1"/>
    <row r="30870" ht="14.25" customHeight="1"/>
    <row r="30871" ht="14.25" customHeight="1"/>
    <row r="30872" ht="14.25" customHeight="1"/>
    <row r="30873" ht="14.25" customHeight="1"/>
    <row r="30874" ht="14.25" customHeight="1"/>
    <row r="30875" ht="14.25" customHeight="1"/>
    <row r="30876" ht="14.25" customHeight="1"/>
    <row r="30877" ht="14.25" customHeight="1"/>
    <row r="30878" ht="14.25" customHeight="1"/>
    <row r="30879" ht="14.25" customHeight="1"/>
    <row r="30880" ht="14.25" customHeight="1"/>
    <row r="30881" ht="14.25" customHeight="1"/>
    <row r="30882" ht="14.25" customHeight="1"/>
    <row r="30883" ht="14.25" customHeight="1"/>
    <row r="30884" ht="14.25" customHeight="1"/>
    <row r="30885" ht="14.25" customHeight="1"/>
    <row r="30886" ht="14.25" customHeight="1"/>
    <row r="30887" ht="14.25" customHeight="1"/>
    <row r="30888" ht="14.25" customHeight="1"/>
    <row r="30889" ht="14.25" customHeight="1"/>
    <row r="30890" ht="14.25" customHeight="1"/>
    <row r="30891" ht="14.25" customHeight="1"/>
    <row r="30892" ht="14.25" customHeight="1"/>
    <row r="30893" ht="14.25" customHeight="1"/>
    <row r="30894" ht="14.25" customHeight="1"/>
    <row r="30895" ht="14.25" customHeight="1"/>
    <row r="30896" ht="14.25" customHeight="1"/>
    <row r="30897" ht="14.25" customHeight="1"/>
    <row r="30898" ht="14.25" customHeight="1"/>
    <row r="30899" ht="14.25" customHeight="1"/>
    <row r="30900" ht="14.25" customHeight="1"/>
    <row r="30901" ht="14.25" customHeight="1"/>
    <row r="30902" ht="14.25" customHeight="1"/>
    <row r="30903" ht="14.25" customHeight="1"/>
    <row r="30904" ht="14.25" customHeight="1"/>
    <row r="30905" ht="14.25" customHeight="1"/>
    <row r="30906" ht="14.25" customHeight="1"/>
    <row r="30907" ht="14.25" customHeight="1"/>
    <row r="30908" ht="14.25" customHeight="1"/>
    <row r="30909" ht="14.25" customHeight="1"/>
    <row r="30910" ht="14.25" customHeight="1"/>
    <row r="30911" ht="14.25" customHeight="1"/>
    <row r="30912" ht="14.25" customHeight="1"/>
    <row r="30913" ht="14.25" customHeight="1"/>
    <row r="30914" ht="14.25" customHeight="1"/>
    <row r="30915" ht="14.25" customHeight="1"/>
    <row r="30916" ht="14.25" customHeight="1"/>
    <row r="30917" ht="14.25" customHeight="1"/>
    <row r="30918" ht="14.25" customHeight="1"/>
    <row r="30919" ht="14.25" customHeight="1"/>
    <row r="30920" ht="14.25" customHeight="1"/>
    <row r="30921" ht="14.25" customHeight="1"/>
    <row r="30922" ht="14.25" customHeight="1"/>
    <row r="30923" ht="14.25" customHeight="1"/>
    <row r="30924" ht="14.25" customHeight="1"/>
    <row r="30925" ht="14.25" customHeight="1"/>
    <row r="30926" ht="14.25" customHeight="1"/>
    <row r="30927" ht="14.25" customHeight="1"/>
    <row r="30928" ht="14.25" customHeight="1"/>
    <row r="30929" ht="14.25" customHeight="1"/>
    <row r="30930" ht="14.25" customHeight="1"/>
    <row r="30931" ht="14.25" customHeight="1"/>
    <row r="30932" ht="14.25" customHeight="1"/>
    <row r="30933" ht="14.25" customHeight="1"/>
    <row r="30934" ht="14.25" customHeight="1"/>
    <row r="30935" ht="14.25" customHeight="1"/>
    <row r="30936" ht="14.25" customHeight="1"/>
    <row r="30937" ht="14.25" customHeight="1"/>
    <row r="30938" ht="14.25" customHeight="1"/>
    <row r="30939" ht="14.25" customHeight="1"/>
    <row r="30940" ht="14.25" customHeight="1"/>
    <row r="30941" ht="14.25" customHeight="1"/>
    <row r="30942" ht="14.25" customHeight="1"/>
    <row r="30943" ht="14.25" customHeight="1"/>
    <row r="30944" ht="14.25" customHeight="1"/>
    <row r="30945" ht="14.25" customHeight="1"/>
    <row r="30946" ht="14.25" customHeight="1"/>
    <row r="30947" ht="14.25" customHeight="1"/>
    <row r="30948" ht="14.25" customHeight="1"/>
    <row r="30949" ht="14.25" customHeight="1"/>
    <row r="30950" ht="14.25" customHeight="1"/>
    <row r="30951" ht="14.25" customHeight="1"/>
    <row r="30952" ht="14.25" customHeight="1"/>
    <row r="30953" ht="14.25" customHeight="1"/>
    <row r="30954" ht="14.25" customHeight="1"/>
    <row r="30955" ht="14.25" customHeight="1"/>
    <row r="30956" ht="14.25" customHeight="1"/>
    <row r="30957" ht="14.25" customHeight="1"/>
    <row r="30958" ht="14.25" customHeight="1"/>
    <row r="30959" ht="14.25" customHeight="1"/>
    <row r="30960" ht="14.25" customHeight="1"/>
    <row r="30961" ht="14.25" customHeight="1"/>
    <row r="30962" ht="14.25" customHeight="1"/>
    <row r="30963" ht="14.25" customHeight="1"/>
    <row r="30964" ht="14.25" customHeight="1"/>
    <row r="30965" ht="14.25" customHeight="1"/>
    <row r="30966" ht="14.25" customHeight="1"/>
    <row r="30967" ht="14.25" customHeight="1"/>
    <row r="30968" ht="14.25" customHeight="1"/>
    <row r="30969" ht="14.25" customHeight="1"/>
    <row r="30970" ht="14.25" customHeight="1"/>
    <row r="30971" ht="14.25" customHeight="1"/>
    <row r="30972" ht="14.25" customHeight="1"/>
    <row r="30973" ht="14.25" customHeight="1"/>
    <row r="30974" ht="14.25" customHeight="1"/>
    <row r="30975" ht="14.25" customHeight="1"/>
    <row r="30976" ht="14.25" customHeight="1"/>
    <row r="30977" ht="14.25" customHeight="1"/>
    <row r="30978" ht="14.25" customHeight="1"/>
    <row r="30979" ht="14.25" customHeight="1"/>
    <row r="30980" ht="14.25" customHeight="1"/>
    <row r="30981" ht="14.25" customHeight="1"/>
    <row r="30982" ht="14.25" customHeight="1"/>
    <row r="30983" ht="14.25" customHeight="1"/>
    <row r="30984" ht="14.25" customHeight="1"/>
    <row r="30985" ht="14.25" customHeight="1"/>
    <row r="30986" ht="14.25" customHeight="1"/>
    <row r="30987" ht="14.25" customHeight="1"/>
    <row r="30988" ht="14.25" customHeight="1"/>
    <row r="30989" ht="14.25" customHeight="1"/>
    <row r="30990" ht="14.25" customHeight="1"/>
    <row r="30991" ht="14.25" customHeight="1"/>
    <row r="30992" ht="14.25" customHeight="1"/>
    <row r="30993" ht="14.25" customHeight="1"/>
    <row r="30994" ht="14.25" customHeight="1"/>
    <row r="30995" ht="14.25" customHeight="1"/>
    <row r="30996" ht="14.25" customHeight="1"/>
    <row r="30997" ht="14.25" customHeight="1"/>
    <row r="30998" ht="14.25" customHeight="1"/>
    <row r="30999" ht="14.25" customHeight="1"/>
    <row r="31000" ht="14.25" customHeight="1"/>
    <row r="31001" ht="14.25" customHeight="1"/>
    <row r="31002" ht="14.25" customHeight="1"/>
    <row r="31003" ht="14.25" customHeight="1"/>
    <row r="31004" ht="14.25" customHeight="1"/>
    <row r="31005" ht="14.25" customHeight="1"/>
    <row r="31006" ht="14.25" customHeight="1"/>
    <row r="31007" ht="14.25" customHeight="1"/>
    <row r="31008" ht="14.25" customHeight="1"/>
    <row r="31009" ht="14.25" customHeight="1"/>
    <row r="31010" ht="14.25" customHeight="1"/>
    <row r="31011" ht="14.25" customHeight="1"/>
    <row r="31012" ht="14.25" customHeight="1"/>
    <row r="31013" ht="14.25" customHeight="1"/>
    <row r="31014" ht="14.25" customHeight="1"/>
    <row r="31015" ht="14.25" customHeight="1"/>
    <row r="31016" ht="14.25" customHeight="1"/>
    <row r="31017" ht="14.25" customHeight="1"/>
    <row r="31018" ht="14.25" customHeight="1"/>
    <row r="31019" ht="14.25" customHeight="1"/>
    <row r="31020" ht="14.25" customHeight="1"/>
    <row r="31021" ht="14.25" customHeight="1"/>
    <row r="31022" ht="14.25" customHeight="1"/>
    <row r="31023" ht="14.25" customHeight="1"/>
    <row r="31024" ht="14.25" customHeight="1"/>
    <row r="31025" ht="14.25" customHeight="1"/>
    <row r="31026" ht="14.25" customHeight="1"/>
    <row r="31027" ht="14.25" customHeight="1"/>
    <row r="31028" ht="14.25" customHeight="1"/>
    <row r="31029" ht="14.25" customHeight="1"/>
    <row r="31030" ht="14.25" customHeight="1"/>
    <row r="31031" ht="14.25" customHeight="1"/>
    <row r="31032" ht="14.25" customHeight="1"/>
    <row r="31033" ht="14.25" customHeight="1"/>
    <row r="31034" ht="14.25" customHeight="1"/>
    <row r="31035" ht="14.25" customHeight="1"/>
    <row r="31036" ht="14.25" customHeight="1"/>
    <row r="31037" ht="14.25" customHeight="1"/>
    <row r="31038" ht="14.25" customHeight="1"/>
    <row r="31039" ht="14.25" customHeight="1"/>
    <row r="31040" ht="14.25" customHeight="1"/>
    <row r="31041" ht="14.25" customHeight="1"/>
    <row r="31042" ht="14.25" customHeight="1"/>
    <row r="31043" ht="14.25" customHeight="1"/>
    <row r="31044" ht="14.25" customHeight="1"/>
    <row r="31045" ht="14.25" customHeight="1"/>
    <row r="31046" ht="14.25" customHeight="1"/>
    <row r="31047" ht="14.25" customHeight="1"/>
    <row r="31048" ht="14.25" customHeight="1"/>
    <row r="31049" ht="14.25" customHeight="1"/>
    <row r="31050" ht="14.25" customHeight="1"/>
    <row r="31051" ht="14.25" customHeight="1"/>
    <row r="31052" ht="14.25" customHeight="1"/>
    <row r="31053" ht="14.25" customHeight="1"/>
    <row r="31054" ht="14.25" customHeight="1"/>
    <row r="31055" ht="14.25" customHeight="1"/>
    <row r="31056" ht="14.25" customHeight="1"/>
    <row r="31057" ht="14.25" customHeight="1"/>
    <row r="31058" ht="14.25" customHeight="1"/>
    <row r="31059" ht="14.25" customHeight="1"/>
    <row r="31060" ht="14.25" customHeight="1"/>
    <row r="31061" ht="14.25" customHeight="1"/>
    <row r="31062" ht="14.25" customHeight="1"/>
    <row r="31063" ht="14.25" customHeight="1"/>
    <row r="31064" ht="14.25" customHeight="1"/>
    <row r="31065" ht="14.25" customHeight="1"/>
    <row r="31066" ht="14.25" customHeight="1"/>
    <row r="31067" ht="14.25" customHeight="1"/>
    <row r="31068" ht="14.25" customHeight="1"/>
    <row r="31069" ht="14.25" customHeight="1"/>
    <row r="31070" ht="14.25" customHeight="1"/>
    <row r="31071" ht="14.25" customHeight="1"/>
    <row r="31072" ht="14.25" customHeight="1"/>
    <row r="31073" ht="14.25" customHeight="1"/>
    <row r="31074" ht="14.25" customHeight="1"/>
    <row r="31075" ht="14.25" customHeight="1"/>
    <row r="31076" ht="14.25" customHeight="1"/>
    <row r="31077" ht="14.25" customHeight="1"/>
    <row r="31078" ht="14.25" customHeight="1"/>
    <row r="31079" ht="14.25" customHeight="1"/>
    <row r="31080" ht="14.25" customHeight="1"/>
    <row r="31081" ht="14.25" customHeight="1"/>
    <row r="31082" ht="14.25" customHeight="1"/>
    <row r="31083" ht="14.25" customHeight="1"/>
    <row r="31084" ht="14.25" customHeight="1"/>
    <row r="31085" ht="14.25" customHeight="1"/>
    <row r="31086" ht="14.25" customHeight="1"/>
    <row r="31087" ht="14.25" customHeight="1"/>
    <row r="31088" ht="14.25" customHeight="1"/>
    <row r="31089" ht="14.25" customHeight="1"/>
    <row r="31090" ht="14.25" customHeight="1"/>
    <row r="31091" ht="14.25" customHeight="1"/>
    <row r="31092" ht="14.25" customHeight="1"/>
    <row r="31093" ht="14.25" customHeight="1"/>
    <row r="31094" ht="14.25" customHeight="1"/>
    <row r="31095" ht="14.25" customHeight="1"/>
    <row r="31096" ht="14.25" customHeight="1"/>
    <row r="31097" ht="14.25" customHeight="1"/>
    <row r="31098" ht="14.25" customHeight="1"/>
    <row r="31099" ht="14.25" customHeight="1"/>
    <row r="31100" ht="14.25" customHeight="1"/>
    <row r="31101" ht="14.25" customHeight="1"/>
    <row r="31102" ht="14.25" customHeight="1"/>
    <row r="31103" ht="14.25" customHeight="1"/>
    <row r="31104" ht="14.25" customHeight="1"/>
    <row r="31105" ht="14.25" customHeight="1"/>
    <row r="31106" ht="14.25" customHeight="1"/>
    <row r="31107" ht="14.25" customHeight="1"/>
    <row r="31108" ht="14.25" customHeight="1"/>
    <row r="31109" ht="14.25" customHeight="1"/>
    <row r="31110" ht="14.25" customHeight="1"/>
    <row r="31111" ht="14.25" customHeight="1"/>
    <row r="31112" ht="14.25" customHeight="1"/>
    <row r="31113" ht="14.25" customHeight="1"/>
    <row r="31114" ht="14.25" customHeight="1"/>
    <row r="31115" ht="14.25" customHeight="1"/>
    <row r="31116" ht="14.25" customHeight="1"/>
    <row r="31117" ht="14.25" customHeight="1"/>
    <row r="31118" ht="14.25" customHeight="1"/>
    <row r="31119" ht="14.25" customHeight="1"/>
    <row r="31120" ht="14.25" customHeight="1"/>
    <row r="31121" ht="14.25" customHeight="1"/>
    <row r="31122" ht="14.25" customHeight="1"/>
    <row r="31123" ht="14.25" customHeight="1"/>
    <row r="31124" ht="14.25" customHeight="1"/>
    <row r="31125" ht="14.25" customHeight="1"/>
    <row r="31126" ht="14.25" customHeight="1"/>
    <row r="31127" ht="14.25" customHeight="1"/>
    <row r="31128" ht="14.25" customHeight="1"/>
    <row r="31129" ht="14.25" customHeight="1"/>
    <row r="31130" ht="14.25" customHeight="1"/>
    <row r="31131" ht="14.25" customHeight="1"/>
    <row r="31132" ht="14.25" customHeight="1"/>
    <row r="31133" ht="14.25" customHeight="1"/>
    <row r="31134" ht="14.25" customHeight="1"/>
    <row r="31135" ht="14.25" customHeight="1"/>
    <row r="31136" ht="14.25" customHeight="1"/>
    <row r="31137" ht="14.25" customHeight="1"/>
    <row r="31138" ht="14.25" customHeight="1"/>
    <row r="31139" ht="14.25" customHeight="1"/>
    <row r="31140" ht="14.25" customHeight="1"/>
    <row r="31141" ht="14.25" customHeight="1"/>
    <row r="31142" ht="14.25" customHeight="1"/>
    <row r="31143" ht="14.25" customHeight="1"/>
    <row r="31144" ht="14.25" customHeight="1"/>
    <row r="31145" ht="14.25" customHeight="1"/>
    <row r="31146" ht="14.25" customHeight="1"/>
    <row r="31147" ht="14.25" customHeight="1"/>
    <row r="31148" ht="14.25" customHeight="1"/>
    <row r="31149" ht="14.25" customHeight="1"/>
    <row r="31150" ht="14.25" customHeight="1"/>
    <row r="31151" ht="14.25" customHeight="1"/>
    <row r="31152" ht="14.25" customHeight="1"/>
    <row r="31153" ht="14.25" customHeight="1"/>
    <row r="31154" ht="14.25" customHeight="1"/>
    <row r="31155" ht="14.25" customHeight="1"/>
    <row r="31156" ht="14.25" customHeight="1"/>
    <row r="31157" ht="14.25" customHeight="1"/>
    <row r="31158" ht="14.25" customHeight="1"/>
    <row r="31159" ht="14.25" customHeight="1"/>
    <row r="31160" ht="14.25" customHeight="1"/>
    <row r="31161" ht="14.25" customHeight="1"/>
    <row r="31162" ht="14.25" customHeight="1"/>
    <row r="31163" ht="14.25" customHeight="1"/>
    <row r="31164" ht="14.25" customHeight="1"/>
    <row r="31165" ht="14.25" customHeight="1"/>
    <row r="31166" ht="14.25" customHeight="1"/>
    <row r="31167" ht="14.25" customHeight="1"/>
    <row r="31168" ht="14.25" customHeight="1"/>
    <row r="31169" ht="14.25" customHeight="1"/>
    <row r="31170" ht="14.25" customHeight="1"/>
    <row r="31171" ht="14.25" customHeight="1"/>
    <row r="31172" ht="14.25" customHeight="1"/>
    <row r="31173" ht="14.25" customHeight="1"/>
    <row r="31174" ht="14.25" customHeight="1"/>
    <row r="31175" ht="14.25" customHeight="1"/>
    <row r="31176" ht="14.25" customHeight="1"/>
    <row r="31177" ht="14.25" customHeight="1"/>
    <row r="31178" ht="14.25" customHeight="1"/>
    <row r="31179" ht="14.25" customHeight="1"/>
    <row r="31180" ht="14.25" customHeight="1"/>
    <row r="31181" ht="14.25" customHeight="1"/>
    <row r="31182" ht="14.25" customHeight="1"/>
    <row r="31183" ht="14.25" customHeight="1"/>
    <row r="31184" ht="14.25" customHeight="1"/>
    <row r="31185" ht="14.25" customHeight="1"/>
    <row r="31186" ht="14.25" customHeight="1"/>
    <row r="31187" ht="14.25" customHeight="1"/>
    <row r="31188" ht="14.25" customHeight="1"/>
    <row r="31189" ht="14.25" customHeight="1"/>
    <row r="31190" ht="14.25" customHeight="1"/>
    <row r="31191" ht="14.25" customHeight="1"/>
    <row r="31192" ht="14.25" customHeight="1"/>
    <row r="31193" ht="14.25" customHeight="1"/>
    <row r="31194" ht="14.25" customHeight="1"/>
    <row r="31195" ht="14.25" customHeight="1"/>
    <row r="31196" ht="14.25" customHeight="1"/>
    <row r="31197" ht="14.25" customHeight="1"/>
    <row r="31198" ht="14.25" customHeight="1"/>
    <row r="31199" ht="14.25" customHeight="1"/>
    <row r="31200" ht="14.25" customHeight="1"/>
    <row r="31201" ht="14.25" customHeight="1"/>
    <row r="31202" ht="14.25" customHeight="1"/>
    <row r="31203" ht="14.25" customHeight="1"/>
    <row r="31204" ht="14.25" customHeight="1"/>
    <row r="31205" ht="14.25" customHeight="1"/>
    <row r="31206" ht="14.25" customHeight="1"/>
    <row r="31207" ht="14.25" customHeight="1"/>
    <row r="31208" ht="14.25" customHeight="1"/>
    <row r="31209" ht="14.25" customHeight="1"/>
    <row r="31210" ht="14.25" customHeight="1"/>
    <row r="31211" ht="14.25" customHeight="1"/>
    <row r="31212" ht="14.25" customHeight="1"/>
    <row r="31213" ht="14.25" customHeight="1"/>
    <row r="31214" ht="14.25" customHeight="1"/>
    <row r="31215" ht="14.25" customHeight="1"/>
    <row r="31216" ht="14.25" customHeight="1"/>
    <row r="31217" ht="14.25" customHeight="1"/>
    <row r="31218" ht="14.25" customHeight="1"/>
    <row r="31219" ht="14.25" customHeight="1"/>
    <row r="31220" ht="14.25" customHeight="1"/>
    <row r="31221" ht="14.25" customHeight="1"/>
    <row r="31222" ht="14.25" customHeight="1"/>
    <row r="31223" ht="14.25" customHeight="1"/>
    <row r="31224" ht="14.25" customHeight="1"/>
    <row r="31225" ht="14.25" customHeight="1"/>
    <row r="31226" ht="14.25" customHeight="1"/>
    <row r="31227" ht="14.25" customHeight="1"/>
    <row r="31228" ht="14.25" customHeight="1"/>
    <row r="31229" ht="14.25" customHeight="1"/>
    <row r="31230" ht="14.25" customHeight="1"/>
    <row r="31231" ht="14.25" customHeight="1"/>
    <row r="31232" ht="14.25" customHeight="1"/>
    <row r="31233" ht="14.25" customHeight="1"/>
    <row r="31234" ht="14.25" customHeight="1"/>
    <row r="31235" ht="14.25" customHeight="1"/>
    <row r="31236" ht="14.25" customHeight="1"/>
    <row r="31237" ht="14.25" customHeight="1"/>
    <row r="31238" ht="14.25" customHeight="1"/>
    <row r="31239" ht="14.25" customHeight="1"/>
    <row r="31240" ht="14.25" customHeight="1"/>
    <row r="31241" ht="14.25" customHeight="1"/>
    <row r="31242" ht="14.25" customHeight="1"/>
    <row r="31243" ht="14.25" customHeight="1"/>
    <row r="31244" ht="14.25" customHeight="1"/>
    <row r="31245" ht="14.25" customHeight="1"/>
    <row r="31246" ht="14.25" customHeight="1"/>
    <row r="31247" ht="14.25" customHeight="1"/>
    <row r="31248" ht="14.25" customHeight="1"/>
    <row r="31249" ht="14.25" customHeight="1"/>
    <row r="31250" ht="14.25" customHeight="1"/>
    <row r="31251" ht="14.25" customHeight="1"/>
    <row r="31252" ht="14.25" customHeight="1"/>
    <row r="31253" ht="14.25" customHeight="1"/>
    <row r="31254" ht="14.25" customHeight="1"/>
    <row r="31255" ht="14.25" customHeight="1"/>
    <row r="31256" ht="14.25" customHeight="1"/>
    <row r="31257" ht="14.25" customHeight="1"/>
    <row r="31258" ht="14.25" customHeight="1"/>
    <row r="31259" ht="14.25" customHeight="1"/>
    <row r="31260" ht="14.25" customHeight="1"/>
    <row r="31261" ht="14.25" customHeight="1"/>
    <row r="31262" ht="14.25" customHeight="1"/>
    <row r="31263" ht="14.25" customHeight="1"/>
    <row r="31264" ht="14.25" customHeight="1"/>
    <row r="31265" ht="14.25" customHeight="1"/>
    <row r="31266" ht="14.25" customHeight="1"/>
    <row r="31267" ht="14.25" customHeight="1"/>
    <row r="31268" ht="14.25" customHeight="1"/>
    <row r="31269" ht="14.25" customHeight="1"/>
    <row r="31270" ht="14.25" customHeight="1"/>
    <row r="31271" ht="14.25" customHeight="1"/>
    <row r="31272" ht="14.25" customHeight="1"/>
    <row r="31273" ht="14.25" customHeight="1"/>
    <row r="31274" ht="14.25" customHeight="1"/>
    <row r="31275" ht="14.25" customHeight="1"/>
    <row r="31276" ht="14.25" customHeight="1"/>
    <row r="31277" ht="14.25" customHeight="1"/>
    <row r="31278" ht="14.25" customHeight="1"/>
    <row r="31279" ht="14.25" customHeight="1"/>
    <row r="31280" ht="14.25" customHeight="1"/>
    <row r="31281" ht="14.25" customHeight="1"/>
    <row r="31282" ht="14.25" customHeight="1"/>
    <row r="31283" ht="14.25" customHeight="1"/>
    <row r="31284" ht="14.25" customHeight="1"/>
    <row r="31285" ht="14.25" customHeight="1"/>
    <row r="31286" ht="14.25" customHeight="1"/>
    <row r="31287" ht="14.25" customHeight="1"/>
    <row r="31288" ht="14.25" customHeight="1"/>
    <row r="31289" ht="14.25" customHeight="1"/>
    <row r="31290" ht="14.25" customHeight="1"/>
    <row r="31291" ht="14.25" customHeight="1"/>
    <row r="31292" ht="14.25" customHeight="1"/>
    <row r="31293" ht="14.25" customHeight="1"/>
    <row r="31294" ht="14.25" customHeight="1"/>
    <row r="31295" ht="14.25" customHeight="1"/>
    <row r="31296" ht="14.25" customHeight="1"/>
    <row r="31297" ht="14.25" customHeight="1"/>
    <row r="31298" ht="14.25" customHeight="1"/>
    <row r="31299" ht="14.25" customHeight="1"/>
    <row r="31300" ht="14.25" customHeight="1"/>
    <row r="31301" ht="14.25" customHeight="1"/>
    <row r="31302" ht="14.25" customHeight="1"/>
    <row r="31303" ht="14.25" customHeight="1"/>
    <row r="31304" ht="14.25" customHeight="1"/>
    <row r="31305" ht="14.25" customHeight="1"/>
    <row r="31306" ht="14.25" customHeight="1"/>
    <row r="31307" ht="14.25" customHeight="1"/>
    <row r="31308" ht="14.25" customHeight="1"/>
    <row r="31309" ht="14.25" customHeight="1"/>
    <row r="31310" ht="14.25" customHeight="1"/>
    <row r="31311" ht="14.25" customHeight="1"/>
    <row r="31312" ht="14.25" customHeight="1"/>
    <row r="31313" ht="14.25" customHeight="1"/>
    <row r="31314" ht="14.25" customHeight="1"/>
    <row r="31315" ht="14.25" customHeight="1"/>
    <row r="31316" ht="14.25" customHeight="1"/>
    <row r="31317" ht="14.25" customHeight="1"/>
    <row r="31318" ht="14.25" customHeight="1"/>
    <row r="31319" ht="14.25" customHeight="1"/>
    <row r="31320" ht="14.25" customHeight="1"/>
    <row r="31321" ht="14.25" customHeight="1"/>
    <row r="31322" ht="14.25" customHeight="1"/>
    <row r="31323" ht="14.25" customHeight="1"/>
    <row r="31324" ht="14.25" customHeight="1"/>
    <row r="31325" ht="14.25" customHeight="1"/>
    <row r="31326" ht="14.25" customHeight="1"/>
    <row r="31327" ht="14.25" customHeight="1"/>
    <row r="31328" ht="14.25" customHeight="1"/>
    <row r="31329" ht="14.25" customHeight="1"/>
    <row r="31330" ht="14.25" customHeight="1"/>
    <row r="31331" ht="14.25" customHeight="1"/>
    <row r="31332" ht="14.25" customHeight="1"/>
    <row r="31333" ht="14.25" customHeight="1"/>
    <row r="31334" ht="14.25" customHeight="1"/>
    <row r="31335" ht="14.25" customHeight="1"/>
    <row r="31336" ht="14.25" customHeight="1"/>
    <row r="31337" ht="14.25" customHeight="1"/>
    <row r="31338" ht="14.25" customHeight="1"/>
    <row r="31339" ht="14.25" customHeight="1"/>
    <row r="31340" ht="14.25" customHeight="1"/>
    <row r="31341" ht="14.25" customHeight="1"/>
    <row r="31342" ht="14.25" customHeight="1"/>
    <row r="31343" ht="14.25" customHeight="1"/>
    <row r="31344" ht="14.25" customHeight="1"/>
    <row r="31345" ht="14.25" customHeight="1"/>
    <row r="31346" ht="14.25" customHeight="1"/>
    <row r="31347" ht="14.25" customHeight="1"/>
    <row r="31348" ht="14.25" customHeight="1"/>
    <row r="31349" ht="14.25" customHeight="1"/>
    <row r="31350" ht="14.25" customHeight="1"/>
    <row r="31351" ht="14.25" customHeight="1"/>
    <row r="31352" ht="14.25" customHeight="1"/>
    <row r="31353" ht="14.25" customHeight="1"/>
    <row r="31354" ht="14.25" customHeight="1"/>
    <row r="31355" ht="14.25" customHeight="1"/>
    <row r="31356" ht="14.25" customHeight="1"/>
    <row r="31357" ht="14.25" customHeight="1"/>
    <row r="31358" ht="14.25" customHeight="1"/>
    <row r="31359" ht="14.25" customHeight="1"/>
    <row r="31360" ht="14.25" customHeight="1"/>
    <row r="31361" ht="14.25" customHeight="1"/>
    <row r="31362" ht="14.25" customHeight="1"/>
    <row r="31363" ht="14.25" customHeight="1"/>
    <row r="31364" ht="14.25" customHeight="1"/>
    <row r="31365" ht="14.25" customHeight="1"/>
    <row r="31366" ht="14.25" customHeight="1"/>
    <row r="31367" ht="14.25" customHeight="1"/>
    <row r="31368" ht="14.25" customHeight="1"/>
    <row r="31369" ht="14.25" customHeight="1"/>
    <row r="31370" ht="14.25" customHeight="1"/>
    <row r="31371" ht="14.25" customHeight="1"/>
    <row r="31372" ht="14.25" customHeight="1"/>
    <row r="31373" ht="14.25" customHeight="1"/>
    <row r="31374" ht="14.25" customHeight="1"/>
    <row r="31375" ht="14.25" customHeight="1"/>
    <row r="31376" ht="14.25" customHeight="1"/>
    <row r="31377" ht="14.25" customHeight="1"/>
    <row r="31378" ht="14.25" customHeight="1"/>
    <row r="31379" ht="14.25" customHeight="1"/>
    <row r="31380" ht="14.25" customHeight="1"/>
    <row r="31381" ht="14.25" customHeight="1"/>
    <row r="31382" ht="14.25" customHeight="1"/>
    <row r="31383" ht="14.25" customHeight="1"/>
    <row r="31384" ht="14.25" customHeight="1"/>
    <row r="31385" ht="14.25" customHeight="1"/>
    <row r="31386" ht="14.25" customHeight="1"/>
    <row r="31387" ht="14.25" customHeight="1"/>
    <row r="31388" ht="14.25" customHeight="1"/>
    <row r="31389" ht="14.25" customHeight="1"/>
    <row r="31390" ht="14.25" customHeight="1"/>
    <row r="31391" ht="14.25" customHeight="1"/>
    <row r="31392" ht="14.25" customHeight="1"/>
    <row r="31393" ht="14.25" customHeight="1"/>
    <row r="31394" ht="14.25" customHeight="1"/>
    <row r="31395" ht="14.25" customHeight="1"/>
    <row r="31396" ht="14.25" customHeight="1"/>
    <row r="31397" ht="14.25" customHeight="1"/>
    <row r="31398" ht="14.25" customHeight="1"/>
    <row r="31399" ht="14.25" customHeight="1"/>
    <row r="31400" ht="14.25" customHeight="1"/>
    <row r="31401" ht="14.25" customHeight="1"/>
    <row r="31402" ht="14.25" customHeight="1"/>
    <row r="31403" ht="14.25" customHeight="1"/>
    <row r="31404" ht="14.25" customHeight="1"/>
    <row r="31405" ht="14.25" customHeight="1"/>
    <row r="31406" ht="14.25" customHeight="1"/>
    <row r="31407" ht="14.25" customHeight="1"/>
    <row r="31408" ht="14.25" customHeight="1"/>
    <row r="31409" ht="14.25" customHeight="1"/>
    <row r="31410" ht="14.25" customHeight="1"/>
    <row r="31411" ht="14.25" customHeight="1"/>
    <row r="31412" ht="14.25" customHeight="1"/>
    <row r="31413" ht="14.25" customHeight="1"/>
    <row r="31414" ht="14.25" customHeight="1"/>
    <row r="31415" ht="14.25" customHeight="1"/>
    <row r="31416" ht="14.25" customHeight="1"/>
    <row r="31417" ht="14.25" customHeight="1"/>
    <row r="31418" ht="14.25" customHeight="1"/>
    <row r="31419" ht="14.25" customHeight="1"/>
    <row r="31420" ht="14.25" customHeight="1"/>
    <row r="31421" ht="14.25" customHeight="1"/>
    <row r="31422" ht="14.25" customHeight="1"/>
    <row r="31423" ht="14.25" customHeight="1"/>
    <row r="31424" ht="14.25" customHeight="1"/>
    <row r="31425" ht="14.25" customHeight="1"/>
    <row r="31426" ht="14.25" customHeight="1"/>
    <row r="31427" ht="14.25" customHeight="1"/>
    <row r="31428" ht="14.25" customHeight="1"/>
    <row r="31429" ht="14.25" customHeight="1"/>
    <row r="31430" ht="14.25" customHeight="1"/>
    <row r="31431" ht="14.25" customHeight="1"/>
    <row r="31432" ht="14.25" customHeight="1"/>
    <row r="31433" ht="14.25" customHeight="1"/>
    <row r="31434" ht="14.25" customHeight="1"/>
    <row r="31435" ht="14.25" customHeight="1"/>
    <row r="31436" ht="14.25" customHeight="1"/>
    <row r="31437" ht="14.25" customHeight="1"/>
    <row r="31438" ht="14.25" customHeight="1"/>
    <row r="31439" ht="14.25" customHeight="1"/>
    <row r="31440" ht="14.25" customHeight="1"/>
    <row r="31441" ht="14.25" customHeight="1"/>
    <row r="31442" ht="14.25" customHeight="1"/>
    <row r="31443" ht="14.25" customHeight="1"/>
    <row r="31444" ht="14.25" customHeight="1"/>
    <row r="31445" ht="14.25" customHeight="1"/>
    <row r="31446" ht="14.25" customHeight="1"/>
    <row r="31447" ht="14.25" customHeight="1"/>
    <row r="31448" ht="14.25" customHeight="1"/>
    <row r="31449" ht="14.25" customHeight="1"/>
    <row r="31450" ht="14.25" customHeight="1"/>
    <row r="31451" ht="14.25" customHeight="1"/>
    <row r="31452" ht="14.25" customHeight="1"/>
    <row r="31453" ht="14.25" customHeight="1"/>
    <row r="31454" ht="14.25" customHeight="1"/>
    <row r="31455" ht="14.25" customHeight="1"/>
    <row r="31456" ht="14.25" customHeight="1"/>
    <row r="31457" ht="14.25" customHeight="1"/>
    <row r="31458" ht="14.25" customHeight="1"/>
    <row r="31459" ht="14.25" customHeight="1"/>
    <row r="31460" ht="14.25" customHeight="1"/>
    <row r="31461" ht="14.25" customHeight="1"/>
    <row r="31462" ht="14.25" customHeight="1"/>
    <row r="31463" ht="14.25" customHeight="1"/>
    <row r="31464" ht="14.25" customHeight="1"/>
    <row r="31465" ht="14.25" customHeight="1"/>
    <row r="31466" ht="14.25" customHeight="1"/>
    <row r="31467" ht="14.25" customHeight="1"/>
    <row r="31468" ht="14.25" customHeight="1"/>
    <row r="31469" ht="14.25" customHeight="1"/>
    <row r="31470" ht="14.25" customHeight="1"/>
    <row r="31471" ht="14.25" customHeight="1"/>
    <row r="31472" ht="14.25" customHeight="1"/>
    <row r="31473" ht="14.25" customHeight="1"/>
    <row r="31474" ht="14.25" customHeight="1"/>
    <row r="31475" ht="14.25" customHeight="1"/>
    <row r="31476" ht="14.25" customHeight="1"/>
    <row r="31477" ht="14.25" customHeight="1"/>
    <row r="31478" ht="14.25" customHeight="1"/>
    <row r="31479" ht="14.25" customHeight="1"/>
    <row r="31480" ht="14.25" customHeight="1"/>
    <row r="31481" ht="14.25" customHeight="1"/>
    <row r="31482" ht="14.25" customHeight="1"/>
    <row r="31483" ht="14.25" customHeight="1"/>
    <row r="31484" ht="14.25" customHeight="1"/>
    <row r="31485" ht="14.25" customHeight="1"/>
    <row r="31486" ht="14.25" customHeight="1"/>
    <row r="31487" ht="14.25" customHeight="1"/>
    <row r="31488" ht="14.25" customHeight="1"/>
    <row r="31489" ht="14.25" customHeight="1"/>
    <row r="31490" ht="14.25" customHeight="1"/>
    <row r="31491" ht="14.25" customHeight="1"/>
    <row r="31492" ht="14.25" customHeight="1"/>
    <row r="31493" ht="14.25" customHeight="1"/>
    <row r="31494" ht="14.25" customHeight="1"/>
    <row r="31495" ht="14.25" customHeight="1"/>
    <row r="31496" ht="14.25" customHeight="1"/>
    <row r="31497" ht="14.25" customHeight="1"/>
    <row r="31498" ht="14.25" customHeight="1"/>
    <row r="31499" ht="14.25" customHeight="1"/>
    <row r="31500" ht="14.25" customHeight="1"/>
    <row r="31501" ht="14.25" customHeight="1"/>
    <row r="31502" ht="14.25" customHeight="1"/>
    <row r="31503" ht="14.25" customHeight="1"/>
    <row r="31504" ht="14.25" customHeight="1"/>
    <row r="31505" ht="14.25" customHeight="1"/>
    <row r="31506" ht="14.25" customHeight="1"/>
    <row r="31507" ht="14.25" customHeight="1"/>
    <row r="31508" ht="14.25" customHeight="1"/>
    <row r="31509" ht="14.25" customHeight="1"/>
    <row r="31510" ht="14.25" customHeight="1"/>
    <row r="31511" ht="14.25" customHeight="1"/>
    <row r="31512" ht="14.25" customHeight="1"/>
    <row r="31513" ht="14.25" customHeight="1"/>
    <row r="31514" ht="14.25" customHeight="1"/>
    <row r="31515" ht="14.25" customHeight="1"/>
    <row r="31516" ht="14.25" customHeight="1"/>
    <row r="31517" ht="14.25" customHeight="1"/>
    <row r="31518" ht="14.25" customHeight="1"/>
    <row r="31519" ht="14.25" customHeight="1"/>
    <row r="31520" ht="14.25" customHeight="1"/>
    <row r="31521" ht="14.25" customHeight="1"/>
    <row r="31522" ht="14.25" customHeight="1"/>
    <row r="31523" ht="14.25" customHeight="1"/>
    <row r="31524" ht="14.25" customHeight="1"/>
    <row r="31525" ht="14.25" customHeight="1"/>
    <row r="31526" ht="14.25" customHeight="1"/>
    <row r="31527" ht="14.25" customHeight="1"/>
    <row r="31528" ht="14.25" customHeight="1"/>
    <row r="31529" ht="14.25" customHeight="1"/>
    <row r="31530" ht="14.25" customHeight="1"/>
    <row r="31531" ht="14.25" customHeight="1"/>
    <row r="31532" ht="14.25" customHeight="1"/>
    <row r="31533" ht="14.25" customHeight="1"/>
    <row r="31534" ht="14.25" customHeight="1"/>
    <row r="31535" ht="14.25" customHeight="1"/>
    <row r="31536" ht="14.25" customHeight="1"/>
    <row r="31537" ht="14.25" customHeight="1"/>
    <row r="31538" ht="14.25" customHeight="1"/>
    <row r="31539" ht="14.25" customHeight="1"/>
    <row r="31540" ht="14.25" customHeight="1"/>
    <row r="31541" ht="14.25" customHeight="1"/>
    <row r="31542" ht="14.25" customHeight="1"/>
    <row r="31543" ht="14.25" customHeight="1"/>
    <row r="31544" ht="14.25" customHeight="1"/>
    <row r="31545" ht="14.25" customHeight="1"/>
    <row r="31546" ht="14.25" customHeight="1"/>
    <row r="31547" ht="14.25" customHeight="1"/>
    <row r="31548" ht="14.25" customHeight="1"/>
    <row r="31549" ht="14.25" customHeight="1"/>
    <row r="31550" ht="14.25" customHeight="1"/>
    <row r="31551" ht="14.25" customHeight="1"/>
    <row r="31552" ht="14.25" customHeight="1"/>
    <row r="31553" ht="14.25" customHeight="1"/>
    <row r="31554" ht="14.25" customHeight="1"/>
    <row r="31555" ht="14.25" customHeight="1"/>
    <row r="31556" ht="14.25" customHeight="1"/>
    <row r="31557" ht="14.25" customHeight="1"/>
    <row r="31558" ht="14.25" customHeight="1"/>
    <row r="31559" ht="14.25" customHeight="1"/>
    <row r="31560" ht="14.25" customHeight="1"/>
    <row r="31561" ht="14.25" customHeight="1"/>
    <row r="31562" ht="14.25" customHeight="1"/>
    <row r="31563" ht="14.25" customHeight="1"/>
    <row r="31564" ht="14.25" customHeight="1"/>
    <row r="31565" ht="14.25" customHeight="1"/>
    <row r="31566" ht="14.25" customHeight="1"/>
    <row r="31567" ht="14.25" customHeight="1"/>
    <row r="31568" ht="14.25" customHeight="1"/>
    <row r="31569" ht="14.25" customHeight="1"/>
    <row r="31570" ht="14.25" customHeight="1"/>
    <row r="31571" ht="14.25" customHeight="1"/>
    <row r="31572" ht="14.25" customHeight="1"/>
    <row r="31573" ht="14.25" customHeight="1"/>
    <row r="31574" ht="14.25" customHeight="1"/>
    <row r="31575" ht="14.25" customHeight="1"/>
    <row r="31576" ht="14.25" customHeight="1"/>
    <row r="31577" ht="14.25" customHeight="1"/>
    <row r="31578" ht="14.25" customHeight="1"/>
    <row r="31579" ht="14.25" customHeight="1"/>
    <row r="31580" ht="14.25" customHeight="1"/>
    <row r="31581" ht="14.25" customHeight="1"/>
    <row r="31582" ht="14.25" customHeight="1"/>
    <row r="31583" ht="14.25" customHeight="1"/>
    <row r="31584" ht="14.25" customHeight="1"/>
    <row r="31585" ht="14.25" customHeight="1"/>
    <row r="31586" ht="14.25" customHeight="1"/>
    <row r="31587" ht="14.25" customHeight="1"/>
    <row r="31588" ht="14.25" customHeight="1"/>
    <row r="31589" ht="14.25" customHeight="1"/>
    <row r="31590" ht="14.25" customHeight="1"/>
    <row r="31591" ht="14.25" customHeight="1"/>
    <row r="31592" ht="14.25" customHeight="1"/>
    <row r="31593" ht="14.25" customHeight="1"/>
    <row r="31594" ht="14.25" customHeight="1"/>
    <row r="31595" ht="14.25" customHeight="1"/>
    <row r="31596" ht="14.25" customHeight="1"/>
    <row r="31597" ht="14.25" customHeight="1"/>
    <row r="31598" ht="14.25" customHeight="1"/>
    <row r="31599" ht="14.25" customHeight="1"/>
    <row r="31600" ht="14.25" customHeight="1"/>
    <row r="31601" ht="14.25" customHeight="1"/>
    <row r="31602" ht="14.25" customHeight="1"/>
    <row r="31603" ht="14.25" customHeight="1"/>
    <row r="31604" ht="14.25" customHeight="1"/>
    <row r="31605" ht="14.25" customHeight="1"/>
    <row r="31606" ht="14.25" customHeight="1"/>
    <row r="31607" ht="14.25" customHeight="1"/>
    <row r="31608" ht="14.25" customHeight="1"/>
    <row r="31609" ht="14.25" customHeight="1"/>
    <row r="31610" ht="14.25" customHeight="1"/>
    <row r="31611" ht="14.25" customHeight="1"/>
    <row r="31612" ht="14.25" customHeight="1"/>
    <row r="31613" ht="14.25" customHeight="1"/>
    <row r="31614" ht="14.25" customHeight="1"/>
    <row r="31615" ht="14.25" customHeight="1"/>
    <row r="31616" ht="14.25" customHeight="1"/>
    <row r="31617" ht="14.25" customHeight="1"/>
    <row r="31618" ht="14.25" customHeight="1"/>
    <row r="31619" ht="14.25" customHeight="1"/>
    <row r="31620" ht="14.25" customHeight="1"/>
    <row r="31621" ht="14.25" customHeight="1"/>
    <row r="31622" ht="14.25" customHeight="1"/>
    <row r="31623" ht="14.25" customHeight="1"/>
    <row r="31624" ht="14.25" customHeight="1"/>
    <row r="31625" ht="14.25" customHeight="1"/>
    <row r="31626" ht="14.25" customHeight="1"/>
    <row r="31627" ht="14.25" customHeight="1"/>
    <row r="31628" ht="14.25" customHeight="1"/>
    <row r="31629" ht="14.25" customHeight="1"/>
    <row r="31630" ht="14.25" customHeight="1"/>
    <row r="31631" ht="14.25" customHeight="1"/>
    <row r="31632" ht="14.25" customHeight="1"/>
    <row r="31633" ht="14.25" customHeight="1"/>
    <row r="31634" ht="14.25" customHeight="1"/>
    <row r="31635" ht="14.25" customHeight="1"/>
    <row r="31636" ht="14.25" customHeight="1"/>
    <row r="31637" ht="14.25" customHeight="1"/>
    <row r="31638" ht="14.25" customHeight="1"/>
    <row r="31639" ht="14.25" customHeight="1"/>
    <row r="31640" ht="14.25" customHeight="1"/>
    <row r="31641" ht="14.25" customHeight="1"/>
    <row r="31642" ht="14.25" customHeight="1"/>
    <row r="31643" ht="14.25" customHeight="1"/>
    <row r="31644" ht="14.25" customHeight="1"/>
    <row r="31645" ht="14.25" customHeight="1"/>
    <row r="31646" ht="14.25" customHeight="1"/>
    <row r="31647" ht="14.25" customHeight="1"/>
    <row r="31648" ht="14.25" customHeight="1"/>
    <row r="31649" ht="14.25" customHeight="1"/>
    <row r="31650" ht="14.25" customHeight="1"/>
    <row r="31651" ht="14.25" customHeight="1"/>
    <row r="31652" ht="14.25" customHeight="1"/>
    <row r="31653" ht="14.25" customHeight="1"/>
    <row r="31654" ht="14.25" customHeight="1"/>
    <row r="31655" ht="14.25" customHeight="1"/>
    <row r="31656" ht="14.25" customHeight="1"/>
    <row r="31657" ht="14.25" customHeight="1"/>
    <row r="31658" ht="14.25" customHeight="1"/>
    <row r="31659" ht="14.25" customHeight="1"/>
    <row r="31660" ht="14.25" customHeight="1"/>
    <row r="31661" ht="14.25" customHeight="1"/>
    <row r="31662" ht="14.25" customHeight="1"/>
    <row r="31663" ht="14.25" customHeight="1"/>
    <row r="31664" ht="14.25" customHeight="1"/>
    <row r="31665" ht="14.25" customHeight="1"/>
    <row r="31666" ht="14.25" customHeight="1"/>
    <row r="31667" ht="14.25" customHeight="1"/>
    <row r="31668" ht="14.25" customHeight="1"/>
    <row r="31669" ht="14.25" customHeight="1"/>
    <row r="31670" ht="14.25" customHeight="1"/>
    <row r="31671" ht="14.25" customHeight="1"/>
    <row r="31672" ht="14.25" customHeight="1"/>
    <row r="31673" ht="14.25" customHeight="1"/>
    <row r="31674" ht="14.25" customHeight="1"/>
    <row r="31675" ht="14.25" customHeight="1"/>
    <row r="31676" ht="14.25" customHeight="1"/>
    <row r="31677" ht="14.25" customHeight="1"/>
    <row r="31678" ht="14.25" customHeight="1"/>
    <row r="31679" ht="14.25" customHeight="1"/>
    <row r="31680" ht="14.25" customHeight="1"/>
    <row r="31681" ht="14.25" customHeight="1"/>
    <row r="31682" ht="14.25" customHeight="1"/>
    <row r="31683" ht="14.25" customHeight="1"/>
    <row r="31684" ht="14.25" customHeight="1"/>
    <row r="31685" ht="14.25" customHeight="1"/>
    <row r="31686" ht="14.25" customHeight="1"/>
    <row r="31687" ht="14.25" customHeight="1"/>
    <row r="31688" ht="14.25" customHeight="1"/>
    <row r="31689" ht="14.25" customHeight="1"/>
    <row r="31690" ht="14.25" customHeight="1"/>
    <row r="31691" ht="14.25" customHeight="1"/>
    <row r="31692" ht="14.25" customHeight="1"/>
    <row r="31693" ht="14.25" customHeight="1"/>
    <row r="31694" ht="14.25" customHeight="1"/>
    <row r="31695" ht="14.25" customHeight="1"/>
    <row r="31696" ht="14.25" customHeight="1"/>
    <row r="31697" ht="14.25" customHeight="1"/>
    <row r="31698" ht="14.25" customHeight="1"/>
    <row r="31699" ht="14.25" customHeight="1"/>
    <row r="31700" ht="14.25" customHeight="1"/>
    <row r="31701" ht="14.25" customHeight="1"/>
    <row r="31702" ht="14.25" customHeight="1"/>
    <row r="31703" ht="14.25" customHeight="1"/>
    <row r="31704" ht="14.25" customHeight="1"/>
    <row r="31705" ht="14.25" customHeight="1"/>
    <row r="31706" ht="14.25" customHeight="1"/>
    <row r="31707" ht="14.25" customHeight="1"/>
    <row r="31708" ht="14.25" customHeight="1"/>
    <row r="31709" ht="14.25" customHeight="1"/>
    <row r="31710" ht="14.25" customHeight="1"/>
    <row r="31711" ht="14.25" customHeight="1"/>
    <row r="31712" ht="14.25" customHeight="1"/>
    <row r="31713" ht="14.25" customHeight="1"/>
    <row r="31714" ht="14.25" customHeight="1"/>
    <row r="31715" ht="14.25" customHeight="1"/>
    <row r="31716" ht="14.25" customHeight="1"/>
    <row r="31717" ht="14.25" customHeight="1"/>
    <row r="31718" ht="14.25" customHeight="1"/>
    <row r="31719" ht="14.25" customHeight="1"/>
    <row r="31720" ht="14.25" customHeight="1"/>
    <row r="31721" ht="14.25" customHeight="1"/>
    <row r="31722" ht="14.25" customHeight="1"/>
    <row r="31723" ht="14.25" customHeight="1"/>
    <row r="31724" ht="14.25" customHeight="1"/>
    <row r="31725" ht="14.25" customHeight="1"/>
    <row r="31726" ht="14.25" customHeight="1"/>
    <row r="31727" ht="14.25" customHeight="1"/>
    <row r="31728" ht="14.25" customHeight="1"/>
    <row r="31729" ht="14.25" customHeight="1"/>
    <row r="31730" ht="14.25" customHeight="1"/>
    <row r="31731" ht="14.25" customHeight="1"/>
    <row r="31732" ht="14.25" customHeight="1"/>
    <row r="31733" ht="14.25" customHeight="1"/>
    <row r="31734" ht="14.25" customHeight="1"/>
    <row r="31735" ht="14.25" customHeight="1"/>
    <row r="31736" ht="14.25" customHeight="1"/>
    <row r="31737" ht="14.25" customHeight="1"/>
    <row r="31738" ht="14.25" customHeight="1"/>
    <row r="31739" ht="14.25" customHeight="1"/>
    <row r="31740" ht="14.25" customHeight="1"/>
    <row r="31741" ht="14.25" customHeight="1"/>
    <row r="31742" ht="14.25" customHeight="1"/>
    <row r="31743" ht="14.25" customHeight="1"/>
    <row r="31744" ht="14.25" customHeight="1"/>
    <row r="31745" ht="14.25" customHeight="1"/>
    <row r="31746" ht="14.25" customHeight="1"/>
    <row r="31747" ht="14.25" customHeight="1"/>
    <row r="31748" ht="14.25" customHeight="1"/>
    <row r="31749" ht="14.25" customHeight="1"/>
    <row r="31750" ht="14.25" customHeight="1"/>
    <row r="31751" ht="14.25" customHeight="1"/>
    <row r="31752" ht="14.25" customHeight="1"/>
    <row r="31753" ht="14.25" customHeight="1"/>
    <row r="31754" ht="14.25" customHeight="1"/>
    <row r="31755" ht="14.25" customHeight="1"/>
    <row r="31756" ht="14.25" customHeight="1"/>
    <row r="31757" ht="14.25" customHeight="1"/>
    <row r="31758" ht="14.25" customHeight="1"/>
    <row r="31759" ht="14.25" customHeight="1"/>
    <row r="31760" ht="14.25" customHeight="1"/>
    <row r="31761" ht="14.25" customHeight="1"/>
    <row r="31762" ht="14.25" customHeight="1"/>
    <row r="31763" ht="14.25" customHeight="1"/>
    <row r="31764" ht="14.25" customHeight="1"/>
    <row r="31765" ht="14.25" customHeight="1"/>
    <row r="31766" ht="14.25" customHeight="1"/>
    <row r="31767" ht="14.25" customHeight="1"/>
    <row r="31768" ht="14.25" customHeight="1"/>
    <row r="31769" ht="14.25" customHeight="1"/>
    <row r="31770" ht="14.25" customHeight="1"/>
    <row r="31771" ht="14.25" customHeight="1"/>
    <row r="31772" ht="14.25" customHeight="1"/>
    <row r="31773" ht="14.25" customHeight="1"/>
    <row r="31774" ht="14.25" customHeight="1"/>
    <row r="31775" ht="14.25" customHeight="1"/>
    <row r="31776" ht="14.25" customHeight="1"/>
    <row r="31777" ht="14.25" customHeight="1"/>
    <row r="31778" ht="14.25" customHeight="1"/>
    <row r="31779" ht="14.25" customHeight="1"/>
    <row r="31780" ht="14.25" customHeight="1"/>
    <row r="31781" ht="14.25" customHeight="1"/>
    <row r="31782" ht="14.25" customHeight="1"/>
    <row r="31783" ht="14.25" customHeight="1"/>
    <row r="31784" ht="14.25" customHeight="1"/>
    <row r="31785" ht="14.25" customHeight="1"/>
    <row r="31786" ht="14.25" customHeight="1"/>
    <row r="31787" ht="14.25" customHeight="1"/>
    <row r="31788" ht="14.25" customHeight="1"/>
    <row r="31789" ht="14.25" customHeight="1"/>
    <row r="31790" ht="14.25" customHeight="1"/>
    <row r="31791" ht="14.25" customHeight="1"/>
    <row r="31792" ht="14.25" customHeight="1"/>
    <row r="31793" ht="14.25" customHeight="1"/>
    <row r="31794" ht="14.25" customHeight="1"/>
    <row r="31795" ht="14.25" customHeight="1"/>
    <row r="31796" ht="14.25" customHeight="1"/>
    <row r="31797" ht="14.25" customHeight="1"/>
    <row r="31798" ht="14.25" customHeight="1"/>
    <row r="31799" ht="14.25" customHeight="1"/>
    <row r="31800" ht="14.25" customHeight="1"/>
    <row r="31801" ht="14.25" customHeight="1"/>
    <row r="31802" ht="14.25" customHeight="1"/>
    <row r="31803" ht="14.25" customHeight="1"/>
    <row r="31804" ht="14.25" customHeight="1"/>
    <row r="31805" ht="14.25" customHeight="1"/>
    <row r="31806" ht="14.25" customHeight="1"/>
    <row r="31807" ht="14.25" customHeight="1"/>
    <row r="31808" ht="14.25" customHeight="1"/>
    <row r="31809" ht="14.25" customHeight="1"/>
    <row r="31810" ht="14.25" customHeight="1"/>
    <row r="31811" ht="14.25" customHeight="1"/>
    <row r="31812" ht="14.25" customHeight="1"/>
    <row r="31813" ht="14.25" customHeight="1"/>
    <row r="31814" ht="14.25" customHeight="1"/>
    <row r="31815" ht="14.25" customHeight="1"/>
    <row r="31816" ht="14.25" customHeight="1"/>
    <row r="31817" ht="14.25" customHeight="1"/>
    <row r="31818" ht="14.25" customHeight="1"/>
    <row r="31819" ht="14.25" customHeight="1"/>
    <row r="31820" ht="14.25" customHeight="1"/>
    <row r="31821" ht="14.25" customHeight="1"/>
    <row r="31822" ht="14.25" customHeight="1"/>
    <row r="31823" ht="14.25" customHeight="1"/>
    <row r="31824" ht="14.25" customHeight="1"/>
    <row r="31825" ht="14.25" customHeight="1"/>
    <row r="31826" ht="14.25" customHeight="1"/>
    <row r="31827" ht="14.25" customHeight="1"/>
    <row r="31828" ht="14.25" customHeight="1"/>
    <row r="31829" ht="14.25" customHeight="1"/>
    <row r="31830" ht="14.25" customHeight="1"/>
    <row r="31831" ht="14.25" customHeight="1"/>
    <row r="31832" ht="14.25" customHeight="1"/>
    <row r="31833" ht="14.25" customHeight="1"/>
    <row r="31834" ht="14.25" customHeight="1"/>
    <row r="31835" ht="14.25" customHeight="1"/>
    <row r="31836" ht="14.25" customHeight="1"/>
    <row r="31837" ht="14.25" customHeight="1"/>
    <row r="31838" ht="14.25" customHeight="1"/>
    <row r="31839" ht="14.25" customHeight="1"/>
    <row r="31840" ht="14.25" customHeight="1"/>
    <row r="31841" ht="14.25" customHeight="1"/>
    <row r="31842" ht="14.25" customHeight="1"/>
    <row r="31843" ht="14.25" customHeight="1"/>
    <row r="31844" ht="14.25" customHeight="1"/>
    <row r="31845" ht="14.25" customHeight="1"/>
    <row r="31846" ht="14.25" customHeight="1"/>
    <row r="31847" ht="14.25" customHeight="1"/>
    <row r="31848" ht="14.25" customHeight="1"/>
    <row r="31849" ht="14.25" customHeight="1"/>
    <row r="31850" ht="14.25" customHeight="1"/>
    <row r="31851" ht="14.25" customHeight="1"/>
    <row r="31852" ht="14.25" customHeight="1"/>
    <row r="31853" ht="14.25" customHeight="1"/>
    <row r="31854" ht="14.25" customHeight="1"/>
    <row r="31855" ht="14.25" customHeight="1"/>
    <row r="31856" ht="14.25" customHeight="1"/>
    <row r="31857" ht="14.25" customHeight="1"/>
    <row r="31858" ht="14.25" customHeight="1"/>
    <row r="31859" ht="14.25" customHeight="1"/>
    <row r="31860" ht="14.25" customHeight="1"/>
    <row r="31861" ht="14.25" customHeight="1"/>
    <row r="31862" ht="14.25" customHeight="1"/>
    <row r="31863" ht="14.25" customHeight="1"/>
    <row r="31864" ht="14.25" customHeight="1"/>
    <row r="31865" ht="14.25" customHeight="1"/>
    <row r="31866" ht="14.25" customHeight="1"/>
    <row r="31867" ht="14.25" customHeight="1"/>
    <row r="31868" ht="14.25" customHeight="1"/>
    <row r="31869" ht="14.25" customHeight="1"/>
    <row r="31870" ht="14.25" customHeight="1"/>
    <row r="31871" ht="14.25" customHeight="1"/>
    <row r="31872" ht="14.25" customHeight="1"/>
    <row r="31873" ht="14.25" customHeight="1"/>
    <row r="31874" ht="14.25" customHeight="1"/>
    <row r="31875" ht="14.25" customHeight="1"/>
    <row r="31876" ht="14.25" customHeight="1"/>
    <row r="31877" ht="14.25" customHeight="1"/>
    <row r="31878" ht="14.25" customHeight="1"/>
    <row r="31879" ht="14.25" customHeight="1"/>
    <row r="31880" ht="14.25" customHeight="1"/>
    <row r="31881" ht="14.25" customHeight="1"/>
    <row r="31882" ht="14.25" customHeight="1"/>
    <row r="31883" ht="14.25" customHeight="1"/>
    <row r="31884" ht="14.25" customHeight="1"/>
    <row r="31885" ht="14.25" customHeight="1"/>
    <row r="31886" ht="14.25" customHeight="1"/>
    <row r="31887" ht="14.25" customHeight="1"/>
    <row r="31888" ht="14.25" customHeight="1"/>
    <row r="31889" ht="14.25" customHeight="1"/>
    <row r="31890" ht="14.25" customHeight="1"/>
    <row r="31891" ht="14.25" customHeight="1"/>
    <row r="31892" ht="14.25" customHeight="1"/>
    <row r="31893" ht="14.25" customHeight="1"/>
    <row r="31894" ht="14.25" customHeight="1"/>
    <row r="31895" ht="14.25" customHeight="1"/>
    <row r="31896" ht="14.25" customHeight="1"/>
    <row r="31897" ht="14.25" customHeight="1"/>
    <row r="31898" ht="14.25" customHeight="1"/>
    <row r="31899" ht="14.25" customHeight="1"/>
    <row r="31900" ht="14.25" customHeight="1"/>
    <row r="31901" ht="14.25" customHeight="1"/>
    <row r="31902" ht="14.25" customHeight="1"/>
    <row r="31903" ht="14.25" customHeight="1"/>
    <row r="31904" ht="14.25" customHeight="1"/>
    <row r="31905" ht="14.25" customHeight="1"/>
    <row r="31906" ht="14.25" customHeight="1"/>
    <row r="31907" ht="14.25" customHeight="1"/>
    <row r="31908" ht="14.25" customHeight="1"/>
    <row r="31909" ht="14.25" customHeight="1"/>
    <row r="31910" ht="14.25" customHeight="1"/>
    <row r="31911" ht="14.25" customHeight="1"/>
    <row r="31912" ht="14.25" customHeight="1"/>
    <row r="31913" ht="14.25" customHeight="1"/>
    <row r="31914" ht="14.25" customHeight="1"/>
    <row r="31915" ht="14.25" customHeight="1"/>
    <row r="31916" ht="14.25" customHeight="1"/>
    <row r="31917" ht="14.25" customHeight="1"/>
    <row r="31918" ht="14.25" customHeight="1"/>
    <row r="31919" ht="14.25" customHeight="1"/>
    <row r="31920" ht="14.25" customHeight="1"/>
    <row r="31921" ht="14.25" customHeight="1"/>
    <row r="31922" ht="14.25" customHeight="1"/>
    <row r="31923" ht="14.25" customHeight="1"/>
    <row r="31924" ht="14.25" customHeight="1"/>
    <row r="31925" ht="14.25" customHeight="1"/>
    <row r="31926" ht="14.25" customHeight="1"/>
    <row r="31927" ht="14.25" customHeight="1"/>
    <row r="31928" ht="14.25" customHeight="1"/>
    <row r="31929" ht="14.25" customHeight="1"/>
    <row r="31930" ht="14.25" customHeight="1"/>
    <row r="31931" ht="14.25" customHeight="1"/>
    <row r="31932" ht="14.25" customHeight="1"/>
    <row r="31933" ht="14.25" customHeight="1"/>
    <row r="31934" ht="14.25" customHeight="1"/>
    <row r="31935" ht="14.25" customHeight="1"/>
    <row r="31936" ht="14.25" customHeight="1"/>
    <row r="31937" ht="14.25" customHeight="1"/>
    <row r="31938" ht="14.25" customHeight="1"/>
    <row r="31939" ht="14.25" customHeight="1"/>
    <row r="31940" ht="14.25" customHeight="1"/>
    <row r="31941" ht="14.25" customHeight="1"/>
    <row r="31942" ht="14.25" customHeight="1"/>
    <row r="31943" ht="14.25" customHeight="1"/>
    <row r="31944" ht="14.25" customHeight="1"/>
    <row r="31945" ht="14.25" customHeight="1"/>
    <row r="31946" ht="14.25" customHeight="1"/>
    <row r="31947" ht="14.25" customHeight="1"/>
    <row r="31948" ht="14.25" customHeight="1"/>
    <row r="31949" ht="14.25" customHeight="1"/>
    <row r="31950" ht="14.25" customHeight="1"/>
    <row r="31951" ht="14.25" customHeight="1"/>
    <row r="31952" ht="14.25" customHeight="1"/>
    <row r="31953" ht="14.25" customHeight="1"/>
    <row r="31954" ht="14.25" customHeight="1"/>
    <row r="31955" ht="14.25" customHeight="1"/>
    <row r="31956" ht="14.25" customHeight="1"/>
    <row r="31957" ht="14.25" customHeight="1"/>
    <row r="31958" ht="14.25" customHeight="1"/>
    <row r="31959" ht="14.25" customHeight="1"/>
    <row r="31960" ht="14.25" customHeight="1"/>
    <row r="31961" ht="14.25" customHeight="1"/>
    <row r="31962" ht="14.25" customHeight="1"/>
    <row r="31963" ht="14.25" customHeight="1"/>
    <row r="31964" ht="14.25" customHeight="1"/>
    <row r="31965" ht="14.25" customHeight="1"/>
    <row r="31966" ht="14.25" customHeight="1"/>
    <row r="31967" ht="14.25" customHeight="1"/>
    <row r="31968" ht="14.25" customHeight="1"/>
    <row r="31969" ht="14.25" customHeight="1"/>
    <row r="31970" ht="14.25" customHeight="1"/>
    <row r="31971" ht="14.25" customHeight="1"/>
    <row r="31972" ht="14.25" customHeight="1"/>
    <row r="31973" ht="14.25" customHeight="1"/>
    <row r="31974" ht="14.25" customHeight="1"/>
    <row r="31975" ht="14.25" customHeight="1"/>
    <row r="31976" ht="14.25" customHeight="1"/>
    <row r="31977" ht="14.25" customHeight="1"/>
    <row r="31978" ht="14.25" customHeight="1"/>
    <row r="31979" ht="14.25" customHeight="1"/>
    <row r="31980" ht="14.25" customHeight="1"/>
    <row r="31981" ht="14.25" customHeight="1"/>
    <row r="31982" ht="14.25" customHeight="1"/>
    <row r="31983" ht="14.25" customHeight="1"/>
    <row r="31984" ht="14.25" customHeight="1"/>
    <row r="31985" ht="14.25" customHeight="1"/>
    <row r="31986" ht="14.25" customHeight="1"/>
    <row r="31987" ht="14.25" customHeight="1"/>
    <row r="31988" ht="14.25" customHeight="1"/>
    <row r="31989" ht="14.25" customHeight="1"/>
    <row r="31990" ht="14.25" customHeight="1"/>
    <row r="31991" ht="14.25" customHeight="1"/>
    <row r="31992" ht="14.25" customHeight="1"/>
    <row r="31993" ht="14.25" customHeight="1"/>
    <row r="31994" ht="14.25" customHeight="1"/>
    <row r="31995" ht="14.25" customHeight="1"/>
    <row r="31996" ht="14.25" customHeight="1"/>
    <row r="31997" ht="14.25" customHeight="1"/>
    <row r="31998" ht="14.25" customHeight="1"/>
    <row r="31999" ht="14.25" customHeight="1"/>
    <row r="32000" ht="14.25" customHeight="1"/>
    <row r="32001" ht="14.25" customHeight="1"/>
    <row r="32002" ht="14.25" customHeight="1"/>
    <row r="32003" ht="14.25" customHeight="1"/>
    <row r="32004" ht="14.25" customHeight="1"/>
    <row r="32005" ht="14.25" customHeight="1"/>
    <row r="32006" ht="14.25" customHeight="1"/>
    <row r="32007" ht="14.25" customHeight="1"/>
    <row r="32008" ht="14.25" customHeight="1"/>
    <row r="32009" ht="14.25" customHeight="1"/>
    <row r="32010" ht="14.25" customHeight="1"/>
    <row r="32011" ht="14.25" customHeight="1"/>
    <row r="32012" ht="14.25" customHeight="1"/>
    <row r="32013" ht="14.25" customHeight="1"/>
    <row r="32014" ht="14.25" customHeight="1"/>
    <row r="32015" ht="14.25" customHeight="1"/>
    <row r="32016" ht="14.25" customHeight="1"/>
    <row r="32017" ht="14.25" customHeight="1"/>
    <row r="32018" ht="14.25" customHeight="1"/>
    <row r="32019" ht="14.25" customHeight="1"/>
    <row r="32020" ht="14.25" customHeight="1"/>
    <row r="32021" ht="14.25" customHeight="1"/>
    <row r="32022" ht="14.25" customHeight="1"/>
    <row r="32023" ht="14.25" customHeight="1"/>
    <row r="32024" ht="14.25" customHeight="1"/>
    <row r="32025" ht="14.25" customHeight="1"/>
    <row r="32026" ht="14.25" customHeight="1"/>
    <row r="32027" ht="14.25" customHeight="1"/>
    <row r="32028" ht="14.25" customHeight="1"/>
    <row r="32029" ht="14.25" customHeight="1"/>
    <row r="32030" ht="14.25" customHeight="1"/>
    <row r="32031" ht="14.25" customHeight="1"/>
    <row r="32032" ht="14.25" customHeight="1"/>
    <row r="32033" ht="14.25" customHeight="1"/>
    <row r="32034" ht="14.25" customHeight="1"/>
    <row r="32035" ht="14.25" customHeight="1"/>
    <row r="32036" ht="14.25" customHeight="1"/>
    <row r="32037" ht="14.25" customHeight="1"/>
    <row r="32038" ht="14.25" customHeight="1"/>
    <row r="32039" ht="14.25" customHeight="1"/>
    <row r="32040" ht="14.25" customHeight="1"/>
    <row r="32041" ht="14.25" customHeight="1"/>
    <row r="32042" ht="14.25" customHeight="1"/>
    <row r="32043" ht="14.25" customHeight="1"/>
    <row r="32044" ht="14.25" customHeight="1"/>
    <row r="32045" ht="14.25" customHeight="1"/>
    <row r="32046" ht="14.25" customHeight="1"/>
    <row r="32047" ht="14.25" customHeight="1"/>
    <row r="32048" ht="14.25" customHeight="1"/>
    <row r="32049" ht="14.25" customHeight="1"/>
    <row r="32050" ht="14.25" customHeight="1"/>
    <row r="32051" ht="14.25" customHeight="1"/>
    <row r="32052" ht="14.25" customHeight="1"/>
    <row r="32053" ht="14.25" customHeight="1"/>
    <row r="32054" ht="14.25" customHeight="1"/>
    <row r="32055" ht="14.25" customHeight="1"/>
    <row r="32056" ht="14.25" customHeight="1"/>
    <row r="32057" ht="14.25" customHeight="1"/>
    <row r="32058" ht="14.25" customHeight="1"/>
    <row r="32059" ht="14.25" customHeight="1"/>
    <row r="32060" ht="14.25" customHeight="1"/>
    <row r="32061" ht="14.25" customHeight="1"/>
    <row r="32062" ht="14.25" customHeight="1"/>
    <row r="32063" ht="14.25" customHeight="1"/>
    <row r="32064" ht="14.25" customHeight="1"/>
    <row r="32065" ht="14.25" customHeight="1"/>
    <row r="32066" ht="14.25" customHeight="1"/>
    <row r="32067" ht="14.25" customHeight="1"/>
    <row r="32068" ht="14.25" customHeight="1"/>
    <row r="32069" ht="14.25" customHeight="1"/>
    <row r="32070" ht="14.25" customHeight="1"/>
    <row r="32071" ht="14.25" customHeight="1"/>
    <row r="32072" ht="14.25" customHeight="1"/>
    <row r="32073" ht="14.25" customHeight="1"/>
    <row r="32074" ht="14.25" customHeight="1"/>
    <row r="32075" ht="14.25" customHeight="1"/>
    <row r="32076" ht="14.25" customHeight="1"/>
    <row r="32077" ht="14.25" customHeight="1"/>
    <row r="32078" ht="14.25" customHeight="1"/>
    <row r="32079" ht="14.25" customHeight="1"/>
    <row r="32080" ht="14.25" customHeight="1"/>
    <row r="32081" ht="14.25" customHeight="1"/>
    <row r="32082" ht="14.25" customHeight="1"/>
    <row r="32083" ht="14.25" customHeight="1"/>
    <row r="32084" ht="14.25" customHeight="1"/>
    <row r="32085" ht="14.25" customHeight="1"/>
    <row r="32086" ht="14.25" customHeight="1"/>
    <row r="32087" ht="14.25" customHeight="1"/>
    <row r="32088" ht="14.25" customHeight="1"/>
    <row r="32089" ht="14.25" customHeight="1"/>
    <row r="32090" ht="14.25" customHeight="1"/>
    <row r="32091" ht="14.25" customHeight="1"/>
    <row r="32092" ht="14.25" customHeight="1"/>
    <row r="32093" ht="14.25" customHeight="1"/>
    <row r="32094" ht="14.25" customHeight="1"/>
    <row r="32095" ht="14.25" customHeight="1"/>
    <row r="32096" ht="14.25" customHeight="1"/>
    <row r="32097" ht="14.25" customHeight="1"/>
    <row r="32098" ht="14.25" customHeight="1"/>
    <row r="32099" ht="14.25" customHeight="1"/>
    <row r="32100" ht="14.25" customHeight="1"/>
    <row r="32101" ht="14.25" customHeight="1"/>
    <row r="32102" ht="14.25" customHeight="1"/>
    <row r="32103" ht="14.25" customHeight="1"/>
    <row r="32104" ht="14.25" customHeight="1"/>
    <row r="32105" ht="14.25" customHeight="1"/>
    <row r="32106" ht="14.25" customHeight="1"/>
    <row r="32107" ht="14.25" customHeight="1"/>
    <row r="32108" ht="14.25" customHeight="1"/>
    <row r="32109" ht="14.25" customHeight="1"/>
    <row r="32110" ht="14.25" customHeight="1"/>
    <row r="32111" ht="14.25" customHeight="1"/>
    <row r="32112" ht="14.25" customHeight="1"/>
    <row r="32113" ht="14.25" customHeight="1"/>
    <row r="32114" ht="14.25" customHeight="1"/>
    <row r="32115" ht="14.25" customHeight="1"/>
    <row r="32116" ht="14.25" customHeight="1"/>
    <row r="32117" ht="14.25" customHeight="1"/>
    <row r="32118" ht="14.25" customHeight="1"/>
    <row r="32119" ht="14.25" customHeight="1"/>
    <row r="32120" ht="14.25" customHeight="1"/>
    <row r="32121" ht="14.25" customHeight="1"/>
    <row r="32122" ht="14.25" customHeight="1"/>
    <row r="32123" ht="14.25" customHeight="1"/>
    <row r="32124" ht="14.25" customHeight="1"/>
    <row r="32125" ht="14.25" customHeight="1"/>
    <row r="32126" ht="14.25" customHeight="1"/>
    <row r="32127" ht="14.25" customHeight="1"/>
    <row r="32128" ht="14.25" customHeight="1"/>
    <row r="32129" ht="14.25" customHeight="1"/>
    <row r="32130" ht="14.25" customHeight="1"/>
    <row r="32131" ht="14.25" customHeight="1"/>
    <row r="32132" ht="14.25" customHeight="1"/>
    <row r="32133" ht="14.25" customHeight="1"/>
    <row r="32134" ht="14.25" customHeight="1"/>
    <row r="32135" ht="14.25" customHeight="1"/>
    <row r="32136" ht="14.25" customHeight="1"/>
    <row r="32137" ht="14.25" customHeight="1"/>
    <row r="32138" ht="14.25" customHeight="1"/>
    <row r="32139" ht="14.25" customHeight="1"/>
    <row r="32140" ht="14.25" customHeight="1"/>
    <row r="32141" ht="14.25" customHeight="1"/>
    <row r="32142" ht="14.25" customHeight="1"/>
    <row r="32143" ht="14.25" customHeight="1"/>
    <row r="32144" ht="14.25" customHeight="1"/>
    <row r="32145" ht="14.25" customHeight="1"/>
    <row r="32146" ht="14.25" customHeight="1"/>
    <row r="32147" ht="14.25" customHeight="1"/>
    <row r="32148" ht="14.25" customHeight="1"/>
    <row r="32149" ht="14.25" customHeight="1"/>
    <row r="32150" ht="14.25" customHeight="1"/>
    <row r="32151" ht="14.25" customHeight="1"/>
    <row r="32152" ht="14.25" customHeight="1"/>
    <row r="32153" ht="14.25" customHeight="1"/>
    <row r="32154" ht="14.25" customHeight="1"/>
    <row r="32155" ht="14.25" customHeight="1"/>
    <row r="32156" ht="14.25" customHeight="1"/>
    <row r="32157" ht="14.25" customHeight="1"/>
    <row r="32158" ht="14.25" customHeight="1"/>
    <row r="32159" ht="14.25" customHeight="1"/>
    <row r="32160" ht="14.25" customHeight="1"/>
    <row r="32161" ht="14.25" customHeight="1"/>
    <row r="32162" ht="14.25" customHeight="1"/>
    <row r="32163" ht="14.25" customHeight="1"/>
    <row r="32164" ht="14.25" customHeight="1"/>
    <row r="32165" ht="14.25" customHeight="1"/>
    <row r="32166" ht="14.25" customHeight="1"/>
    <row r="32167" ht="14.25" customHeight="1"/>
    <row r="32168" ht="14.25" customHeight="1"/>
    <row r="32169" ht="14.25" customHeight="1"/>
    <row r="32170" ht="14.25" customHeight="1"/>
    <row r="32171" ht="14.25" customHeight="1"/>
    <row r="32172" ht="14.25" customHeight="1"/>
    <row r="32173" ht="14.25" customHeight="1"/>
    <row r="32174" ht="14.25" customHeight="1"/>
    <row r="32175" ht="14.25" customHeight="1"/>
    <row r="32176" ht="14.25" customHeight="1"/>
    <row r="32177" ht="14.25" customHeight="1"/>
    <row r="32178" ht="14.25" customHeight="1"/>
    <row r="32179" ht="14.25" customHeight="1"/>
    <row r="32180" ht="14.25" customHeight="1"/>
    <row r="32181" ht="14.25" customHeight="1"/>
    <row r="32182" ht="14.25" customHeight="1"/>
    <row r="32183" ht="14.25" customHeight="1"/>
    <row r="32184" ht="14.25" customHeight="1"/>
    <row r="32185" ht="14.25" customHeight="1"/>
    <row r="32186" ht="14.25" customHeight="1"/>
    <row r="32187" ht="14.25" customHeight="1"/>
    <row r="32188" ht="14.25" customHeight="1"/>
    <row r="32189" ht="14.25" customHeight="1"/>
    <row r="32190" ht="14.25" customHeight="1"/>
    <row r="32191" ht="14.25" customHeight="1"/>
    <row r="32192" ht="14.25" customHeight="1"/>
    <row r="32193" ht="14.25" customHeight="1"/>
    <row r="32194" ht="14.25" customHeight="1"/>
    <row r="32195" ht="14.25" customHeight="1"/>
    <row r="32196" ht="14.25" customHeight="1"/>
    <row r="32197" ht="14.25" customHeight="1"/>
    <row r="32198" ht="14.25" customHeight="1"/>
    <row r="32199" ht="14.25" customHeight="1"/>
    <row r="32200" ht="14.25" customHeight="1"/>
    <row r="32201" ht="14.25" customHeight="1"/>
    <row r="32202" ht="14.25" customHeight="1"/>
    <row r="32203" ht="14.25" customHeight="1"/>
    <row r="32204" ht="14.25" customHeight="1"/>
    <row r="32205" ht="14.25" customHeight="1"/>
    <row r="32206" ht="14.25" customHeight="1"/>
    <row r="32207" ht="14.25" customHeight="1"/>
    <row r="32208" ht="14.25" customHeight="1"/>
    <row r="32209" ht="14.25" customHeight="1"/>
    <row r="32210" ht="14.25" customHeight="1"/>
    <row r="32211" ht="14.25" customHeight="1"/>
    <row r="32212" ht="14.25" customHeight="1"/>
    <row r="32213" ht="14.25" customHeight="1"/>
    <row r="32214" ht="14.25" customHeight="1"/>
    <row r="32215" ht="14.25" customHeight="1"/>
    <row r="32216" ht="14.25" customHeight="1"/>
    <row r="32217" ht="14.25" customHeight="1"/>
    <row r="32218" ht="14.25" customHeight="1"/>
    <row r="32219" ht="14.25" customHeight="1"/>
    <row r="32220" ht="14.25" customHeight="1"/>
    <row r="32221" ht="14.25" customHeight="1"/>
    <row r="32222" ht="14.25" customHeight="1"/>
    <row r="32223" ht="14.25" customHeight="1"/>
    <row r="32224" ht="14.25" customHeight="1"/>
    <row r="32225" ht="14.25" customHeight="1"/>
    <row r="32226" ht="14.25" customHeight="1"/>
    <row r="32227" ht="14.25" customHeight="1"/>
    <row r="32228" ht="14.25" customHeight="1"/>
    <row r="32229" ht="14.25" customHeight="1"/>
    <row r="32230" ht="14.25" customHeight="1"/>
    <row r="32231" ht="14.25" customHeight="1"/>
    <row r="32232" ht="14.25" customHeight="1"/>
    <row r="32233" ht="14.25" customHeight="1"/>
    <row r="32234" ht="14.25" customHeight="1"/>
    <row r="32235" ht="14.25" customHeight="1"/>
    <row r="32236" ht="14.25" customHeight="1"/>
    <row r="32237" ht="14.25" customHeight="1"/>
    <row r="32238" ht="14.25" customHeight="1"/>
    <row r="32239" ht="14.25" customHeight="1"/>
    <row r="32240" ht="14.25" customHeight="1"/>
    <row r="32241" ht="14.25" customHeight="1"/>
    <row r="32242" ht="14.25" customHeight="1"/>
    <row r="32243" ht="14.25" customHeight="1"/>
    <row r="32244" ht="14.25" customHeight="1"/>
    <row r="32245" ht="14.25" customHeight="1"/>
    <row r="32246" ht="14.25" customHeight="1"/>
    <row r="32247" ht="14.25" customHeight="1"/>
    <row r="32248" ht="14.25" customHeight="1"/>
    <row r="32249" ht="14.25" customHeight="1"/>
    <row r="32250" ht="14.25" customHeight="1"/>
    <row r="32251" ht="14.25" customHeight="1"/>
    <row r="32252" ht="14.25" customHeight="1"/>
    <row r="32253" ht="14.25" customHeight="1"/>
    <row r="32254" ht="14.25" customHeight="1"/>
    <row r="32255" ht="14.25" customHeight="1"/>
    <row r="32256" ht="14.25" customHeight="1"/>
    <row r="32257" ht="14.25" customHeight="1"/>
    <row r="32258" ht="14.25" customHeight="1"/>
    <row r="32259" ht="14.25" customHeight="1"/>
    <row r="32260" ht="14.25" customHeight="1"/>
    <row r="32261" ht="14.25" customHeight="1"/>
    <row r="32262" ht="14.25" customHeight="1"/>
    <row r="32263" ht="14.25" customHeight="1"/>
    <row r="32264" ht="14.25" customHeight="1"/>
    <row r="32265" ht="14.25" customHeight="1"/>
    <row r="32266" ht="14.25" customHeight="1"/>
    <row r="32267" ht="14.25" customHeight="1"/>
    <row r="32268" ht="14.25" customHeight="1"/>
    <row r="32269" ht="14.25" customHeight="1"/>
    <row r="32270" ht="14.25" customHeight="1"/>
    <row r="32271" ht="14.25" customHeight="1"/>
    <row r="32272" ht="14.25" customHeight="1"/>
    <row r="32273" ht="14.25" customHeight="1"/>
    <row r="32274" ht="14.25" customHeight="1"/>
    <row r="32275" ht="14.25" customHeight="1"/>
    <row r="32276" ht="14.25" customHeight="1"/>
    <row r="32277" ht="14.25" customHeight="1"/>
    <row r="32278" ht="14.25" customHeight="1"/>
    <row r="32279" ht="14.25" customHeight="1"/>
    <row r="32280" ht="14.25" customHeight="1"/>
    <row r="32281" ht="14.25" customHeight="1"/>
    <row r="32282" ht="14.25" customHeight="1"/>
    <row r="32283" ht="14.25" customHeight="1"/>
    <row r="32284" ht="14.25" customHeight="1"/>
    <row r="32285" ht="14.25" customHeight="1"/>
    <row r="32286" ht="14.25" customHeight="1"/>
    <row r="32287" ht="14.25" customHeight="1"/>
    <row r="32288" ht="14.25" customHeight="1"/>
    <row r="32289" ht="14.25" customHeight="1"/>
    <row r="32290" ht="14.25" customHeight="1"/>
    <row r="32291" ht="14.25" customHeight="1"/>
    <row r="32292" ht="14.25" customHeight="1"/>
    <row r="32293" ht="14.25" customHeight="1"/>
    <row r="32294" ht="14.25" customHeight="1"/>
    <row r="32295" ht="14.25" customHeight="1"/>
    <row r="32296" ht="14.25" customHeight="1"/>
    <row r="32297" ht="14.25" customHeight="1"/>
    <row r="32298" ht="14.25" customHeight="1"/>
    <row r="32299" ht="14.25" customHeight="1"/>
    <row r="32300" ht="14.25" customHeight="1"/>
    <row r="32301" ht="14.25" customHeight="1"/>
    <row r="32302" ht="14.25" customHeight="1"/>
    <row r="32303" ht="14.25" customHeight="1"/>
    <row r="32304" ht="14.25" customHeight="1"/>
    <row r="32305" ht="14.25" customHeight="1"/>
    <row r="32306" ht="14.25" customHeight="1"/>
    <row r="32307" ht="14.25" customHeight="1"/>
    <row r="32308" ht="14.25" customHeight="1"/>
    <row r="32309" ht="14.25" customHeight="1"/>
    <row r="32310" ht="14.25" customHeight="1"/>
    <row r="32311" ht="14.25" customHeight="1"/>
    <row r="32312" ht="14.25" customHeight="1"/>
    <row r="32313" ht="14.25" customHeight="1"/>
    <row r="32314" ht="14.25" customHeight="1"/>
    <row r="32315" ht="14.25" customHeight="1"/>
    <row r="32316" ht="14.25" customHeight="1"/>
    <row r="32317" ht="14.25" customHeight="1"/>
    <row r="32318" ht="14.25" customHeight="1"/>
    <row r="32319" ht="14.25" customHeight="1"/>
    <row r="32320" ht="14.25" customHeight="1"/>
    <row r="32321" ht="14.25" customHeight="1"/>
    <row r="32322" ht="14.25" customHeight="1"/>
    <row r="32323" ht="14.25" customHeight="1"/>
    <row r="32324" ht="14.25" customHeight="1"/>
    <row r="32325" ht="14.25" customHeight="1"/>
    <row r="32326" ht="14.25" customHeight="1"/>
    <row r="32327" ht="14.25" customHeight="1"/>
    <row r="32328" ht="14.25" customHeight="1"/>
    <row r="32329" ht="14.25" customHeight="1"/>
    <row r="32330" ht="14.25" customHeight="1"/>
    <row r="32331" ht="14.25" customHeight="1"/>
    <row r="32332" ht="14.25" customHeight="1"/>
    <row r="32333" ht="14.25" customHeight="1"/>
    <row r="32334" ht="14.25" customHeight="1"/>
    <row r="32335" ht="14.25" customHeight="1"/>
    <row r="32336" ht="14.25" customHeight="1"/>
    <row r="32337" ht="14.25" customHeight="1"/>
    <row r="32338" ht="14.25" customHeight="1"/>
    <row r="32339" ht="14.25" customHeight="1"/>
    <row r="32340" ht="14.25" customHeight="1"/>
    <row r="32341" ht="14.25" customHeight="1"/>
    <row r="32342" ht="14.25" customHeight="1"/>
    <row r="32343" ht="14.25" customHeight="1"/>
    <row r="32344" ht="14.25" customHeight="1"/>
    <row r="32345" ht="14.25" customHeight="1"/>
    <row r="32346" ht="14.25" customHeight="1"/>
    <row r="32347" ht="14.25" customHeight="1"/>
    <row r="32348" ht="14.25" customHeight="1"/>
    <row r="32349" ht="14.25" customHeight="1"/>
    <row r="32350" ht="14.25" customHeight="1"/>
    <row r="32351" ht="14.25" customHeight="1"/>
    <row r="32352" ht="14.25" customHeight="1"/>
    <row r="32353" ht="14.25" customHeight="1"/>
    <row r="32354" ht="14.25" customHeight="1"/>
    <row r="32355" ht="14.25" customHeight="1"/>
    <row r="32356" ht="14.25" customHeight="1"/>
    <row r="32357" ht="14.25" customHeight="1"/>
    <row r="32358" ht="14.25" customHeight="1"/>
    <row r="32359" ht="14.25" customHeight="1"/>
    <row r="32360" ht="14.25" customHeight="1"/>
    <row r="32361" ht="14.25" customHeight="1"/>
    <row r="32362" ht="14.25" customHeight="1"/>
    <row r="32363" ht="14.25" customHeight="1"/>
    <row r="32364" ht="14.25" customHeight="1"/>
    <row r="32365" ht="14.25" customHeight="1"/>
    <row r="32366" ht="14.25" customHeight="1"/>
    <row r="32367" ht="14.25" customHeight="1"/>
    <row r="32368" ht="14.25" customHeight="1"/>
    <row r="32369" ht="14.25" customHeight="1"/>
    <row r="32370" ht="14.25" customHeight="1"/>
    <row r="32371" ht="14.25" customHeight="1"/>
    <row r="32372" ht="14.25" customHeight="1"/>
    <row r="32373" ht="14.25" customHeight="1"/>
    <row r="32374" ht="14.25" customHeight="1"/>
    <row r="32375" ht="14.25" customHeight="1"/>
    <row r="32376" ht="14.25" customHeight="1"/>
    <row r="32377" ht="14.25" customHeight="1"/>
    <row r="32378" ht="14.25" customHeight="1"/>
    <row r="32379" ht="14.25" customHeight="1"/>
    <row r="32380" ht="14.25" customHeight="1"/>
    <row r="32381" ht="14.25" customHeight="1"/>
    <row r="32382" ht="14.25" customHeight="1"/>
    <row r="32383" ht="14.25" customHeight="1"/>
    <row r="32384" ht="14.25" customHeight="1"/>
    <row r="32385" ht="14.25" customHeight="1"/>
    <row r="32386" ht="14.25" customHeight="1"/>
    <row r="32387" ht="14.25" customHeight="1"/>
    <row r="32388" ht="14.25" customHeight="1"/>
    <row r="32389" ht="14.25" customHeight="1"/>
    <row r="32390" ht="14.25" customHeight="1"/>
    <row r="32391" ht="14.25" customHeight="1"/>
    <row r="32392" ht="14.25" customHeight="1"/>
    <row r="32393" ht="14.25" customHeight="1"/>
    <row r="32394" ht="14.25" customHeight="1"/>
    <row r="32395" ht="14.25" customHeight="1"/>
    <row r="32396" ht="14.25" customHeight="1"/>
    <row r="32397" ht="14.25" customHeight="1"/>
    <row r="32398" ht="14.25" customHeight="1"/>
    <row r="32399" ht="14.25" customHeight="1"/>
    <row r="32400" ht="14.25" customHeight="1"/>
    <row r="32401" ht="14.25" customHeight="1"/>
    <row r="32402" ht="14.25" customHeight="1"/>
    <row r="32403" ht="14.25" customHeight="1"/>
    <row r="32404" ht="14.25" customHeight="1"/>
    <row r="32405" ht="14.25" customHeight="1"/>
    <row r="32406" ht="14.25" customHeight="1"/>
    <row r="32407" ht="14.25" customHeight="1"/>
    <row r="32408" ht="14.25" customHeight="1"/>
    <row r="32409" ht="14.25" customHeight="1"/>
    <row r="32410" ht="14.25" customHeight="1"/>
    <row r="32411" ht="14.25" customHeight="1"/>
    <row r="32412" ht="14.25" customHeight="1"/>
    <row r="32413" ht="14.25" customHeight="1"/>
    <row r="32414" ht="14.25" customHeight="1"/>
    <row r="32415" ht="14.25" customHeight="1"/>
    <row r="32416" ht="14.25" customHeight="1"/>
    <row r="32417" ht="14.25" customHeight="1"/>
    <row r="32418" ht="14.25" customHeight="1"/>
    <row r="32419" ht="14.25" customHeight="1"/>
    <row r="32420" ht="14.25" customHeight="1"/>
    <row r="32421" ht="14.25" customHeight="1"/>
    <row r="32422" ht="14.25" customHeight="1"/>
    <row r="32423" ht="14.25" customHeight="1"/>
    <row r="32424" ht="14.25" customHeight="1"/>
    <row r="32425" ht="14.25" customHeight="1"/>
    <row r="32426" ht="14.25" customHeight="1"/>
    <row r="32427" ht="14.25" customHeight="1"/>
    <row r="32428" ht="14.25" customHeight="1"/>
    <row r="32429" ht="14.25" customHeight="1"/>
    <row r="32430" ht="14.25" customHeight="1"/>
    <row r="32431" ht="14.25" customHeight="1"/>
    <row r="32432" ht="14.25" customHeight="1"/>
    <row r="32433" ht="14.25" customHeight="1"/>
    <row r="32434" ht="14.25" customHeight="1"/>
    <row r="32435" ht="14.25" customHeight="1"/>
    <row r="32436" ht="14.25" customHeight="1"/>
    <row r="32437" ht="14.25" customHeight="1"/>
    <row r="32438" ht="14.25" customHeight="1"/>
    <row r="32439" ht="14.25" customHeight="1"/>
    <row r="32440" ht="14.25" customHeight="1"/>
    <row r="32441" ht="14.25" customHeight="1"/>
    <row r="32442" ht="14.25" customHeight="1"/>
    <row r="32443" ht="14.25" customHeight="1"/>
    <row r="32444" ht="14.25" customHeight="1"/>
    <row r="32445" ht="14.25" customHeight="1"/>
    <row r="32446" ht="14.25" customHeight="1"/>
    <row r="32447" ht="14.25" customHeight="1"/>
    <row r="32448" ht="14.25" customHeight="1"/>
    <row r="32449" ht="14.25" customHeight="1"/>
    <row r="32450" ht="14.25" customHeight="1"/>
    <row r="32451" ht="14.25" customHeight="1"/>
    <row r="32452" ht="14.25" customHeight="1"/>
    <row r="32453" ht="14.25" customHeight="1"/>
    <row r="32454" ht="14.25" customHeight="1"/>
    <row r="32455" ht="14.25" customHeight="1"/>
    <row r="32456" ht="14.25" customHeight="1"/>
    <row r="32457" ht="14.25" customHeight="1"/>
    <row r="32458" ht="14.25" customHeight="1"/>
    <row r="32459" ht="14.25" customHeight="1"/>
    <row r="32460" ht="14.25" customHeight="1"/>
    <row r="32461" ht="14.25" customHeight="1"/>
    <row r="32462" ht="14.25" customHeight="1"/>
    <row r="32463" ht="14.25" customHeight="1"/>
    <row r="32464" ht="14.25" customHeight="1"/>
    <row r="32465" ht="14.25" customHeight="1"/>
    <row r="32466" ht="14.25" customHeight="1"/>
    <row r="32467" ht="14.25" customHeight="1"/>
    <row r="32468" ht="14.25" customHeight="1"/>
    <row r="32469" ht="14.25" customHeight="1"/>
    <row r="32470" ht="14.25" customHeight="1"/>
    <row r="32471" ht="14.25" customHeight="1"/>
    <row r="32472" ht="14.25" customHeight="1"/>
    <row r="32473" ht="14.25" customHeight="1"/>
    <row r="32474" ht="14.25" customHeight="1"/>
    <row r="32475" ht="14.25" customHeight="1"/>
    <row r="32476" ht="14.25" customHeight="1"/>
    <row r="32477" ht="14.25" customHeight="1"/>
    <row r="32478" ht="14.25" customHeight="1"/>
    <row r="32479" ht="14.25" customHeight="1"/>
    <row r="32480" ht="14.25" customHeight="1"/>
    <row r="32481" ht="14.25" customHeight="1"/>
    <row r="32482" ht="14.25" customHeight="1"/>
    <row r="32483" ht="14.25" customHeight="1"/>
    <row r="32484" ht="14.25" customHeight="1"/>
    <row r="32485" ht="14.25" customHeight="1"/>
    <row r="32486" ht="14.25" customHeight="1"/>
    <row r="32487" ht="14.25" customHeight="1"/>
    <row r="32488" ht="14.25" customHeight="1"/>
    <row r="32489" ht="14.25" customHeight="1"/>
    <row r="32490" ht="14.25" customHeight="1"/>
    <row r="32491" ht="14.25" customHeight="1"/>
    <row r="32492" ht="14.25" customHeight="1"/>
    <row r="32493" ht="14.25" customHeight="1"/>
    <row r="32494" ht="14.25" customHeight="1"/>
    <row r="32495" ht="14.25" customHeight="1"/>
    <row r="32496" ht="14.25" customHeight="1"/>
    <row r="32497" ht="14.25" customHeight="1"/>
    <row r="32498" ht="14.25" customHeight="1"/>
    <row r="32499" ht="14.25" customHeight="1"/>
    <row r="32500" ht="14.25" customHeight="1"/>
    <row r="32501" ht="14.25" customHeight="1"/>
    <row r="32502" ht="14.25" customHeight="1"/>
    <row r="32503" ht="14.25" customHeight="1"/>
    <row r="32504" ht="14.25" customHeight="1"/>
    <row r="32505" ht="14.25" customHeight="1"/>
    <row r="32506" ht="14.25" customHeight="1"/>
    <row r="32507" ht="14.25" customHeight="1"/>
    <row r="32508" ht="14.25" customHeight="1"/>
    <row r="32509" ht="14.25" customHeight="1"/>
    <row r="32510" ht="14.25" customHeight="1"/>
    <row r="32511" ht="14.25" customHeight="1"/>
    <row r="32512" ht="14.25" customHeight="1"/>
    <row r="32513" ht="14.25" customHeight="1"/>
    <row r="32514" ht="14.25" customHeight="1"/>
    <row r="32515" ht="14.25" customHeight="1"/>
    <row r="32516" ht="14.25" customHeight="1"/>
    <row r="32517" ht="14.25" customHeight="1"/>
    <row r="32518" ht="14.25" customHeight="1"/>
    <row r="32519" ht="14.25" customHeight="1"/>
    <row r="32520" ht="14.25" customHeight="1"/>
    <row r="32521" ht="14.25" customHeight="1"/>
    <row r="32522" ht="14.25" customHeight="1"/>
    <row r="32523" ht="14.25" customHeight="1"/>
    <row r="32524" ht="14.25" customHeight="1"/>
    <row r="32525" ht="14.25" customHeight="1"/>
    <row r="32526" ht="14.25" customHeight="1"/>
    <row r="32527" ht="14.25" customHeight="1"/>
    <row r="32528" ht="14.25" customHeight="1"/>
    <row r="32529" ht="14.25" customHeight="1"/>
    <row r="32530" ht="14.25" customHeight="1"/>
    <row r="32531" ht="14.25" customHeight="1"/>
    <row r="32532" ht="14.25" customHeight="1"/>
    <row r="32533" ht="14.25" customHeight="1"/>
    <row r="32534" ht="14.25" customHeight="1"/>
    <row r="32535" ht="14.25" customHeight="1"/>
    <row r="32536" ht="14.25" customHeight="1"/>
    <row r="32537" ht="14.25" customHeight="1"/>
    <row r="32538" ht="14.25" customHeight="1"/>
    <row r="32539" ht="14.25" customHeight="1"/>
    <row r="32540" ht="14.25" customHeight="1"/>
    <row r="32541" ht="14.25" customHeight="1"/>
    <row r="32542" ht="14.25" customHeight="1"/>
    <row r="32543" ht="14.25" customHeight="1"/>
    <row r="32544" ht="14.25" customHeight="1"/>
    <row r="32545" ht="14.25" customHeight="1"/>
    <row r="32546" ht="14.25" customHeight="1"/>
    <row r="32547" ht="14.25" customHeight="1"/>
    <row r="32548" ht="14.25" customHeight="1"/>
    <row r="32549" ht="14.25" customHeight="1"/>
    <row r="32550" ht="14.25" customHeight="1"/>
    <row r="32551" ht="14.25" customHeight="1"/>
    <row r="32552" ht="14.25" customHeight="1"/>
    <row r="32553" ht="14.25" customHeight="1"/>
    <row r="32554" ht="14.25" customHeight="1"/>
    <row r="32555" ht="14.25" customHeight="1"/>
    <row r="32556" ht="14.25" customHeight="1"/>
    <row r="32557" ht="14.25" customHeight="1"/>
    <row r="32558" ht="14.25" customHeight="1"/>
    <row r="32559" ht="14.25" customHeight="1"/>
    <row r="32560" ht="14.25" customHeight="1"/>
    <row r="32561" ht="14.25" customHeight="1"/>
    <row r="32562" ht="14.25" customHeight="1"/>
    <row r="32563" ht="14.25" customHeight="1"/>
    <row r="32564" ht="14.25" customHeight="1"/>
    <row r="32565" ht="14.25" customHeight="1"/>
    <row r="32566" ht="14.25" customHeight="1"/>
    <row r="32567" ht="14.25" customHeight="1"/>
    <row r="32568" ht="14.25" customHeight="1"/>
    <row r="32569" ht="14.25" customHeight="1"/>
    <row r="32570" ht="14.25" customHeight="1"/>
    <row r="32571" ht="14.25" customHeight="1"/>
    <row r="32572" ht="14.25" customHeight="1"/>
    <row r="32573" ht="14.25" customHeight="1"/>
    <row r="32574" ht="14.25" customHeight="1"/>
    <row r="32575" ht="14.25" customHeight="1"/>
    <row r="32576" ht="14.25" customHeight="1"/>
    <row r="32577" ht="14.25" customHeight="1"/>
    <row r="32578" ht="14.25" customHeight="1"/>
    <row r="32579" ht="14.25" customHeight="1"/>
    <row r="32580" ht="14.25" customHeight="1"/>
    <row r="32581" ht="14.25" customHeight="1"/>
    <row r="32582" ht="14.25" customHeight="1"/>
    <row r="32583" ht="14.25" customHeight="1"/>
    <row r="32584" ht="14.25" customHeight="1"/>
    <row r="32585" ht="14.25" customHeight="1"/>
    <row r="32586" ht="14.25" customHeight="1"/>
    <row r="32587" ht="14.25" customHeight="1"/>
    <row r="32588" ht="14.25" customHeight="1"/>
    <row r="32589" ht="14.25" customHeight="1"/>
    <row r="32590" ht="14.25" customHeight="1"/>
    <row r="32591" ht="14.25" customHeight="1"/>
    <row r="32592" ht="14.25" customHeight="1"/>
    <row r="32593" ht="14.25" customHeight="1"/>
    <row r="32594" ht="14.25" customHeight="1"/>
    <row r="32595" ht="14.25" customHeight="1"/>
    <row r="32596" ht="14.25" customHeight="1"/>
    <row r="32597" ht="14.25" customHeight="1"/>
    <row r="32598" ht="14.25" customHeight="1"/>
    <row r="32599" ht="14.25" customHeight="1"/>
    <row r="32600" ht="14.25" customHeight="1"/>
    <row r="32601" ht="14.25" customHeight="1"/>
    <row r="32602" ht="14.25" customHeight="1"/>
    <row r="32603" ht="14.25" customHeight="1"/>
    <row r="32604" ht="14.25" customHeight="1"/>
    <row r="32605" ht="14.25" customHeight="1"/>
    <row r="32606" ht="14.25" customHeight="1"/>
    <row r="32607" ht="14.25" customHeight="1"/>
    <row r="32608" ht="14.25" customHeight="1"/>
    <row r="32609" ht="14.25" customHeight="1"/>
    <row r="32610" ht="14.25" customHeight="1"/>
    <row r="32611" ht="14.25" customHeight="1"/>
    <row r="32612" ht="14.25" customHeight="1"/>
    <row r="32613" ht="14.25" customHeight="1"/>
    <row r="32614" ht="14.25" customHeight="1"/>
    <row r="32615" ht="14.25" customHeight="1"/>
    <row r="32616" ht="14.25" customHeight="1"/>
    <row r="32617" ht="14.25" customHeight="1"/>
    <row r="32618" ht="14.25" customHeight="1"/>
    <row r="32619" ht="14.25" customHeight="1"/>
    <row r="32620" ht="14.25" customHeight="1"/>
    <row r="32621" ht="14.25" customHeight="1"/>
    <row r="32622" ht="14.25" customHeight="1"/>
    <row r="32623" ht="14.25" customHeight="1"/>
    <row r="32624" ht="14.25" customHeight="1"/>
    <row r="32625" ht="14.25" customHeight="1"/>
    <row r="32626" ht="14.25" customHeight="1"/>
    <row r="32627" ht="14.25" customHeight="1"/>
    <row r="32628" ht="14.25" customHeight="1"/>
    <row r="32629" ht="14.25" customHeight="1"/>
    <row r="32630" ht="14.25" customHeight="1"/>
    <row r="32631" ht="14.25" customHeight="1"/>
    <row r="32632" ht="14.25" customHeight="1"/>
    <row r="32633" ht="14.25" customHeight="1"/>
    <row r="32634" ht="14.25" customHeight="1"/>
    <row r="32635" ht="14.25" customHeight="1"/>
    <row r="32636" ht="14.25" customHeight="1"/>
    <row r="32637" ht="14.25" customHeight="1"/>
    <row r="32638" ht="14.25" customHeight="1"/>
    <row r="32639" ht="14.25" customHeight="1"/>
    <row r="32640" ht="14.25" customHeight="1"/>
    <row r="32641" ht="14.25" customHeight="1"/>
    <row r="32642" ht="14.25" customHeight="1"/>
    <row r="32643" ht="14.25" customHeight="1"/>
    <row r="32644" ht="14.25" customHeight="1"/>
    <row r="32645" ht="14.25" customHeight="1"/>
    <row r="32646" ht="14.25" customHeight="1"/>
    <row r="32647" ht="14.25" customHeight="1"/>
    <row r="32648" ht="14.25" customHeight="1"/>
    <row r="32649" ht="14.25" customHeight="1"/>
    <row r="32650" ht="14.25" customHeight="1"/>
    <row r="32651" ht="14.25" customHeight="1"/>
    <row r="32652" ht="14.25" customHeight="1"/>
    <row r="32653" ht="14.25" customHeight="1"/>
    <row r="32654" ht="14.25" customHeight="1"/>
    <row r="32655" ht="14.25" customHeight="1"/>
    <row r="32656" ht="14.25" customHeight="1"/>
    <row r="32657" ht="14.25" customHeight="1"/>
    <row r="32658" ht="14.25" customHeight="1"/>
    <row r="32659" ht="14.25" customHeight="1"/>
    <row r="32660" ht="14.25" customHeight="1"/>
    <row r="32661" ht="14.25" customHeight="1"/>
    <row r="32662" ht="14.25" customHeight="1"/>
    <row r="32663" ht="14.25" customHeight="1"/>
    <row r="32664" ht="14.25" customHeight="1"/>
    <row r="32665" ht="14.25" customHeight="1"/>
    <row r="32666" ht="14.25" customHeight="1"/>
    <row r="32667" ht="14.25" customHeight="1"/>
    <row r="32668" ht="14.25" customHeight="1"/>
    <row r="32669" ht="14.25" customHeight="1"/>
    <row r="32670" ht="14.25" customHeight="1"/>
    <row r="32671" ht="14.25" customHeight="1"/>
    <row r="32672" ht="14.25" customHeight="1"/>
    <row r="32673" ht="14.25" customHeight="1"/>
    <row r="32674" ht="14.25" customHeight="1"/>
    <row r="32675" ht="14.25" customHeight="1"/>
    <row r="32676" ht="14.25" customHeight="1"/>
    <row r="32677" ht="14.25" customHeight="1"/>
    <row r="32678" ht="14.25" customHeight="1"/>
    <row r="32679" ht="14.25" customHeight="1"/>
    <row r="32680" ht="14.25" customHeight="1"/>
    <row r="32681" ht="14.25" customHeight="1"/>
    <row r="32682" ht="14.25" customHeight="1"/>
    <row r="32683" ht="14.25" customHeight="1"/>
    <row r="32684" ht="14.25" customHeight="1"/>
    <row r="32685" ht="14.25" customHeight="1"/>
    <row r="32686" ht="14.25" customHeight="1"/>
    <row r="32687" ht="14.25" customHeight="1"/>
    <row r="32688" ht="14.25" customHeight="1"/>
    <row r="32689" ht="14.25" customHeight="1"/>
    <row r="32690" ht="14.25" customHeight="1"/>
    <row r="32691" ht="14.25" customHeight="1"/>
    <row r="32692" ht="14.25" customHeight="1"/>
    <row r="32693" ht="14.25" customHeight="1"/>
    <row r="32694" ht="14.25" customHeight="1"/>
    <row r="32695" ht="14.25" customHeight="1"/>
    <row r="32696" ht="14.25" customHeight="1"/>
    <row r="32697" ht="14.25" customHeight="1"/>
    <row r="32698" ht="14.25" customHeight="1"/>
    <row r="32699" ht="14.25" customHeight="1"/>
    <row r="32700" ht="14.25" customHeight="1"/>
    <row r="32701" ht="14.25" customHeight="1"/>
    <row r="32702" ht="14.25" customHeight="1"/>
    <row r="32703" ht="14.25" customHeight="1"/>
    <row r="32704" ht="14.25" customHeight="1"/>
    <row r="32705" ht="14.25" customHeight="1"/>
    <row r="32706" ht="14.25" customHeight="1"/>
    <row r="32707" ht="14.25" customHeight="1"/>
    <row r="32708" ht="14.25" customHeight="1"/>
    <row r="32709" ht="14.25" customHeight="1"/>
    <row r="32710" ht="14.25" customHeight="1"/>
    <row r="32711" ht="14.25" customHeight="1"/>
    <row r="32712" ht="14.25" customHeight="1"/>
    <row r="32713" ht="14.25" customHeight="1"/>
    <row r="32714" ht="14.25" customHeight="1"/>
    <row r="32715" ht="14.25" customHeight="1"/>
    <row r="32716" ht="14.25" customHeight="1"/>
    <row r="32717" ht="14.25" customHeight="1"/>
    <row r="32718" ht="14.25" customHeight="1"/>
    <row r="32719" ht="14.25" customHeight="1"/>
    <row r="32720" ht="14.25" customHeight="1"/>
    <row r="32721" ht="14.25" customHeight="1"/>
    <row r="32722" ht="14.25" customHeight="1"/>
    <row r="32723" ht="14.25" customHeight="1"/>
    <row r="32724" ht="14.25" customHeight="1"/>
    <row r="32725" ht="14.25" customHeight="1"/>
    <row r="32726" ht="14.25" customHeight="1"/>
    <row r="32727" ht="14.25" customHeight="1"/>
    <row r="32728" ht="14.25" customHeight="1"/>
    <row r="32729" ht="14.25" customHeight="1"/>
    <row r="32730" ht="14.25" customHeight="1"/>
    <row r="32731" ht="14.25" customHeight="1"/>
    <row r="32732" ht="14.25" customHeight="1"/>
    <row r="32733" ht="14.25" customHeight="1"/>
    <row r="32734" ht="14.25" customHeight="1"/>
    <row r="32735" ht="14.25" customHeight="1"/>
    <row r="32736" ht="14.25" customHeight="1"/>
    <row r="32737" ht="14.25" customHeight="1"/>
    <row r="32738" ht="14.25" customHeight="1"/>
    <row r="32739" ht="14.25" customHeight="1"/>
    <row r="32740" ht="14.25" customHeight="1"/>
    <row r="32741" ht="14.25" customHeight="1"/>
    <row r="32742" ht="14.25" customHeight="1"/>
    <row r="32743" ht="14.25" customHeight="1"/>
    <row r="32744" ht="14.25" customHeight="1"/>
    <row r="32745" ht="14.25" customHeight="1"/>
    <row r="32746" ht="14.25" customHeight="1"/>
    <row r="32747" ht="14.25" customHeight="1"/>
    <row r="32748" ht="14.25" customHeight="1"/>
    <row r="32749" ht="14.25" customHeight="1"/>
    <row r="32750" ht="14.25" customHeight="1"/>
    <row r="32751" ht="14.25" customHeight="1"/>
    <row r="32752" ht="14.25" customHeight="1"/>
    <row r="32753" ht="14.25" customHeight="1"/>
    <row r="32754" ht="14.25" customHeight="1"/>
    <row r="32755" ht="14.25" customHeight="1"/>
    <row r="32756" ht="14.25" customHeight="1"/>
    <row r="32757" ht="14.25" customHeight="1"/>
    <row r="32758" ht="14.25" customHeight="1"/>
    <row r="32759" ht="14.25" customHeight="1"/>
    <row r="32760" ht="14.25" customHeight="1"/>
    <row r="32761" ht="14.25" customHeight="1"/>
    <row r="32762" ht="14.25" customHeight="1"/>
    <row r="32763" ht="14.25" customHeight="1"/>
    <row r="32764" ht="14.25" customHeight="1"/>
    <row r="32765" ht="14.25" customHeight="1"/>
    <row r="32766" ht="14.25" customHeight="1"/>
    <row r="32767" ht="14.25" customHeight="1"/>
    <row r="32768" ht="14.25" customHeight="1"/>
    <row r="32769" ht="14.25" customHeight="1"/>
    <row r="32770" ht="14.25" customHeight="1"/>
    <row r="32771" ht="14.25" customHeight="1"/>
    <row r="32772" ht="14.25" customHeight="1"/>
    <row r="32773" ht="14.25" customHeight="1"/>
    <row r="32774" ht="14.25" customHeight="1"/>
    <row r="32775" ht="14.25" customHeight="1"/>
    <row r="32776" ht="14.25" customHeight="1"/>
    <row r="32777" ht="14.25" customHeight="1"/>
    <row r="32778" ht="14.25" customHeight="1"/>
    <row r="32779" ht="14.25" customHeight="1"/>
    <row r="32780" ht="14.25" customHeight="1"/>
    <row r="32781" ht="14.25" customHeight="1"/>
    <row r="32782" ht="14.25" customHeight="1"/>
    <row r="32783" ht="14.25" customHeight="1"/>
    <row r="32784" ht="14.25" customHeight="1"/>
    <row r="32785" ht="14.25" customHeight="1"/>
    <row r="32786" ht="14.25" customHeight="1"/>
    <row r="32787" ht="14.25" customHeight="1"/>
    <row r="32788" ht="14.25" customHeight="1"/>
    <row r="32789" ht="14.25" customHeight="1"/>
    <row r="32790" ht="14.25" customHeight="1"/>
    <row r="32791" ht="14.25" customHeight="1"/>
    <row r="32792" ht="14.25" customHeight="1"/>
    <row r="32793" ht="14.25" customHeight="1"/>
    <row r="32794" ht="14.25" customHeight="1"/>
    <row r="32795" ht="14.25" customHeight="1"/>
    <row r="32796" ht="14.25" customHeight="1"/>
    <row r="32797" ht="14.25" customHeight="1"/>
    <row r="32798" ht="14.25" customHeight="1"/>
    <row r="32799" ht="14.25" customHeight="1"/>
    <row r="32800" ht="14.25" customHeight="1"/>
    <row r="32801" ht="14.25" customHeight="1"/>
    <row r="32802" ht="14.25" customHeight="1"/>
    <row r="32803" ht="14.25" customHeight="1"/>
    <row r="32804" ht="14.25" customHeight="1"/>
    <row r="32805" ht="14.25" customHeight="1"/>
    <row r="32806" ht="14.25" customHeight="1"/>
    <row r="32807" ht="14.25" customHeight="1"/>
    <row r="32808" ht="14.25" customHeight="1"/>
    <row r="32809" ht="14.25" customHeight="1"/>
    <row r="32810" ht="14.25" customHeight="1"/>
    <row r="32811" ht="14.25" customHeight="1"/>
    <row r="32812" ht="14.25" customHeight="1"/>
    <row r="32813" ht="14.25" customHeight="1"/>
    <row r="32814" ht="14.25" customHeight="1"/>
    <row r="32815" ht="14.25" customHeight="1"/>
    <row r="32816" ht="14.25" customHeight="1"/>
    <row r="32817" ht="14.25" customHeight="1"/>
    <row r="32818" ht="14.25" customHeight="1"/>
    <row r="32819" ht="14.25" customHeight="1"/>
    <row r="32820" ht="14.25" customHeight="1"/>
    <row r="32821" ht="14.25" customHeight="1"/>
    <row r="32822" ht="14.25" customHeight="1"/>
    <row r="32823" ht="14.25" customHeight="1"/>
    <row r="32824" ht="14.25" customHeight="1"/>
    <row r="32825" ht="14.25" customHeight="1"/>
    <row r="32826" ht="14.25" customHeight="1"/>
    <row r="32827" ht="14.25" customHeight="1"/>
    <row r="32828" ht="14.25" customHeight="1"/>
    <row r="32829" ht="14.25" customHeight="1"/>
    <row r="32830" ht="14.25" customHeight="1"/>
    <row r="32831" ht="14.25" customHeight="1"/>
    <row r="32832" ht="14.25" customHeight="1"/>
    <row r="32833" ht="14.25" customHeight="1"/>
    <row r="32834" ht="14.25" customHeight="1"/>
    <row r="32835" ht="14.25" customHeight="1"/>
    <row r="32836" ht="14.25" customHeight="1"/>
    <row r="32837" ht="14.25" customHeight="1"/>
    <row r="32838" ht="14.25" customHeight="1"/>
    <row r="32839" ht="14.25" customHeight="1"/>
    <row r="32840" ht="14.25" customHeight="1"/>
    <row r="32841" ht="14.25" customHeight="1"/>
    <row r="32842" ht="14.25" customHeight="1"/>
    <row r="32843" ht="14.25" customHeight="1"/>
    <row r="32844" ht="14.25" customHeight="1"/>
    <row r="32845" ht="14.25" customHeight="1"/>
    <row r="32846" ht="14.25" customHeight="1"/>
    <row r="32847" ht="14.25" customHeight="1"/>
    <row r="32848" ht="14.25" customHeight="1"/>
    <row r="32849" ht="14.25" customHeight="1"/>
    <row r="32850" ht="14.25" customHeight="1"/>
    <row r="32851" ht="14.25" customHeight="1"/>
    <row r="32852" ht="14.25" customHeight="1"/>
    <row r="32853" ht="14.25" customHeight="1"/>
    <row r="32854" ht="14.25" customHeight="1"/>
    <row r="32855" ht="14.25" customHeight="1"/>
    <row r="32856" ht="14.25" customHeight="1"/>
    <row r="32857" ht="14.25" customHeight="1"/>
    <row r="32858" ht="14.25" customHeight="1"/>
    <row r="32859" ht="14.25" customHeight="1"/>
    <row r="32860" ht="14.25" customHeight="1"/>
    <row r="32861" ht="14.25" customHeight="1"/>
    <row r="32862" ht="14.25" customHeight="1"/>
    <row r="32863" ht="14.25" customHeight="1"/>
    <row r="32864" ht="14.25" customHeight="1"/>
    <row r="32865" ht="14.25" customHeight="1"/>
    <row r="32866" ht="14.25" customHeight="1"/>
    <row r="32867" ht="14.25" customHeight="1"/>
    <row r="32868" ht="14.25" customHeight="1"/>
    <row r="32869" ht="14.25" customHeight="1"/>
    <row r="32870" ht="14.25" customHeight="1"/>
    <row r="32871" ht="14.25" customHeight="1"/>
    <row r="32872" ht="14.25" customHeight="1"/>
    <row r="32873" ht="14.25" customHeight="1"/>
    <row r="32874" ht="14.25" customHeight="1"/>
    <row r="32875" ht="14.25" customHeight="1"/>
    <row r="32876" ht="14.25" customHeight="1"/>
    <row r="32877" ht="14.25" customHeight="1"/>
    <row r="32878" ht="14.25" customHeight="1"/>
    <row r="32879" ht="14.25" customHeight="1"/>
    <row r="32880" ht="14.25" customHeight="1"/>
    <row r="32881" ht="14.25" customHeight="1"/>
    <row r="32882" ht="14.25" customHeight="1"/>
    <row r="32883" ht="14.25" customHeight="1"/>
    <row r="32884" ht="14.25" customHeight="1"/>
    <row r="32885" ht="14.25" customHeight="1"/>
    <row r="32886" ht="14.25" customHeight="1"/>
    <row r="32887" ht="14.25" customHeight="1"/>
    <row r="32888" ht="14.25" customHeight="1"/>
    <row r="32889" ht="14.25" customHeight="1"/>
    <row r="32890" ht="14.25" customHeight="1"/>
    <row r="32891" ht="14.25" customHeight="1"/>
    <row r="32892" ht="14.25" customHeight="1"/>
    <row r="32893" ht="14.25" customHeight="1"/>
    <row r="32894" ht="14.25" customHeight="1"/>
    <row r="32895" ht="14.25" customHeight="1"/>
    <row r="32896" ht="14.25" customHeight="1"/>
    <row r="32897" ht="14.25" customHeight="1"/>
    <row r="32898" ht="14.25" customHeight="1"/>
    <row r="32899" ht="14.25" customHeight="1"/>
    <row r="32900" ht="14.25" customHeight="1"/>
    <row r="32901" ht="14.25" customHeight="1"/>
    <row r="32902" ht="14.25" customHeight="1"/>
    <row r="32903" ht="14.25" customHeight="1"/>
    <row r="32904" ht="14.25" customHeight="1"/>
    <row r="32905" ht="14.25" customHeight="1"/>
    <row r="32906" ht="14.25" customHeight="1"/>
    <row r="32907" ht="14.25" customHeight="1"/>
    <row r="32908" ht="14.25" customHeight="1"/>
    <row r="32909" ht="14.25" customHeight="1"/>
    <row r="32910" ht="14.25" customHeight="1"/>
    <row r="32911" ht="14.25" customHeight="1"/>
    <row r="32912" ht="14.25" customHeight="1"/>
    <row r="32913" ht="14.25" customHeight="1"/>
    <row r="32914" ht="14.25" customHeight="1"/>
    <row r="32915" ht="14.25" customHeight="1"/>
    <row r="32916" ht="14.25" customHeight="1"/>
    <row r="32917" ht="14.25" customHeight="1"/>
    <row r="32918" ht="14.25" customHeight="1"/>
    <row r="32919" ht="14.25" customHeight="1"/>
    <row r="32920" ht="14.25" customHeight="1"/>
    <row r="32921" ht="14.25" customHeight="1"/>
    <row r="32922" ht="14.25" customHeight="1"/>
    <row r="32923" ht="14.25" customHeight="1"/>
    <row r="32924" ht="14.25" customHeight="1"/>
    <row r="32925" ht="14.25" customHeight="1"/>
    <row r="32926" ht="14.25" customHeight="1"/>
    <row r="32927" ht="14.25" customHeight="1"/>
    <row r="32928" ht="14.25" customHeight="1"/>
    <row r="32929" ht="14.25" customHeight="1"/>
    <row r="32930" ht="14.25" customHeight="1"/>
    <row r="32931" ht="14.25" customHeight="1"/>
    <row r="32932" ht="14.25" customHeight="1"/>
    <row r="32933" ht="14.25" customHeight="1"/>
    <row r="32934" ht="14.25" customHeight="1"/>
    <row r="32935" ht="14.25" customHeight="1"/>
    <row r="32936" ht="14.25" customHeight="1"/>
    <row r="32937" ht="14.25" customHeight="1"/>
    <row r="32938" ht="14.25" customHeight="1"/>
    <row r="32939" ht="14.25" customHeight="1"/>
    <row r="32940" ht="14.25" customHeight="1"/>
    <row r="32941" ht="14.25" customHeight="1"/>
    <row r="32942" ht="14.25" customHeight="1"/>
    <row r="32943" ht="14.25" customHeight="1"/>
    <row r="32944" ht="14.25" customHeight="1"/>
    <row r="32945" ht="14.25" customHeight="1"/>
    <row r="32946" ht="14.25" customHeight="1"/>
    <row r="32947" ht="14.25" customHeight="1"/>
    <row r="32948" ht="14.25" customHeight="1"/>
    <row r="32949" ht="14.25" customHeight="1"/>
    <row r="32950" ht="14.25" customHeight="1"/>
    <row r="32951" ht="14.25" customHeight="1"/>
    <row r="32952" ht="14.25" customHeight="1"/>
    <row r="32953" ht="14.25" customHeight="1"/>
    <row r="32954" ht="14.25" customHeight="1"/>
    <row r="32955" ht="14.25" customHeight="1"/>
    <row r="32956" ht="14.25" customHeight="1"/>
    <row r="32957" ht="14.25" customHeight="1"/>
    <row r="32958" ht="14.25" customHeight="1"/>
    <row r="32959" ht="14.25" customHeight="1"/>
    <row r="32960" ht="14.25" customHeight="1"/>
    <row r="32961" ht="14.25" customHeight="1"/>
    <row r="32962" ht="14.25" customHeight="1"/>
    <row r="32963" ht="14.25" customHeight="1"/>
    <row r="32964" ht="14.25" customHeight="1"/>
    <row r="32965" ht="14.25" customHeight="1"/>
    <row r="32966" ht="14.25" customHeight="1"/>
    <row r="32967" ht="14.25" customHeight="1"/>
    <row r="32968" ht="14.25" customHeight="1"/>
    <row r="32969" ht="14.25" customHeight="1"/>
    <row r="32970" ht="14.25" customHeight="1"/>
    <row r="32971" ht="14.25" customHeight="1"/>
    <row r="32972" ht="14.25" customHeight="1"/>
    <row r="32973" ht="14.25" customHeight="1"/>
    <row r="32974" ht="14.25" customHeight="1"/>
    <row r="32975" ht="14.25" customHeight="1"/>
    <row r="32976" ht="14.25" customHeight="1"/>
    <row r="32977" ht="14.25" customHeight="1"/>
    <row r="32978" ht="14.25" customHeight="1"/>
    <row r="32979" ht="14.25" customHeight="1"/>
    <row r="32980" ht="14.25" customHeight="1"/>
    <row r="32981" ht="14.25" customHeight="1"/>
    <row r="32982" ht="14.25" customHeight="1"/>
    <row r="32983" ht="14.25" customHeight="1"/>
    <row r="32984" ht="14.25" customHeight="1"/>
    <row r="32985" ht="14.25" customHeight="1"/>
    <row r="32986" ht="14.25" customHeight="1"/>
    <row r="32987" ht="14.25" customHeight="1"/>
    <row r="32988" ht="14.25" customHeight="1"/>
    <row r="32989" ht="14.25" customHeight="1"/>
    <row r="32990" ht="14.25" customHeight="1"/>
    <row r="32991" ht="14.25" customHeight="1"/>
    <row r="32992" ht="14.25" customHeight="1"/>
    <row r="32993" ht="14.25" customHeight="1"/>
    <row r="32994" ht="14.25" customHeight="1"/>
    <row r="32995" ht="14.25" customHeight="1"/>
    <row r="32996" ht="14.25" customHeight="1"/>
    <row r="32997" ht="14.25" customHeight="1"/>
    <row r="32998" ht="14.25" customHeight="1"/>
    <row r="32999" ht="14.25" customHeight="1"/>
    <row r="33000" ht="14.25" customHeight="1"/>
    <row r="33001" ht="14.25" customHeight="1"/>
    <row r="33002" ht="14.25" customHeight="1"/>
    <row r="33003" ht="14.25" customHeight="1"/>
    <row r="33004" ht="14.25" customHeight="1"/>
    <row r="33005" ht="14.25" customHeight="1"/>
    <row r="33006" ht="14.25" customHeight="1"/>
    <row r="33007" ht="14.25" customHeight="1"/>
    <row r="33008" ht="14.25" customHeight="1"/>
    <row r="33009" ht="14.25" customHeight="1"/>
    <row r="33010" ht="14.25" customHeight="1"/>
    <row r="33011" ht="14.25" customHeight="1"/>
    <row r="33012" ht="14.25" customHeight="1"/>
    <row r="33013" ht="14.25" customHeight="1"/>
    <row r="33014" ht="14.25" customHeight="1"/>
    <row r="33015" ht="14.25" customHeight="1"/>
    <row r="33016" ht="14.25" customHeight="1"/>
    <row r="33017" ht="14.25" customHeight="1"/>
    <row r="33018" ht="14.25" customHeight="1"/>
    <row r="33019" ht="14.25" customHeight="1"/>
    <row r="33020" ht="14.25" customHeight="1"/>
    <row r="33021" ht="14.25" customHeight="1"/>
    <row r="33022" ht="14.25" customHeight="1"/>
    <row r="33023" ht="14.25" customHeight="1"/>
    <row r="33024" ht="14.25" customHeight="1"/>
    <row r="33025" ht="14.25" customHeight="1"/>
    <row r="33026" ht="14.25" customHeight="1"/>
    <row r="33027" ht="14.25" customHeight="1"/>
    <row r="33028" ht="14.25" customHeight="1"/>
    <row r="33029" ht="14.25" customHeight="1"/>
    <row r="33030" ht="14.25" customHeight="1"/>
    <row r="33031" ht="14.25" customHeight="1"/>
    <row r="33032" ht="14.25" customHeight="1"/>
    <row r="33033" ht="14.25" customHeight="1"/>
    <row r="33034" ht="14.25" customHeight="1"/>
    <row r="33035" ht="14.25" customHeight="1"/>
    <row r="33036" ht="14.25" customHeight="1"/>
    <row r="33037" ht="14.25" customHeight="1"/>
    <row r="33038" ht="14.25" customHeight="1"/>
    <row r="33039" ht="14.25" customHeight="1"/>
    <row r="33040" ht="14.25" customHeight="1"/>
    <row r="33041" ht="14.25" customHeight="1"/>
    <row r="33042" ht="14.25" customHeight="1"/>
    <row r="33043" ht="14.25" customHeight="1"/>
    <row r="33044" ht="14.25" customHeight="1"/>
    <row r="33045" ht="14.25" customHeight="1"/>
    <row r="33046" ht="14.25" customHeight="1"/>
    <row r="33047" ht="14.25" customHeight="1"/>
    <row r="33048" ht="14.25" customHeight="1"/>
    <row r="33049" ht="14.25" customHeight="1"/>
    <row r="33050" ht="14.25" customHeight="1"/>
    <row r="33051" ht="14.25" customHeight="1"/>
    <row r="33052" ht="14.25" customHeight="1"/>
    <row r="33053" ht="14.25" customHeight="1"/>
    <row r="33054" ht="14.25" customHeight="1"/>
    <row r="33055" ht="14.25" customHeight="1"/>
    <row r="33056" ht="14.25" customHeight="1"/>
    <row r="33057" ht="14.25" customHeight="1"/>
    <row r="33058" ht="14.25" customHeight="1"/>
    <row r="33059" ht="14.25" customHeight="1"/>
    <row r="33060" ht="14.25" customHeight="1"/>
    <row r="33061" ht="14.25" customHeight="1"/>
    <row r="33062" ht="14.25" customHeight="1"/>
    <row r="33063" ht="14.25" customHeight="1"/>
    <row r="33064" ht="14.25" customHeight="1"/>
    <row r="33065" ht="14.25" customHeight="1"/>
    <row r="33066" ht="14.25" customHeight="1"/>
    <row r="33067" ht="14.25" customHeight="1"/>
    <row r="33068" ht="14.25" customHeight="1"/>
    <row r="33069" ht="14.25" customHeight="1"/>
    <row r="33070" ht="14.25" customHeight="1"/>
    <row r="33071" ht="14.25" customHeight="1"/>
    <row r="33072" ht="14.25" customHeight="1"/>
    <row r="33073" ht="14.25" customHeight="1"/>
    <row r="33074" ht="14.25" customHeight="1"/>
    <row r="33075" ht="14.25" customHeight="1"/>
    <row r="33076" ht="14.25" customHeight="1"/>
    <row r="33077" ht="14.25" customHeight="1"/>
    <row r="33078" ht="14.25" customHeight="1"/>
    <row r="33079" ht="14.25" customHeight="1"/>
    <row r="33080" ht="14.25" customHeight="1"/>
    <row r="33081" ht="14.25" customHeight="1"/>
    <row r="33082" ht="14.25" customHeight="1"/>
    <row r="33083" ht="14.25" customHeight="1"/>
    <row r="33084" ht="14.25" customHeight="1"/>
    <row r="33085" ht="14.25" customHeight="1"/>
    <row r="33086" ht="14.25" customHeight="1"/>
    <row r="33087" ht="14.25" customHeight="1"/>
    <row r="33088" ht="14.25" customHeight="1"/>
    <row r="33089" ht="14.25" customHeight="1"/>
    <row r="33090" ht="14.25" customHeight="1"/>
    <row r="33091" ht="14.25" customHeight="1"/>
    <row r="33092" ht="14.25" customHeight="1"/>
    <row r="33093" ht="14.25" customHeight="1"/>
    <row r="33094" ht="14.25" customHeight="1"/>
    <row r="33095" ht="14.25" customHeight="1"/>
    <row r="33096" ht="14.25" customHeight="1"/>
    <row r="33097" ht="14.25" customHeight="1"/>
    <row r="33098" ht="14.25" customHeight="1"/>
    <row r="33099" ht="14.25" customHeight="1"/>
    <row r="33100" ht="14.25" customHeight="1"/>
    <row r="33101" ht="14.25" customHeight="1"/>
    <row r="33102" ht="14.25" customHeight="1"/>
    <row r="33103" ht="14.25" customHeight="1"/>
    <row r="33104" ht="14.25" customHeight="1"/>
    <row r="33105" ht="14.25" customHeight="1"/>
    <row r="33106" ht="14.25" customHeight="1"/>
    <row r="33107" ht="14.25" customHeight="1"/>
    <row r="33108" ht="14.25" customHeight="1"/>
    <row r="33109" ht="14.25" customHeight="1"/>
    <row r="33110" ht="14.25" customHeight="1"/>
    <row r="33111" ht="14.25" customHeight="1"/>
    <row r="33112" ht="14.25" customHeight="1"/>
    <row r="33113" ht="14.25" customHeight="1"/>
    <row r="33114" ht="14.25" customHeight="1"/>
    <row r="33115" ht="14.25" customHeight="1"/>
    <row r="33116" ht="14.25" customHeight="1"/>
    <row r="33117" ht="14.25" customHeight="1"/>
    <row r="33118" ht="14.25" customHeight="1"/>
    <row r="33119" ht="14.25" customHeight="1"/>
    <row r="33120" ht="14.25" customHeight="1"/>
    <row r="33121" ht="14.25" customHeight="1"/>
    <row r="33122" ht="14.25" customHeight="1"/>
    <row r="33123" ht="14.25" customHeight="1"/>
    <row r="33124" ht="14.25" customHeight="1"/>
    <row r="33125" ht="14.25" customHeight="1"/>
    <row r="33126" ht="14.25" customHeight="1"/>
    <row r="33127" ht="14.25" customHeight="1"/>
    <row r="33128" ht="14.25" customHeight="1"/>
    <row r="33129" ht="14.25" customHeight="1"/>
    <row r="33130" ht="14.25" customHeight="1"/>
    <row r="33131" ht="14.25" customHeight="1"/>
    <row r="33132" ht="14.25" customHeight="1"/>
    <row r="33133" ht="14.25" customHeight="1"/>
    <row r="33134" ht="14.25" customHeight="1"/>
    <row r="33135" ht="14.25" customHeight="1"/>
    <row r="33136" ht="14.25" customHeight="1"/>
    <row r="33137" ht="14.25" customHeight="1"/>
    <row r="33138" ht="14.25" customHeight="1"/>
    <row r="33139" ht="14.25" customHeight="1"/>
    <row r="33140" ht="14.25" customHeight="1"/>
    <row r="33141" ht="14.25" customHeight="1"/>
    <row r="33142" ht="14.25" customHeight="1"/>
    <row r="33143" ht="14.25" customHeight="1"/>
    <row r="33144" ht="14.25" customHeight="1"/>
    <row r="33145" ht="14.25" customHeight="1"/>
    <row r="33146" ht="14.25" customHeight="1"/>
    <row r="33147" ht="14.25" customHeight="1"/>
    <row r="33148" ht="14.25" customHeight="1"/>
    <row r="33149" ht="14.25" customHeight="1"/>
    <row r="33150" ht="14.25" customHeight="1"/>
    <row r="33151" ht="14.25" customHeight="1"/>
    <row r="33152" ht="14.25" customHeight="1"/>
    <row r="33153" ht="14.25" customHeight="1"/>
    <row r="33154" ht="14.25" customHeight="1"/>
    <row r="33155" ht="14.25" customHeight="1"/>
    <row r="33156" ht="14.25" customHeight="1"/>
    <row r="33157" ht="14.25" customHeight="1"/>
    <row r="33158" ht="14.25" customHeight="1"/>
    <row r="33159" ht="14.25" customHeight="1"/>
    <row r="33160" ht="14.25" customHeight="1"/>
    <row r="33161" ht="14.25" customHeight="1"/>
    <row r="33162" ht="14.25" customHeight="1"/>
    <row r="33163" ht="14.25" customHeight="1"/>
    <row r="33164" ht="14.25" customHeight="1"/>
    <row r="33165" ht="14.25" customHeight="1"/>
    <row r="33166" ht="14.25" customHeight="1"/>
    <row r="33167" ht="14.25" customHeight="1"/>
    <row r="33168" ht="14.25" customHeight="1"/>
    <row r="33169" ht="14.25" customHeight="1"/>
    <row r="33170" ht="14.25" customHeight="1"/>
    <row r="33171" ht="14.25" customHeight="1"/>
    <row r="33172" ht="14.25" customHeight="1"/>
    <row r="33173" ht="14.25" customHeight="1"/>
    <row r="33174" ht="14.25" customHeight="1"/>
    <row r="33175" ht="14.25" customHeight="1"/>
    <row r="33176" ht="14.25" customHeight="1"/>
    <row r="33177" ht="14.25" customHeight="1"/>
    <row r="33178" ht="14.25" customHeight="1"/>
    <row r="33179" ht="14.25" customHeight="1"/>
    <row r="33180" ht="14.25" customHeight="1"/>
    <row r="33181" ht="14.25" customHeight="1"/>
    <row r="33182" ht="14.25" customHeight="1"/>
    <row r="33183" ht="14.25" customHeight="1"/>
    <row r="33184" ht="14.25" customHeight="1"/>
    <row r="33185" ht="14.25" customHeight="1"/>
    <row r="33186" ht="14.25" customHeight="1"/>
    <row r="33187" ht="14.25" customHeight="1"/>
    <row r="33188" ht="14.25" customHeight="1"/>
    <row r="33189" ht="14.25" customHeight="1"/>
    <row r="33190" ht="14.25" customHeight="1"/>
    <row r="33191" ht="14.25" customHeight="1"/>
    <row r="33192" ht="14.25" customHeight="1"/>
    <row r="33193" ht="14.25" customHeight="1"/>
    <row r="33194" ht="14.25" customHeight="1"/>
    <row r="33195" ht="14.25" customHeight="1"/>
    <row r="33196" ht="14.25" customHeight="1"/>
    <row r="33197" ht="14.25" customHeight="1"/>
    <row r="33198" ht="14.25" customHeight="1"/>
    <row r="33199" ht="14.25" customHeight="1"/>
    <row r="33200" ht="14.25" customHeight="1"/>
    <row r="33201" ht="14.25" customHeight="1"/>
    <row r="33202" ht="14.25" customHeight="1"/>
    <row r="33203" ht="14.25" customHeight="1"/>
    <row r="33204" ht="14.25" customHeight="1"/>
    <row r="33205" ht="14.25" customHeight="1"/>
    <row r="33206" ht="14.25" customHeight="1"/>
    <row r="33207" ht="14.25" customHeight="1"/>
    <row r="33208" ht="14.25" customHeight="1"/>
    <row r="33209" ht="14.25" customHeight="1"/>
    <row r="33210" ht="14.25" customHeight="1"/>
    <row r="33211" ht="14.25" customHeight="1"/>
    <row r="33212" ht="14.25" customHeight="1"/>
    <row r="33213" ht="14.25" customHeight="1"/>
    <row r="33214" ht="14.25" customHeight="1"/>
    <row r="33215" ht="14.25" customHeight="1"/>
    <row r="33216" ht="14.25" customHeight="1"/>
    <row r="33217" ht="14.25" customHeight="1"/>
    <row r="33218" ht="14.25" customHeight="1"/>
    <row r="33219" ht="14.25" customHeight="1"/>
    <row r="33220" ht="14.25" customHeight="1"/>
    <row r="33221" ht="14.25" customHeight="1"/>
    <row r="33222" ht="14.25" customHeight="1"/>
    <row r="33223" ht="14.25" customHeight="1"/>
    <row r="33224" ht="14.25" customHeight="1"/>
    <row r="33225" ht="14.25" customHeight="1"/>
    <row r="33226" ht="14.25" customHeight="1"/>
    <row r="33227" ht="14.25" customHeight="1"/>
    <row r="33228" ht="14.25" customHeight="1"/>
    <row r="33229" ht="14.25" customHeight="1"/>
    <row r="33230" ht="14.25" customHeight="1"/>
    <row r="33231" ht="14.25" customHeight="1"/>
    <row r="33232" ht="14.25" customHeight="1"/>
    <row r="33233" ht="14.25" customHeight="1"/>
    <row r="33234" ht="14.25" customHeight="1"/>
    <row r="33235" ht="14.25" customHeight="1"/>
    <row r="33236" ht="14.25" customHeight="1"/>
    <row r="33237" ht="14.25" customHeight="1"/>
    <row r="33238" ht="14.25" customHeight="1"/>
    <row r="33239" ht="14.25" customHeight="1"/>
    <row r="33240" ht="14.25" customHeight="1"/>
    <row r="33241" ht="14.25" customHeight="1"/>
    <row r="33242" ht="14.25" customHeight="1"/>
    <row r="33243" ht="14.25" customHeight="1"/>
    <row r="33244" ht="14.25" customHeight="1"/>
    <row r="33245" ht="14.25" customHeight="1"/>
    <row r="33246" ht="14.25" customHeight="1"/>
    <row r="33247" ht="14.25" customHeight="1"/>
    <row r="33248" ht="14.25" customHeight="1"/>
    <row r="33249" ht="14.25" customHeight="1"/>
    <row r="33250" ht="14.25" customHeight="1"/>
    <row r="33251" ht="14.25" customHeight="1"/>
    <row r="33252" ht="14.25" customHeight="1"/>
    <row r="33253" ht="14.25" customHeight="1"/>
    <row r="33254" ht="14.25" customHeight="1"/>
    <row r="33255" ht="14.25" customHeight="1"/>
    <row r="33256" ht="14.25" customHeight="1"/>
    <row r="33257" ht="14.25" customHeight="1"/>
    <row r="33258" ht="14.25" customHeight="1"/>
    <row r="33259" ht="14.25" customHeight="1"/>
    <row r="33260" ht="14.25" customHeight="1"/>
    <row r="33261" ht="14.25" customHeight="1"/>
    <row r="33262" ht="14.25" customHeight="1"/>
    <row r="33263" ht="14.25" customHeight="1"/>
    <row r="33264" ht="14.25" customHeight="1"/>
    <row r="33265" ht="14.25" customHeight="1"/>
    <row r="33266" ht="14.25" customHeight="1"/>
    <row r="33267" ht="14.25" customHeight="1"/>
    <row r="33268" ht="14.25" customHeight="1"/>
    <row r="33269" ht="14.25" customHeight="1"/>
    <row r="33270" ht="14.25" customHeight="1"/>
    <row r="33271" ht="14.25" customHeight="1"/>
    <row r="33272" ht="14.25" customHeight="1"/>
    <row r="33273" ht="14.25" customHeight="1"/>
    <row r="33274" ht="14.25" customHeight="1"/>
    <row r="33275" ht="14.25" customHeight="1"/>
    <row r="33276" ht="14.25" customHeight="1"/>
    <row r="33277" ht="14.25" customHeight="1"/>
    <row r="33278" ht="14.25" customHeight="1"/>
    <row r="33279" ht="14.25" customHeight="1"/>
    <row r="33280" ht="14.25" customHeight="1"/>
    <row r="33281" ht="14.25" customHeight="1"/>
    <row r="33282" ht="14.25" customHeight="1"/>
    <row r="33283" ht="14.25" customHeight="1"/>
    <row r="33284" ht="14.25" customHeight="1"/>
    <row r="33285" ht="14.25" customHeight="1"/>
    <row r="33286" ht="14.25" customHeight="1"/>
    <row r="33287" ht="14.25" customHeight="1"/>
    <row r="33288" ht="14.25" customHeight="1"/>
    <row r="33289" ht="14.25" customHeight="1"/>
    <row r="33290" ht="14.25" customHeight="1"/>
    <row r="33291" ht="14.25" customHeight="1"/>
    <row r="33292" ht="14.25" customHeight="1"/>
    <row r="33293" ht="14.25" customHeight="1"/>
    <row r="33294" ht="14.25" customHeight="1"/>
    <row r="33295" ht="14.25" customHeight="1"/>
    <row r="33296" ht="14.25" customHeight="1"/>
    <row r="33297" ht="14.25" customHeight="1"/>
    <row r="33298" ht="14.25" customHeight="1"/>
    <row r="33299" ht="14.25" customHeight="1"/>
    <row r="33300" ht="14.25" customHeight="1"/>
    <row r="33301" ht="14.25" customHeight="1"/>
    <row r="33302" ht="14.25" customHeight="1"/>
    <row r="33303" ht="14.25" customHeight="1"/>
    <row r="33304" ht="14.25" customHeight="1"/>
    <row r="33305" ht="14.25" customHeight="1"/>
    <row r="33306" ht="14.25" customHeight="1"/>
    <row r="33307" ht="14.25" customHeight="1"/>
    <row r="33308" ht="14.25" customHeight="1"/>
    <row r="33309" ht="14.25" customHeight="1"/>
    <row r="33310" ht="14.25" customHeight="1"/>
    <row r="33311" ht="14.25" customHeight="1"/>
    <row r="33312" ht="14.25" customHeight="1"/>
    <row r="33313" ht="14.25" customHeight="1"/>
    <row r="33314" ht="14.25" customHeight="1"/>
    <row r="33315" ht="14.25" customHeight="1"/>
    <row r="33316" ht="14.25" customHeight="1"/>
    <row r="33317" ht="14.25" customHeight="1"/>
    <row r="33318" ht="14.25" customHeight="1"/>
    <row r="33319" ht="14.25" customHeight="1"/>
    <row r="33320" ht="14.25" customHeight="1"/>
    <row r="33321" ht="14.25" customHeight="1"/>
    <row r="33322" ht="14.25" customHeight="1"/>
    <row r="33323" ht="14.25" customHeight="1"/>
    <row r="33324" ht="14.25" customHeight="1"/>
    <row r="33325" ht="14.25" customHeight="1"/>
    <row r="33326" ht="14.25" customHeight="1"/>
    <row r="33327" ht="14.25" customHeight="1"/>
    <row r="33328" ht="14.25" customHeight="1"/>
    <row r="33329" ht="14.25" customHeight="1"/>
    <row r="33330" ht="14.25" customHeight="1"/>
    <row r="33331" ht="14.25" customHeight="1"/>
    <row r="33332" ht="14.25" customHeight="1"/>
    <row r="33333" ht="14.25" customHeight="1"/>
    <row r="33334" ht="14.25" customHeight="1"/>
    <row r="33335" ht="14.25" customHeight="1"/>
    <row r="33336" ht="14.25" customHeight="1"/>
    <row r="33337" ht="14.25" customHeight="1"/>
    <row r="33338" ht="14.25" customHeight="1"/>
    <row r="33339" ht="14.25" customHeight="1"/>
    <row r="33340" ht="14.25" customHeight="1"/>
    <row r="33341" ht="14.25" customHeight="1"/>
    <row r="33342" ht="14.25" customHeight="1"/>
    <row r="33343" ht="14.25" customHeight="1"/>
    <row r="33344" ht="14.25" customHeight="1"/>
    <row r="33345" ht="14.25" customHeight="1"/>
    <row r="33346" ht="14.25" customHeight="1"/>
    <row r="33347" ht="14.25" customHeight="1"/>
    <row r="33348" ht="14.25" customHeight="1"/>
    <row r="33349" ht="14.25" customHeight="1"/>
    <row r="33350" ht="14.25" customHeight="1"/>
    <row r="33351" ht="14.25" customHeight="1"/>
    <row r="33352" ht="14.25" customHeight="1"/>
    <row r="33353" ht="14.25" customHeight="1"/>
    <row r="33354" ht="14.25" customHeight="1"/>
    <row r="33355" ht="14.25" customHeight="1"/>
    <row r="33356" ht="14.25" customHeight="1"/>
    <row r="33357" ht="14.25" customHeight="1"/>
    <row r="33358" ht="14.25" customHeight="1"/>
    <row r="33359" ht="14.25" customHeight="1"/>
    <row r="33360" ht="14.25" customHeight="1"/>
    <row r="33361" ht="14.25" customHeight="1"/>
    <row r="33362" ht="14.25" customHeight="1"/>
    <row r="33363" ht="14.25" customHeight="1"/>
    <row r="33364" ht="14.25" customHeight="1"/>
    <row r="33365" ht="14.25" customHeight="1"/>
    <row r="33366" ht="14.25" customHeight="1"/>
    <row r="33367" ht="14.25" customHeight="1"/>
    <row r="33368" ht="14.25" customHeight="1"/>
    <row r="33369" ht="14.25" customHeight="1"/>
    <row r="33370" ht="14.25" customHeight="1"/>
    <row r="33371" ht="14.25" customHeight="1"/>
    <row r="33372" ht="14.25" customHeight="1"/>
    <row r="33373" ht="14.25" customHeight="1"/>
    <row r="33374" ht="14.25" customHeight="1"/>
    <row r="33375" ht="14.25" customHeight="1"/>
    <row r="33376" ht="14.25" customHeight="1"/>
    <row r="33377" ht="14.25" customHeight="1"/>
    <row r="33378" ht="14.25" customHeight="1"/>
    <row r="33379" ht="14.25" customHeight="1"/>
    <row r="33380" ht="14.25" customHeight="1"/>
    <row r="33381" ht="14.25" customHeight="1"/>
    <row r="33382" ht="14.25" customHeight="1"/>
    <row r="33383" ht="14.25" customHeight="1"/>
    <row r="33384" ht="14.25" customHeight="1"/>
    <row r="33385" ht="14.25" customHeight="1"/>
    <row r="33386" ht="14.25" customHeight="1"/>
    <row r="33387" ht="14.25" customHeight="1"/>
    <row r="33388" ht="14.25" customHeight="1"/>
    <row r="33389" ht="14.25" customHeight="1"/>
    <row r="33390" ht="14.25" customHeight="1"/>
    <row r="33391" ht="14.25" customHeight="1"/>
    <row r="33392" ht="14.25" customHeight="1"/>
    <row r="33393" ht="14.25" customHeight="1"/>
    <row r="33394" ht="14.25" customHeight="1"/>
    <row r="33395" ht="14.25" customHeight="1"/>
    <row r="33396" ht="14.25" customHeight="1"/>
    <row r="33397" ht="14.25" customHeight="1"/>
    <row r="33398" ht="14.25" customHeight="1"/>
    <row r="33399" ht="14.25" customHeight="1"/>
    <row r="33400" ht="14.25" customHeight="1"/>
    <row r="33401" ht="14.25" customHeight="1"/>
    <row r="33402" ht="14.25" customHeight="1"/>
    <row r="33403" ht="14.25" customHeight="1"/>
    <row r="33404" ht="14.25" customHeight="1"/>
    <row r="33405" ht="14.25" customHeight="1"/>
    <row r="33406" ht="14.25" customHeight="1"/>
    <row r="33407" ht="14.25" customHeight="1"/>
    <row r="33408" ht="14.25" customHeight="1"/>
    <row r="33409" ht="14.25" customHeight="1"/>
    <row r="33410" ht="14.25" customHeight="1"/>
    <row r="33411" ht="14.25" customHeight="1"/>
    <row r="33412" ht="14.25" customHeight="1"/>
    <row r="33413" ht="14.25" customHeight="1"/>
    <row r="33414" ht="14.25" customHeight="1"/>
    <row r="33415" ht="14.25" customHeight="1"/>
    <row r="33416" ht="14.25" customHeight="1"/>
    <row r="33417" ht="14.25" customHeight="1"/>
    <row r="33418" ht="14.25" customHeight="1"/>
    <row r="33419" ht="14.25" customHeight="1"/>
    <row r="33420" ht="14.25" customHeight="1"/>
    <row r="33421" ht="14.25" customHeight="1"/>
    <row r="33422" ht="14.25" customHeight="1"/>
    <row r="33423" ht="14.25" customHeight="1"/>
    <row r="33424" ht="14.25" customHeight="1"/>
    <row r="33425" ht="14.25" customHeight="1"/>
    <row r="33426" ht="14.25" customHeight="1"/>
    <row r="33427" ht="14.25" customHeight="1"/>
    <row r="33428" ht="14.25" customHeight="1"/>
    <row r="33429" ht="14.25" customHeight="1"/>
    <row r="33430" ht="14.25" customHeight="1"/>
    <row r="33431" ht="14.25" customHeight="1"/>
    <row r="33432" ht="14.25" customHeight="1"/>
    <row r="33433" ht="14.25" customHeight="1"/>
    <row r="33434" ht="14.25" customHeight="1"/>
    <row r="33435" ht="14.25" customHeight="1"/>
    <row r="33436" ht="14.25" customHeight="1"/>
    <row r="33437" ht="14.25" customHeight="1"/>
    <row r="33438" ht="14.25" customHeight="1"/>
    <row r="33439" ht="14.25" customHeight="1"/>
    <row r="33440" ht="14.25" customHeight="1"/>
    <row r="33441" ht="14.25" customHeight="1"/>
    <row r="33442" ht="14.25" customHeight="1"/>
    <row r="33443" ht="14.25" customHeight="1"/>
    <row r="33444" ht="14.25" customHeight="1"/>
    <row r="33445" ht="14.25" customHeight="1"/>
    <row r="33446" ht="14.25" customHeight="1"/>
    <row r="33447" ht="14.25" customHeight="1"/>
    <row r="33448" ht="14.25" customHeight="1"/>
    <row r="33449" ht="14.25" customHeight="1"/>
    <row r="33450" ht="14.25" customHeight="1"/>
    <row r="33451" ht="14.25" customHeight="1"/>
    <row r="33452" ht="14.25" customHeight="1"/>
    <row r="33453" ht="14.25" customHeight="1"/>
    <row r="33454" ht="14.25" customHeight="1"/>
    <row r="33455" ht="14.25" customHeight="1"/>
    <row r="33456" ht="14.25" customHeight="1"/>
    <row r="33457" ht="14.25" customHeight="1"/>
    <row r="33458" ht="14.25" customHeight="1"/>
    <row r="33459" ht="14.25" customHeight="1"/>
    <row r="33460" ht="14.25" customHeight="1"/>
    <row r="33461" ht="14.25" customHeight="1"/>
    <row r="33462" ht="14.25" customHeight="1"/>
    <row r="33463" ht="14.25" customHeight="1"/>
    <row r="33464" ht="14.25" customHeight="1"/>
    <row r="33465" ht="14.25" customHeight="1"/>
    <row r="33466" ht="14.25" customHeight="1"/>
    <row r="33467" ht="14.25" customHeight="1"/>
    <row r="33468" ht="14.25" customHeight="1"/>
    <row r="33469" ht="14.25" customHeight="1"/>
    <row r="33470" ht="14.25" customHeight="1"/>
    <row r="33471" ht="14.25" customHeight="1"/>
    <row r="33472" ht="14.25" customHeight="1"/>
    <row r="33473" ht="14.25" customHeight="1"/>
    <row r="33474" ht="14.25" customHeight="1"/>
    <row r="33475" ht="14.25" customHeight="1"/>
    <row r="33476" ht="14.25" customHeight="1"/>
    <row r="33477" ht="14.25" customHeight="1"/>
    <row r="33478" ht="14.25" customHeight="1"/>
    <row r="33479" ht="14.25" customHeight="1"/>
    <row r="33480" ht="14.25" customHeight="1"/>
    <row r="33481" ht="14.25" customHeight="1"/>
    <row r="33482" ht="14.25" customHeight="1"/>
    <row r="33483" ht="14.25" customHeight="1"/>
    <row r="33484" ht="14.25" customHeight="1"/>
    <row r="33485" ht="14.25" customHeight="1"/>
    <row r="33486" ht="14.25" customHeight="1"/>
    <row r="33487" ht="14.25" customHeight="1"/>
    <row r="33488" ht="14.25" customHeight="1"/>
    <row r="33489" ht="14.25" customHeight="1"/>
    <row r="33490" ht="14.25" customHeight="1"/>
    <row r="33491" ht="14.25" customHeight="1"/>
    <row r="33492" ht="14.25" customHeight="1"/>
    <row r="33493" ht="14.25" customHeight="1"/>
    <row r="33494" ht="14.25" customHeight="1"/>
    <row r="33495" ht="14.25" customHeight="1"/>
    <row r="33496" ht="14.25" customHeight="1"/>
    <row r="33497" ht="14.25" customHeight="1"/>
    <row r="33498" ht="14.25" customHeight="1"/>
    <row r="33499" ht="14.25" customHeight="1"/>
    <row r="33500" ht="14.25" customHeight="1"/>
    <row r="33501" ht="14.25" customHeight="1"/>
    <row r="33502" ht="14.25" customHeight="1"/>
    <row r="33503" ht="14.25" customHeight="1"/>
    <row r="33504" ht="14.25" customHeight="1"/>
    <row r="33505" ht="14.25" customHeight="1"/>
    <row r="33506" ht="14.25" customHeight="1"/>
    <row r="33507" ht="14.25" customHeight="1"/>
    <row r="33508" ht="14.25" customHeight="1"/>
    <row r="33509" ht="14.25" customHeight="1"/>
    <row r="33510" ht="14.25" customHeight="1"/>
    <row r="33511" ht="14.25" customHeight="1"/>
    <row r="33512" ht="14.25" customHeight="1"/>
    <row r="33513" ht="14.25" customHeight="1"/>
    <row r="33514" ht="14.25" customHeight="1"/>
    <row r="33515" ht="14.25" customHeight="1"/>
    <row r="33516" ht="14.25" customHeight="1"/>
    <row r="33517" ht="14.25" customHeight="1"/>
    <row r="33518" ht="14.25" customHeight="1"/>
    <row r="33519" ht="14.25" customHeight="1"/>
    <row r="33520" ht="14.25" customHeight="1"/>
    <row r="33521" ht="14.25" customHeight="1"/>
    <row r="33522" ht="14.25" customHeight="1"/>
    <row r="33523" ht="14.25" customHeight="1"/>
    <row r="33524" ht="14.25" customHeight="1"/>
    <row r="33525" ht="14.25" customHeight="1"/>
    <row r="33526" ht="14.25" customHeight="1"/>
    <row r="33527" ht="14.25" customHeight="1"/>
    <row r="33528" ht="14.25" customHeight="1"/>
    <row r="33529" ht="14.25" customHeight="1"/>
    <row r="33530" ht="14.25" customHeight="1"/>
    <row r="33531" ht="14.25" customHeight="1"/>
    <row r="33532" ht="14.25" customHeight="1"/>
    <row r="33533" ht="14.25" customHeight="1"/>
    <row r="33534" ht="14.25" customHeight="1"/>
    <row r="33535" ht="14.25" customHeight="1"/>
    <row r="33536" ht="14.25" customHeight="1"/>
    <row r="33537" ht="14.25" customHeight="1"/>
    <row r="33538" ht="14.25" customHeight="1"/>
    <row r="33539" ht="14.25" customHeight="1"/>
    <row r="33540" ht="14.25" customHeight="1"/>
    <row r="33541" ht="14.25" customHeight="1"/>
    <row r="33542" ht="14.25" customHeight="1"/>
    <row r="33543" ht="14.25" customHeight="1"/>
    <row r="33544" ht="14.25" customHeight="1"/>
    <row r="33545" ht="14.25" customHeight="1"/>
    <row r="33546" ht="14.25" customHeight="1"/>
    <row r="33547" ht="14.25" customHeight="1"/>
    <row r="33548" ht="14.25" customHeight="1"/>
    <row r="33549" ht="14.25" customHeight="1"/>
    <row r="33550" ht="14.25" customHeight="1"/>
    <row r="33551" ht="14.25" customHeight="1"/>
    <row r="33552" ht="14.25" customHeight="1"/>
    <row r="33553" ht="14.25" customHeight="1"/>
    <row r="33554" ht="14.25" customHeight="1"/>
    <row r="33555" ht="14.25" customHeight="1"/>
    <row r="33556" ht="14.25" customHeight="1"/>
    <row r="33557" ht="14.25" customHeight="1"/>
    <row r="33558" ht="14.25" customHeight="1"/>
    <row r="33559" ht="14.25" customHeight="1"/>
    <row r="33560" ht="14.25" customHeight="1"/>
    <row r="33561" ht="14.25" customHeight="1"/>
    <row r="33562" ht="14.25" customHeight="1"/>
    <row r="33563" ht="14.25" customHeight="1"/>
    <row r="33564" ht="14.25" customHeight="1"/>
    <row r="33565" ht="14.25" customHeight="1"/>
    <row r="33566" ht="14.25" customHeight="1"/>
    <row r="33567" ht="14.25" customHeight="1"/>
    <row r="33568" ht="14.25" customHeight="1"/>
    <row r="33569" ht="14.25" customHeight="1"/>
    <row r="33570" ht="14.25" customHeight="1"/>
    <row r="33571" ht="14.25" customHeight="1"/>
    <row r="33572" ht="14.25" customHeight="1"/>
    <row r="33573" ht="14.25" customHeight="1"/>
    <row r="33574" ht="14.25" customHeight="1"/>
    <row r="33575" ht="14.25" customHeight="1"/>
    <row r="33576" ht="14.25" customHeight="1"/>
    <row r="33577" ht="14.25" customHeight="1"/>
    <row r="33578" ht="14.25" customHeight="1"/>
    <row r="33579" ht="14.25" customHeight="1"/>
    <row r="33580" ht="14.25" customHeight="1"/>
    <row r="33581" ht="14.25" customHeight="1"/>
    <row r="33582" ht="14.25" customHeight="1"/>
    <row r="33583" ht="14.25" customHeight="1"/>
    <row r="33584" ht="14.25" customHeight="1"/>
    <row r="33585" ht="14.25" customHeight="1"/>
    <row r="33586" ht="14.25" customHeight="1"/>
    <row r="33587" ht="14.25" customHeight="1"/>
    <row r="33588" ht="14.25" customHeight="1"/>
    <row r="33589" ht="14.25" customHeight="1"/>
    <row r="33590" ht="14.25" customHeight="1"/>
    <row r="33591" ht="14.25" customHeight="1"/>
    <row r="33592" ht="14.25" customHeight="1"/>
    <row r="33593" ht="14.25" customHeight="1"/>
    <row r="33594" ht="14.25" customHeight="1"/>
    <row r="33595" ht="14.25" customHeight="1"/>
    <row r="33596" ht="14.25" customHeight="1"/>
    <row r="33597" ht="14.25" customHeight="1"/>
    <row r="33598" ht="14.25" customHeight="1"/>
    <row r="33599" ht="14.25" customHeight="1"/>
    <row r="33600" ht="14.25" customHeight="1"/>
    <row r="33601" ht="14.25" customHeight="1"/>
    <row r="33602" ht="14.25" customHeight="1"/>
    <row r="33603" ht="14.25" customHeight="1"/>
    <row r="33604" ht="14.25" customHeight="1"/>
    <row r="33605" ht="14.25" customHeight="1"/>
    <row r="33606" ht="14.25" customHeight="1"/>
    <row r="33607" ht="14.25" customHeight="1"/>
    <row r="33608" ht="14.25" customHeight="1"/>
    <row r="33609" ht="14.25" customHeight="1"/>
    <row r="33610" ht="14.25" customHeight="1"/>
    <row r="33611" ht="14.25" customHeight="1"/>
    <row r="33612" ht="14.25" customHeight="1"/>
    <row r="33613" ht="14.25" customHeight="1"/>
    <row r="33614" ht="14.25" customHeight="1"/>
    <row r="33615" ht="14.25" customHeight="1"/>
    <row r="33616" ht="14.25" customHeight="1"/>
    <row r="33617" ht="14.25" customHeight="1"/>
    <row r="33618" ht="14.25" customHeight="1"/>
    <row r="33619" ht="14.25" customHeight="1"/>
    <row r="33620" ht="14.25" customHeight="1"/>
    <row r="33621" ht="14.25" customHeight="1"/>
    <row r="33622" ht="14.25" customHeight="1"/>
    <row r="33623" ht="14.25" customHeight="1"/>
    <row r="33624" ht="14.25" customHeight="1"/>
    <row r="33625" ht="14.25" customHeight="1"/>
    <row r="33626" ht="14.25" customHeight="1"/>
    <row r="33627" ht="14.25" customHeight="1"/>
    <row r="33628" ht="14.25" customHeight="1"/>
    <row r="33629" ht="14.25" customHeight="1"/>
    <row r="33630" ht="14.25" customHeight="1"/>
    <row r="33631" ht="14.25" customHeight="1"/>
    <row r="33632" ht="14.25" customHeight="1"/>
    <row r="33633" ht="14.25" customHeight="1"/>
    <row r="33634" ht="14.25" customHeight="1"/>
    <row r="33635" ht="14.25" customHeight="1"/>
    <row r="33636" ht="14.25" customHeight="1"/>
    <row r="33637" ht="14.25" customHeight="1"/>
    <row r="33638" ht="14.25" customHeight="1"/>
    <row r="33639" ht="14.25" customHeight="1"/>
    <row r="33640" ht="14.25" customHeight="1"/>
    <row r="33641" ht="14.25" customHeight="1"/>
    <row r="33642" ht="14.25" customHeight="1"/>
    <row r="33643" ht="14.25" customHeight="1"/>
    <row r="33644" ht="14.25" customHeight="1"/>
    <row r="33645" ht="14.25" customHeight="1"/>
    <row r="33646" ht="14.25" customHeight="1"/>
    <row r="33647" ht="14.25" customHeight="1"/>
    <row r="33648" ht="14.25" customHeight="1"/>
    <row r="33649" ht="14.25" customHeight="1"/>
    <row r="33650" ht="14.25" customHeight="1"/>
    <row r="33651" ht="14.25" customHeight="1"/>
    <row r="33652" ht="14.25" customHeight="1"/>
    <row r="33653" ht="14.25" customHeight="1"/>
    <row r="33654" ht="14.25" customHeight="1"/>
    <row r="33655" ht="14.25" customHeight="1"/>
    <row r="33656" ht="14.25" customHeight="1"/>
    <row r="33657" ht="14.25" customHeight="1"/>
    <row r="33658" ht="14.25" customHeight="1"/>
    <row r="33659" ht="14.25" customHeight="1"/>
    <row r="33660" ht="14.25" customHeight="1"/>
    <row r="33661" ht="14.25" customHeight="1"/>
    <row r="33662" ht="14.25" customHeight="1"/>
    <row r="33663" ht="14.25" customHeight="1"/>
    <row r="33664" ht="14.25" customHeight="1"/>
    <row r="33665" ht="14.25" customHeight="1"/>
    <row r="33666" ht="14.25" customHeight="1"/>
    <row r="33667" ht="14.25" customHeight="1"/>
    <row r="33668" ht="14.25" customHeight="1"/>
    <row r="33669" ht="14.25" customHeight="1"/>
    <row r="33670" ht="14.25" customHeight="1"/>
    <row r="33671" ht="14.25" customHeight="1"/>
    <row r="33672" ht="14.25" customHeight="1"/>
    <row r="33673" ht="14.25" customHeight="1"/>
    <row r="33674" ht="14.25" customHeight="1"/>
    <row r="33675" ht="14.25" customHeight="1"/>
    <row r="33676" ht="14.25" customHeight="1"/>
    <row r="33677" ht="14.25" customHeight="1"/>
    <row r="33678" ht="14.25" customHeight="1"/>
    <row r="33679" ht="14.25" customHeight="1"/>
    <row r="33680" ht="14.25" customHeight="1"/>
    <row r="33681" ht="14.25" customHeight="1"/>
    <row r="33682" ht="14.25" customHeight="1"/>
    <row r="33683" ht="14.25" customHeight="1"/>
    <row r="33684" ht="14.25" customHeight="1"/>
    <row r="33685" ht="14.25" customHeight="1"/>
    <row r="33686" ht="14.25" customHeight="1"/>
    <row r="33687" ht="14.25" customHeight="1"/>
    <row r="33688" ht="14.25" customHeight="1"/>
    <row r="33689" ht="14.25" customHeight="1"/>
    <row r="33690" ht="14.25" customHeight="1"/>
    <row r="33691" ht="14.25" customHeight="1"/>
    <row r="33692" ht="14.25" customHeight="1"/>
    <row r="33693" ht="14.25" customHeight="1"/>
    <row r="33694" ht="14.25" customHeight="1"/>
    <row r="33695" ht="14.25" customHeight="1"/>
    <row r="33696" ht="14.25" customHeight="1"/>
    <row r="33697" ht="14.25" customHeight="1"/>
    <row r="33698" ht="14.25" customHeight="1"/>
    <row r="33699" ht="14.25" customHeight="1"/>
    <row r="33700" ht="14.25" customHeight="1"/>
    <row r="33701" ht="14.25" customHeight="1"/>
    <row r="33702" ht="14.25" customHeight="1"/>
    <row r="33703" ht="14.25" customHeight="1"/>
    <row r="33704" ht="14.25" customHeight="1"/>
    <row r="33705" ht="14.25" customHeight="1"/>
    <row r="33706" ht="14.25" customHeight="1"/>
    <row r="33707" ht="14.25" customHeight="1"/>
    <row r="33708" ht="14.25" customHeight="1"/>
    <row r="33709" ht="14.25" customHeight="1"/>
    <row r="33710" ht="14.25" customHeight="1"/>
    <row r="33711" ht="14.25" customHeight="1"/>
    <row r="33712" ht="14.25" customHeight="1"/>
    <row r="33713" ht="14.25" customHeight="1"/>
    <row r="33714" ht="14.25" customHeight="1"/>
    <row r="33715" ht="14.25" customHeight="1"/>
    <row r="33716" ht="14.25" customHeight="1"/>
    <row r="33717" ht="14.25" customHeight="1"/>
    <row r="33718" ht="14.25" customHeight="1"/>
    <row r="33719" ht="14.25" customHeight="1"/>
    <row r="33720" ht="14.25" customHeight="1"/>
    <row r="33721" ht="14.25" customHeight="1"/>
    <row r="33722" ht="14.25" customHeight="1"/>
    <row r="33723" ht="14.25" customHeight="1"/>
    <row r="33724" ht="14.25" customHeight="1"/>
    <row r="33725" ht="14.25" customHeight="1"/>
    <row r="33726" ht="14.25" customHeight="1"/>
    <row r="33727" ht="14.25" customHeight="1"/>
    <row r="33728" ht="14.25" customHeight="1"/>
    <row r="33729" ht="14.25" customHeight="1"/>
    <row r="33730" ht="14.25" customHeight="1"/>
    <row r="33731" ht="14.25" customHeight="1"/>
    <row r="33732" ht="14.25" customHeight="1"/>
    <row r="33733" ht="14.25" customHeight="1"/>
    <row r="33734" ht="14.25" customHeight="1"/>
    <row r="33735" ht="14.25" customHeight="1"/>
    <row r="33736" ht="14.25" customHeight="1"/>
    <row r="33737" ht="14.25" customHeight="1"/>
    <row r="33738" ht="14.25" customHeight="1"/>
    <row r="33739" ht="14.25" customHeight="1"/>
    <row r="33740" ht="14.25" customHeight="1"/>
    <row r="33741" ht="14.25" customHeight="1"/>
    <row r="33742" ht="14.25" customHeight="1"/>
    <row r="33743" ht="14.25" customHeight="1"/>
    <row r="33744" ht="14.25" customHeight="1"/>
    <row r="33745" ht="14.25" customHeight="1"/>
    <row r="33746" ht="14.25" customHeight="1"/>
    <row r="33747" ht="14.25" customHeight="1"/>
    <row r="33748" ht="14.25" customHeight="1"/>
    <row r="33749" ht="14.25" customHeight="1"/>
    <row r="33750" ht="14.25" customHeight="1"/>
    <row r="33751" ht="14.25" customHeight="1"/>
    <row r="33752" ht="14.25" customHeight="1"/>
    <row r="33753" ht="14.25" customHeight="1"/>
    <row r="33754" ht="14.25" customHeight="1"/>
    <row r="33755" ht="14.25" customHeight="1"/>
    <row r="33756" ht="14.25" customHeight="1"/>
    <row r="33757" ht="14.25" customHeight="1"/>
    <row r="33758" ht="14.25" customHeight="1"/>
    <row r="33759" ht="14.25" customHeight="1"/>
    <row r="33760" ht="14.25" customHeight="1"/>
    <row r="33761" ht="14.25" customHeight="1"/>
    <row r="33762" ht="14.25" customHeight="1"/>
    <row r="33763" ht="14.25" customHeight="1"/>
    <row r="33764" ht="14.25" customHeight="1"/>
    <row r="33765" ht="14.25" customHeight="1"/>
    <row r="33766" ht="14.25" customHeight="1"/>
    <row r="33767" ht="14.25" customHeight="1"/>
    <row r="33768" ht="14.25" customHeight="1"/>
    <row r="33769" ht="14.25" customHeight="1"/>
    <row r="33770" ht="14.25" customHeight="1"/>
    <row r="33771" ht="14.25" customHeight="1"/>
    <row r="33772" ht="14.25" customHeight="1"/>
    <row r="33773" ht="14.25" customHeight="1"/>
    <row r="33774" ht="14.25" customHeight="1"/>
    <row r="33775" ht="14.25" customHeight="1"/>
    <row r="33776" ht="14.25" customHeight="1"/>
    <row r="33777" ht="14.25" customHeight="1"/>
    <row r="33778" ht="14.25" customHeight="1"/>
    <row r="33779" ht="14.25" customHeight="1"/>
    <row r="33780" ht="14.25" customHeight="1"/>
    <row r="33781" ht="14.25" customHeight="1"/>
    <row r="33782" ht="14.25" customHeight="1"/>
    <row r="33783" ht="14.25" customHeight="1"/>
    <row r="33784" ht="14.25" customHeight="1"/>
    <row r="33785" ht="14.25" customHeight="1"/>
    <row r="33786" ht="14.25" customHeight="1"/>
    <row r="33787" ht="14.25" customHeight="1"/>
    <row r="33788" ht="14.25" customHeight="1"/>
    <row r="33789" ht="14.25" customHeight="1"/>
    <row r="33790" ht="14.25" customHeight="1"/>
    <row r="33791" ht="14.25" customHeight="1"/>
    <row r="33792" ht="14.25" customHeight="1"/>
    <row r="33793" ht="14.25" customHeight="1"/>
    <row r="33794" ht="14.25" customHeight="1"/>
    <row r="33795" ht="14.25" customHeight="1"/>
    <row r="33796" ht="14.25" customHeight="1"/>
    <row r="33797" ht="14.25" customHeight="1"/>
    <row r="33798" ht="14.25" customHeight="1"/>
    <row r="33799" ht="14.25" customHeight="1"/>
    <row r="33800" ht="14.25" customHeight="1"/>
    <row r="33801" ht="14.25" customHeight="1"/>
    <row r="33802" ht="14.25" customHeight="1"/>
    <row r="33803" ht="14.25" customHeight="1"/>
    <row r="33804" ht="14.25" customHeight="1"/>
    <row r="33805" ht="14.25" customHeight="1"/>
    <row r="33806" ht="14.25" customHeight="1"/>
    <row r="33807" ht="14.25" customHeight="1"/>
    <row r="33808" ht="14.25" customHeight="1"/>
    <row r="33809" ht="14.25" customHeight="1"/>
    <row r="33810" ht="14.25" customHeight="1"/>
    <row r="33811" ht="14.25" customHeight="1"/>
    <row r="33812" ht="14.25" customHeight="1"/>
    <row r="33813" ht="14.25" customHeight="1"/>
    <row r="33814" ht="14.25" customHeight="1"/>
    <row r="33815" ht="14.25" customHeight="1"/>
    <row r="33816" ht="14.25" customHeight="1"/>
    <row r="33817" ht="14.25" customHeight="1"/>
    <row r="33818" ht="14.25" customHeight="1"/>
    <row r="33819" ht="14.25" customHeight="1"/>
    <row r="33820" ht="14.25" customHeight="1"/>
    <row r="33821" ht="14.25" customHeight="1"/>
    <row r="33822" ht="14.25" customHeight="1"/>
    <row r="33823" ht="14.25" customHeight="1"/>
    <row r="33824" ht="14.25" customHeight="1"/>
    <row r="33825" ht="14.25" customHeight="1"/>
    <row r="33826" ht="14.25" customHeight="1"/>
    <row r="33827" ht="14.25" customHeight="1"/>
    <row r="33828" ht="14.25" customHeight="1"/>
    <row r="33829" ht="14.25" customHeight="1"/>
    <row r="33830" ht="14.25" customHeight="1"/>
    <row r="33831" ht="14.25" customHeight="1"/>
    <row r="33832" ht="14.25" customHeight="1"/>
    <row r="33833" ht="14.25" customHeight="1"/>
    <row r="33834" ht="14.25" customHeight="1"/>
    <row r="33835" ht="14.25" customHeight="1"/>
    <row r="33836" ht="14.25" customHeight="1"/>
    <row r="33837" ht="14.25" customHeight="1"/>
    <row r="33838" ht="14.25" customHeight="1"/>
    <row r="33839" ht="14.25" customHeight="1"/>
    <row r="33840" ht="14.25" customHeight="1"/>
    <row r="33841" ht="14.25" customHeight="1"/>
    <row r="33842" ht="14.25" customHeight="1"/>
    <row r="33843" ht="14.25" customHeight="1"/>
    <row r="33844" ht="14.25" customHeight="1"/>
    <row r="33845" ht="14.25" customHeight="1"/>
    <row r="33846" ht="14.25" customHeight="1"/>
    <row r="33847" ht="14.25" customHeight="1"/>
    <row r="33848" ht="14.25" customHeight="1"/>
    <row r="33849" ht="14.25" customHeight="1"/>
    <row r="33850" ht="14.25" customHeight="1"/>
    <row r="33851" ht="14.25" customHeight="1"/>
    <row r="33852" ht="14.25" customHeight="1"/>
    <row r="33853" ht="14.25" customHeight="1"/>
    <row r="33854" ht="14.25" customHeight="1"/>
    <row r="33855" ht="14.25" customHeight="1"/>
    <row r="33856" ht="14.25" customHeight="1"/>
    <row r="33857" ht="14.25" customHeight="1"/>
    <row r="33858" ht="14.25" customHeight="1"/>
    <row r="33859" ht="14.25" customHeight="1"/>
    <row r="33860" ht="14.25" customHeight="1"/>
    <row r="33861" ht="14.25" customHeight="1"/>
    <row r="33862" ht="14.25" customHeight="1"/>
    <row r="33863" ht="14.25" customHeight="1"/>
    <row r="33864" ht="14.25" customHeight="1"/>
    <row r="33865" ht="14.25" customHeight="1"/>
    <row r="33866" ht="14.25" customHeight="1"/>
    <row r="33867" ht="14.25" customHeight="1"/>
    <row r="33868" ht="14.25" customHeight="1"/>
    <row r="33869" ht="14.25" customHeight="1"/>
    <row r="33870" ht="14.25" customHeight="1"/>
    <row r="33871" ht="14.25" customHeight="1"/>
    <row r="33872" ht="14.25" customHeight="1"/>
    <row r="33873" ht="14.25" customHeight="1"/>
    <row r="33874" ht="14.25" customHeight="1"/>
    <row r="33875" ht="14.25" customHeight="1"/>
    <row r="33876" ht="14.25" customHeight="1"/>
    <row r="33877" ht="14.25" customHeight="1"/>
    <row r="33878" ht="14.25" customHeight="1"/>
    <row r="33879" ht="14.25" customHeight="1"/>
    <row r="33880" ht="14.25" customHeight="1"/>
    <row r="33881" ht="14.25" customHeight="1"/>
    <row r="33882" ht="14.25" customHeight="1"/>
    <row r="33883" ht="14.25" customHeight="1"/>
    <row r="33884" ht="14.25" customHeight="1"/>
    <row r="33885" ht="14.25" customHeight="1"/>
    <row r="33886" ht="14.25" customHeight="1"/>
    <row r="33887" ht="14.25" customHeight="1"/>
    <row r="33888" ht="14.25" customHeight="1"/>
    <row r="33889" ht="14.25" customHeight="1"/>
    <row r="33890" ht="14.25" customHeight="1"/>
    <row r="33891" ht="14.25" customHeight="1"/>
    <row r="33892" ht="14.25" customHeight="1"/>
    <row r="33893" ht="14.25" customHeight="1"/>
    <row r="33894" ht="14.25" customHeight="1"/>
    <row r="33895" ht="14.25" customHeight="1"/>
    <row r="33896" ht="14.25" customHeight="1"/>
    <row r="33897" ht="14.25" customHeight="1"/>
    <row r="33898" ht="14.25" customHeight="1"/>
    <row r="33899" ht="14.25" customHeight="1"/>
    <row r="33900" ht="14.25" customHeight="1"/>
    <row r="33901" ht="14.25" customHeight="1"/>
    <row r="33902" ht="14.25" customHeight="1"/>
    <row r="33903" ht="14.25" customHeight="1"/>
    <row r="33904" ht="14.25" customHeight="1"/>
    <row r="33905" ht="14.25" customHeight="1"/>
    <row r="33906" ht="14.25" customHeight="1"/>
    <row r="33907" ht="14.25" customHeight="1"/>
    <row r="33908" ht="14.25" customHeight="1"/>
    <row r="33909" ht="14.25" customHeight="1"/>
    <row r="33910" ht="14.25" customHeight="1"/>
    <row r="33911" ht="14.25" customHeight="1"/>
    <row r="33912" ht="14.25" customHeight="1"/>
    <row r="33913" ht="14.25" customHeight="1"/>
    <row r="33914" ht="14.25" customHeight="1"/>
    <row r="33915" ht="14.25" customHeight="1"/>
    <row r="33916" ht="14.25" customHeight="1"/>
    <row r="33917" ht="14.25" customHeight="1"/>
    <row r="33918" ht="14.25" customHeight="1"/>
    <row r="33919" ht="14.25" customHeight="1"/>
    <row r="33920" ht="14.25" customHeight="1"/>
    <row r="33921" ht="14.25" customHeight="1"/>
    <row r="33922" ht="14.25" customHeight="1"/>
    <row r="33923" ht="14.25" customHeight="1"/>
    <row r="33924" ht="14.25" customHeight="1"/>
    <row r="33925" ht="14.25" customHeight="1"/>
    <row r="33926" ht="14.25" customHeight="1"/>
    <row r="33927" ht="14.25" customHeight="1"/>
    <row r="33928" ht="14.25" customHeight="1"/>
    <row r="33929" ht="14.25" customHeight="1"/>
    <row r="33930" ht="14.25" customHeight="1"/>
    <row r="33931" ht="14.25" customHeight="1"/>
    <row r="33932" ht="14.25" customHeight="1"/>
    <row r="33933" ht="14.25" customHeight="1"/>
    <row r="33934" ht="14.25" customHeight="1"/>
    <row r="33935" ht="14.25" customHeight="1"/>
    <row r="33936" ht="14.25" customHeight="1"/>
    <row r="33937" ht="14.25" customHeight="1"/>
    <row r="33938" ht="14.25" customHeight="1"/>
    <row r="33939" ht="14.25" customHeight="1"/>
    <row r="33940" ht="14.25" customHeight="1"/>
    <row r="33941" ht="14.25" customHeight="1"/>
    <row r="33942" ht="14.25" customHeight="1"/>
    <row r="33943" ht="14.25" customHeight="1"/>
    <row r="33944" ht="14.25" customHeight="1"/>
    <row r="33945" ht="14.25" customHeight="1"/>
    <row r="33946" ht="14.25" customHeight="1"/>
    <row r="33947" ht="14.25" customHeight="1"/>
    <row r="33948" ht="14.25" customHeight="1"/>
    <row r="33949" ht="14.25" customHeight="1"/>
    <row r="33950" ht="14.25" customHeight="1"/>
    <row r="33951" ht="14.25" customHeight="1"/>
    <row r="33952" ht="14.25" customHeight="1"/>
    <row r="33953" ht="14.25" customHeight="1"/>
    <row r="33954" ht="14.25" customHeight="1"/>
    <row r="33955" ht="14.25" customHeight="1"/>
    <row r="33956" ht="14.25" customHeight="1"/>
    <row r="33957" ht="14.25" customHeight="1"/>
    <row r="33958" ht="14.25" customHeight="1"/>
    <row r="33959" ht="14.25" customHeight="1"/>
    <row r="33960" ht="14.25" customHeight="1"/>
    <row r="33961" ht="14.25" customHeight="1"/>
    <row r="33962" ht="14.25" customHeight="1"/>
    <row r="33963" ht="14.25" customHeight="1"/>
    <row r="33964" ht="14.25" customHeight="1"/>
    <row r="33965" ht="14.25" customHeight="1"/>
    <row r="33966" ht="14.25" customHeight="1"/>
    <row r="33967" ht="14.25" customHeight="1"/>
    <row r="33968" ht="14.25" customHeight="1"/>
    <row r="33969" ht="14.25" customHeight="1"/>
    <row r="33970" ht="14.25" customHeight="1"/>
    <row r="33971" ht="14.25" customHeight="1"/>
    <row r="33972" ht="14.25" customHeight="1"/>
    <row r="33973" ht="14.25" customHeight="1"/>
    <row r="33974" ht="14.25" customHeight="1"/>
    <row r="33975" ht="14.25" customHeight="1"/>
    <row r="33976" ht="14.25" customHeight="1"/>
    <row r="33977" ht="14.25" customHeight="1"/>
    <row r="33978" ht="14.25" customHeight="1"/>
    <row r="33979" ht="14.25" customHeight="1"/>
    <row r="33980" ht="14.25" customHeight="1"/>
    <row r="33981" ht="14.25" customHeight="1"/>
    <row r="33982" ht="14.25" customHeight="1"/>
    <row r="33983" ht="14.25" customHeight="1"/>
    <row r="33984" ht="14.25" customHeight="1"/>
    <row r="33985" ht="14.25" customHeight="1"/>
    <row r="33986" ht="14.25" customHeight="1"/>
    <row r="33987" ht="14.25" customHeight="1"/>
    <row r="33988" ht="14.25" customHeight="1"/>
    <row r="33989" ht="14.25" customHeight="1"/>
    <row r="33990" ht="14.25" customHeight="1"/>
    <row r="33991" ht="14.25" customHeight="1"/>
    <row r="33992" ht="14.25" customHeight="1"/>
    <row r="33993" ht="14.25" customHeight="1"/>
    <row r="33994" ht="14.25" customHeight="1"/>
    <row r="33995" ht="14.25" customHeight="1"/>
    <row r="33996" ht="14.25" customHeight="1"/>
    <row r="33997" ht="14.25" customHeight="1"/>
    <row r="33998" ht="14.25" customHeight="1"/>
    <row r="33999" ht="14.25" customHeight="1"/>
    <row r="34000" ht="14.25" customHeight="1"/>
    <row r="34001" ht="14.25" customHeight="1"/>
    <row r="34002" ht="14.25" customHeight="1"/>
    <row r="34003" ht="14.25" customHeight="1"/>
    <row r="34004" ht="14.25" customHeight="1"/>
    <row r="34005" ht="14.25" customHeight="1"/>
    <row r="34006" ht="14.25" customHeight="1"/>
    <row r="34007" ht="14.25" customHeight="1"/>
    <row r="34008" ht="14.25" customHeight="1"/>
    <row r="34009" ht="14.25" customHeight="1"/>
    <row r="34010" ht="14.25" customHeight="1"/>
    <row r="34011" ht="14.25" customHeight="1"/>
    <row r="34012" ht="14.25" customHeight="1"/>
    <row r="34013" ht="14.25" customHeight="1"/>
    <row r="34014" ht="14.25" customHeight="1"/>
    <row r="34015" ht="14.25" customHeight="1"/>
    <row r="34016" ht="14.25" customHeight="1"/>
    <row r="34017" ht="14.25" customHeight="1"/>
    <row r="34018" ht="14.25" customHeight="1"/>
    <row r="34019" ht="14.25" customHeight="1"/>
    <row r="34020" ht="14.25" customHeight="1"/>
    <row r="34021" ht="14.25" customHeight="1"/>
    <row r="34022" ht="14.25" customHeight="1"/>
    <row r="34023" ht="14.25" customHeight="1"/>
    <row r="34024" ht="14.25" customHeight="1"/>
    <row r="34025" ht="14.25" customHeight="1"/>
    <row r="34026" ht="14.25" customHeight="1"/>
    <row r="34027" ht="14.25" customHeight="1"/>
    <row r="34028" ht="14.25" customHeight="1"/>
    <row r="34029" ht="14.25" customHeight="1"/>
    <row r="34030" ht="14.25" customHeight="1"/>
    <row r="34031" ht="14.25" customHeight="1"/>
    <row r="34032" ht="14.25" customHeight="1"/>
    <row r="34033" ht="14.25" customHeight="1"/>
    <row r="34034" ht="14.25" customHeight="1"/>
    <row r="34035" ht="14.25" customHeight="1"/>
    <row r="34036" ht="14.25" customHeight="1"/>
    <row r="34037" ht="14.25" customHeight="1"/>
    <row r="34038" ht="14.25" customHeight="1"/>
    <row r="34039" ht="14.25" customHeight="1"/>
    <row r="34040" ht="14.25" customHeight="1"/>
    <row r="34041" ht="14.25" customHeight="1"/>
    <row r="34042" ht="14.25" customHeight="1"/>
    <row r="34043" ht="14.25" customHeight="1"/>
    <row r="34044" ht="14.25" customHeight="1"/>
    <row r="34045" ht="14.25" customHeight="1"/>
    <row r="34046" ht="14.25" customHeight="1"/>
    <row r="34047" ht="14.25" customHeight="1"/>
    <row r="34048" ht="14.25" customHeight="1"/>
    <row r="34049" ht="14.25" customHeight="1"/>
    <row r="34050" ht="14.25" customHeight="1"/>
    <row r="34051" ht="14.25" customHeight="1"/>
    <row r="34052" ht="14.25" customHeight="1"/>
    <row r="34053" ht="14.25" customHeight="1"/>
    <row r="34054" ht="14.25" customHeight="1"/>
    <row r="34055" ht="14.25" customHeight="1"/>
    <row r="34056" ht="14.25" customHeight="1"/>
    <row r="34057" ht="14.25" customHeight="1"/>
    <row r="34058" ht="14.25" customHeight="1"/>
    <row r="34059" ht="14.25" customHeight="1"/>
    <row r="34060" ht="14.25" customHeight="1"/>
    <row r="34061" ht="14.25" customHeight="1"/>
    <row r="34062" ht="14.25" customHeight="1"/>
    <row r="34063" ht="14.25" customHeight="1"/>
    <row r="34064" ht="14.25" customHeight="1"/>
    <row r="34065" ht="14.25" customHeight="1"/>
    <row r="34066" ht="14.25" customHeight="1"/>
    <row r="34067" ht="14.25" customHeight="1"/>
    <row r="34068" ht="14.25" customHeight="1"/>
    <row r="34069" ht="14.25" customHeight="1"/>
    <row r="34070" ht="14.25" customHeight="1"/>
    <row r="34071" ht="14.25" customHeight="1"/>
    <row r="34072" ht="14.25" customHeight="1"/>
    <row r="34073" ht="14.25" customHeight="1"/>
    <row r="34074" ht="14.25" customHeight="1"/>
    <row r="34075" ht="14.25" customHeight="1"/>
    <row r="34076" ht="14.25" customHeight="1"/>
    <row r="34077" ht="14.25" customHeight="1"/>
    <row r="34078" ht="14.25" customHeight="1"/>
    <row r="34079" ht="14.25" customHeight="1"/>
    <row r="34080" ht="14.25" customHeight="1"/>
    <row r="34081" ht="14.25" customHeight="1"/>
    <row r="34082" ht="14.25" customHeight="1"/>
    <row r="34083" ht="14.25" customHeight="1"/>
    <row r="34084" ht="14.25" customHeight="1"/>
    <row r="34085" ht="14.25" customHeight="1"/>
    <row r="34086" ht="14.25" customHeight="1"/>
    <row r="34087" ht="14.25" customHeight="1"/>
    <row r="34088" ht="14.25" customHeight="1"/>
    <row r="34089" ht="14.25" customHeight="1"/>
    <row r="34090" ht="14.25" customHeight="1"/>
    <row r="34091" ht="14.25" customHeight="1"/>
    <row r="34092" ht="14.25" customHeight="1"/>
    <row r="34093" ht="14.25" customHeight="1"/>
    <row r="34094" ht="14.25" customHeight="1"/>
    <row r="34095" ht="14.25" customHeight="1"/>
    <row r="34096" ht="14.25" customHeight="1"/>
    <row r="34097" ht="14.25" customHeight="1"/>
    <row r="34098" ht="14.25" customHeight="1"/>
    <row r="34099" ht="14.25" customHeight="1"/>
    <row r="34100" ht="14.25" customHeight="1"/>
    <row r="34101" ht="14.25" customHeight="1"/>
    <row r="34102" ht="14.25" customHeight="1"/>
    <row r="34103" ht="14.25" customHeight="1"/>
    <row r="34104" ht="14.25" customHeight="1"/>
    <row r="34105" ht="14.25" customHeight="1"/>
    <row r="34106" ht="14.25" customHeight="1"/>
    <row r="34107" ht="14.25" customHeight="1"/>
    <row r="34108" ht="14.25" customHeight="1"/>
    <row r="34109" ht="14.25" customHeight="1"/>
    <row r="34110" ht="14.25" customHeight="1"/>
    <row r="34111" ht="14.25" customHeight="1"/>
    <row r="34112" ht="14.25" customHeight="1"/>
    <row r="34113" ht="14.25" customHeight="1"/>
    <row r="34114" ht="14.25" customHeight="1"/>
    <row r="34115" ht="14.25" customHeight="1"/>
    <row r="34116" ht="14.25" customHeight="1"/>
    <row r="34117" ht="14.25" customHeight="1"/>
    <row r="34118" ht="14.25" customHeight="1"/>
    <row r="34119" ht="14.25" customHeight="1"/>
    <row r="34120" ht="14.25" customHeight="1"/>
    <row r="34121" ht="14.25" customHeight="1"/>
    <row r="34122" ht="14.25" customHeight="1"/>
    <row r="34123" ht="14.25" customHeight="1"/>
    <row r="34124" ht="14.25" customHeight="1"/>
    <row r="34125" ht="14.25" customHeight="1"/>
    <row r="34126" ht="14.25" customHeight="1"/>
    <row r="34127" ht="14.25" customHeight="1"/>
    <row r="34128" ht="14.25" customHeight="1"/>
    <row r="34129" ht="14.25" customHeight="1"/>
    <row r="34130" ht="14.25" customHeight="1"/>
    <row r="34131" ht="14.25" customHeight="1"/>
    <row r="34132" ht="14.25" customHeight="1"/>
    <row r="34133" ht="14.25" customHeight="1"/>
    <row r="34134" ht="14.25" customHeight="1"/>
    <row r="34135" ht="14.25" customHeight="1"/>
    <row r="34136" ht="14.25" customHeight="1"/>
    <row r="34137" ht="14.25" customHeight="1"/>
    <row r="34138" ht="14.25" customHeight="1"/>
    <row r="34139" ht="14.25" customHeight="1"/>
    <row r="34140" ht="14.25" customHeight="1"/>
    <row r="34141" ht="14.25" customHeight="1"/>
    <row r="34142" ht="14.25" customHeight="1"/>
    <row r="34143" ht="14.25" customHeight="1"/>
    <row r="34144" ht="14.25" customHeight="1"/>
    <row r="34145" ht="14.25" customHeight="1"/>
    <row r="34146" ht="14.25" customHeight="1"/>
    <row r="34147" ht="14.25" customHeight="1"/>
    <row r="34148" ht="14.25" customHeight="1"/>
    <row r="34149" ht="14.25" customHeight="1"/>
    <row r="34150" ht="14.25" customHeight="1"/>
    <row r="34151" ht="14.25" customHeight="1"/>
    <row r="34152" ht="14.25" customHeight="1"/>
    <row r="34153" ht="14.25" customHeight="1"/>
    <row r="34154" ht="14.25" customHeight="1"/>
    <row r="34155" ht="14.25" customHeight="1"/>
    <row r="34156" ht="14.25" customHeight="1"/>
    <row r="34157" ht="14.25" customHeight="1"/>
    <row r="34158" ht="14.25" customHeight="1"/>
    <row r="34159" ht="14.25" customHeight="1"/>
    <row r="34160" ht="14.25" customHeight="1"/>
    <row r="34161" ht="14.25" customHeight="1"/>
    <row r="34162" ht="14.25" customHeight="1"/>
    <row r="34163" ht="14.25" customHeight="1"/>
    <row r="34164" ht="14.25" customHeight="1"/>
    <row r="34165" ht="14.25" customHeight="1"/>
    <row r="34166" ht="14.25" customHeight="1"/>
    <row r="34167" ht="14.25" customHeight="1"/>
    <row r="34168" ht="14.25" customHeight="1"/>
    <row r="34169" ht="14.25" customHeight="1"/>
    <row r="34170" ht="14.25" customHeight="1"/>
    <row r="34171" ht="14.25" customHeight="1"/>
    <row r="34172" ht="14.25" customHeight="1"/>
    <row r="34173" ht="14.25" customHeight="1"/>
    <row r="34174" ht="14.25" customHeight="1"/>
    <row r="34175" ht="14.25" customHeight="1"/>
    <row r="34176" ht="14.25" customHeight="1"/>
    <row r="34177" ht="14.25" customHeight="1"/>
    <row r="34178" ht="14.25" customHeight="1"/>
    <row r="34179" ht="14.25" customHeight="1"/>
    <row r="34180" ht="14.25" customHeight="1"/>
    <row r="34181" ht="14.25" customHeight="1"/>
    <row r="34182" ht="14.25" customHeight="1"/>
    <row r="34183" ht="14.25" customHeight="1"/>
    <row r="34184" ht="14.25" customHeight="1"/>
    <row r="34185" ht="14.25" customHeight="1"/>
    <row r="34186" ht="14.25" customHeight="1"/>
    <row r="34187" ht="14.25" customHeight="1"/>
    <row r="34188" ht="14.25" customHeight="1"/>
    <row r="34189" ht="14.25" customHeight="1"/>
    <row r="34190" ht="14.25" customHeight="1"/>
    <row r="34191" ht="14.25" customHeight="1"/>
    <row r="34192" ht="14.25" customHeight="1"/>
    <row r="34193" ht="14.25" customHeight="1"/>
    <row r="34194" ht="14.25" customHeight="1"/>
    <row r="34195" ht="14.25" customHeight="1"/>
    <row r="34196" ht="14.25" customHeight="1"/>
    <row r="34197" ht="14.25" customHeight="1"/>
    <row r="34198" ht="14.25" customHeight="1"/>
    <row r="34199" ht="14.25" customHeight="1"/>
    <row r="34200" ht="14.25" customHeight="1"/>
    <row r="34201" ht="14.25" customHeight="1"/>
    <row r="34202" ht="14.25" customHeight="1"/>
    <row r="34203" ht="14.25" customHeight="1"/>
    <row r="34204" ht="14.25" customHeight="1"/>
    <row r="34205" ht="14.25" customHeight="1"/>
    <row r="34206" ht="14.25" customHeight="1"/>
    <row r="34207" ht="14.25" customHeight="1"/>
    <row r="34208" ht="14.25" customHeight="1"/>
    <row r="34209" ht="14.25" customHeight="1"/>
    <row r="34210" ht="14.25" customHeight="1"/>
    <row r="34211" ht="14.25" customHeight="1"/>
    <row r="34212" ht="14.25" customHeight="1"/>
    <row r="34213" ht="14.25" customHeight="1"/>
    <row r="34214" ht="14.25" customHeight="1"/>
    <row r="34215" ht="14.25" customHeight="1"/>
    <row r="34216" ht="14.25" customHeight="1"/>
    <row r="34217" ht="14.25" customHeight="1"/>
    <row r="34218" ht="14.25" customHeight="1"/>
    <row r="34219" ht="14.25" customHeight="1"/>
    <row r="34220" ht="14.25" customHeight="1"/>
    <row r="34221" ht="14.25" customHeight="1"/>
    <row r="34222" ht="14.25" customHeight="1"/>
    <row r="34223" ht="14.25" customHeight="1"/>
    <row r="34224" ht="14.25" customHeight="1"/>
    <row r="34225" ht="14.25" customHeight="1"/>
    <row r="34226" ht="14.25" customHeight="1"/>
    <row r="34227" ht="14.25" customHeight="1"/>
    <row r="34228" ht="14.25" customHeight="1"/>
    <row r="34229" ht="14.25" customHeight="1"/>
    <row r="34230" ht="14.25" customHeight="1"/>
    <row r="34231" ht="14.25" customHeight="1"/>
    <row r="34232" ht="14.25" customHeight="1"/>
    <row r="34233" ht="14.25" customHeight="1"/>
    <row r="34234" ht="14.25" customHeight="1"/>
    <row r="34235" ht="14.25" customHeight="1"/>
    <row r="34236" ht="14.25" customHeight="1"/>
    <row r="34237" ht="14.25" customHeight="1"/>
    <row r="34238" ht="14.25" customHeight="1"/>
    <row r="34239" ht="14.25" customHeight="1"/>
    <row r="34240" ht="14.25" customHeight="1"/>
    <row r="34241" ht="14.25" customHeight="1"/>
    <row r="34242" ht="14.25" customHeight="1"/>
    <row r="34243" ht="14.25" customHeight="1"/>
    <row r="34244" ht="14.25" customHeight="1"/>
    <row r="34245" ht="14.25" customHeight="1"/>
    <row r="34246" ht="14.25" customHeight="1"/>
    <row r="34247" ht="14.25" customHeight="1"/>
    <row r="34248" ht="14.25" customHeight="1"/>
    <row r="34249" ht="14.25" customHeight="1"/>
    <row r="34250" ht="14.25" customHeight="1"/>
    <row r="34251" ht="14.25" customHeight="1"/>
    <row r="34252" ht="14.25" customHeight="1"/>
    <row r="34253" ht="14.25" customHeight="1"/>
    <row r="34254" ht="14.25" customHeight="1"/>
    <row r="34255" ht="14.25" customHeight="1"/>
    <row r="34256" ht="14.25" customHeight="1"/>
    <row r="34257" ht="14.25" customHeight="1"/>
    <row r="34258" ht="14.25" customHeight="1"/>
    <row r="34259" ht="14.25" customHeight="1"/>
    <row r="34260" ht="14.25" customHeight="1"/>
    <row r="34261" ht="14.25" customHeight="1"/>
    <row r="34262" ht="14.25" customHeight="1"/>
    <row r="34263" ht="14.25" customHeight="1"/>
    <row r="34264" ht="14.25" customHeight="1"/>
    <row r="34265" ht="14.25" customHeight="1"/>
    <row r="34266" ht="14.25" customHeight="1"/>
    <row r="34267" ht="14.25" customHeight="1"/>
    <row r="34268" ht="14.25" customHeight="1"/>
    <row r="34269" ht="14.25" customHeight="1"/>
    <row r="34270" ht="14.25" customHeight="1"/>
    <row r="34271" ht="14.25" customHeight="1"/>
    <row r="34272" ht="14.25" customHeight="1"/>
    <row r="34273" ht="14.25" customHeight="1"/>
    <row r="34274" ht="14.25" customHeight="1"/>
    <row r="34275" ht="14.25" customHeight="1"/>
    <row r="34276" ht="14.25" customHeight="1"/>
    <row r="34277" ht="14.25" customHeight="1"/>
    <row r="34278" ht="14.25" customHeight="1"/>
    <row r="34279" ht="14.25" customHeight="1"/>
    <row r="34280" ht="14.25" customHeight="1"/>
    <row r="34281" ht="14.25" customHeight="1"/>
    <row r="34282" ht="14.25" customHeight="1"/>
    <row r="34283" ht="14.25" customHeight="1"/>
    <row r="34284" ht="14.25" customHeight="1"/>
    <row r="34285" ht="14.25" customHeight="1"/>
    <row r="34286" ht="14.25" customHeight="1"/>
    <row r="34287" ht="14.25" customHeight="1"/>
    <row r="34288" ht="14.25" customHeight="1"/>
    <row r="34289" ht="14.25" customHeight="1"/>
    <row r="34290" ht="14.25" customHeight="1"/>
    <row r="34291" ht="14.25" customHeight="1"/>
    <row r="34292" ht="14.25" customHeight="1"/>
    <row r="34293" ht="14.25" customHeight="1"/>
    <row r="34294" ht="14.25" customHeight="1"/>
    <row r="34295" ht="14.25" customHeight="1"/>
    <row r="34296" ht="14.25" customHeight="1"/>
    <row r="34297" ht="14.25" customHeight="1"/>
    <row r="34298" ht="14.25" customHeight="1"/>
    <row r="34299" ht="14.25" customHeight="1"/>
    <row r="34300" ht="14.25" customHeight="1"/>
    <row r="34301" ht="14.25" customHeight="1"/>
    <row r="34302" ht="14.25" customHeight="1"/>
    <row r="34303" ht="14.25" customHeight="1"/>
    <row r="34304" ht="14.25" customHeight="1"/>
    <row r="34305" ht="14.25" customHeight="1"/>
    <row r="34306" ht="14.25" customHeight="1"/>
    <row r="34307" ht="14.25" customHeight="1"/>
    <row r="34308" ht="14.25" customHeight="1"/>
    <row r="34309" ht="14.25" customHeight="1"/>
    <row r="34310" ht="14.25" customHeight="1"/>
    <row r="34311" ht="14.25" customHeight="1"/>
    <row r="34312" ht="14.25" customHeight="1"/>
    <row r="34313" ht="14.25" customHeight="1"/>
    <row r="34314" ht="14.25" customHeight="1"/>
    <row r="34315" ht="14.25" customHeight="1"/>
    <row r="34316" ht="14.25" customHeight="1"/>
    <row r="34317" ht="14.25" customHeight="1"/>
    <row r="34318" ht="14.25" customHeight="1"/>
    <row r="34319" ht="14.25" customHeight="1"/>
    <row r="34320" ht="14.25" customHeight="1"/>
    <row r="34321" ht="14.25" customHeight="1"/>
    <row r="34322" ht="14.25" customHeight="1"/>
    <row r="34323" ht="14.25" customHeight="1"/>
    <row r="34324" ht="14.25" customHeight="1"/>
    <row r="34325" ht="14.25" customHeight="1"/>
    <row r="34326" ht="14.25" customHeight="1"/>
    <row r="34327" ht="14.25" customHeight="1"/>
    <row r="34328" ht="14.25" customHeight="1"/>
    <row r="34329" ht="14.25" customHeight="1"/>
    <row r="34330" ht="14.25" customHeight="1"/>
    <row r="34331" ht="14.25" customHeight="1"/>
    <row r="34332" ht="14.25" customHeight="1"/>
    <row r="34333" ht="14.25" customHeight="1"/>
    <row r="34334" ht="14.25" customHeight="1"/>
    <row r="34335" ht="14.25" customHeight="1"/>
    <row r="34336" ht="14.25" customHeight="1"/>
    <row r="34337" ht="14.25" customHeight="1"/>
    <row r="34338" ht="14.25" customHeight="1"/>
    <row r="34339" ht="14.25" customHeight="1"/>
    <row r="34340" ht="14.25" customHeight="1"/>
    <row r="34341" ht="14.25" customHeight="1"/>
    <row r="34342" ht="14.25" customHeight="1"/>
    <row r="34343" ht="14.25" customHeight="1"/>
    <row r="34344" ht="14.25" customHeight="1"/>
    <row r="34345" ht="14.25" customHeight="1"/>
    <row r="34346" ht="14.25" customHeight="1"/>
    <row r="34347" ht="14.25" customHeight="1"/>
    <row r="34348" ht="14.25" customHeight="1"/>
    <row r="34349" ht="14.25" customHeight="1"/>
    <row r="34350" ht="14.25" customHeight="1"/>
    <row r="34351" ht="14.25" customHeight="1"/>
    <row r="34352" ht="14.25" customHeight="1"/>
    <row r="34353" ht="14.25" customHeight="1"/>
    <row r="34354" ht="14.25" customHeight="1"/>
    <row r="34355" ht="14.25" customHeight="1"/>
    <row r="34356" ht="14.25" customHeight="1"/>
    <row r="34357" ht="14.25" customHeight="1"/>
    <row r="34358" ht="14.25" customHeight="1"/>
    <row r="34359" ht="14.25" customHeight="1"/>
    <row r="34360" ht="14.25" customHeight="1"/>
    <row r="34361" ht="14.25" customHeight="1"/>
    <row r="34362" ht="14.25" customHeight="1"/>
    <row r="34363" ht="14.25" customHeight="1"/>
    <row r="34364" ht="14.25" customHeight="1"/>
    <row r="34365" ht="14.25" customHeight="1"/>
    <row r="34366" ht="14.25" customHeight="1"/>
    <row r="34367" ht="14.25" customHeight="1"/>
    <row r="34368" ht="14.25" customHeight="1"/>
    <row r="34369" ht="14.25" customHeight="1"/>
    <row r="34370" ht="14.25" customHeight="1"/>
    <row r="34371" ht="14.25" customHeight="1"/>
    <row r="34372" ht="14.25" customHeight="1"/>
    <row r="34373" ht="14.25" customHeight="1"/>
    <row r="34374" ht="14.25" customHeight="1"/>
    <row r="34375" ht="14.25" customHeight="1"/>
    <row r="34376" ht="14.25" customHeight="1"/>
    <row r="34377" ht="14.25" customHeight="1"/>
    <row r="34378" ht="14.25" customHeight="1"/>
    <row r="34379" ht="14.25" customHeight="1"/>
    <row r="34380" ht="14.25" customHeight="1"/>
    <row r="34381" ht="14.25" customHeight="1"/>
    <row r="34382" ht="14.25" customHeight="1"/>
    <row r="34383" ht="14.25" customHeight="1"/>
    <row r="34384" ht="14.25" customHeight="1"/>
    <row r="34385" ht="14.25" customHeight="1"/>
    <row r="34386" ht="14.25" customHeight="1"/>
    <row r="34387" ht="14.25" customHeight="1"/>
    <row r="34388" ht="14.25" customHeight="1"/>
    <row r="34389" ht="14.25" customHeight="1"/>
    <row r="34390" ht="14.25" customHeight="1"/>
    <row r="34391" ht="14.25" customHeight="1"/>
    <row r="34392" ht="14.25" customHeight="1"/>
    <row r="34393" ht="14.25" customHeight="1"/>
    <row r="34394" ht="14.25" customHeight="1"/>
    <row r="34395" ht="14.25" customHeight="1"/>
    <row r="34396" ht="14.25" customHeight="1"/>
    <row r="34397" ht="14.25" customHeight="1"/>
    <row r="34398" ht="14.25" customHeight="1"/>
    <row r="34399" ht="14.25" customHeight="1"/>
    <row r="34400" ht="14.25" customHeight="1"/>
    <row r="34401" ht="14.25" customHeight="1"/>
    <row r="34402" ht="14.25" customHeight="1"/>
    <row r="34403" ht="14.25" customHeight="1"/>
    <row r="34404" ht="14.25" customHeight="1"/>
    <row r="34405" ht="14.25" customHeight="1"/>
    <row r="34406" ht="14.25" customHeight="1"/>
    <row r="34407" ht="14.25" customHeight="1"/>
    <row r="34408" ht="14.25" customHeight="1"/>
    <row r="34409" ht="14.25" customHeight="1"/>
    <row r="34410" ht="14.25" customHeight="1"/>
    <row r="34411" ht="14.25" customHeight="1"/>
    <row r="34412" ht="14.25" customHeight="1"/>
    <row r="34413" ht="14.25" customHeight="1"/>
    <row r="34414" ht="14.25" customHeight="1"/>
    <row r="34415" ht="14.25" customHeight="1"/>
    <row r="34416" ht="14.25" customHeight="1"/>
    <row r="34417" ht="14.25" customHeight="1"/>
    <row r="34418" ht="14.25" customHeight="1"/>
    <row r="34419" ht="14.25" customHeight="1"/>
    <row r="34420" ht="14.25" customHeight="1"/>
    <row r="34421" ht="14.25" customHeight="1"/>
    <row r="34422" ht="14.25" customHeight="1"/>
    <row r="34423" ht="14.25" customHeight="1"/>
    <row r="34424" ht="14.25" customHeight="1"/>
    <row r="34425" ht="14.25" customHeight="1"/>
    <row r="34426" ht="14.25" customHeight="1"/>
    <row r="34427" ht="14.25" customHeight="1"/>
    <row r="34428" ht="14.25" customHeight="1"/>
    <row r="34429" ht="14.25" customHeight="1"/>
    <row r="34430" ht="14.25" customHeight="1"/>
    <row r="34431" ht="14.25" customHeight="1"/>
    <row r="34432" ht="14.25" customHeight="1"/>
    <row r="34433" ht="14.25" customHeight="1"/>
    <row r="34434" ht="14.25" customHeight="1"/>
    <row r="34435" ht="14.25" customHeight="1"/>
    <row r="34436" ht="14.25" customHeight="1"/>
    <row r="34437" ht="14.25" customHeight="1"/>
    <row r="34438" ht="14.25" customHeight="1"/>
    <row r="34439" ht="14.25" customHeight="1"/>
    <row r="34440" ht="14.25" customHeight="1"/>
    <row r="34441" ht="14.25" customHeight="1"/>
    <row r="34442" ht="14.25" customHeight="1"/>
    <row r="34443" ht="14.25" customHeight="1"/>
    <row r="34444" ht="14.25" customHeight="1"/>
    <row r="34445" ht="14.25" customHeight="1"/>
    <row r="34446" ht="14.25" customHeight="1"/>
    <row r="34447" ht="14.25" customHeight="1"/>
    <row r="34448" ht="14.25" customHeight="1"/>
    <row r="34449" ht="14.25" customHeight="1"/>
    <row r="34450" ht="14.25" customHeight="1"/>
    <row r="34451" ht="14.25" customHeight="1"/>
    <row r="34452" ht="14.25" customHeight="1"/>
    <row r="34453" ht="14.25" customHeight="1"/>
    <row r="34454" ht="14.25" customHeight="1"/>
    <row r="34455" ht="14.25" customHeight="1"/>
    <row r="34456" ht="14.25" customHeight="1"/>
    <row r="34457" ht="14.25" customHeight="1"/>
    <row r="34458" ht="14.25" customHeight="1"/>
    <row r="34459" ht="14.25" customHeight="1"/>
    <row r="34460" ht="14.25" customHeight="1"/>
    <row r="34461" ht="14.25" customHeight="1"/>
    <row r="34462" ht="14.25" customHeight="1"/>
    <row r="34463" ht="14.25" customHeight="1"/>
    <row r="34464" ht="14.25" customHeight="1"/>
    <row r="34465" ht="14.25" customHeight="1"/>
    <row r="34466" ht="14.25" customHeight="1"/>
    <row r="34467" ht="14.25" customHeight="1"/>
    <row r="34468" ht="14.25" customHeight="1"/>
    <row r="34469" ht="14.25" customHeight="1"/>
    <row r="34470" ht="14.25" customHeight="1"/>
    <row r="34471" ht="14.25" customHeight="1"/>
    <row r="34472" ht="14.25" customHeight="1"/>
    <row r="34473" ht="14.25" customHeight="1"/>
    <row r="34474" ht="14.25" customHeight="1"/>
    <row r="34475" ht="14.25" customHeight="1"/>
    <row r="34476" ht="14.25" customHeight="1"/>
    <row r="34477" ht="14.25" customHeight="1"/>
    <row r="34478" ht="14.25" customHeight="1"/>
    <row r="34479" ht="14.25" customHeight="1"/>
    <row r="34480" ht="14.25" customHeight="1"/>
    <row r="34481" ht="14.25" customHeight="1"/>
    <row r="34482" ht="14.25" customHeight="1"/>
    <row r="34483" ht="14.25" customHeight="1"/>
    <row r="34484" ht="14.25" customHeight="1"/>
    <row r="34485" ht="14.25" customHeight="1"/>
    <row r="34486" ht="14.25" customHeight="1"/>
    <row r="34487" ht="14.25" customHeight="1"/>
    <row r="34488" ht="14.25" customHeight="1"/>
    <row r="34489" ht="14.25" customHeight="1"/>
    <row r="34490" ht="14.25" customHeight="1"/>
    <row r="34491" ht="14.25" customHeight="1"/>
    <row r="34492" ht="14.25" customHeight="1"/>
    <row r="34493" ht="14.25" customHeight="1"/>
    <row r="34494" ht="14.25" customHeight="1"/>
    <row r="34495" ht="14.25" customHeight="1"/>
    <row r="34496" ht="14.25" customHeight="1"/>
    <row r="34497" ht="14.25" customHeight="1"/>
    <row r="34498" ht="14.25" customHeight="1"/>
    <row r="34499" ht="14.25" customHeight="1"/>
    <row r="34500" ht="14.25" customHeight="1"/>
    <row r="34501" ht="14.25" customHeight="1"/>
    <row r="34502" ht="14.25" customHeight="1"/>
    <row r="34503" ht="14.25" customHeight="1"/>
    <row r="34504" ht="14.25" customHeight="1"/>
    <row r="34505" ht="14.25" customHeight="1"/>
    <row r="34506" ht="14.25" customHeight="1"/>
    <row r="34507" ht="14.25" customHeight="1"/>
    <row r="34508" ht="14.25" customHeight="1"/>
    <row r="34509" ht="14.25" customHeight="1"/>
    <row r="34510" ht="14.25" customHeight="1"/>
    <row r="34511" ht="14.25" customHeight="1"/>
    <row r="34512" ht="14.25" customHeight="1"/>
    <row r="34513" ht="14.25" customHeight="1"/>
    <row r="34514" ht="14.25" customHeight="1"/>
    <row r="34515" ht="14.25" customHeight="1"/>
    <row r="34516" ht="14.25" customHeight="1"/>
    <row r="34517" ht="14.25" customHeight="1"/>
    <row r="34518" ht="14.25" customHeight="1"/>
    <row r="34519" ht="14.25" customHeight="1"/>
    <row r="34520" ht="14.25" customHeight="1"/>
    <row r="34521" ht="14.25" customHeight="1"/>
    <row r="34522" ht="14.25" customHeight="1"/>
    <row r="34523" ht="14.25" customHeight="1"/>
    <row r="34524" ht="14.25" customHeight="1"/>
    <row r="34525" ht="14.25" customHeight="1"/>
    <row r="34526" ht="14.25" customHeight="1"/>
    <row r="34527" ht="14.25" customHeight="1"/>
    <row r="34528" ht="14.25" customHeight="1"/>
    <row r="34529" ht="14.25" customHeight="1"/>
    <row r="34530" ht="14.25" customHeight="1"/>
    <row r="34531" ht="14.25" customHeight="1"/>
    <row r="34532" ht="14.25" customHeight="1"/>
    <row r="34533" ht="14.25" customHeight="1"/>
    <row r="34534" ht="14.25" customHeight="1"/>
    <row r="34535" ht="14.25" customHeight="1"/>
    <row r="34536" ht="14.25" customHeight="1"/>
    <row r="34537" ht="14.25" customHeight="1"/>
    <row r="34538" ht="14.25" customHeight="1"/>
    <row r="34539" ht="14.25" customHeight="1"/>
    <row r="34540" ht="14.25" customHeight="1"/>
    <row r="34541" ht="14.25" customHeight="1"/>
    <row r="34542" ht="14.25" customHeight="1"/>
    <row r="34543" ht="14.25" customHeight="1"/>
    <row r="34544" ht="14.25" customHeight="1"/>
    <row r="34545" ht="14.25" customHeight="1"/>
    <row r="34546" ht="14.25" customHeight="1"/>
    <row r="34547" ht="14.25" customHeight="1"/>
    <row r="34548" ht="14.25" customHeight="1"/>
    <row r="34549" ht="14.25" customHeight="1"/>
    <row r="34550" ht="14.25" customHeight="1"/>
    <row r="34551" ht="14.25" customHeight="1"/>
    <row r="34552" ht="14.25" customHeight="1"/>
    <row r="34553" ht="14.25" customHeight="1"/>
    <row r="34554" ht="14.25" customHeight="1"/>
    <row r="34555" ht="14.25" customHeight="1"/>
    <row r="34556" ht="14.25" customHeight="1"/>
    <row r="34557" ht="14.25" customHeight="1"/>
    <row r="34558" ht="14.25" customHeight="1"/>
    <row r="34559" ht="14.25" customHeight="1"/>
    <row r="34560" ht="14.25" customHeight="1"/>
    <row r="34561" ht="14.25" customHeight="1"/>
    <row r="34562" ht="14.25" customHeight="1"/>
    <row r="34563" ht="14.25" customHeight="1"/>
    <row r="34564" ht="14.25" customHeight="1"/>
    <row r="34565" ht="14.25" customHeight="1"/>
    <row r="34566" ht="14.25" customHeight="1"/>
    <row r="34567" ht="14.25" customHeight="1"/>
    <row r="34568" ht="14.25" customHeight="1"/>
    <row r="34569" ht="14.25" customHeight="1"/>
    <row r="34570" ht="14.25" customHeight="1"/>
    <row r="34571" ht="14.25" customHeight="1"/>
    <row r="34572" ht="14.25" customHeight="1"/>
    <row r="34573" ht="14.25" customHeight="1"/>
    <row r="34574" ht="14.25" customHeight="1"/>
    <row r="34575" ht="14.25" customHeight="1"/>
    <row r="34576" ht="14.25" customHeight="1"/>
    <row r="34577" ht="14.25" customHeight="1"/>
    <row r="34578" ht="14.25" customHeight="1"/>
    <row r="34579" ht="14.25" customHeight="1"/>
    <row r="34580" ht="14.25" customHeight="1"/>
    <row r="34581" ht="14.25" customHeight="1"/>
    <row r="34582" ht="14.25" customHeight="1"/>
    <row r="34583" ht="14.25" customHeight="1"/>
    <row r="34584" ht="14.25" customHeight="1"/>
    <row r="34585" ht="14.25" customHeight="1"/>
    <row r="34586" ht="14.25" customHeight="1"/>
    <row r="34587" ht="14.25" customHeight="1"/>
    <row r="34588" ht="14.25" customHeight="1"/>
    <row r="34589" ht="14.25" customHeight="1"/>
    <row r="34590" ht="14.25" customHeight="1"/>
    <row r="34591" ht="14.25" customHeight="1"/>
    <row r="34592" ht="14.25" customHeight="1"/>
    <row r="34593" ht="14.25" customHeight="1"/>
    <row r="34594" ht="14.25" customHeight="1"/>
    <row r="34595" ht="14.25" customHeight="1"/>
    <row r="34596" ht="14.25" customHeight="1"/>
    <row r="34597" ht="14.25" customHeight="1"/>
    <row r="34598" ht="14.25" customHeight="1"/>
    <row r="34599" ht="14.25" customHeight="1"/>
    <row r="34600" ht="14.25" customHeight="1"/>
    <row r="34601" ht="14.25" customHeight="1"/>
    <row r="34602" ht="14.25" customHeight="1"/>
    <row r="34603" ht="14.25" customHeight="1"/>
    <row r="34604" ht="14.25" customHeight="1"/>
    <row r="34605" ht="14.25" customHeight="1"/>
    <row r="34606" ht="14.25" customHeight="1"/>
    <row r="34607" ht="14.25" customHeight="1"/>
    <row r="34608" ht="14.25" customHeight="1"/>
    <row r="34609" ht="14.25" customHeight="1"/>
    <row r="34610" ht="14.25" customHeight="1"/>
    <row r="34611" ht="14.25" customHeight="1"/>
    <row r="34612" ht="14.25" customHeight="1"/>
    <row r="34613" ht="14.25" customHeight="1"/>
    <row r="34614" ht="14.25" customHeight="1"/>
    <row r="34615" ht="14.25" customHeight="1"/>
    <row r="34616" ht="14.25" customHeight="1"/>
    <row r="34617" ht="14.25" customHeight="1"/>
    <row r="34618" ht="14.25" customHeight="1"/>
    <row r="34619" ht="14.25" customHeight="1"/>
    <row r="34620" ht="14.25" customHeight="1"/>
    <row r="34621" ht="14.25" customHeight="1"/>
    <row r="34622" ht="14.25" customHeight="1"/>
    <row r="34623" ht="14.25" customHeight="1"/>
    <row r="34624" ht="14.25" customHeight="1"/>
    <row r="34625" ht="14.25" customHeight="1"/>
    <row r="34626" ht="14.25" customHeight="1"/>
    <row r="34627" ht="14.25" customHeight="1"/>
    <row r="34628" ht="14.25" customHeight="1"/>
    <row r="34629" ht="14.25" customHeight="1"/>
    <row r="34630" ht="14.25" customHeight="1"/>
    <row r="34631" ht="14.25" customHeight="1"/>
    <row r="34632" ht="14.25" customHeight="1"/>
    <row r="34633" ht="14.25" customHeight="1"/>
    <row r="34634" ht="14.25" customHeight="1"/>
    <row r="34635" ht="14.25" customHeight="1"/>
    <row r="34636" ht="14.25" customHeight="1"/>
    <row r="34637" ht="14.25" customHeight="1"/>
    <row r="34638" ht="14.25" customHeight="1"/>
    <row r="34639" ht="14.25" customHeight="1"/>
    <row r="34640" ht="14.25" customHeight="1"/>
    <row r="34641" ht="14.25" customHeight="1"/>
    <row r="34642" ht="14.25" customHeight="1"/>
    <row r="34643" ht="14.25" customHeight="1"/>
    <row r="34644" ht="14.25" customHeight="1"/>
    <row r="34645" ht="14.25" customHeight="1"/>
    <row r="34646" ht="14.25" customHeight="1"/>
    <row r="34647" ht="14.25" customHeight="1"/>
    <row r="34648" ht="14.25" customHeight="1"/>
    <row r="34649" ht="14.25" customHeight="1"/>
    <row r="34650" ht="14.25" customHeight="1"/>
    <row r="34651" ht="14.25" customHeight="1"/>
    <row r="34652" ht="14.25" customHeight="1"/>
    <row r="34653" ht="14.25" customHeight="1"/>
    <row r="34654" ht="14.25" customHeight="1"/>
    <row r="34655" ht="14.25" customHeight="1"/>
    <row r="34656" ht="14.25" customHeight="1"/>
    <row r="34657" ht="14.25" customHeight="1"/>
    <row r="34658" ht="14.25" customHeight="1"/>
    <row r="34659" ht="14.25" customHeight="1"/>
    <row r="34660" ht="14.25" customHeight="1"/>
    <row r="34661" ht="14.25" customHeight="1"/>
    <row r="34662" ht="14.25" customHeight="1"/>
    <row r="34663" ht="14.25" customHeight="1"/>
    <row r="34664" ht="14.25" customHeight="1"/>
    <row r="34665" ht="14.25" customHeight="1"/>
    <row r="34666" ht="14.25" customHeight="1"/>
    <row r="34667" ht="14.25" customHeight="1"/>
    <row r="34668" ht="14.25" customHeight="1"/>
    <row r="34669" ht="14.25" customHeight="1"/>
    <row r="34670" ht="14.25" customHeight="1"/>
    <row r="34671" ht="14.25" customHeight="1"/>
    <row r="34672" ht="14.25" customHeight="1"/>
    <row r="34673" ht="14.25" customHeight="1"/>
    <row r="34674" ht="14.25" customHeight="1"/>
    <row r="34675" ht="14.25" customHeight="1"/>
    <row r="34676" ht="14.25" customHeight="1"/>
    <row r="34677" ht="14.25" customHeight="1"/>
    <row r="34678" ht="14.25" customHeight="1"/>
    <row r="34679" ht="14.25" customHeight="1"/>
    <row r="34680" ht="14.25" customHeight="1"/>
    <row r="34681" ht="14.25" customHeight="1"/>
    <row r="34682" ht="14.25" customHeight="1"/>
    <row r="34683" ht="14.25" customHeight="1"/>
    <row r="34684" ht="14.25" customHeight="1"/>
    <row r="34685" ht="14.25" customHeight="1"/>
    <row r="34686" ht="14.25" customHeight="1"/>
    <row r="34687" ht="14.25" customHeight="1"/>
    <row r="34688" ht="14.25" customHeight="1"/>
    <row r="34689" ht="14.25" customHeight="1"/>
    <row r="34690" ht="14.25" customHeight="1"/>
    <row r="34691" ht="14.25" customHeight="1"/>
    <row r="34692" ht="14.25" customHeight="1"/>
    <row r="34693" ht="14.25" customHeight="1"/>
    <row r="34694" ht="14.25" customHeight="1"/>
    <row r="34695" ht="14.25" customHeight="1"/>
    <row r="34696" ht="14.25" customHeight="1"/>
    <row r="34697" ht="14.25" customHeight="1"/>
    <row r="34698" ht="14.25" customHeight="1"/>
    <row r="34699" ht="14.25" customHeight="1"/>
    <row r="34700" ht="14.25" customHeight="1"/>
    <row r="34701" ht="14.25" customHeight="1"/>
    <row r="34702" ht="14.25" customHeight="1"/>
    <row r="34703" ht="14.25" customHeight="1"/>
    <row r="34704" ht="14.25" customHeight="1"/>
    <row r="34705" ht="14.25" customHeight="1"/>
    <row r="34706" ht="14.25" customHeight="1"/>
    <row r="34707" ht="14.25" customHeight="1"/>
    <row r="34708" ht="14.25" customHeight="1"/>
    <row r="34709" ht="14.25" customHeight="1"/>
    <row r="34710" ht="14.25" customHeight="1"/>
    <row r="34711" ht="14.25" customHeight="1"/>
    <row r="34712" ht="14.25" customHeight="1"/>
    <row r="34713" ht="14.25" customHeight="1"/>
    <row r="34714" ht="14.25" customHeight="1"/>
    <row r="34715" ht="14.25" customHeight="1"/>
    <row r="34716" ht="14.25" customHeight="1"/>
    <row r="34717" ht="14.25" customHeight="1"/>
    <row r="34718" ht="14.25" customHeight="1"/>
    <row r="34719" ht="14.25" customHeight="1"/>
    <row r="34720" ht="14.25" customHeight="1"/>
    <row r="34721" ht="14.25" customHeight="1"/>
    <row r="34722" ht="14.25" customHeight="1"/>
    <row r="34723" ht="14.25" customHeight="1"/>
    <row r="34724" ht="14.25" customHeight="1"/>
    <row r="34725" ht="14.25" customHeight="1"/>
    <row r="34726" ht="14.25" customHeight="1"/>
    <row r="34727" ht="14.25" customHeight="1"/>
    <row r="34728" ht="14.25" customHeight="1"/>
    <row r="34729" ht="14.25" customHeight="1"/>
    <row r="34730" ht="14.25" customHeight="1"/>
    <row r="34731" ht="14.25" customHeight="1"/>
    <row r="34732" ht="14.25" customHeight="1"/>
    <row r="34733" ht="14.25" customHeight="1"/>
    <row r="34734" ht="14.25" customHeight="1"/>
    <row r="34735" ht="14.25" customHeight="1"/>
    <row r="34736" ht="14.25" customHeight="1"/>
    <row r="34737" ht="14.25" customHeight="1"/>
    <row r="34738" ht="14.25" customHeight="1"/>
    <row r="34739" ht="14.25" customHeight="1"/>
    <row r="34740" ht="14.25" customHeight="1"/>
    <row r="34741" ht="14.25" customHeight="1"/>
    <row r="34742" ht="14.25" customHeight="1"/>
    <row r="34743" ht="14.25" customHeight="1"/>
    <row r="34744" ht="14.25" customHeight="1"/>
    <row r="34745" ht="14.25" customHeight="1"/>
    <row r="34746" ht="14.25" customHeight="1"/>
    <row r="34747" ht="14.25" customHeight="1"/>
    <row r="34748" ht="14.25" customHeight="1"/>
    <row r="34749" ht="14.25" customHeight="1"/>
    <row r="34750" ht="14.25" customHeight="1"/>
    <row r="34751" ht="14.25" customHeight="1"/>
    <row r="34752" ht="14.25" customHeight="1"/>
    <row r="34753" ht="14.25" customHeight="1"/>
    <row r="34754" ht="14.25" customHeight="1"/>
    <row r="34755" ht="14.25" customHeight="1"/>
    <row r="34756" ht="14.25" customHeight="1"/>
    <row r="34757" ht="14.25" customHeight="1"/>
    <row r="34758" ht="14.25" customHeight="1"/>
    <row r="34759" ht="14.25" customHeight="1"/>
    <row r="34760" ht="14.25" customHeight="1"/>
    <row r="34761" ht="14.25" customHeight="1"/>
    <row r="34762" ht="14.25" customHeight="1"/>
    <row r="34763" ht="14.25" customHeight="1"/>
    <row r="34764" ht="14.25" customHeight="1"/>
    <row r="34765" ht="14.25" customHeight="1"/>
    <row r="34766" ht="14.25" customHeight="1"/>
    <row r="34767" ht="14.25" customHeight="1"/>
    <row r="34768" ht="14.25" customHeight="1"/>
    <row r="34769" ht="14.25" customHeight="1"/>
    <row r="34770" ht="14.25" customHeight="1"/>
    <row r="34771" ht="14.25" customHeight="1"/>
    <row r="34772" ht="14.25" customHeight="1"/>
    <row r="34773" ht="14.25" customHeight="1"/>
    <row r="34774" ht="14.25" customHeight="1"/>
    <row r="34775" ht="14.25" customHeight="1"/>
    <row r="34776" ht="14.25" customHeight="1"/>
    <row r="34777" ht="14.25" customHeight="1"/>
    <row r="34778" ht="14.25" customHeight="1"/>
    <row r="34779" ht="14.25" customHeight="1"/>
    <row r="34780" ht="14.25" customHeight="1"/>
    <row r="34781" ht="14.25" customHeight="1"/>
    <row r="34782" ht="14.25" customHeight="1"/>
    <row r="34783" ht="14.25" customHeight="1"/>
    <row r="34784" ht="14.25" customHeight="1"/>
    <row r="34785" ht="14.25" customHeight="1"/>
    <row r="34786" ht="14.25" customHeight="1"/>
    <row r="34787" ht="14.25" customHeight="1"/>
    <row r="34788" ht="14.25" customHeight="1"/>
    <row r="34789" ht="14.25" customHeight="1"/>
    <row r="34790" ht="14.25" customHeight="1"/>
    <row r="34791" ht="14.25" customHeight="1"/>
    <row r="34792" ht="14.25" customHeight="1"/>
    <row r="34793" ht="14.25" customHeight="1"/>
    <row r="34794" ht="14.25" customHeight="1"/>
    <row r="34795" ht="14.25" customHeight="1"/>
    <row r="34796" ht="14.25" customHeight="1"/>
    <row r="34797" ht="14.25" customHeight="1"/>
    <row r="34798" ht="14.25" customHeight="1"/>
    <row r="34799" ht="14.25" customHeight="1"/>
    <row r="34800" ht="14.25" customHeight="1"/>
    <row r="34801" ht="14.25" customHeight="1"/>
    <row r="34802" ht="14.25" customHeight="1"/>
    <row r="34803" ht="14.25" customHeight="1"/>
    <row r="34804" ht="14.25" customHeight="1"/>
    <row r="34805" ht="14.25" customHeight="1"/>
    <row r="34806" ht="14.25" customHeight="1"/>
    <row r="34807" ht="14.25" customHeight="1"/>
    <row r="34808" ht="14.25" customHeight="1"/>
    <row r="34809" ht="14.25" customHeight="1"/>
    <row r="34810" ht="14.25" customHeight="1"/>
    <row r="34811" ht="14.25" customHeight="1"/>
    <row r="34812" ht="14.25" customHeight="1"/>
    <row r="34813" ht="14.25" customHeight="1"/>
    <row r="34814" ht="14.25" customHeight="1"/>
    <row r="34815" ht="14.25" customHeight="1"/>
    <row r="34816" ht="14.25" customHeight="1"/>
    <row r="34817" ht="14.25" customHeight="1"/>
    <row r="34818" ht="14.25" customHeight="1"/>
    <row r="34819" ht="14.25" customHeight="1"/>
    <row r="34820" ht="14.25" customHeight="1"/>
    <row r="34821" ht="14.25" customHeight="1"/>
    <row r="34822" ht="14.25" customHeight="1"/>
    <row r="34823" ht="14.25" customHeight="1"/>
    <row r="34824" ht="14.25" customHeight="1"/>
    <row r="34825" ht="14.25" customHeight="1"/>
    <row r="34826" ht="14.25" customHeight="1"/>
    <row r="34827" ht="14.25" customHeight="1"/>
    <row r="34828" ht="14.25" customHeight="1"/>
    <row r="34829" ht="14.25" customHeight="1"/>
    <row r="34830" ht="14.25" customHeight="1"/>
    <row r="34831" ht="14.25" customHeight="1"/>
    <row r="34832" ht="14.25" customHeight="1"/>
    <row r="34833" ht="14.25" customHeight="1"/>
    <row r="34834" ht="14.25" customHeight="1"/>
    <row r="34835" ht="14.25" customHeight="1"/>
    <row r="34836" ht="14.25" customHeight="1"/>
    <row r="34837" ht="14.25" customHeight="1"/>
    <row r="34838" ht="14.25" customHeight="1"/>
    <row r="34839" ht="14.25" customHeight="1"/>
    <row r="34840" ht="14.25" customHeight="1"/>
    <row r="34841" ht="14.25" customHeight="1"/>
    <row r="34842" ht="14.25" customHeight="1"/>
    <row r="34843" ht="14.25" customHeight="1"/>
    <row r="34844" ht="14.25" customHeight="1"/>
    <row r="34845" ht="14.25" customHeight="1"/>
    <row r="34846" ht="14.25" customHeight="1"/>
    <row r="34847" ht="14.25" customHeight="1"/>
    <row r="34848" ht="14.25" customHeight="1"/>
    <row r="34849" ht="14.25" customHeight="1"/>
    <row r="34850" ht="14.25" customHeight="1"/>
    <row r="34851" ht="14.25" customHeight="1"/>
    <row r="34852" ht="14.25" customHeight="1"/>
    <row r="34853" ht="14.25" customHeight="1"/>
    <row r="34854" ht="14.25" customHeight="1"/>
    <row r="34855" ht="14.25" customHeight="1"/>
    <row r="34856" ht="14.25" customHeight="1"/>
    <row r="34857" ht="14.25" customHeight="1"/>
    <row r="34858" ht="14.25" customHeight="1"/>
    <row r="34859" ht="14.25" customHeight="1"/>
    <row r="34860" ht="14.25" customHeight="1"/>
    <row r="34861" ht="14.25" customHeight="1"/>
    <row r="34862" ht="14.25" customHeight="1"/>
    <row r="34863" ht="14.25" customHeight="1"/>
    <row r="34864" ht="14.25" customHeight="1"/>
    <row r="34865" ht="14.25" customHeight="1"/>
    <row r="34866" ht="14.25" customHeight="1"/>
    <row r="34867" ht="14.25" customHeight="1"/>
    <row r="34868" ht="14.25" customHeight="1"/>
    <row r="34869" ht="14.25" customHeight="1"/>
    <row r="34870" ht="14.25" customHeight="1"/>
    <row r="34871" ht="14.25" customHeight="1"/>
    <row r="34872" ht="14.25" customHeight="1"/>
    <row r="34873" ht="14.25" customHeight="1"/>
    <row r="34874" ht="14.25" customHeight="1"/>
    <row r="34875" ht="14.25" customHeight="1"/>
    <row r="34876" ht="14.25" customHeight="1"/>
    <row r="34877" ht="14.25" customHeight="1"/>
    <row r="34878" ht="14.25" customHeight="1"/>
    <row r="34879" ht="14.25" customHeight="1"/>
    <row r="34880" ht="14.25" customHeight="1"/>
    <row r="34881" ht="14.25" customHeight="1"/>
    <row r="34882" ht="14.25" customHeight="1"/>
    <row r="34883" ht="14.25" customHeight="1"/>
    <row r="34884" ht="14.25" customHeight="1"/>
    <row r="34885" ht="14.25" customHeight="1"/>
    <row r="34886" ht="14.25" customHeight="1"/>
    <row r="34887" ht="14.25" customHeight="1"/>
    <row r="34888" ht="14.25" customHeight="1"/>
    <row r="34889" ht="14.25" customHeight="1"/>
    <row r="34890" ht="14.25" customHeight="1"/>
    <row r="34891" ht="14.25" customHeight="1"/>
    <row r="34892" ht="14.25" customHeight="1"/>
    <row r="34893" ht="14.25" customHeight="1"/>
    <row r="34894" ht="14.25" customHeight="1"/>
    <row r="34895" ht="14.25" customHeight="1"/>
    <row r="34896" ht="14.25" customHeight="1"/>
    <row r="34897" ht="14.25" customHeight="1"/>
    <row r="34898" ht="14.25" customHeight="1"/>
    <row r="34899" ht="14.25" customHeight="1"/>
    <row r="34900" ht="14.25" customHeight="1"/>
    <row r="34901" ht="14.25" customHeight="1"/>
    <row r="34902" ht="14.25" customHeight="1"/>
    <row r="34903" ht="14.25" customHeight="1"/>
    <row r="34904" ht="14.25" customHeight="1"/>
    <row r="34905" ht="14.25" customHeight="1"/>
    <row r="34906" ht="14.25" customHeight="1"/>
    <row r="34907" ht="14.25" customHeight="1"/>
    <row r="34908" ht="14.25" customHeight="1"/>
    <row r="34909" ht="14.25" customHeight="1"/>
    <row r="34910" ht="14.25" customHeight="1"/>
    <row r="34911" ht="14.25" customHeight="1"/>
    <row r="34912" ht="14.25" customHeight="1"/>
    <row r="34913" ht="14.25" customHeight="1"/>
    <row r="34914" ht="14.25" customHeight="1"/>
    <row r="34915" ht="14.25" customHeight="1"/>
    <row r="34916" ht="14.25" customHeight="1"/>
    <row r="34917" ht="14.25" customHeight="1"/>
    <row r="34918" ht="14.25" customHeight="1"/>
    <row r="34919" ht="14.25" customHeight="1"/>
    <row r="34920" ht="14.25" customHeight="1"/>
    <row r="34921" ht="14.25" customHeight="1"/>
    <row r="34922" ht="14.25" customHeight="1"/>
    <row r="34923" ht="14.25" customHeight="1"/>
    <row r="34924" ht="14.25" customHeight="1"/>
    <row r="34925" ht="14.25" customHeight="1"/>
    <row r="34926" ht="14.25" customHeight="1"/>
    <row r="34927" ht="14.25" customHeight="1"/>
    <row r="34928" ht="14.25" customHeight="1"/>
    <row r="34929" ht="14.25" customHeight="1"/>
    <row r="34930" ht="14.25" customHeight="1"/>
    <row r="34931" ht="14.25" customHeight="1"/>
    <row r="34932" ht="14.25" customHeight="1"/>
    <row r="34933" ht="14.25" customHeight="1"/>
    <row r="34934" ht="14.25" customHeight="1"/>
    <row r="34935" ht="14.25" customHeight="1"/>
    <row r="34936" ht="14.25" customHeight="1"/>
    <row r="34937" ht="14.25" customHeight="1"/>
    <row r="34938" ht="14.25" customHeight="1"/>
    <row r="34939" ht="14.25" customHeight="1"/>
    <row r="34940" ht="14.25" customHeight="1"/>
    <row r="34941" ht="14.25" customHeight="1"/>
    <row r="34942" ht="14.25" customHeight="1"/>
    <row r="34943" ht="14.25" customHeight="1"/>
    <row r="34944" ht="14.25" customHeight="1"/>
    <row r="34945" ht="14.25" customHeight="1"/>
    <row r="34946" ht="14.25" customHeight="1"/>
    <row r="34947" ht="14.25" customHeight="1"/>
    <row r="34948" ht="14.25" customHeight="1"/>
    <row r="34949" ht="14.25" customHeight="1"/>
    <row r="34950" ht="14.25" customHeight="1"/>
    <row r="34951" ht="14.25" customHeight="1"/>
    <row r="34952" ht="14.25" customHeight="1"/>
    <row r="34953" ht="14.25" customHeight="1"/>
    <row r="34954" ht="14.25" customHeight="1"/>
    <row r="34955" ht="14.25" customHeight="1"/>
    <row r="34956" ht="14.25" customHeight="1"/>
    <row r="34957" ht="14.25" customHeight="1"/>
    <row r="34958" ht="14.25" customHeight="1"/>
    <row r="34959" ht="14.25" customHeight="1"/>
    <row r="34960" ht="14.25" customHeight="1"/>
    <row r="34961" ht="14.25" customHeight="1"/>
    <row r="34962" ht="14.25" customHeight="1"/>
    <row r="34963" ht="14.25" customHeight="1"/>
    <row r="34964" ht="14.25" customHeight="1"/>
    <row r="34965" ht="14.25" customHeight="1"/>
    <row r="34966" ht="14.25" customHeight="1"/>
    <row r="34967" ht="14.25" customHeight="1"/>
    <row r="34968" ht="14.25" customHeight="1"/>
    <row r="34969" ht="14.25" customHeight="1"/>
    <row r="34970" ht="14.25" customHeight="1"/>
    <row r="34971" ht="14.25" customHeight="1"/>
    <row r="34972" ht="14.25" customHeight="1"/>
    <row r="34973" ht="14.25" customHeight="1"/>
    <row r="34974" ht="14.25" customHeight="1"/>
    <row r="34975" ht="14.25" customHeight="1"/>
    <row r="34976" ht="14.25" customHeight="1"/>
    <row r="34977" ht="14.25" customHeight="1"/>
    <row r="34978" ht="14.25" customHeight="1"/>
    <row r="34979" ht="14.25" customHeight="1"/>
    <row r="34980" ht="14.25" customHeight="1"/>
    <row r="34981" ht="14.25" customHeight="1"/>
    <row r="34982" ht="14.25" customHeight="1"/>
    <row r="34983" ht="14.25" customHeight="1"/>
    <row r="34984" ht="14.25" customHeight="1"/>
    <row r="34985" ht="14.25" customHeight="1"/>
    <row r="34986" ht="14.25" customHeight="1"/>
    <row r="34987" ht="14.25" customHeight="1"/>
    <row r="34988" ht="14.25" customHeight="1"/>
    <row r="34989" ht="14.25" customHeight="1"/>
    <row r="34990" ht="14.25" customHeight="1"/>
    <row r="34991" ht="14.25" customHeight="1"/>
    <row r="34992" ht="14.25" customHeight="1"/>
    <row r="34993" ht="14.25" customHeight="1"/>
    <row r="34994" ht="14.25" customHeight="1"/>
    <row r="34995" ht="14.25" customHeight="1"/>
    <row r="34996" ht="14.25" customHeight="1"/>
    <row r="34997" ht="14.25" customHeight="1"/>
    <row r="34998" ht="14.25" customHeight="1"/>
    <row r="34999" ht="14.25" customHeight="1"/>
    <row r="35000" ht="14.25" customHeight="1"/>
    <row r="35001" ht="14.25" customHeight="1"/>
    <row r="35002" ht="14.25" customHeight="1"/>
    <row r="35003" ht="14.25" customHeight="1"/>
    <row r="35004" ht="14.25" customHeight="1"/>
    <row r="35005" ht="14.25" customHeight="1"/>
    <row r="35006" ht="14.25" customHeight="1"/>
    <row r="35007" ht="14.25" customHeight="1"/>
    <row r="35008" ht="14.25" customHeight="1"/>
    <row r="35009" ht="14.25" customHeight="1"/>
    <row r="35010" ht="14.25" customHeight="1"/>
    <row r="35011" ht="14.25" customHeight="1"/>
    <row r="35012" ht="14.25" customHeight="1"/>
    <row r="35013" ht="14.25" customHeight="1"/>
    <row r="35014" ht="14.25" customHeight="1"/>
    <row r="35015" ht="14.25" customHeight="1"/>
    <row r="35016" ht="14.25" customHeight="1"/>
    <row r="35017" ht="14.25" customHeight="1"/>
    <row r="35018" ht="14.25" customHeight="1"/>
    <row r="35019" ht="14.25" customHeight="1"/>
    <row r="35020" ht="14.25" customHeight="1"/>
    <row r="35021" ht="14.25" customHeight="1"/>
    <row r="35022" ht="14.25" customHeight="1"/>
    <row r="35023" ht="14.25" customHeight="1"/>
    <row r="35024" ht="14.25" customHeight="1"/>
    <row r="35025" ht="14.25" customHeight="1"/>
    <row r="35026" ht="14.25" customHeight="1"/>
    <row r="35027" ht="14.25" customHeight="1"/>
    <row r="35028" ht="14.25" customHeight="1"/>
    <row r="35029" ht="14.25" customHeight="1"/>
    <row r="35030" ht="14.25" customHeight="1"/>
    <row r="35031" ht="14.25" customHeight="1"/>
    <row r="35032" ht="14.25" customHeight="1"/>
    <row r="35033" ht="14.25" customHeight="1"/>
    <row r="35034" ht="14.25" customHeight="1"/>
    <row r="35035" ht="14.25" customHeight="1"/>
    <row r="35036" ht="14.25" customHeight="1"/>
    <row r="35037" ht="14.25" customHeight="1"/>
    <row r="35038" ht="14.25" customHeight="1"/>
    <row r="35039" ht="14.25" customHeight="1"/>
    <row r="35040" ht="14.25" customHeight="1"/>
    <row r="35041" ht="14.25" customHeight="1"/>
    <row r="35042" ht="14.25" customHeight="1"/>
    <row r="35043" ht="14.25" customHeight="1"/>
    <row r="35044" ht="14.25" customHeight="1"/>
    <row r="35045" ht="14.25" customHeight="1"/>
    <row r="35046" ht="14.25" customHeight="1"/>
    <row r="35047" ht="14.25" customHeight="1"/>
    <row r="35048" ht="14.25" customHeight="1"/>
    <row r="35049" ht="14.25" customHeight="1"/>
    <row r="35050" ht="14.25" customHeight="1"/>
    <row r="35051" ht="14.25" customHeight="1"/>
    <row r="35052" ht="14.25" customHeight="1"/>
    <row r="35053" ht="14.25" customHeight="1"/>
    <row r="35054" ht="14.25" customHeight="1"/>
    <row r="35055" ht="14.25" customHeight="1"/>
    <row r="35056" ht="14.25" customHeight="1"/>
    <row r="35057" ht="14.25" customHeight="1"/>
    <row r="35058" ht="14.25" customHeight="1"/>
    <row r="35059" ht="14.25" customHeight="1"/>
    <row r="35060" ht="14.25" customHeight="1"/>
    <row r="35061" ht="14.25" customHeight="1"/>
    <row r="35062" ht="14.25" customHeight="1"/>
    <row r="35063" ht="14.25" customHeight="1"/>
    <row r="35064" ht="14.25" customHeight="1"/>
    <row r="35065" ht="14.25" customHeight="1"/>
    <row r="35066" ht="14.25" customHeight="1"/>
    <row r="35067" ht="14.25" customHeight="1"/>
    <row r="35068" ht="14.25" customHeight="1"/>
    <row r="35069" ht="14.25" customHeight="1"/>
    <row r="35070" ht="14.25" customHeight="1"/>
    <row r="35071" ht="14.25" customHeight="1"/>
    <row r="35072" ht="14.25" customHeight="1"/>
    <row r="35073" ht="14.25" customHeight="1"/>
    <row r="35074" ht="14.25" customHeight="1"/>
    <row r="35075" ht="14.25" customHeight="1"/>
    <row r="35076" ht="14.25" customHeight="1"/>
    <row r="35077" ht="14.25" customHeight="1"/>
    <row r="35078" ht="14.25" customHeight="1"/>
    <row r="35079" ht="14.25" customHeight="1"/>
    <row r="35080" ht="14.25" customHeight="1"/>
    <row r="35081" ht="14.25" customHeight="1"/>
    <row r="35082" ht="14.25" customHeight="1"/>
    <row r="35083" ht="14.25" customHeight="1"/>
    <row r="35084" ht="14.25" customHeight="1"/>
    <row r="35085" ht="14.25" customHeight="1"/>
    <row r="35086" ht="14.25" customHeight="1"/>
    <row r="35087" ht="14.25" customHeight="1"/>
    <row r="35088" ht="14.25" customHeight="1"/>
    <row r="35089" ht="14.25" customHeight="1"/>
    <row r="35090" ht="14.25" customHeight="1"/>
    <row r="35091" ht="14.25" customHeight="1"/>
    <row r="35092" ht="14.25" customHeight="1"/>
    <row r="35093" ht="14.25" customHeight="1"/>
    <row r="35094" ht="14.25" customHeight="1"/>
    <row r="35095" ht="14.25" customHeight="1"/>
    <row r="35096" ht="14.25" customHeight="1"/>
    <row r="35097" ht="14.25" customHeight="1"/>
    <row r="35098" ht="14.25" customHeight="1"/>
    <row r="35099" ht="14.25" customHeight="1"/>
    <row r="35100" ht="14.25" customHeight="1"/>
    <row r="35101" ht="14.25" customHeight="1"/>
    <row r="35102" ht="14.25" customHeight="1"/>
    <row r="35103" ht="14.25" customHeight="1"/>
    <row r="35104" ht="14.25" customHeight="1"/>
    <row r="35105" ht="14.25" customHeight="1"/>
    <row r="35106" ht="14.25" customHeight="1"/>
    <row r="35107" ht="14.25" customHeight="1"/>
    <row r="35108" ht="14.25" customHeight="1"/>
    <row r="35109" ht="14.25" customHeight="1"/>
    <row r="35110" ht="14.25" customHeight="1"/>
    <row r="35111" ht="14.25" customHeight="1"/>
    <row r="35112" ht="14.25" customHeight="1"/>
    <row r="35113" ht="14.25" customHeight="1"/>
    <row r="35114" ht="14.25" customHeight="1"/>
    <row r="35115" ht="14.25" customHeight="1"/>
    <row r="35116" ht="14.25" customHeight="1"/>
    <row r="35117" ht="14.25" customHeight="1"/>
    <row r="35118" ht="14.25" customHeight="1"/>
    <row r="35119" ht="14.25" customHeight="1"/>
    <row r="35120" ht="14.25" customHeight="1"/>
    <row r="35121" ht="14.25" customHeight="1"/>
    <row r="35122" ht="14.25" customHeight="1"/>
    <row r="35123" ht="14.25" customHeight="1"/>
    <row r="35124" ht="14.25" customHeight="1"/>
    <row r="35125" ht="14.25" customHeight="1"/>
    <row r="35126" ht="14.25" customHeight="1"/>
    <row r="35127" ht="14.25" customHeight="1"/>
    <row r="35128" ht="14.25" customHeight="1"/>
    <row r="35129" ht="14.25" customHeight="1"/>
    <row r="35130" ht="14.25" customHeight="1"/>
    <row r="35131" ht="14.25" customHeight="1"/>
    <row r="35132" ht="14.25" customHeight="1"/>
    <row r="35133" ht="14.25" customHeight="1"/>
    <row r="35134" ht="14.25" customHeight="1"/>
    <row r="35135" ht="14.25" customHeight="1"/>
    <row r="35136" ht="14.25" customHeight="1"/>
    <row r="35137" ht="14.25" customHeight="1"/>
    <row r="35138" ht="14.25" customHeight="1"/>
    <row r="35139" ht="14.25" customHeight="1"/>
    <row r="35140" ht="14.25" customHeight="1"/>
    <row r="35141" ht="14.25" customHeight="1"/>
    <row r="35142" ht="14.25" customHeight="1"/>
    <row r="35143" ht="14.25" customHeight="1"/>
    <row r="35144" ht="14.25" customHeight="1"/>
    <row r="35145" ht="14.25" customHeight="1"/>
    <row r="35146" ht="14.25" customHeight="1"/>
    <row r="35147" ht="14.25" customHeight="1"/>
    <row r="35148" ht="14.25" customHeight="1"/>
    <row r="35149" ht="14.25" customHeight="1"/>
    <row r="35150" ht="14.25" customHeight="1"/>
    <row r="35151" ht="14.25" customHeight="1"/>
    <row r="35152" ht="14.25" customHeight="1"/>
    <row r="35153" ht="14.25" customHeight="1"/>
    <row r="35154" ht="14.25" customHeight="1"/>
    <row r="35155" ht="14.25" customHeight="1"/>
    <row r="35156" ht="14.25" customHeight="1"/>
    <row r="35157" ht="14.25" customHeight="1"/>
    <row r="35158" ht="14.25" customHeight="1"/>
    <row r="35159" ht="14.25" customHeight="1"/>
    <row r="35160" ht="14.25" customHeight="1"/>
    <row r="35161" ht="14.25" customHeight="1"/>
    <row r="35162" ht="14.25" customHeight="1"/>
    <row r="35163" ht="14.25" customHeight="1"/>
    <row r="35164" ht="14.25" customHeight="1"/>
    <row r="35165" ht="14.25" customHeight="1"/>
    <row r="35166" ht="14.25" customHeight="1"/>
    <row r="35167" ht="14.25" customHeight="1"/>
    <row r="35168" ht="14.25" customHeight="1"/>
    <row r="35169" ht="14.25" customHeight="1"/>
    <row r="35170" ht="14.25" customHeight="1"/>
    <row r="35171" ht="14.25" customHeight="1"/>
    <row r="35172" ht="14.25" customHeight="1"/>
    <row r="35173" ht="14.25" customHeight="1"/>
    <row r="35174" ht="14.25" customHeight="1"/>
    <row r="35175" ht="14.25" customHeight="1"/>
    <row r="35176" ht="14.25" customHeight="1"/>
    <row r="35177" ht="14.25" customHeight="1"/>
    <row r="35178" ht="14.25" customHeight="1"/>
    <row r="35179" ht="14.25" customHeight="1"/>
    <row r="35180" ht="14.25" customHeight="1"/>
    <row r="35181" ht="14.25" customHeight="1"/>
    <row r="35182" ht="14.25" customHeight="1"/>
    <row r="35183" ht="14.25" customHeight="1"/>
    <row r="35184" ht="14.25" customHeight="1"/>
    <row r="35185" ht="14.25" customHeight="1"/>
    <row r="35186" ht="14.25" customHeight="1"/>
    <row r="35187" ht="14.25" customHeight="1"/>
    <row r="35188" ht="14.25" customHeight="1"/>
    <row r="35189" ht="14.25" customHeight="1"/>
    <row r="35190" ht="14.25" customHeight="1"/>
    <row r="35191" ht="14.25" customHeight="1"/>
    <row r="35192" ht="14.25" customHeight="1"/>
    <row r="35193" ht="14.25" customHeight="1"/>
    <row r="35194" ht="14.25" customHeight="1"/>
    <row r="35195" ht="14.25" customHeight="1"/>
    <row r="35196" ht="14.25" customHeight="1"/>
    <row r="35197" ht="14.25" customHeight="1"/>
    <row r="35198" ht="14.25" customHeight="1"/>
    <row r="35199" ht="14.25" customHeight="1"/>
    <row r="35200" ht="14.25" customHeight="1"/>
    <row r="35201" ht="14.25" customHeight="1"/>
    <row r="35202" ht="14.25" customHeight="1"/>
    <row r="35203" ht="14.25" customHeight="1"/>
    <row r="35204" ht="14.25" customHeight="1"/>
    <row r="35205" ht="14.25" customHeight="1"/>
    <row r="35206" ht="14.25" customHeight="1"/>
    <row r="35207" ht="14.25" customHeight="1"/>
    <row r="35208" ht="14.25" customHeight="1"/>
    <row r="35209" ht="14.25" customHeight="1"/>
    <row r="35210" ht="14.25" customHeight="1"/>
    <row r="35211" ht="14.25" customHeight="1"/>
    <row r="35212" ht="14.25" customHeight="1"/>
    <row r="35213" ht="14.25" customHeight="1"/>
    <row r="35214" ht="14.25" customHeight="1"/>
    <row r="35215" ht="14.25" customHeight="1"/>
    <row r="35216" ht="14.25" customHeight="1"/>
    <row r="35217" ht="14.25" customHeight="1"/>
    <row r="35218" ht="14.25" customHeight="1"/>
    <row r="35219" ht="14.25" customHeight="1"/>
    <row r="35220" ht="14.25" customHeight="1"/>
    <row r="35221" ht="14.25" customHeight="1"/>
    <row r="35222" ht="14.25" customHeight="1"/>
    <row r="35223" ht="14.25" customHeight="1"/>
    <row r="35224" ht="14.25" customHeight="1"/>
    <row r="35225" ht="14.25" customHeight="1"/>
    <row r="35226" ht="14.25" customHeight="1"/>
    <row r="35227" ht="14.25" customHeight="1"/>
    <row r="35228" ht="14.25" customHeight="1"/>
    <row r="35229" ht="14.25" customHeight="1"/>
    <row r="35230" ht="14.25" customHeight="1"/>
    <row r="35231" ht="14.25" customHeight="1"/>
    <row r="35232" ht="14.25" customHeight="1"/>
    <row r="35233" ht="14.25" customHeight="1"/>
    <row r="35234" ht="14.25" customHeight="1"/>
    <row r="35235" ht="14.25" customHeight="1"/>
    <row r="35236" ht="14.25" customHeight="1"/>
    <row r="35237" ht="14.25" customHeight="1"/>
    <row r="35238" ht="14.25" customHeight="1"/>
    <row r="35239" ht="14.25" customHeight="1"/>
    <row r="35240" ht="14.25" customHeight="1"/>
    <row r="35241" ht="14.25" customHeight="1"/>
    <row r="35242" ht="14.25" customHeight="1"/>
    <row r="35243" ht="14.25" customHeight="1"/>
    <row r="35244" ht="14.25" customHeight="1"/>
    <row r="35245" ht="14.25" customHeight="1"/>
    <row r="35246" ht="14.25" customHeight="1"/>
    <row r="35247" ht="14.25" customHeight="1"/>
    <row r="35248" ht="14.25" customHeight="1"/>
    <row r="35249" ht="14.25" customHeight="1"/>
    <row r="35250" ht="14.25" customHeight="1"/>
    <row r="35251" ht="14.25" customHeight="1"/>
    <row r="35252" ht="14.25" customHeight="1"/>
    <row r="35253" ht="14.25" customHeight="1"/>
    <row r="35254" ht="14.25" customHeight="1"/>
    <row r="35255" ht="14.25" customHeight="1"/>
    <row r="35256" ht="14.25" customHeight="1"/>
    <row r="35257" ht="14.25" customHeight="1"/>
    <row r="35258" ht="14.25" customHeight="1"/>
    <row r="35259" ht="14.25" customHeight="1"/>
    <row r="35260" ht="14.25" customHeight="1"/>
    <row r="35261" ht="14.25" customHeight="1"/>
    <row r="35262" ht="14.25" customHeight="1"/>
    <row r="35263" ht="14.25" customHeight="1"/>
    <row r="35264" ht="14.25" customHeight="1"/>
    <row r="35265" ht="14.25" customHeight="1"/>
    <row r="35266" ht="14.25" customHeight="1"/>
    <row r="35267" ht="14.25" customHeight="1"/>
    <row r="35268" ht="14.25" customHeight="1"/>
    <row r="35269" ht="14.25" customHeight="1"/>
    <row r="35270" ht="14.25" customHeight="1"/>
    <row r="35271" ht="14.25" customHeight="1"/>
    <row r="35272" ht="14.25" customHeight="1"/>
    <row r="35273" ht="14.25" customHeight="1"/>
    <row r="35274" ht="14.25" customHeight="1"/>
    <row r="35275" ht="14.25" customHeight="1"/>
    <row r="35276" ht="14.25" customHeight="1"/>
    <row r="35277" ht="14.25" customHeight="1"/>
    <row r="35278" ht="14.25" customHeight="1"/>
    <row r="35279" ht="14.25" customHeight="1"/>
    <row r="35280" ht="14.25" customHeight="1"/>
    <row r="35281" ht="14.25" customHeight="1"/>
    <row r="35282" ht="14.25" customHeight="1"/>
    <row r="35283" ht="14.25" customHeight="1"/>
    <row r="35284" ht="14.25" customHeight="1"/>
    <row r="35285" ht="14.25" customHeight="1"/>
    <row r="35286" ht="14.25" customHeight="1"/>
    <row r="35287" ht="14.25" customHeight="1"/>
    <row r="35288" ht="14.25" customHeight="1"/>
    <row r="35289" ht="14.25" customHeight="1"/>
    <row r="35290" ht="14.25" customHeight="1"/>
    <row r="35291" ht="14.25" customHeight="1"/>
    <row r="35292" ht="14.25" customHeight="1"/>
    <row r="35293" ht="14.25" customHeight="1"/>
    <row r="35294" ht="14.25" customHeight="1"/>
    <row r="35295" ht="14.25" customHeight="1"/>
    <row r="35296" ht="14.25" customHeight="1"/>
    <row r="35297" ht="14.25" customHeight="1"/>
    <row r="35298" ht="14.25" customHeight="1"/>
    <row r="35299" ht="14.25" customHeight="1"/>
    <row r="35300" ht="14.25" customHeight="1"/>
    <row r="35301" ht="14.25" customHeight="1"/>
    <row r="35302" ht="14.25" customHeight="1"/>
    <row r="35303" ht="14.25" customHeight="1"/>
    <row r="35304" ht="14.25" customHeight="1"/>
    <row r="35305" ht="14.25" customHeight="1"/>
    <row r="35306" ht="14.25" customHeight="1"/>
    <row r="35307" ht="14.25" customHeight="1"/>
    <row r="35308" ht="14.25" customHeight="1"/>
    <row r="35309" ht="14.25" customHeight="1"/>
    <row r="35310" ht="14.25" customHeight="1"/>
    <row r="35311" ht="14.25" customHeight="1"/>
    <row r="35312" ht="14.25" customHeight="1"/>
    <row r="35313" ht="14.25" customHeight="1"/>
    <row r="35314" ht="14.25" customHeight="1"/>
    <row r="35315" ht="14.25" customHeight="1"/>
    <row r="35316" ht="14.25" customHeight="1"/>
    <row r="35317" ht="14.25" customHeight="1"/>
    <row r="35318" ht="14.25" customHeight="1"/>
    <row r="35319" ht="14.25" customHeight="1"/>
    <row r="35320" ht="14.25" customHeight="1"/>
    <row r="35321" ht="14.25" customHeight="1"/>
    <row r="35322" ht="14.25" customHeight="1"/>
    <row r="35323" ht="14.25" customHeight="1"/>
    <row r="35324" ht="14.25" customHeight="1"/>
    <row r="35325" ht="14.25" customHeight="1"/>
    <row r="35326" ht="14.25" customHeight="1"/>
    <row r="35327" ht="14.25" customHeight="1"/>
    <row r="35328" ht="14.25" customHeight="1"/>
    <row r="35329" ht="14.25" customHeight="1"/>
    <row r="35330" ht="14.25" customHeight="1"/>
    <row r="35331" ht="14.25" customHeight="1"/>
    <row r="35332" ht="14.25" customHeight="1"/>
    <row r="35333" ht="14.25" customHeight="1"/>
    <row r="35334" ht="14.25" customHeight="1"/>
    <row r="35335" ht="14.25" customHeight="1"/>
    <row r="35336" ht="14.25" customHeight="1"/>
    <row r="35337" ht="14.25" customHeight="1"/>
    <row r="35338" ht="14.25" customHeight="1"/>
    <row r="35339" ht="14.25" customHeight="1"/>
    <row r="35340" ht="14.25" customHeight="1"/>
    <row r="35341" ht="14.25" customHeight="1"/>
    <row r="35342" ht="14.25" customHeight="1"/>
    <row r="35343" ht="14.25" customHeight="1"/>
    <row r="35344" ht="14.25" customHeight="1"/>
    <row r="35345" ht="14.25" customHeight="1"/>
    <row r="35346" ht="14.25" customHeight="1"/>
    <row r="35347" ht="14.25" customHeight="1"/>
    <row r="35348" ht="14.25" customHeight="1"/>
    <row r="35349" ht="14.25" customHeight="1"/>
    <row r="35350" ht="14.25" customHeight="1"/>
    <row r="35351" ht="14.25" customHeight="1"/>
    <row r="35352" ht="14.25" customHeight="1"/>
    <row r="35353" ht="14.25" customHeight="1"/>
    <row r="35354" ht="14.25" customHeight="1"/>
    <row r="35355" ht="14.25" customHeight="1"/>
    <row r="35356" ht="14.25" customHeight="1"/>
    <row r="35357" ht="14.25" customHeight="1"/>
    <row r="35358" ht="14.25" customHeight="1"/>
    <row r="35359" ht="14.25" customHeight="1"/>
    <row r="35360" ht="14.25" customHeight="1"/>
    <row r="35361" ht="14.25" customHeight="1"/>
    <row r="35362" ht="14.25" customHeight="1"/>
    <row r="35363" ht="14.25" customHeight="1"/>
    <row r="35364" ht="14.25" customHeight="1"/>
    <row r="35365" ht="14.25" customHeight="1"/>
    <row r="35366" ht="14.25" customHeight="1"/>
    <row r="35367" ht="14.25" customHeight="1"/>
    <row r="35368" ht="14.25" customHeight="1"/>
    <row r="35369" ht="14.25" customHeight="1"/>
    <row r="35370" ht="14.25" customHeight="1"/>
    <row r="35371" ht="14.25" customHeight="1"/>
    <row r="35372" ht="14.25" customHeight="1"/>
    <row r="35373" ht="14.25" customHeight="1"/>
    <row r="35374" ht="14.25" customHeight="1"/>
    <row r="35375" ht="14.25" customHeight="1"/>
    <row r="35376" ht="14.25" customHeight="1"/>
    <row r="35377" ht="14.25" customHeight="1"/>
    <row r="35378" ht="14.25" customHeight="1"/>
    <row r="35379" ht="14.25" customHeight="1"/>
    <row r="35380" ht="14.25" customHeight="1"/>
    <row r="35381" ht="14.25" customHeight="1"/>
    <row r="35382" ht="14.25" customHeight="1"/>
    <row r="35383" ht="14.25" customHeight="1"/>
    <row r="35384" ht="14.25" customHeight="1"/>
    <row r="35385" ht="14.25" customHeight="1"/>
    <row r="35386" ht="14.25" customHeight="1"/>
    <row r="35387" ht="14.25" customHeight="1"/>
    <row r="35388" ht="14.25" customHeight="1"/>
    <row r="35389" ht="14.25" customHeight="1"/>
    <row r="35390" ht="14.25" customHeight="1"/>
    <row r="35391" ht="14.25" customHeight="1"/>
    <row r="35392" ht="14.25" customHeight="1"/>
    <row r="35393" ht="14.25" customHeight="1"/>
    <row r="35394" ht="14.25" customHeight="1"/>
    <row r="35395" ht="14.25" customHeight="1"/>
    <row r="35396" ht="14.25" customHeight="1"/>
    <row r="35397" ht="14.25" customHeight="1"/>
    <row r="35398" ht="14.25" customHeight="1"/>
    <row r="35399" ht="14.25" customHeight="1"/>
    <row r="35400" ht="14.25" customHeight="1"/>
    <row r="35401" ht="14.25" customHeight="1"/>
    <row r="35402" ht="14.25" customHeight="1"/>
    <row r="35403" ht="14.25" customHeight="1"/>
    <row r="35404" ht="14.25" customHeight="1"/>
    <row r="35405" ht="14.25" customHeight="1"/>
    <row r="35406" ht="14.25" customHeight="1"/>
    <row r="35407" ht="14.25" customHeight="1"/>
    <row r="35408" ht="14.25" customHeight="1"/>
    <row r="35409" ht="14.25" customHeight="1"/>
    <row r="35410" ht="14.25" customHeight="1"/>
    <row r="35411" ht="14.25" customHeight="1"/>
    <row r="35412" ht="14.25" customHeight="1"/>
    <row r="35413" ht="14.25" customHeight="1"/>
    <row r="35414" ht="14.25" customHeight="1"/>
    <row r="35415" ht="14.25" customHeight="1"/>
    <row r="35416" ht="14.25" customHeight="1"/>
    <row r="35417" ht="14.25" customHeight="1"/>
    <row r="35418" ht="14.25" customHeight="1"/>
    <row r="35419" ht="14.25" customHeight="1"/>
    <row r="35420" ht="14.25" customHeight="1"/>
    <row r="35421" ht="14.25" customHeight="1"/>
    <row r="35422" ht="14.25" customHeight="1"/>
    <row r="35423" ht="14.25" customHeight="1"/>
    <row r="35424" ht="14.25" customHeight="1"/>
    <row r="35425" ht="14.25" customHeight="1"/>
    <row r="35426" ht="14.25" customHeight="1"/>
    <row r="35427" ht="14.25" customHeight="1"/>
    <row r="35428" ht="14.25" customHeight="1"/>
    <row r="35429" ht="14.25" customHeight="1"/>
    <row r="35430" ht="14.25" customHeight="1"/>
    <row r="35431" ht="14.25" customHeight="1"/>
    <row r="35432" ht="14.25" customHeight="1"/>
    <row r="35433" ht="14.25" customHeight="1"/>
    <row r="35434" ht="14.25" customHeight="1"/>
    <row r="35435" ht="14.25" customHeight="1"/>
    <row r="35436" ht="14.25" customHeight="1"/>
    <row r="35437" ht="14.25" customHeight="1"/>
    <row r="35438" ht="14.25" customHeight="1"/>
    <row r="35439" ht="14.25" customHeight="1"/>
    <row r="35440" ht="14.25" customHeight="1"/>
    <row r="35441" ht="14.25" customHeight="1"/>
    <row r="35442" ht="14.25" customHeight="1"/>
    <row r="35443" ht="14.25" customHeight="1"/>
    <row r="35444" ht="14.25" customHeight="1"/>
    <row r="35445" ht="14.25" customHeight="1"/>
    <row r="35446" ht="14.25" customHeight="1"/>
    <row r="35447" ht="14.25" customHeight="1"/>
    <row r="35448" ht="14.25" customHeight="1"/>
    <row r="35449" ht="14.25" customHeight="1"/>
    <row r="35450" ht="14.25" customHeight="1"/>
    <row r="35451" ht="14.25" customHeight="1"/>
    <row r="35452" ht="14.25" customHeight="1"/>
    <row r="35453" ht="14.25" customHeight="1"/>
    <row r="35454" ht="14.25" customHeight="1"/>
    <row r="35455" ht="14.25" customHeight="1"/>
    <row r="35456" ht="14.25" customHeight="1"/>
    <row r="35457" ht="14.25" customHeight="1"/>
    <row r="35458" ht="14.25" customHeight="1"/>
    <row r="35459" ht="14.25" customHeight="1"/>
    <row r="35460" ht="14.25" customHeight="1"/>
    <row r="35461" ht="14.25" customHeight="1"/>
    <row r="35462" ht="14.25" customHeight="1"/>
    <row r="35463" ht="14.25" customHeight="1"/>
    <row r="35464" ht="14.25" customHeight="1"/>
    <row r="35465" ht="14.25" customHeight="1"/>
    <row r="35466" ht="14.25" customHeight="1"/>
    <row r="35467" ht="14.25" customHeight="1"/>
    <row r="35468" ht="14.25" customHeight="1"/>
    <row r="35469" ht="14.25" customHeight="1"/>
    <row r="35470" ht="14.25" customHeight="1"/>
    <row r="35471" ht="14.25" customHeight="1"/>
    <row r="35472" ht="14.25" customHeight="1"/>
    <row r="35473" ht="14.25" customHeight="1"/>
    <row r="35474" ht="14.25" customHeight="1"/>
    <row r="35475" ht="14.25" customHeight="1"/>
    <row r="35476" ht="14.25" customHeight="1"/>
    <row r="35477" ht="14.25" customHeight="1"/>
    <row r="35478" ht="14.25" customHeight="1"/>
    <row r="35479" ht="14.25" customHeight="1"/>
    <row r="35480" ht="14.25" customHeight="1"/>
    <row r="35481" ht="14.25" customHeight="1"/>
    <row r="35482" ht="14.25" customHeight="1"/>
    <row r="35483" ht="14.25" customHeight="1"/>
    <row r="35484" ht="14.25" customHeight="1"/>
    <row r="35485" ht="14.25" customHeight="1"/>
    <row r="35486" ht="14.25" customHeight="1"/>
    <row r="35487" ht="14.25" customHeight="1"/>
    <row r="35488" ht="14.25" customHeight="1"/>
    <row r="35489" ht="14.25" customHeight="1"/>
    <row r="35490" ht="14.25" customHeight="1"/>
    <row r="35491" ht="14.25" customHeight="1"/>
    <row r="35492" ht="14.25" customHeight="1"/>
    <row r="35493" ht="14.25" customHeight="1"/>
    <row r="35494" ht="14.25" customHeight="1"/>
    <row r="35495" ht="14.25" customHeight="1"/>
    <row r="35496" ht="14.25" customHeight="1"/>
    <row r="35497" ht="14.25" customHeight="1"/>
    <row r="35498" ht="14.25" customHeight="1"/>
    <row r="35499" ht="14.25" customHeight="1"/>
    <row r="35500" ht="14.25" customHeight="1"/>
    <row r="35501" ht="14.25" customHeight="1"/>
    <row r="35502" ht="14.25" customHeight="1"/>
    <row r="35503" ht="14.25" customHeight="1"/>
    <row r="35504" ht="14.25" customHeight="1"/>
    <row r="35505" ht="14.25" customHeight="1"/>
    <row r="35506" ht="14.25" customHeight="1"/>
    <row r="35507" ht="14.25" customHeight="1"/>
    <row r="35508" ht="14.25" customHeight="1"/>
    <row r="35509" ht="14.25" customHeight="1"/>
    <row r="35510" ht="14.25" customHeight="1"/>
    <row r="35511" ht="14.25" customHeight="1"/>
    <row r="35512" ht="14.25" customHeight="1"/>
    <row r="35513" ht="14.25" customHeight="1"/>
    <row r="35514" ht="14.25" customHeight="1"/>
    <row r="35515" ht="14.25" customHeight="1"/>
    <row r="35516" ht="14.25" customHeight="1"/>
    <row r="35517" ht="14.25" customHeight="1"/>
    <row r="35518" ht="14.25" customHeight="1"/>
    <row r="35519" ht="14.25" customHeight="1"/>
    <row r="35520" ht="14.25" customHeight="1"/>
    <row r="35521" ht="14.25" customHeight="1"/>
    <row r="35522" ht="14.25" customHeight="1"/>
    <row r="35523" ht="14.25" customHeight="1"/>
    <row r="35524" ht="14.25" customHeight="1"/>
    <row r="35525" ht="14.25" customHeight="1"/>
    <row r="35526" ht="14.25" customHeight="1"/>
    <row r="35527" ht="14.25" customHeight="1"/>
    <row r="35528" ht="14.25" customHeight="1"/>
    <row r="35529" ht="14.25" customHeight="1"/>
    <row r="35530" ht="14.25" customHeight="1"/>
    <row r="35531" ht="14.25" customHeight="1"/>
    <row r="35532" ht="14.25" customHeight="1"/>
    <row r="35533" ht="14.25" customHeight="1"/>
    <row r="35534" ht="14.25" customHeight="1"/>
    <row r="35535" ht="14.25" customHeight="1"/>
    <row r="35536" ht="14.25" customHeight="1"/>
    <row r="35537" ht="14.25" customHeight="1"/>
    <row r="35538" ht="14.25" customHeight="1"/>
    <row r="35539" ht="14.25" customHeight="1"/>
    <row r="35540" ht="14.25" customHeight="1"/>
    <row r="35541" ht="14.25" customHeight="1"/>
    <row r="35542" ht="14.25" customHeight="1"/>
    <row r="35543" ht="14.25" customHeight="1"/>
    <row r="35544" ht="14.25" customHeight="1"/>
    <row r="35545" ht="14.25" customHeight="1"/>
    <row r="35546" ht="14.25" customHeight="1"/>
    <row r="35547" ht="14.25" customHeight="1"/>
    <row r="35548" ht="14.25" customHeight="1"/>
    <row r="35549" ht="14.25" customHeight="1"/>
    <row r="35550" ht="14.25" customHeight="1"/>
    <row r="35551" ht="14.25" customHeight="1"/>
    <row r="35552" ht="14.25" customHeight="1"/>
    <row r="35553" ht="14.25" customHeight="1"/>
    <row r="35554" ht="14.25" customHeight="1"/>
    <row r="35555" ht="14.25" customHeight="1"/>
    <row r="35556" ht="14.25" customHeight="1"/>
    <row r="35557" ht="14.25" customHeight="1"/>
    <row r="35558" ht="14.25" customHeight="1"/>
    <row r="35559" ht="14.25" customHeight="1"/>
    <row r="35560" ht="14.25" customHeight="1"/>
    <row r="35561" ht="14.25" customHeight="1"/>
    <row r="35562" ht="14.25" customHeight="1"/>
    <row r="35563" ht="14.25" customHeight="1"/>
    <row r="35564" ht="14.25" customHeight="1"/>
    <row r="35565" ht="14.25" customHeight="1"/>
    <row r="35566" ht="14.25" customHeight="1"/>
    <row r="35567" ht="14.25" customHeight="1"/>
    <row r="35568" ht="14.25" customHeight="1"/>
    <row r="35569" ht="14.25" customHeight="1"/>
    <row r="35570" ht="14.25" customHeight="1"/>
    <row r="35571" ht="14.25" customHeight="1"/>
    <row r="35572" ht="14.25" customHeight="1"/>
    <row r="35573" ht="14.25" customHeight="1"/>
    <row r="35574" ht="14.25" customHeight="1"/>
    <row r="35575" ht="14.25" customHeight="1"/>
    <row r="35576" ht="14.25" customHeight="1"/>
    <row r="35577" ht="14.25" customHeight="1"/>
    <row r="35578" ht="14.25" customHeight="1"/>
    <row r="35579" ht="14.25" customHeight="1"/>
    <row r="35580" ht="14.25" customHeight="1"/>
    <row r="35581" ht="14.25" customHeight="1"/>
    <row r="35582" ht="14.25" customHeight="1"/>
    <row r="35583" ht="14.25" customHeight="1"/>
    <row r="35584" ht="14.25" customHeight="1"/>
    <row r="35585" ht="14.25" customHeight="1"/>
    <row r="35586" ht="14.25" customHeight="1"/>
    <row r="35587" ht="14.25" customHeight="1"/>
    <row r="35588" ht="14.25" customHeight="1"/>
    <row r="35589" ht="14.25" customHeight="1"/>
    <row r="35590" ht="14.25" customHeight="1"/>
    <row r="35591" ht="14.25" customHeight="1"/>
    <row r="35592" ht="14.25" customHeight="1"/>
    <row r="35593" ht="14.25" customHeight="1"/>
    <row r="35594" ht="14.25" customHeight="1"/>
    <row r="35595" ht="14.25" customHeight="1"/>
    <row r="35596" ht="14.25" customHeight="1"/>
    <row r="35597" ht="14.25" customHeight="1"/>
    <row r="35598" ht="14.25" customHeight="1"/>
    <row r="35599" ht="14.25" customHeight="1"/>
    <row r="35600" ht="14.25" customHeight="1"/>
    <row r="35601" ht="14.25" customHeight="1"/>
    <row r="35602" ht="14.25" customHeight="1"/>
    <row r="35603" ht="14.25" customHeight="1"/>
    <row r="35604" ht="14.25" customHeight="1"/>
    <row r="35605" ht="14.25" customHeight="1"/>
    <row r="35606" ht="14.25" customHeight="1"/>
    <row r="35607" ht="14.25" customHeight="1"/>
    <row r="35608" ht="14.25" customHeight="1"/>
    <row r="35609" ht="14.25" customHeight="1"/>
    <row r="35610" ht="14.25" customHeight="1"/>
    <row r="35611" ht="14.25" customHeight="1"/>
    <row r="35612" ht="14.25" customHeight="1"/>
    <row r="35613" ht="14.25" customHeight="1"/>
    <row r="35614" ht="14.25" customHeight="1"/>
    <row r="35615" ht="14.25" customHeight="1"/>
    <row r="35616" ht="14.25" customHeight="1"/>
    <row r="35617" ht="14.25" customHeight="1"/>
    <row r="35618" ht="14.25" customHeight="1"/>
    <row r="35619" ht="14.25" customHeight="1"/>
    <row r="35620" ht="14.25" customHeight="1"/>
    <row r="35621" ht="14.25" customHeight="1"/>
    <row r="35622" ht="14.25" customHeight="1"/>
    <row r="35623" ht="14.25" customHeight="1"/>
    <row r="35624" ht="14.25" customHeight="1"/>
    <row r="35625" ht="14.25" customHeight="1"/>
    <row r="35626" ht="14.25" customHeight="1"/>
    <row r="35627" ht="14.25" customHeight="1"/>
    <row r="35628" ht="14.25" customHeight="1"/>
    <row r="35629" ht="14.25" customHeight="1"/>
    <row r="35630" ht="14.25" customHeight="1"/>
    <row r="35631" ht="14.25" customHeight="1"/>
    <row r="35632" ht="14.25" customHeight="1"/>
    <row r="35633" ht="14.25" customHeight="1"/>
    <row r="35634" ht="14.25" customHeight="1"/>
    <row r="35635" ht="14.25" customHeight="1"/>
    <row r="35636" ht="14.25" customHeight="1"/>
    <row r="35637" ht="14.25" customHeight="1"/>
    <row r="35638" ht="14.25" customHeight="1"/>
    <row r="35639" ht="14.25" customHeight="1"/>
    <row r="35640" ht="14.25" customHeight="1"/>
    <row r="35641" ht="14.25" customHeight="1"/>
    <row r="35642" ht="14.25" customHeight="1"/>
    <row r="35643" ht="14.25" customHeight="1"/>
    <row r="35644" ht="14.25" customHeight="1"/>
    <row r="35645" ht="14.25" customHeight="1"/>
    <row r="35646" ht="14.25" customHeight="1"/>
    <row r="35647" ht="14.25" customHeight="1"/>
    <row r="35648" ht="14.25" customHeight="1"/>
    <row r="35649" ht="14.25" customHeight="1"/>
    <row r="35650" ht="14.25" customHeight="1"/>
    <row r="35651" ht="14.25" customHeight="1"/>
    <row r="35652" ht="14.25" customHeight="1"/>
    <row r="35653" ht="14.25" customHeight="1"/>
    <row r="35654" ht="14.25" customHeight="1"/>
    <row r="35655" ht="14.25" customHeight="1"/>
    <row r="35656" ht="14.25" customHeight="1"/>
    <row r="35657" ht="14.25" customHeight="1"/>
    <row r="35658" ht="14.25" customHeight="1"/>
    <row r="35659" ht="14.25" customHeight="1"/>
    <row r="35660" ht="14.25" customHeight="1"/>
    <row r="35661" ht="14.25" customHeight="1"/>
    <row r="35662" ht="14.25" customHeight="1"/>
    <row r="35663" ht="14.25" customHeight="1"/>
    <row r="35664" ht="14.25" customHeight="1"/>
    <row r="35665" ht="14.25" customHeight="1"/>
    <row r="35666" ht="14.25" customHeight="1"/>
    <row r="35667" ht="14.25" customHeight="1"/>
    <row r="35668" ht="14.25" customHeight="1"/>
    <row r="35669" ht="14.25" customHeight="1"/>
    <row r="35670" ht="14.25" customHeight="1"/>
    <row r="35671" ht="14.25" customHeight="1"/>
    <row r="35672" ht="14.25" customHeight="1"/>
    <row r="35673" ht="14.25" customHeight="1"/>
    <row r="35674" ht="14.25" customHeight="1"/>
    <row r="35675" ht="14.25" customHeight="1"/>
    <row r="35676" ht="14.25" customHeight="1"/>
    <row r="35677" ht="14.25" customHeight="1"/>
    <row r="35678" ht="14.25" customHeight="1"/>
    <row r="35679" ht="14.25" customHeight="1"/>
    <row r="35680" ht="14.25" customHeight="1"/>
    <row r="35681" ht="14.25" customHeight="1"/>
    <row r="35682" ht="14.25" customHeight="1"/>
    <row r="35683" ht="14.25" customHeight="1"/>
    <row r="35684" ht="14.25" customHeight="1"/>
    <row r="35685" ht="14.25" customHeight="1"/>
    <row r="35686" ht="14.25" customHeight="1"/>
    <row r="35687" ht="14.25" customHeight="1"/>
    <row r="35688" ht="14.25" customHeight="1"/>
    <row r="35689" ht="14.25" customHeight="1"/>
    <row r="35690" ht="14.25" customHeight="1"/>
    <row r="35691" ht="14.25" customHeight="1"/>
    <row r="35692" ht="14.25" customHeight="1"/>
    <row r="35693" ht="14.25" customHeight="1"/>
    <row r="35694" ht="14.25" customHeight="1"/>
    <row r="35695" ht="14.25" customHeight="1"/>
    <row r="35696" ht="14.25" customHeight="1"/>
    <row r="35697" ht="14.25" customHeight="1"/>
    <row r="35698" ht="14.25" customHeight="1"/>
    <row r="35699" ht="14.25" customHeight="1"/>
    <row r="35700" ht="14.25" customHeight="1"/>
    <row r="35701" ht="14.25" customHeight="1"/>
    <row r="35702" ht="14.25" customHeight="1"/>
    <row r="35703" ht="14.25" customHeight="1"/>
    <row r="35704" ht="14.25" customHeight="1"/>
    <row r="35705" ht="14.25" customHeight="1"/>
    <row r="35706" ht="14.25" customHeight="1"/>
    <row r="35707" ht="14.25" customHeight="1"/>
    <row r="35708" ht="14.25" customHeight="1"/>
    <row r="35709" ht="14.25" customHeight="1"/>
    <row r="35710" ht="14.25" customHeight="1"/>
    <row r="35711" ht="14.25" customHeight="1"/>
    <row r="35712" ht="14.25" customHeight="1"/>
    <row r="35713" ht="14.25" customHeight="1"/>
    <row r="35714" ht="14.25" customHeight="1"/>
    <row r="35715" ht="14.25" customHeight="1"/>
    <row r="35716" ht="14.25" customHeight="1"/>
    <row r="35717" ht="14.25" customHeight="1"/>
    <row r="35718" ht="14.25" customHeight="1"/>
    <row r="35719" ht="14.25" customHeight="1"/>
    <row r="35720" ht="14.25" customHeight="1"/>
    <row r="35721" ht="14.25" customHeight="1"/>
    <row r="35722" ht="14.25" customHeight="1"/>
    <row r="35723" ht="14.25" customHeight="1"/>
    <row r="35724" ht="14.25" customHeight="1"/>
    <row r="35725" ht="14.25" customHeight="1"/>
    <row r="35726" ht="14.25" customHeight="1"/>
    <row r="35727" ht="14.25" customHeight="1"/>
    <row r="35728" ht="14.25" customHeight="1"/>
    <row r="35729" ht="14.25" customHeight="1"/>
    <row r="35730" ht="14.25" customHeight="1"/>
    <row r="35731" ht="14.25" customHeight="1"/>
    <row r="35732" ht="14.25" customHeight="1"/>
    <row r="35733" ht="14.25" customHeight="1"/>
    <row r="35734" ht="14.25" customHeight="1"/>
    <row r="35735" ht="14.25" customHeight="1"/>
    <row r="35736" ht="14.25" customHeight="1"/>
    <row r="35737" ht="14.25" customHeight="1"/>
    <row r="35738" ht="14.25" customHeight="1"/>
    <row r="35739" ht="14.25" customHeight="1"/>
    <row r="35740" ht="14.25" customHeight="1"/>
    <row r="35741" ht="14.25" customHeight="1"/>
    <row r="35742" ht="14.25" customHeight="1"/>
    <row r="35743" ht="14.25" customHeight="1"/>
    <row r="35744" ht="14.25" customHeight="1"/>
    <row r="35745" ht="14.25" customHeight="1"/>
    <row r="35746" ht="14.25" customHeight="1"/>
    <row r="35747" ht="14.25" customHeight="1"/>
    <row r="35748" ht="14.25" customHeight="1"/>
    <row r="35749" ht="14.25" customHeight="1"/>
    <row r="35750" ht="14.25" customHeight="1"/>
    <row r="35751" ht="14.25" customHeight="1"/>
    <row r="35752" ht="14.25" customHeight="1"/>
    <row r="35753" ht="14.25" customHeight="1"/>
    <row r="35754" ht="14.25" customHeight="1"/>
    <row r="35755" ht="14.25" customHeight="1"/>
    <row r="35756" ht="14.25" customHeight="1"/>
    <row r="35757" ht="14.25" customHeight="1"/>
    <row r="35758" ht="14.25" customHeight="1"/>
    <row r="35759" ht="14.25" customHeight="1"/>
    <row r="35760" ht="14.25" customHeight="1"/>
    <row r="35761" ht="14.25" customHeight="1"/>
    <row r="35762" ht="14.25" customHeight="1"/>
    <row r="35763" ht="14.25" customHeight="1"/>
    <row r="35764" ht="14.25" customHeight="1"/>
    <row r="35765" ht="14.25" customHeight="1"/>
    <row r="35766" ht="14.25" customHeight="1"/>
    <row r="35767" ht="14.25" customHeight="1"/>
    <row r="35768" ht="14.25" customHeight="1"/>
    <row r="35769" ht="14.25" customHeight="1"/>
    <row r="35770" ht="14.25" customHeight="1"/>
    <row r="35771" ht="14.25" customHeight="1"/>
    <row r="35772" ht="14.25" customHeight="1"/>
    <row r="35773" ht="14.25" customHeight="1"/>
    <row r="35774" ht="14.25" customHeight="1"/>
    <row r="35775" ht="14.25" customHeight="1"/>
    <row r="35776" ht="14.25" customHeight="1"/>
    <row r="35777" ht="14.25" customHeight="1"/>
    <row r="35778" ht="14.25" customHeight="1"/>
    <row r="35779" ht="14.25" customHeight="1"/>
    <row r="35780" ht="14.25" customHeight="1"/>
    <row r="35781" ht="14.25" customHeight="1"/>
    <row r="35782" ht="14.25" customHeight="1"/>
    <row r="35783" ht="14.25" customHeight="1"/>
    <row r="35784" ht="14.25" customHeight="1"/>
    <row r="35785" ht="14.25" customHeight="1"/>
    <row r="35786" ht="14.25" customHeight="1"/>
    <row r="35787" ht="14.25" customHeight="1"/>
    <row r="35788" ht="14.25" customHeight="1"/>
    <row r="35789" ht="14.25" customHeight="1"/>
    <row r="35790" ht="14.25" customHeight="1"/>
    <row r="35791" ht="14.25" customHeight="1"/>
    <row r="35792" ht="14.25" customHeight="1"/>
    <row r="35793" ht="14.25" customHeight="1"/>
    <row r="35794" ht="14.25" customHeight="1"/>
    <row r="35795" ht="14.25" customHeight="1"/>
    <row r="35796" ht="14.25" customHeight="1"/>
    <row r="35797" ht="14.25" customHeight="1"/>
    <row r="35798" ht="14.25" customHeight="1"/>
    <row r="35799" ht="14.25" customHeight="1"/>
    <row r="35800" ht="14.25" customHeight="1"/>
    <row r="35801" ht="14.25" customHeight="1"/>
    <row r="35802" ht="14.25" customHeight="1"/>
    <row r="35803" ht="14.25" customHeight="1"/>
    <row r="35804" ht="14.25" customHeight="1"/>
    <row r="35805" ht="14.25" customHeight="1"/>
    <row r="35806" ht="14.25" customHeight="1"/>
    <row r="35807" ht="14.25" customHeight="1"/>
    <row r="35808" ht="14.25" customHeight="1"/>
    <row r="35809" ht="14.25" customHeight="1"/>
    <row r="35810" ht="14.25" customHeight="1"/>
    <row r="35811" ht="14.25" customHeight="1"/>
    <row r="35812" ht="14.25" customHeight="1"/>
    <row r="35813" ht="14.25" customHeight="1"/>
    <row r="35814" ht="14.25" customHeight="1"/>
    <row r="35815" ht="14.25" customHeight="1"/>
    <row r="35816" ht="14.25" customHeight="1"/>
    <row r="35817" ht="14.25" customHeight="1"/>
    <row r="35818" ht="14.25" customHeight="1"/>
    <row r="35819" ht="14.25" customHeight="1"/>
    <row r="35820" ht="14.25" customHeight="1"/>
    <row r="35821" ht="14.25" customHeight="1"/>
    <row r="35822" ht="14.25" customHeight="1"/>
    <row r="35823" ht="14.25" customHeight="1"/>
    <row r="35824" ht="14.25" customHeight="1"/>
    <row r="35825" ht="14.25" customHeight="1"/>
    <row r="35826" ht="14.25" customHeight="1"/>
    <row r="35827" ht="14.25" customHeight="1"/>
    <row r="35828" ht="14.25" customHeight="1"/>
    <row r="35829" ht="14.25" customHeight="1"/>
    <row r="35830" ht="14.25" customHeight="1"/>
    <row r="35831" ht="14.25" customHeight="1"/>
    <row r="35832" ht="14.25" customHeight="1"/>
    <row r="35833" ht="14.25" customHeight="1"/>
    <row r="35834" ht="14.25" customHeight="1"/>
    <row r="35835" ht="14.25" customHeight="1"/>
    <row r="35836" ht="14.25" customHeight="1"/>
    <row r="35837" ht="14.25" customHeight="1"/>
    <row r="35838" ht="14.25" customHeight="1"/>
    <row r="35839" ht="14.25" customHeight="1"/>
    <row r="35840" ht="14.25" customHeight="1"/>
    <row r="35841" ht="14.25" customHeight="1"/>
    <row r="35842" ht="14.25" customHeight="1"/>
    <row r="35843" ht="14.25" customHeight="1"/>
    <row r="35844" ht="14.25" customHeight="1"/>
    <row r="35845" ht="14.25" customHeight="1"/>
    <row r="35846" ht="14.25" customHeight="1"/>
    <row r="35847" ht="14.25" customHeight="1"/>
    <row r="35848" ht="14.25" customHeight="1"/>
    <row r="35849" ht="14.25" customHeight="1"/>
    <row r="35850" ht="14.25" customHeight="1"/>
    <row r="35851" ht="14.25" customHeight="1"/>
    <row r="35852" ht="14.25" customHeight="1"/>
    <row r="35853" ht="14.25" customHeight="1"/>
    <row r="35854" ht="14.25" customHeight="1"/>
    <row r="35855" ht="14.25" customHeight="1"/>
    <row r="35856" ht="14.25" customHeight="1"/>
    <row r="35857" ht="14.25" customHeight="1"/>
    <row r="35858" ht="14.25" customHeight="1"/>
    <row r="35859" ht="14.25" customHeight="1"/>
    <row r="35860" ht="14.25" customHeight="1"/>
    <row r="35861" ht="14.25" customHeight="1"/>
    <row r="35862" ht="14.25" customHeight="1"/>
    <row r="35863" ht="14.25" customHeight="1"/>
    <row r="35864" ht="14.25" customHeight="1"/>
    <row r="35865" ht="14.25" customHeight="1"/>
    <row r="35866" ht="14.25" customHeight="1"/>
    <row r="35867" ht="14.25" customHeight="1"/>
    <row r="35868" ht="14.25" customHeight="1"/>
    <row r="35869" ht="14.25" customHeight="1"/>
    <row r="35870" ht="14.25" customHeight="1"/>
    <row r="35871" ht="14.25" customHeight="1"/>
    <row r="35872" ht="14.25" customHeight="1"/>
    <row r="35873" ht="14.25" customHeight="1"/>
    <row r="35874" ht="14.25" customHeight="1"/>
    <row r="35875" ht="14.25" customHeight="1"/>
    <row r="35876" ht="14.25" customHeight="1"/>
    <row r="35877" ht="14.25" customHeight="1"/>
    <row r="35878" ht="14.25" customHeight="1"/>
    <row r="35879" ht="14.25" customHeight="1"/>
    <row r="35880" ht="14.25" customHeight="1"/>
    <row r="35881" ht="14.25" customHeight="1"/>
    <row r="35882" ht="14.25" customHeight="1"/>
    <row r="35883" ht="14.25" customHeight="1"/>
    <row r="35884" ht="14.25" customHeight="1"/>
    <row r="35885" ht="14.25" customHeight="1"/>
    <row r="35886" ht="14.25" customHeight="1"/>
    <row r="35887" ht="14.25" customHeight="1"/>
    <row r="35888" ht="14.25" customHeight="1"/>
    <row r="35889" ht="14.25" customHeight="1"/>
    <row r="35890" ht="14.25" customHeight="1"/>
    <row r="35891" ht="14.25" customHeight="1"/>
    <row r="35892" ht="14.25" customHeight="1"/>
    <row r="35893" ht="14.25" customHeight="1"/>
    <row r="35894" ht="14.25" customHeight="1"/>
    <row r="35895" ht="14.25" customHeight="1"/>
    <row r="35896" ht="14.25" customHeight="1"/>
    <row r="35897" ht="14.25" customHeight="1"/>
    <row r="35898" ht="14.25" customHeight="1"/>
    <row r="35899" ht="14.25" customHeight="1"/>
    <row r="35900" ht="14.25" customHeight="1"/>
    <row r="35901" ht="14.25" customHeight="1"/>
    <row r="35902" ht="14.25" customHeight="1"/>
    <row r="35903" ht="14.25" customHeight="1"/>
    <row r="35904" ht="14.25" customHeight="1"/>
    <row r="35905" ht="14.25" customHeight="1"/>
    <row r="35906" ht="14.25" customHeight="1"/>
    <row r="35907" ht="14.25" customHeight="1"/>
    <row r="35908" ht="14.25" customHeight="1"/>
    <row r="35909" ht="14.25" customHeight="1"/>
    <row r="35910" ht="14.25" customHeight="1"/>
    <row r="35911" ht="14.25" customHeight="1"/>
    <row r="35912" ht="14.25" customHeight="1"/>
    <row r="35913" ht="14.25" customHeight="1"/>
    <row r="35914" ht="14.25" customHeight="1"/>
    <row r="35915" ht="14.25" customHeight="1"/>
    <row r="35916" ht="14.25" customHeight="1"/>
    <row r="35917" ht="14.25" customHeight="1"/>
    <row r="35918" ht="14.25" customHeight="1"/>
    <row r="35919" ht="14.25" customHeight="1"/>
    <row r="35920" ht="14.25" customHeight="1"/>
    <row r="35921" ht="14.25" customHeight="1"/>
    <row r="35922" ht="14.25" customHeight="1"/>
    <row r="35923" ht="14.25" customHeight="1"/>
    <row r="35924" ht="14.25" customHeight="1"/>
    <row r="35925" ht="14.25" customHeight="1"/>
    <row r="35926" ht="14.25" customHeight="1"/>
    <row r="35927" ht="14.25" customHeight="1"/>
    <row r="35928" ht="14.25" customHeight="1"/>
    <row r="35929" ht="14.25" customHeight="1"/>
    <row r="35930" ht="14.25" customHeight="1"/>
    <row r="35931" ht="14.25" customHeight="1"/>
    <row r="35932" ht="14.25" customHeight="1"/>
    <row r="35933" ht="14.25" customHeight="1"/>
    <row r="35934" ht="14.25" customHeight="1"/>
    <row r="35935" ht="14.25" customHeight="1"/>
    <row r="35936" ht="14.25" customHeight="1"/>
    <row r="35937" ht="14.25" customHeight="1"/>
    <row r="35938" ht="14.25" customHeight="1"/>
    <row r="35939" ht="14.25" customHeight="1"/>
    <row r="35940" ht="14.25" customHeight="1"/>
    <row r="35941" ht="14.25" customHeight="1"/>
    <row r="35942" ht="14.25" customHeight="1"/>
    <row r="35943" ht="14.25" customHeight="1"/>
    <row r="35944" ht="14.25" customHeight="1"/>
    <row r="35945" ht="14.25" customHeight="1"/>
    <row r="35946" ht="14.25" customHeight="1"/>
    <row r="35947" ht="14.25" customHeight="1"/>
    <row r="35948" ht="14.25" customHeight="1"/>
    <row r="35949" ht="14.25" customHeight="1"/>
    <row r="35950" ht="14.25" customHeight="1"/>
    <row r="35951" ht="14.25" customHeight="1"/>
    <row r="35952" ht="14.25" customHeight="1"/>
    <row r="35953" ht="14.25" customHeight="1"/>
    <row r="35954" ht="14.25" customHeight="1"/>
    <row r="35955" ht="14.25" customHeight="1"/>
    <row r="35956" ht="14.25" customHeight="1"/>
    <row r="35957" ht="14.25" customHeight="1"/>
    <row r="35958" ht="14.25" customHeight="1"/>
    <row r="35959" ht="14.25" customHeight="1"/>
    <row r="35960" ht="14.25" customHeight="1"/>
    <row r="35961" ht="14.25" customHeight="1"/>
    <row r="35962" ht="14.25" customHeight="1"/>
    <row r="35963" ht="14.25" customHeight="1"/>
    <row r="35964" ht="14.25" customHeight="1"/>
    <row r="35965" ht="14.25" customHeight="1"/>
    <row r="35966" ht="14.25" customHeight="1"/>
    <row r="35967" ht="14.25" customHeight="1"/>
    <row r="35968" ht="14.25" customHeight="1"/>
    <row r="35969" ht="14.25" customHeight="1"/>
    <row r="35970" ht="14.25" customHeight="1"/>
    <row r="35971" ht="14.25" customHeight="1"/>
    <row r="35972" ht="14.25" customHeight="1"/>
    <row r="35973" ht="14.25" customHeight="1"/>
    <row r="35974" ht="14.25" customHeight="1"/>
    <row r="35975" ht="14.25" customHeight="1"/>
    <row r="35976" ht="14.25" customHeight="1"/>
    <row r="35977" ht="14.25" customHeight="1"/>
    <row r="35978" ht="14.25" customHeight="1"/>
    <row r="35979" ht="14.25" customHeight="1"/>
    <row r="35980" ht="14.25" customHeight="1"/>
    <row r="35981" ht="14.25" customHeight="1"/>
    <row r="35982" ht="14.25" customHeight="1"/>
    <row r="35983" ht="14.25" customHeight="1"/>
    <row r="35984" ht="14.25" customHeight="1"/>
    <row r="35985" ht="14.25" customHeight="1"/>
    <row r="35986" ht="14.25" customHeight="1"/>
    <row r="35987" ht="14.25" customHeight="1"/>
    <row r="35988" ht="14.25" customHeight="1"/>
    <row r="35989" ht="14.25" customHeight="1"/>
    <row r="35990" ht="14.25" customHeight="1"/>
    <row r="35991" ht="14.25" customHeight="1"/>
    <row r="35992" ht="14.25" customHeight="1"/>
    <row r="35993" ht="14.25" customHeight="1"/>
    <row r="35994" ht="14.25" customHeight="1"/>
    <row r="35995" ht="14.25" customHeight="1"/>
    <row r="35996" ht="14.25" customHeight="1"/>
    <row r="35997" ht="14.25" customHeight="1"/>
    <row r="35998" ht="14.25" customHeight="1"/>
    <row r="35999" ht="14.25" customHeight="1"/>
    <row r="36000" ht="14.25" customHeight="1"/>
    <row r="36001" ht="14.25" customHeight="1"/>
    <row r="36002" ht="14.25" customHeight="1"/>
    <row r="36003" ht="14.25" customHeight="1"/>
    <row r="36004" ht="14.25" customHeight="1"/>
    <row r="36005" ht="14.25" customHeight="1"/>
    <row r="36006" ht="14.25" customHeight="1"/>
    <row r="36007" ht="14.25" customHeight="1"/>
    <row r="36008" ht="14.25" customHeight="1"/>
    <row r="36009" ht="14.25" customHeight="1"/>
    <row r="36010" ht="14.25" customHeight="1"/>
    <row r="36011" ht="14.25" customHeight="1"/>
    <row r="36012" ht="14.25" customHeight="1"/>
    <row r="36013" ht="14.25" customHeight="1"/>
    <row r="36014" ht="14.25" customHeight="1"/>
    <row r="36015" ht="14.25" customHeight="1"/>
    <row r="36016" ht="14.25" customHeight="1"/>
    <row r="36017" ht="14.25" customHeight="1"/>
    <row r="36018" ht="14.25" customHeight="1"/>
    <row r="36019" ht="14.25" customHeight="1"/>
    <row r="36020" ht="14.25" customHeight="1"/>
    <row r="36021" ht="14.25" customHeight="1"/>
    <row r="36022" ht="14.25" customHeight="1"/>
    <row r="36023" ht="14.25" customHeight="1"/>
    <row r="36024" ht="14.25" customHeight="1"/>
    <row r="36025" ht="14.25" customHeight="1"/>
    <row r="36026" ht="14.25" customHeight="1"/>
    <row r="36027" ht="14.25" customHeight="1"/>
    <row r="36028" ht="14.25" customHeight="1"/>
    <row r="36029" ht="14.25" customHeight="1"/>
    <row r="36030" ht="14.25" customHeight="1"/>
    <row r="36031" ht="14.25" customHeight="1"/>
    <row r="36032" ht="14.25" customHeight="1"/>
    <row r="36033" ht="14.25" customHeight="1"/>
    <row r="36034" ht="14.25" customHeight="1"/>
    <row r="36035" ht="14.25" customHeight="1"/>
    <row r="36036" ht="14.25" customHeight="1"/>
    <row r="36037" ht="14.25" customHeight="1"/>
    <row r="36038" ht="14.25" customHeight="1"/>
    <row r="36039" ht="14.25" customHeight="1"/>
    <row r="36040" ht="14.25" customHeight="1"/>
    <row r="36041" ht="14.25" customHeight="1"/>
    <row r="36042" ht="14.25" customHeight="1"/>
    <row r="36043" ht="14.25" customHeight="1"/>
    <row r="36044" ht="14.25" customHeight="1"/>
    <row r="36045" ht="14.25" customHeight="1"/>
    <row r="36046" ht="14.25" customHeight="1"/>
    <row r="36047" ht="14.25" customHeight="1"/>
    <row r="36048" ht="14.25" customHeight="1"/>
    <row r="36049" ht="14.25" customHeight="1"/>
    <row r="36050" ht="14.25" customHeight="1"/>
    <row r="36051" ht="14.25" customHeight="1"/>
    <row r="36052" ht="14.25" customHeight="1"/>
    <row r="36053" ht="14.25" customHeight="1"/>
    <row r="36054" ht="14.25" customHeight="1"/>
    <row r="36055" ht="14.25" customHeight="1"/>
    <row r="36056" ht="14.25" customHeight="1"/>
    <row r="36057" ht="14.25" customHeight="1"/>
    <row r="36058" ht="14.25" customHeight="1"/>
    <row r="36059" ht="14.25" customHeight="1"/>
    <row r="36060" ht="14.25" customHeight="1"/>
    <row r="36061" ht="14.25" customHeight="1"/>
    <row r="36062" ht="14.25" customHeight="1"/>
    <row r="36063" ht="14.25" customHeight="1"/>
    <row r="36064" ht="14.25" customHeight="1"/>
    <row r="36065" ht="14.25" customHeight="1"/>
    <row r="36066" ht="14.25" customHeight="1"/>
    <row r="36067" ht="14.25" customHeight="1"/>
    <row r="36068" ht="14.25" customHeight="1"/>
    <row r="36069" ht="14.25" customHeight="1"/>
    <row r="36070" ht="14.25" customHeight="1"/>
    <row r="36071" ht="14.25" customHeight="1"/>
    <row r="36072" ht="14.25" customHeight="1"/>
    <row r="36073" ht="14.25" customHeight="1"/>
    <row r="36074" ht="14.25" customHeight="1"/>
    <row r="36075" ht="14.25" customHeight="1"/>
    <row r="36076" ht="14.25" customHeight="1"/>
    <row r="36077" ht="14.25" customHeight="1"/>
    <row r="36078" ht="14.25" customHeight="1"/>
    <row r="36079" ht="14.25" customHeight="1"/>
    <row r="36080" ht="14.25" customHeight="1"/>
    <row r="36081" ht="14.25" customHeight="1"/>
    <row r="36082" ht="14.25" customHeight="1"/>
    <row r="36083" ht="14.25" customHeight="1"/>
    <row r="36084" ht="14.25" customHeight="1"/>
    <row r="36085" ht="14.25" customHeight="1"/>
    <row r="36086" ht="14.25" customHeight="1"/>
    <row r="36087" ht="14.25" customHeight="1"/>
    <row r="36088" ht="14.25" customHeight="1"/>
    <row r="36089" ht="14.25" customHeight="1"/>
    <row r="36090" ht="14.25" customHeight="1"/>
    <row r="36091" ht="14.25" customHeight="1"/>
    <row r="36092" ht="14.25" customHeight="1"/>
    <row r="36093" ht="14.25" customHeight="1"/>
    <row r="36094" ht="14.25" customHeight="1"/>
    <row r="36095" ht="14.25" customHeight="1"/>
    <row r="36096" ht="14.25" customHeight="1"/>
    <row r="36097" ht="14.25" customHeight="1"/>
    <row r="36098" ht="14.25" customHeight="1"/>
    <row r="36099" ht="14.25" customHeight="1"/>
    <row r="36100" ht="14.25" customHeight="1"/>
    <row r="36101" ht="14.25" customHeight="1"/>
    <row r="36102" ht="14.25" customHeight="1"/>
    <row r="36103" ht="14.25" customHeight="1"/>
    <row r="36104" ht="14.25" customHeight="1"/>
    <row r="36105" ht="14.25" customHeight="1"/>
    <row r="36106" ht="14.25" customHeight="1"/>
    <row r="36107" ht="14.25" customHeight="1"/>
    <row r="36108" ht="14.25" customHeight="1"/>
    <row r="36109" ht="14.25" customHeight="1"/>
    <row r="36110" ht="14.25" customHeight="1"/>
    <row r="36111" ht="14.25" customHeight="1"/>
    <row r="36112" ht="14.25" customHeight="1"/>
    <row r="36113" ht="14.25" customHeight="1"/>
    <row r="36114" ht="14.25" customHeight="1"/>
    <row r="36115" ht="14.25" customHeight="1"/>
    <row r="36116" ht="14.25" customHeight="1"/>
    <row r="36117" ht="14.25" customHeight="1"/>
    <row r="36118" ht="14.25" customHeight="1"/>
    <row r="36119" ht="14.25" customHeight="1"/>
    <row r="36120" ht="14.25" customHeight="1"/>
    <row r="36121" ht="14.25" customHeight="1"/>
    <row r="36122" ht="14.25" customHeight="1"/>
    <row r="36123" ht="14.25" customHeight="1"/>
    <row r="36124" ht="14.25" customHeight="1"/>
    <row r="36125" ht="14.25" customHeight="1"/>
    <row r="36126" ht="14.25" customHeight="1"/>
    <row r="36127" ht="14.25" customHeight="1"/>
    <row r="36128" ht="14.25" customHeight="1"/>
    <row r="36129" ht="14.25" customHeight="1"/>
    <row r="36130" ht="14.25" customHeight="1"/>
    <row r="36131" ht="14.25" customHeight="1"/>
    <row r="36132" ht="14.25" customHeight="1"/>
    <row r="36133" ht="14.25" customHeight="1"/>
    <row r="36134" ht="14.25" customHeight="1"/>
    <row r="36135" ht="14.25" customHeight="1"/>
    <row r="36136" ht="14.25" customHeight="1"/>
    <row r="36137" ht="14.25" customHeight="1"/>
    <row r="36138" ht="14.25" customHeight="1"/>
    <row r="36139" ht="14.25" customHeight="1"/>
    <row r="36140" ht="14.25" customHeight="1"/>
    <row r="36141" ht="14.25" customHeight="1"/>
    <row r="36142" ht="14.25" customHeight="1"/>
    <row r="36143" ht="14.25" customHeight="1"/>
    <row r="36144" ht="14.25" customHeight="1"/>
    <row r="36145" ht="14.25" customHeight="1"/>
    <row r="36146" ht="14.25" customHeight="1"/>
    <row r="36147" ht="14.25" customHeight="1"/>
    <row r="36148" ht="14.25" customHeight="1"/>
    <row r="36149" ht="14.25" customHeight="1"/>
    <row r="36150" ht="14.25" customHeight="1"/>
    <row r="36151" ht="14.25" customHeight="1"/>
    <row r="36152" ht="14.25" customHeight="1"/>
    <row r="36153" ht="14.25" customHeight="1"/>
    <row r="36154" ht="14.25" customHeight="1"/>
    <row r="36155" ht="14.25" customHeight="1"/>
    <row r="36156" ht="14.25" customHeight="1"/>
    <row r="36157" ht="14.25" customHeight="1"/>
    <row r="36158" ht="14.25" customHeight="1"/>
    <row r="36159" ht="14.25" customHeight="1"/>
    <row r="36160" ht="14.25" customHeight="1"/>
    <row r="36161" ht="14.25" customHeight="1"/>
    <row r="36162" ht="14.25" customHeight="1"/>
    <row r="36163" ht="14.25" customHeight="1"/>
    <row r="36164" ht="14.25" customHeight="1"/>
    <row r="36165" ht="14.25" customHeight="1"/>
    <row r="36166" ht="14.25" customHeight="1"/>
    <row r="36167" ht="14.25" customHeight="1"/>
    <row r="36168" ht="14.25" customHeight="1"/>
    <row r="36169" ht="14.25" customHeight="1"/>
    <row r="36170" ht="14.25" customHeight="1"/>
    <row r="36171" ht="14.25" customHeight="1"/>
    <row r="36172" ht="14.25" customHeight="1"/>
    <row r="36173" ht="14.25" customHeight="1"/>
    <row r="36174" ht="14.25" customHeight="1"/>
    <row r="36175" ht="14.25" customHeight="1"/>
    <row r="36176" ht="14.25" customHeight="1"/>
    <row r="36177" ht="14.25" customHeight="1"/>
    <row r="36178" ht="14.25" customHeight="1"/>
    <row r="36179" ht="14.25" customHeight="1"/>
    <row r="36180" ht="14.25" customHeight="1"/>
    <row r="36181" ht="14.25" customHeight="1"/>
    <row r="36182" ht="14.25" customHeight="1"/>
    <row r="36183" ht="14.25" customHeight="1"/>
    <row r="36184" ht="14.25" customHeight="1"/>
    <row r="36185" ht="14.25" customHeight="1"/>
    <row r="36186" ht="14.25" customHeight="1"/>
    <row r="36187" ht="14.25" customHeight="1"/>
    <row r="36188" ht="14.25" customHeight="1"/>
    <row r="36189" ht="14.25" customHeight="1"/>
    <row r="36190" ht="14.25" customHeight="1"/>
    <row r="36191" ht="14.25" customHeight="1"/>
    <row r="36192" ht="14.25" customHeight="1"/>
    <row r="36193" ht="14.25" customHeight="1"/>
    <row r="36194" ht="14.25" customHeight="1"/>
    <row r="36195" ht="14.25" customHeight="1"/>
    <row r="36196" ht="14.25" customHeight="1"/>
    <row r="36197" ht="14.25" customHeight="1"/>
    <row r="36198" ht="14.25" customHeight="1"/>
    <row r="36199" ht="14.25" customHeight="1"/>
    <row r="36200" ht="14.25" customHeight="1"/>
    <row r="36201" ht="14.25" customHeight="1"/>
    <row r="36202" ht="14.25" customHeight="1"/>
    <row r="36203" ht="14.25" customHeight="1"/>
    <row r="36204" ht="14.25" customHeight="1"/>
    <row r="36205" ht="14.25" customHeight="1"/>
    <row r="36206" ht="14.25" customHeight="1"/>
    <row r="36207" ht="14.25" customHeight="1"/>
    <row r="36208" ht="14.25" customHeight="1"/>
    <row r="36209" ht="14.25" customHeight="1"/>
    <row r="36210" ht="14.25" customHeight="1"/>
    <row r="36211" ht="14.25" customHeight="1"/>
    <row r="36212" ht="14.25" customHeight="1"/>
    <row r="36213" ht="14.25" customHeight="1"/>
    <row r="36214" ht="14.25" customHeight="1"/>
    <row r="36215" ht="14.25" customHeight="1"/>
    <row r="36216" ht="14.25" customHeight="1"/>
    <row r="36217" ht="14.25" customHeight="1"/>
    <row r="36218" ht="14.25" customHeight="1"/>
    <row r="36219" ht="14.25" customHeight="1"/>
    <row r="36220" ht="14.25" customHeight="1"/>
    <row r="36221" ht="14.25" customHeight="1"/>
    <row r="36222" ht="14.25" customHeight="1"/>
    <row r="36223" ht="14.25" customHeight="1"/>
    <row r="36224" ht="14.25" customHeight="1"/>
    <row r="36225" ht="14.25" customHeight="1"/>
    <row r="36226" ht="14.25" customHeight="1"/>
    <row r="36227" ht="14.25" customHeight="1"/>
    <row r="36228" ht="14.25" customHeight="1"/>
    <row r="36229" ht="14.25" customHeight="1"/>
    <row r="36230" ht="14.25" customHeight="1"/>
    <row r="36231" ht="14.25" customHeight="1"/>
    <row r="36232" ht="14.25" customHeight="1"/>
    <row r="36233" ht="14.25" customHeight="1"/>
    <row r="36234" ht="14.25" customHeight="1"/>
    <row r="36235" ht="14.25" customHeight="1"/>
    <row r="36236" ht="14.25" customHeight="1"/>
    <row r="36237" ht="14.25" customHeight="1"/>
    <row r="36238" ht="14.25" customHeight="1"/>
    <row r="36239" ht="14.25" customHeight="1"/>
    <row r="36240" ht="14.25" customHeight="1"/>
    <row r="36241" ht="14.25" customHeight="1"/>
    <row r="36242" ht="14.25" customHeight="1"/>
    <row r="36243" ht="14.25" customHeight="1"/>
    <row r="36244" ht="14.25" customHeight="1"/>
    <row r="36245" ht="14.25" customHeight="1"/>
    <row r="36246" ht="14.25" customHeight="1"/>
    <row r="36247" ht="14.25" customHeight="1"/>
    <row r="36248" ht="14.25" customHeight="1"/>
    <row r="36249" ht="14.25" customHeight="1"/>
    <row r="36250" ht="14.25" customHeight="1"/>
    <row r="36251" ht="14.25" customHeight="1"/>
    <row r="36252" ht="14.25" customHeight="1"/>
    <row r="36253" ht="14.25" customHeight="1"/>
    <row r="36254" ht="14.25" customHeight="1"/>
    <row r="36255" ht="14.25" customHeight="1"/>
    <row r="36256" ht="14.25" customHeight="1"/>
    <row r="36257" ht="14.25" customHeight="1"/>
    <row r="36258" ht="14.25" customHeight="1"/>
    <row r="36259" ht="14.25" customHeight="1"/>
    <row r="36260" ht="14.25" customHeight="1"/>
    <row r="36261" ht="14.25" customHeight="1"/>
    <row r="36262" ht="14.25" customHeight="1"/>
    <row r="36263" ht="14.25" customHeight="1"/>
    <row r="36264" ht="14.25" customHeight="1"/>
    <row r="36265" ht="14.25" customHeight="1"/>
    <row r="36266" ht="14.25" customHeight="1"/>
    <row r="36267" ht="14.25" customHeight="1"/>
    <row r="36268" ht="14.25" customHeight="1"/>
    <row r="36269" ht="14.25" customHeight="1"/>
    <row r="36270" ht="14.25" customHeight="1"/>
    <row r="36271" ht="14.25" customHeight="1"/>
    <row r="36272" ht="14.25" customHeight="1"/>
    <row r="36273" ht="14.25" customHeight="1"/>
    <row r="36274" ht="14.25" customHeight="1"/>
    <row r="36275" ht="14.25" customHeight="1"/>
    <row r="36276" ht="14.25" customHeight="1"/>
    <row r="36277" ht="14.25" customHeight="1"/>
    <row r="36278" ht="14.25" customHeight="1"/>
    <row r="36279" ht="14.25" customHeight="1"/>
    <row r="36280" ht="14.25" customHeight="1"/>
    <row r="36281" ht="14.25" customHeight="1"/>
    <row r="36282" ht="14.25" customHeight="1"/>
    <row r="36283" ht="14.25" customHeight="1"/>
    <row r="36284" ht="14.25" customHeight="1"/>
    <row r="36285" ht="14.25" customHeight="1"/>
    <row r="36286" ht="14.25" customHeight="1"/>
    <row r="36287" ht="14.25" customHeight="1"/>
    <row r="36288" ht="14.25" customHeight="1"/>
    <row r="36289" ht="14.25" customHeight="1"/>
    <row r="36290" ht="14.25" customHeight="1"/>
    <row r="36291" ht="14.25" customHeight="1"/>
    <row r="36292" ht="14.25" customHeight="1"/>
    <row r="36293" ht="14.25" customHeight="1"/>
    <row r="36294" ht="14.25" customHeight="1"/>
    <row r="36295" ht="14.25" customHeight="1"/>
    <row r="36296" ht="14.25" customHeight="1"/>
    <row r="36297" ht="14.25" customHeight="1"/>
    <row r="36298" ht="14.25" customHeight="1"/>
    <row r="36299" ht="14.25" customHeight="1"/>
    <row r="36300" ht="14.25" customHeight="1"/>
    <row r="36301" ht="14.25" customHeight="1"/>
    <row r="36302" ht="14.25" customHeight="1"/>
    <row r="36303" ht="14.25" customHeight="1"/>
    <row r="36304" ht="14.25" customHeight="1"/>
    <row r="36305" ht="14.25" customHeight="1"/>
    <row r="36306" ht="14.25" customHeight="1"/>
    <row r="36307" ht="14.25" customHeight="1"/>
    <row r="36308" ht="14.25" customHeight="1"/>
    <row r="36309" ht="14.25" customHeight="1"/>
    <row r="36310" ht="14.25" customHeight="1"/>
    <row r="36311" ht="14.25" customHeight="1"/>
    <row r="36312" ht="14.25" customHeight="1"/>
    <row r="36313" ht="14.25" customHeight="1"/>
    <row r="36314" ht="14.25" customHeight="1"/>
    <row r="36315" ht="14.25" customHeight="1"/>
    <row r="36316" ht="14.25" customHeight="1"/>
    <row r="36317" ht="14.25" customHeight="1"/>
    <row r="36318" ht="14.25" customHeight="1"/>
    <row r="36319" ht="14.25" customHeight="1"/>
    <row r="36320" ht="14.25" customHeight="1"/>
    <row r="36321" ht="14.25" customHeight="1"/>
    <row r="36322" ht="14.25" customHeight="1"/>
    <row r="36323" ht="14.25" customHeight="1"/>
    <row r="36324" ht="14.25" customHeight="1"/>
    <row r="36325" ht="14.25" customHeight="1"/>
    <row r="36326" ht="14.25" customHeight="1"/>
    <row r="36327" ht="14.25" customHeight="1"/>
    <row r="36328" ht="14.25" customHeight="1"/>
    <row r="36329" ht="14.25" customHeight="1"/>
    <row r="36330" ht="14.25" customHeight="1"/>
    <row r="36331" ht="14.25" customHeight="1"/>
    <row r="36332" ht="14.25" customHeight="1"/>
    <row r="36333" ht="14.25" customHeight="1"/>
    <row r="36334" ht="14.25" customHeight="1"/>
    <row r="36335" ht="14.25" customHeight="1"/>
    <row r="36336" ht="14.25" customHeight="1"/>
    <row r="36337" ht="14.25" customHeight="1"/>
    <row r="36338" ht="14.25" customHeight="1"/>
    <row r="36339" ht="14.25" customHeight="1"/>
    <row r="36340" ht="14.25" customHeight="1"/>
    <row r="36341" ht="14.25" customHeight="1"/>
    <row r="36342" ht="14.25" customHeight="1"/>
    <row r="36343" ht="14.25" customHeight="1"/>
    <row r="36344" ht="14.25" customHeight="1"/>
    <row r="36345" ht="14.25" customHeight="1"/>
    <row r="36346" ht="14.25" customHeight="1"/>
    <row r="36347" ht="14.25" customHeight="1"/>
    <row r="36348" ht="14.25" customHeight="1"/>
    <row r="36349" ht="14.25" customHeight="1"/>
    <row r="36350" ht="14.25" customHeight="1"/>
    <row r="36351" ht="14.25" customHeight="1"/>
    <row r="36352" ht="14.25" customHeight="1"/>
    <row r="36353" ht="14.25" customHeight="1"/>
    <row r="36354" ht="14.25" customHeight="1"/>
    <row r="36355" ht="14.25" customHeight="1"/>
    <row r="36356" ht="14.25" customHeight="1"/>
    <row r="36357" ht="14.25" customHeight="1"/>
    <row r="36358" ht="14.25" customHeight="1"/>
    <row r="36359" ht="14.25" customHeight="1"/>
    <row r="36360" ht="14.25" customHeight="1"/>
    <row r="36361" ht="14.25" customHeight="1"/>
    <row r="36362" ht="14.25" customHeight="1"/>
    <row r="36363" ht="14.25" customHeight="1"/>
    <row r="36364" ht="14.25" customHeight="1"/>
    <row r="36365" ht="14.25" customHeight="1"/>
    <row r="36366" ht="14.25" customHeight="1"/>
    <row r="36367" ht="14.25" customHeight="1"/>
    <row r="36368" ht="14.25" customHeight="1"/>
    <row r="36369" ht="14.25" customHeight="1"/>
    <row r="36370" ht="14.25" customHeight="1"/>
    <row r="36371" ht="14.25" customHeight="1"/>
    <row r="36372" ht="14.25" customHeight="1"/>
    <row r="36373" ht="14.25" customHeight="1"/>
    <row r="36374" ht="14.25" customHeight="1"/>
    <row r="36375" ht="14.25" customHeight="1"/>
    <row r="36376" ht="14.25" customHeight="1"/>
    <row r="36377" ht="14.25" customHeight="1"/>
    <row r="36378" ht="14.25" customHeight="1"/>
    <row r="36379" ht="14.25" customHeight="1"/>
    <row r="36380" ht="14.25" customHeight="1"/>
    <row r="36381" ht="14.25" customHeight="1"/>
    <row r="36382" ht="14.25" customHeight="1"/>
    <row r="36383" ht="14.25" customHeight="1"/>
    <row r="36384" ht="14.25" customHeight="1"/>
    <row r="36385" ht="14.25" customHeight="1"/>
    <row r="36386" ht="14.25" customHeight="1"/>
    <row r="36387" ht="14.25" customHeight="1"/>
    <row r="36388" ht="14.25" customHeight="1"/>
    <row r="36389" ht="14.25" customHeight="1"/>
    <row r="36390" ht="14.25" customHeight="1"/>
    <row r="36391" ht="14.25" customHeight="1"/>
    <row r="36392" ht="14.25" customHeight="1"/>
    <row r="36393" ht="14.25" customHeight="1"/>
    <row r="36394" ht="14.25" customHeight="1"/>
    <row r="36395" ht="14.25" customHeight="1"/>
    <row r="36396" ht="14.25" customHeight="1"/>
    <row r="36397" ht="14.25" customHeight="1"/>
    <row r="36398" ht="14.25" customHeight="1"/>
    <row r="36399" ht="14.25" customHeight="1"/>
    <row r="36400" ht="14.25" customHeight="1"/>
    <row r="36401" ht="14.25" customHeight="1"/>
    <row r="36402" ht="14.25" customHeight="1"/>
    <row r="36403" ht="14.25" customHeight="1"/>
    <row r="36404" ht="14.25" customHeight="1"/>
    <row r="36405" ht="14.25" customHeight="1"/>
    <row r="36406" ht="14.25" customHeight="1"/>
    <row r="36407" ht="14.25" customHeight="1"/>
    <row r="36408" ht="14.25" customHeight="1"/>
    <row r="36409" ht="14.25" customHeight="1"/>
    <row r="36410" ht="14.25" customHeight="1"/>
    <row r="36411" ht="14.25" customHeight="1"/>
    <row r="36412" ht="14.25" customHeight="1"/>
    <row r="36413" ht="14.25" customHeight="1"/>
    <row r="36414" ht="14.25" customHeight="1"/>
    <row r="36415" ht="14.25" customHeight="1"/>
    <row r="36416" ht="14.25" customHeight="1"/>
    <row r="36417" ht="14.25" customHeight="1"/>
    <row r="36418" ht="14.25" customHeight="1"/>
    <row r="36419" ht="14.25" customHeight="1"/>
    <row r="36420" ht="14.25" customHeight="1"/>
    <row r="36421" ht="14.25" customHeight="1"/>
    <row r="36422" ht="14.25" customHeight="1"/>
    <row r="36423" ht="14.25" customHeight="1"/>
    <row r="36424" ht="14.25" customHeight="1"/>
    <row r="36425" ht="14.25" customHeight="1"/>
    <row r="36426" ht="14.25" customHeight="1"/>
    <row r="36427" ht="14.25" customHeight="1"/>
    <row r="36428" ht="14.25" customHeight="1"/>
    <row r="36429" ht="14.25" customHeight="1"/>
    <row r="36430" ht="14.25" customHeight="1"/>
    <row r="36431" ht="14.25" customHeight="1"/>
    <row r="36432" ht="14.25" customHeight="1"/>
    <row r="36433" ht="14.25" customHeight="1"/>
    <row r="36434" ht="14.25" customHeight="1"/>
    <row r="36435" ht="14.25" customHeight="1"/>
    <row r="36436" ht="14.25" customHeight="1"/>
    <row r="36437" ht="14.25" customHeight="1"/>
    <row r="36438" ht="14.25" customHeight="1"/>
    <row r="36439" ht="14.25" customHeight="1"/>
    <row r="36440" ht="14.25" customHeight="1"/>
    <row r="36441" ht="14.25" customHeight="1"/>
    <row r="36442" ht="14.25" customHeight="1"/>
    <row r="36443" ht="14.25" customHeight="1"/>
    <row r="36444" ht="14.25" customHeight="1"/>
    <row r="36445" ht="14.25" customHeight="1"/>
    <row r="36446" ht="14.25" customHeight="1"/>
    <row r="36447" ht="14.25" customHeight="1"/>
    <row r="36448" ht="14.25" customHeight="1"/>
    <row r="36449" ht="14.25" customHeight="1"/>
    <row r="36450" ht="14.25" customHeight="1"/>
    <row r="36451" ht="14.25" customHeight="1"/>
    <row r="36452" ht="14.25" customHeight="1"/>
    <row r="36453" ht="14.25" customHeight="1"/>
    <row r="36454" ht="14.25" customHeight="1"/>
    <row r="36455" ht="14.25" customHeight="1"/>
    <row r="36456" ht="14.25" customHeight="1"/>
    <row r="36457" ht="14.25" customHeight="1"/>
    <row r="36458" ht="14.25" customHeight="1"/>
    <row r="36459" ht="14.25" customHeight="1"/>
    <row r="36460" ht="14.25" customHeight="1"/>
    <row r="36461" ht="14.25" customHeight="1"/>
    <row r="36462" ht="14.25" customHeight="1"/>
    <row r="36463" ht="14.25" customHeight="1"/>
    <row r="36464" ht="14.25" customHeight="1"/>
    <row r="36465" ht="14.25" customHeight="1"/>
    <row r="36466" ht="14.25" customHeight="1"/>
    <row r="36467" ht="14.25" customHeight="1"/>
    <row r="36468" ht="14.25" customHeight="1"/>
    <row r="36469" ht="14.25" customHeight="1"/>
    <row r="36470" ht="14.25" customHeight="1"/>
    <row r="36471" ht="14.25" customHeight="1"/>
    <row r="36472" ht="14.25" customHeight="1"/>
    <row r="36473" ht="14.25" customHeight="1"/>
    <row r="36474" ht="14.25" customHeight="1"/>
    <row r="36475" ht="14.25" customHeight="1"/>
    <row r="36476" ht="14.25" customHeight="1"/>
    <row r="36477" ht="14.25" customHeight="1"/>
    <row r="36478" ht="14.25" customHeight="1"/>
    <row r="36479" ht="14.25" customHeight="1"/>
    <row r="36480" ht="14.25" customHeight="1"/>
    <row r="36481" ht="14.25" customHeight="1"/>
    <row r="36482" ht="14.25" customHeight="1"/>
    <row r="36483" ht="14.25" customHeight="1"/>
    <row r="36484" ht="14.25" customHeight="1"/>
    <row r="36485" ht="14.25" customHeight="1"/>
    <row r="36486" ht="14.25" customHeight="1"/>
    <row r="36487" ht="14.25" customHeight="1"/>
    <row r="36488" ht="14.25" customHeight="1"/>
    <row r="36489" ht="14.25" customHeight="1"/>
    <row r="36490" ht="14.25" customHeight="1"/>
    <row r="36491" ht="14.25" customHeight="1"/>
    <row r="36492" ht="14.25" customHeight="1"/>
    <row r="36493" ht="14.25" customHeight="1"/>
    <row r="36494" ht="14.25" customHeight="1"/>
    <row r="36495" ht="14.25" customHeight="1"/>
    <row r="36496" ht="14.25" customHeight="1"/>
    <row r="36497" ht="14.25" customHeight="1"/>
    <row r="36498" ht="14.25" customHeight="1"/>
    <row r="36499" ht="14.25" customHeight="1"/>
    <row r="36500" ht="14.25" customHeight="1"/>
    <row r="36501" ht="14.25" customHeight="1"/>
    <row r="36502" ht="14.25" customHeight="1"/>
    <row r="36503" ht="14.25" customHeight="1"/>
    <row r="36504" ht="14.25" customHeight="1"/>
    <row r="36505" ht="14.25" customHeight="1"/>
    <row r="36506" ht="14.25" customHeight="1"/>
    <row r="36507" ht="14.25" customHeight="1"/>
    <row r="36508" ht="14.25" customHeight="1"/>
    <row r="36509" ht="14.25" customHeight="1"/>
    <row r="36510" ht="14.25" customHeight="1"/>
    <row r="36511" ht="14.25" customHeight="1"/>
    <row r="36512" ht="14.25" customHeight="1"/>
    <row r="36513" ht="14.25" customHeight="1"/>
    <row r="36514" ht="14.25" customHeight="1"/>
    <row r="36515" ht="14.25" customHeight="1"/>
    <row r="36516" ht="14.25" customHeight="1"/>
    <row r="36517" ht="14.25" customHeight="1"/>
    <row r="36518" ht="14.25" customHeight="1"/>
    <row r="36519" ht="14.25" customHeight="1"/>
    <row r="36520" ht="14.25" customHeight="1"/>
    <row r="36521" ht="14.25" customHeight="1"/>
    <row r="36522" ht="14.25" customHeight="1"/>
    <row r="36523" ht="14.25" customHeight="1"/>
    <row r="36524" ht="14.25" customHeight="1"/>
    <row r="36525" ht="14.25" customHeight="1"/>
    <row r="36526" ht="14.25" customHeight="1"/>
    <row r="36527" ht="14.25" customHeight="1"/>
    <row r="36528" ht="14.25" customHeight="1"/>
    <row r="36529" ht="14.25" customHeight="1"/>
    <row r="36530" ht="14.25" customHeight="1"/>
    <row r="36531" ht="14.25" customHeight="1"/>
    <row r="36532" ht="14.25" customHeight="1"/>
    <row r="36533" ht="14.25" customHeight="1"/>
    <row r="36534" ht="14.25" customHeight="1"/>
    <row r="36535" ht="14.25" customHeight="1"/>
    <row r="36536" ht="14.25" customHeight="1"/>
    <row r="36537" ht="14.25" customHeight="1"/>
    <row r="36538" ht="14.25" customHeight="1"/>
    <row r="36539" ht="14.25" customHeight="1"/>
    <row r="36540" ht="14.25" customHeight="1"/>
    <row r="36541" ht="14.25" customHeight="1"/>
    <row r="36542" ht="14.25" customHeight="1"/>
    <row r="36543" ht="14.25" customHeight="1"/>
    <row r="36544" ht="14.25" customHeight="1"/>
    <row r="36545" ht="14.25" customHeight="1"/>
    <row r="36546" ht="14.25" customHeight="1"/>
    <row r="36547" ht="14.25" customHeight="1"/>
    <row r="36548" ht="14.25" customHeight="1"/>
    <row r="36549" ht="14.25" customHeight="1"/>
    <row r="36550" ht="14.25" customHeight="1"/>
    <row r="36551" ht="14.25" customHeight="1"/>
    <row r="36552" ht="14.25" customHeight="1"/>
    <row r="36553" ht="14.25" customHeight="1"/>
    <row r="36554" ht="14.25" customHeight="1"/>
    <row r="36555" ht="14.25" customHeight="1"/>
    <row r="36556" ht="14.25" customHeight="1"/>
    <row r="36557" ht="14.25" customHeight="1"/>
    <row r="36558" ht="14.25" customHeight="1"/>
    <row r="36559" ht="14.25" customHeight="1"/>
    <row r="36560" ht="14.25" customHeight="1"/>
    <row r="36561" ht="14.25" customHeight="1"/>
    <row r="36562" ht="14.25" customHeight="1"/>
    <row r="36563" ht="14.25" customHeight="1"/>
    <row r="36564" ht="14.25" customHeight="1"/>
    <row r="36565" ht="14.25" customHeight="1"/>
    <row r="36566" ht="14.25" customHeight="1"/>
    <row r="36567" ht="14.25" customHeight="1"/>
    <row r="36568" ht="14.25" customHeight="1"/>
    <row r="36569" ht="14.25" customHeight="1"/>
    <row r="36570" ht="14.25" customHeight="1"/>
    <row r="36571" ht="14.25" customHeight="1"/>
    <row r="36572" ht="14.25" customHeight="1"/>
    <row r="36573" ht="14.25" customHeight="1"/>
    <row r="36574" ht="14.25" customHeight="1"/>
    <row r="36575" ht="14.25" customHeight="1"/>
    <row r="36576" ht="14.25" customHeight="1"/>
    <row r="36577" ht="14.25" customHeight="1"/>
    <row r="36578" ht="14.25" customHeight="1"/>
    <row r="36579" ht="14.25" customHeight="1"/>
    <row r="36580" ht="14.25" customHeight="1"/>
    <row r="36581" ht="14.25" customHeight="1"/>
    <row r="36582" ht="14.25" customHeight="1"/>
    <row r="36583" ht="14.25" customHeight="1"/>
    <row r="36584" ht="14.25" customHeight="1"/>
    <row r="36585" ht="14.25" customHeight="1"/>
    <row r="36586" ht="14.25" customHeight="1"/>
    <row r="36587" ht="14.25" customHeight="1"/>
    <row r="36588" ht="14.25" customHeight="1"/>
    <row r="36589" ht="14.25" customHeight="1"/>
    <row r="36590" ht="14.25" customHeight="1"/>
    <row r="36591" ht="14.25" customHeight="1"/>
    <row r="36592" ht="14.25" customHeight="1"/>
    <row r="36593" ht="14.25" customHeight="1"/>
    <row r="36594" ht="14.25" customHeight="1"/>
    <row r="36595" ht="14.25" customHeight="1"/>
    <row r="36596" ht="14.25" customHeight="1"/>
    <row r="36597" ht="14.25" customHeight="1"/>
    <row r="36598" ht="14.25" customHeight="1"/>
    <row r="36599" ht="14.25" customHeight="1"/>
    <row r="36600" ht="14.25" customHeight="1"/>
    <row r="36601" ht="14.25" customHeight="1"/>
    <row r="36602" ht="14.25" customHeight="1"/>
    <row r="36603" ht="14.25" customHeight="1"/>
    <row r="36604" ht="14.25" customHeight="1"/>
    <row r="36605" ht="14.25" customHeight="1"/>
    <row r="36606" ht="14.25" customHeight="1"/>
    <row r="36607" ht="14.25" customHeight="1"/>
    <row r="36608" ht="14.25" customHeight="1"/>
    <row r="36609" ht="14.25" customHeight="1"/>
    <row r="36610" ht="14.25" customHeight="1"/>
    <row r="36611" ht="14.25" customHeight="1"/>
    <row r="36612" ht="14.25" customHeight="1"/>
    <row r="36613" ht="14.25" customHeight="1"/>
    <row r="36614" ht="14.25" customHeight="1"/>
    <row r="36615" ht="14.25" customHeight="1"/>
    <row r="36616" ht="14.25" customHeight="1"/>
    <row r="36617" ht="14.25" customHeight="1"/>
    <row r="36618" ht="14.25" customHeight="1"/>
    <row r="36619" ht="14.25" customHeight="1"/>
    <row r="36620" ht="14.25" customHeight="1"/>
    <row r="36621" ht="14.25" customHeight="1"/>
    <row r="36622" ht="14.25" customHeight="1"/>
    <row r="36623" ht="14.25" customHeight="1"/>
    <row r="36624" ht="14.25" customHeight="1"/>
    <row r="36625" ht="14.25" customHeight="1"/>
    <row r="36626" ht="14.25" customHeight="1"/>
    <row r="36627" ht="14.25" customHeight="1"/>
    <row r="36628" ht="14.25" customHeight="1"/>
    <row r="36629" ht="14.25" customHeight="1"/>
    <row r="36630" ht="14.25" customHeight="1"/>
    <row r="36631" ht="14.25" customHeight="1"/>
    <row r="36632" ht="14.25" customHeight="1"/>
    <row r="36633" ht="14.25" customHeight="1"/>
    <row r="36634" ht="14.25" customHeight="1"/>
    <row r="36635" ht="14.25" customHeight="1"/>
    <row r="36636" ht="14.25" customHeight="1"/>
    <row r="36637" ht="14.25" customHeight="1"/>
    <row r="36638" ht="14.25" customHeight="1"/>
    <row r="36639" ht="14.25" customHeight="1"/>
    <row r="36640" ht="14.25" customHeight="1"/>
    <row r="36641" ht="14.25" customHeight="1"/>
    <row r="36642" ht="14.25" customHeight="1"/>
    <row r="36643" ht="14.25" customHeight="1"/>
    <row r="36644" ht="14.25" customHeight="1"/>
    <row r="36645" ht="14.25" customHeight="1"/>
    <row r="36646" ht="14.25" customHeight="1"/>
    <row r="36647" ht="14.25" customHeight="1"/>
    <row r="36648" ht="14.25" customHeight="1"/>
    <row r="36649" ht="14.25" customHeight="1"/>
    <row r="36650" ht="14.25" customHeight="1"/>
    <row r="36651" ht="14.25" customHeight="1"/>
    <row r="36652" ht="14.25" customHeight="1"/>
    <row r="36653" ht="14.25" customHeight="1"/>
    <row r="36654" ht="14.25" customHeight="1"/>
    <row r="36655" ht="14.25" customHeight="1"/>
    <row r="36656" ht="14.25" customHeight="1"/>
    <row r="36657" ht="14.25" customHeight="1"/>
    <row r="36658" ht="14.25" customHeight="1"/>
    <row r="36659" ht="14.25" customHeight="1"/>
    <row r="36660" ht="14.25" customHeight="1"/>
    <row r="36661" ht="14.25" customHeight="1"/>
    <row r="36662" ht="14.25" customHeight="1"/>
    <row r="36663" ht="14.25" customHeight="1"/>
    <row r="36664" ht="14.25" customHeight="1"/>
    <row r="36665" ht="14.25" customHeight="1"/>
    <row r="36666" ht="14.25" customHeight="1"/>
    <row r="36667" ht="14.25" customHeight="1"/>
    <row r="36668" ht="14.25" customHeight="1"/>
    <row r="36669" ht="14.25" customHeight="1"/>
    <row r="36670" ht="14.25" customHeight="1"/>
    <row r="36671" ht="14.25" customHeight="1"/>
    <row r="36672" ht="14.25" customHeight="1"/>
    <row r="36673" ht="14.25" customHeight="1"/>
    <row r="36674" ht="14.25" customHeight="1"/>
    <row r="36675" ht="14.25" customHeight="1"/>
    <row r="36676" ht="14.25" customHeight="1"/>
    <row r="36677" ht="14.25" customHeight="1"/>
    <row r="36678" ht="14.25" customHeight="1"/>
    <row r="36679" ht="14.25" customHeight="1"/>
    <row r="36680" ht="14.25" customHeight="1"/>
    <row r="36681" ht="14.25" customHeight="1"/>
    <row r="36682" ht="14.25" customHeight="1"/>
    <row r="36683" ht="14.25" customHeight="1"/>
    <row r="36684" ht="14.25" customHeight="1"/>
    <row r="36685" ht="14.25" customHeight="1"/>
    <row r="36686" ht="14.25" customHeight="1"/>
    <row r="36687" ht="14.25" customHeight="1"/>
    <row r="36688" ht="14.25" customHeight="1"/>
    <row r="36689" ht="14.25" customHeight="1"/>
    <row r="36690" ht="14.25" customHeight="1"/>
    <row r="36691" ht="14.25" customHeight="1"/>
    <row r="36692" ht="14.25" customHeight="1"/>
    <row r="36693" ht="14.25" customHeight="1"/>
    <row r="36694" ht="14.25" customHeight="1"/>
    <row r="36695" ht="14.25" customHeight="1"/>
    <row r="36696" ht="14.25" customHeight="1"/>
    <row r="36697" ht="14.25" customHeight="1"/>
    <row r="36698" ht="14.25" customHeight="1"/>
    <row r="36699" ht="14.25" customHeight="1"/>
    <row r="36700" ht="14.25" customHeight="1"/>
    <row r="36701" ht="14.25" customHeight="1"/>
    <row r="36702" ht="14.25" customHeight="1"/>
    <row r="36703" ht="14.25" customHeight="1"/>
    <row r="36704" ht="14.25" customHeight="1"/>
    <row r="36705" ht="14.25" customHeight="1"/>
    <row r="36706" ht="14.25" customHeight="1"/>
    <row r="36707" ht="14.25" customHeight="1"/>
    <row r="36708" ht="14.25" customHeight="1"/>
    <row r="36709" ht="14.25" customHeight="1"/>
    <row r="36710" ht="14.25" customHeight="1"/>
    <row r="36711" ht="14.25" customHeight="1"/>
    <row r="36712" ht="14.25" customHeight="1"/>
    <row r="36713" ht="14.25" customHeight="1"/>
    <row r="36714" ht="14.25" customHeight="1"/>
    <row r="36715" ht="14.25" customHeight="1"/>
    <row r="36716" ht="14.25" customHeight="1"/>
    <row r="36717" ht="14.25" customHeight="1"/>
    <row r="36718" ht="14.25" customHeight="1"/>
    <row r="36719" ht="14.25" customHeight="1"/>
    <row r="36720" ht="14.25" customHeight="1"/>
    <row r="36721" ht="14.25" customHeight="1"/>
    <row r="36722" ht="14.25" customHeight="1"/>
    <row r="36723" ht="14.25" customHeight="1"/>
    <row r="36724" ht="14.25" customHeight="1"/>
    <row r="36725" ht="14.25" customHeight="1"/>
    <row r="36726" ht="14.25" customHeight="1"/>
    <row r="36727" ht="14.25" customHeight="1"/>
    <row r="36728" ht="14.25" customHeight="1"/>
    <row r="36729" ht="14.25" customHeight="1"/>
    <row r="36730" ht="14.25" customHeight="1"/>
    <row r="36731" ht="14.25" customHeight="1"/>
    <row r="36732" ht="14.25" customHeight="1"/>
    <row r="36733" ht="14.25" customHeight="1"/>
    <row r="36734" ht="14.25" customHeight="1"/>
    <row r="36735" ht="14.25" customHeight="1"/>
    <row r="36736" ht="14.25" customHeight="1"/>
    <row r="36737" ht="14.25" customHeight="1"/>
    <row r="36738" ht="14.25" customHeight="1"/>
    <row r="36739" ht="14.25" customHeight="1"/>
    <row r="36740" ht="14.25" customHeight="1"/>
    <row r="36741" ht="14.25" customHeight="1"/>
    <row r="36742" ht="14.25" customHeight="1"/>
    <row r="36743" ht="14.25" customHeight="1"/>
    <row r="36744" ht="14.25" customHeight="1"/>
    <row r="36745" ht="14.25" customHeight="1"/>
    <row r="36746" ht="14.25" customHeight="1"/>
    <row r="36747" ht="14.25" customHeight="1"/>
    <row r="36748" ht="14.25" customHeight="1"/>
    <row r="36749" ht="14.25" customHeight="1"/>
    <row r="36750" ht="14.25" customHeight="1"/>
    <row r="36751" ht="14.25" customHeight="1"/>
    <row r="36752" ht="14.25" customHeight="1"/>
    <row r="36753" ht="14.25" customHeight="1"/>
    <row r="36754" ht="14.25" customHeight="1"/>
    <row r="36755" ht="14.25" customHeight="1"/>
    <row r="36756" ht="14.25" customHeight="1"/>
    <row r="36757" ht="14.25" customHeight="1"/>
    <row r="36758" ht="14.25" customHeight="1"/>
    <row r="36759" ht="14.25" customHeight="1"/>
    <row r="36760" ht="14.25" customHeight="1"/>
    <row r="36761" ht="14.25" customHeight="1"/>
    <row r="36762" ht="14.25" customHeight="1"/>
    <row r="36763" ht="14.25" customHeight="1"/>
    <row r="36764" ht="14.25" customHeight="1"/>
    <row r="36765" ht="14.25" customHeight="1"/>
    <row r="36766" ht="14.25" customHeight="1"/>
    <row r="36767" ht="14.25" customHeight="1"/>
    <row r="36768" ht="14.25" customHeight="1"/>
    <row r="36769" ht="14.25" customHeight="1"/>
    <row r="36770" ht="14.25" customHeight="1"/>
    <row r="36771" ht="14.25" customHeight="1"/>
    <row r="36772" ht="14.25" customHeight="1"/>
    <row r="36773" ht="14.25" customHeight="1"/>
    <row r="36774" ht="14.25" customHeight="1"/>
    <row r="36775" ht="14.25" customHeight="1"/>
    <row r="36776" ht="14.25" customHeight="1"/>
    <row r="36777" ht="14.25" customHeight="1"/>
    <row r="36778" ht="14.25" customHeight="1"/>
    <row r="36779" ht="14.25" customHeight="1"/>
    <row r="36780" ht="14.25" customHeight="1"/>
    <row r="36781" ht="14.25" customHeight="1"/>
    <row r="36782" ht="14.25" customHeight="1"/>
    <row r="36783" ht="14.25" customHeight="1"/>
    <row r="36784" ht="14.25" customHeight="1"/>
    <row r="36785" ht="14.25" customHeight="1"/>
    <row r="36786" ht="14.25" customHeight="1"/>
    <row r="36787" ht="14.25" customHeight="1"/>
    <row r="36788" ht="14.25" customHeight="1"/>
    <row r="36789" ht="14.25" customHeight="1"/>
    <row r="36790" ht="14.25" customHeight="1"/>
    <row r="36791" ht="14.25" customHeight="1"/>
    <row r="36792" ht="14.25" customHeight="1"/>
    <row r="36793" ht="14.25" customHeight="1"/>
    <row r="36794" ht="14.25" customHeight="1"/>
    <row r="36795" ht="14.25" customHeight="1"/>
    <row r="36796" ht="14.25" customHeight="1"/>
    <row r="36797" ht="14.25" customHeight="1"/>
    <row r="36798" ht="14.25" customHeight="1"/>
    <row r="36799" ht="14.25" customHeight="1"/>
    <row r="36800" ht="14.25" customHeight="1"/>
    <row r="36801" ht="14.25" customHeight="1"/>
    <row r="36802" ht="14.25" customHeight="1"/>
    <row r="36803" ht="14.25" customHeight="1"/>
    <row r="36804" ht="14.25" customHeight="1"/>
    <row r="36805" ht="14.25" customHeight="1"/>
    <row r="36806" ht="14.25" customHeight="1"/>
    <row r="36807" ht="14.25" customHeight="1"/>
    <row r="36808" ht="14.25" customHeight="1"/>
    <row r="36809" ht="14.25" customHeight="1"/>
    <row r="36810" ht="14.25" customHeight="1"/>
    <row r="36811" ht="14.25" customHeight="1"/>
    <row r="36812" ht="14.25" customHeight="1"/>
    <row r="36813" ht="14.25" customHeight="1"/>
    <row r="36814" ht="14.25" customHeight="1"/>
    <row r="36815" ht="14.25" customHeight="1"/>
    <row r="36816" ht="14.25" customHeight="1"/>
    <row r="36817" ht="14.25" customHeight="1"/>
    <row r="36818" ht="14.25" customHeight="1"/>
    <row r="36819" ht="14.25" customHeight="1"/>
    <row r="36820" ht="14.25" customHeight="1"/>
    <row r="36821" ht="14.25" customHeight="1"/>
    <row r="36822" ht="14.25" customHeight="1"/>
    <row r="36823" ht="14.25" customHeight="1"/>
    <row r="36824" ht="14.25" customHeight="1"/>
    <row r="36825" ht="14.25" customHeight="1"/>
    <row r="36826" ht="14.25" customHeight="1"/>
    <row r="36827" ht="14.25" customHeight="1"/>
    <row r="36828" ht="14.25" customHeight="1"/>
    <row r="36829" ht="14.25" customHeight="1"/>
    <row r="36830" ht="14.25" customHeight="1"/>
    <row r="36831" ht="14.25" customHeight="1"/>
    <row r="36832" ht="14.25" customHeight="1"/>
    <row r="36833" ht="14.25" customHeight="1"/>
    <row r="36834" ht="14.25" customHeight="1"/>
    <row r="36835" ht="14.25" customHeight="1"/>
    <row r="36836" ht="14.25" customHeight="1"/>
    <row r="36837" ht="14.25" customHeight="1"/>
    <row r="36838" ht="14.25" customHeight="1"/>
    <row r="36839" ht="14.25" customHeight="1"/>
    <row r="36840" ht="14.25" customHeight="1"/>
    <row r="36841" ht="14.25" customHeight="1"/>
    <row r="36842" ht="14.25" customHeight="1"/>
    <row r="36843" ht="14.25" customHeight="1"/>
    <row r="36844" ht="14.25" customHeight="1"/>
    <row r="36845" ht="14.25" customHeight="1"/>
    <row r="36846" ht="14.25" customHeight="1"/>
    <row r="36847" ht="14.25" customHeight="1"/>
    <row r="36848" ht="14.25" customHeight="1"/>
    <row r="36849" ht="14.25" customHeight="1"/>
    <row r="36850" ht="14.25" customHeight="1"/>
    <row r="36851" ht="14.25" customHeight="1"/>
    <row r="36852" ht="14.25" customHeight="1"/>
    <row r="36853" ht="14.25" customHeight="1"/>
    <row r="36854" ht="14.25" customHeight="1"/>
    <row r="36855" ht="14.25" customHeight="1"/>
    <row r="36856" ht="14.25" customHeight="1"/>
    <row r="36857" ht="14.25" customHeight="1"/>
    <row r="36858" ht="14.25" customHeight="1"/>
    <row r="36859" ht="14.25" customHeight="1"/>
    <row r="36860" ht="14.25" customHeight="1"/>
    <row r="36861" ht="14.25" customHeight="1"/>
    <row r="36862" ht="14.25" customHeight="1"/>
    <row r="36863" ht="14.25" customHeight="1"/>
    <row r="36864" ht="14.25" customHeight="1"/>
    <row r="36865" ht="14.25" customHeight="1"/>
    <row r="36866" ht="14.25" customHeight="1"/>
    <row r="36867" ht="14.25" customHeight="1"/>
    <row r="36868" ht="14.25" customHeight="1"/>
    <row r="36869" ht="14.25" customHeight="1"/>
    <row r="36870" ht="14.25" customHeight="1"/>
    <row r="36871" ht="14.25" customHeight="1"/>
    <row r="36872" ht="14.25" customHeight="1"/>
    <row r="36873" ht="14.25" customHeight="1"/>
    <row r="36874" ht="14.25" customHeight="1"/>
    <row r="36875" ht="14.25" customHeight="1"/>
    <row r="36876" ht="14.25" customHeight="1"/>
    <row r="36877" ht="14.25" customHeight="1"/>
    <row r="36878" ht="14.25" customHeight="1"/>
    <row r="36879" ht="14.25" customHeight="1"/>
    <row r="36880" ht="14.25" customHeight="1"/>
    <row r="36881" ht="14.25" customHeight="1"/>
    <row r="36882" ht="14.25" customHeight="1"/>
    <row r="36883" ht="14.25" customHeight="1"/>
    <row r="36884" ht="14.25" customHeight="1"/>
    <row r="36885" ht="14.25" customHeight="1"/>
    <row r="36886" ht="14.25" customHeight="1"/>
    <row r="36887" ht="14.25" customHeight="1"/>
    <row r="36888" ht="14.25" customHeight="1"/>
    <row r="36889" ht="14.25" customHeight="1"/>
    <row r="36890" ht="14.25" customHeight="1"/>
    <row r="36891" ht="14.25" customHeight="1"/>
    <row r="36892" ht="14.25" customHeight="1"/>
    <row r="36893" ht="14.25" customHeight="1"/>
    <row r="36894" ht="14.25" customHeight="1"/>
    <row r="36895" ht="14.25" customHeight="1"/>
    <row r="36896" ht="14.25" customHeight="1"/>
    <row r="36897" ht="14.25" customHeight="1"/>
    <row r="36898" ht="14.25" customHeight="1"/>
    <row r="36899" ht="14.25" customHeight="1"/>
    <row r="36900" ht="14.25" customHeight="1"/>
    <row r="36901" ht="14.25" customHeight="1"/>
    <row r="36902" ht="14.25" customHeight="1"/>
    <row r="36903" ht="14.25" customHeight="1"/>
    <row r="36904" ht="14.25" customHeight="1"/>
    <row r="36905" ht="14.25" customHeight="1"/>
    <row r="36906" ht="14.25" customHeight="1"/>
    <row r="36907" ht="14.25" customHeight="1"/>
    <row r="36908" ht="14.25" customHeight="1"/>
    <row r="36909" ht="14.25" customHeight="1"/>
    <row r="36910" ht="14.25" customHeight="1"/>
    <row r="36911" ht="14.25" customHeight="1"/>
    <row r="36912" ht="14.25" customHeight="1"/>
    <row r="36913" ht="14.25" customHeight="1"/>
    <row r="36914" ht="14.25" customHeight="1"/>
    <row r="36915" ht="14.25" customHeight="1"/>
    <row r="36916" ht="14.25" customHeight="1"/>
    <row r="36917" ht="14.25" customHeight="1"/>
    <row r="36918" ht="14.25" customHeight="1"/>
    <row r="36919" ht="14.25" customHeight="1"/>
    <row r="36920" ht="14.25" customHeight="1"/>
    <row r="36921" ht="14.25" customHeight="1"/>
    <row r="36922" ht="14.25" customHeight="1"/>
    <row r="36923" ht="14.25" customHeight="1"/>
    <row r="36924" ht="14.25" customHeight="1"/>
    <row r="36925" ht="14.25" customHeight="1"/>
    <row r="36926" ht="14.25" customHeight="1"/>
    <row r="36927" ht="14.25" customHeight="1"/>
    <row r="36928" ht="14.25" customHeight="1"/>
    <row r="36929" ht="14.25" customHeight="1"/>
    <row r="36930" ht="14.25" customHeight="1"/>
    <row r="36931" ht="14.25" customHeight="1"/>
    <row r="36932" ht="14.25" customHeight="1"/>
    <row r="36933" ht="14.25" customHeight="1"/>
    <row r="36934" ht="14.25" customHeight="1"/>
    <row r="36935" ht="14.25" customHeight="1"/>
    <row r="36936" ht="14.25" customHeight="1"/>
    <row r="36937" ht="14.25" customHeight="1"/>
    <row r="36938" ht="14.25" customHeight="1"/>
    <row r="36939" ht="14.25" customHeight="1"/>
    <row r="36940" ht="14.25" customHeight="1"/>
    <row r="36941" ht="14.25" customHeight="1"/>
    <row r="36942" ht="14.25" customHeight="1"/>
    <row r="36943" ht="14.25" customHeight="1"/>
    <row r="36944" ht="14.25" customHeight="1"/>
    <row r="36945" ht="14.25" customHeight="1"/>
    <row r="36946" ht="14.25" customHeight="1"/>
    <row r="36947" ht="14.25" customHeight="1"/>
    <row r="36948" ht="14.25" customHeight="1"/>
    <row r="36949" ht="14.25" customHeight="1"/>
    <row r="36950" ht="14.25" customHeight="1"/>
    <row r="36951" ht="14.25" customHeight="1"/>
    <row r="36952" ht="14.25" customHeight="1"/>
    <row r="36953" ht="14.25" customHeight="1"/>
    <row r="36954" ht="14.25" customHeight="1"/>
    <row r="36955" ht="14.25" customHeight="1"/>
    <row r="36956" ht="14.25" customHeight="1"/>
    <row r="36957" ht="14.25" customHeight="1"/>
    <row r="36958" ht="14.25" customHeight="1"/>
    <row r="36959" ht="14.25" customHeight="1"/>
    <row r="36960" ht="14.25" customHeight="1"/>
    <row r="36961" ht="14.25" customHeight="1"/>
    <row r="36962" ht="14.25" customHeight="1"/>
    <row r="36963" ht="14.25" customHeight="1"/>
    <row r="36964" ht="14.25" customHeight="1"/>
    <row r="36965" ht="14.25" customHeight="1"/>
    <row r="36966" ht="14.25" customHeight="1"/>
    <row r="36967" ht="14.25" customHeight="1"/>
    <row r="36968" ht="14.25" customHeight="1"/>
    <row r="36969" ht="14.25" customHeight="1"/>
    <row r="36970" ht="14.25" customHeight="1"/>
    <row r="36971" ht="14.25" customHeight="1"/>
    <row r="36972" ht="14.25" customHeight="1"/>
    <row r="36973" ht="14.25" customHeight="1"/>
    <row r="36974" ht="14.25" customHeight="1"/>
    <row r="36975" ht="14.25" customHeight="1"/>
    <row r="36976" ht="14.25" customHeight="1"/>
    <row r="36977" ht="14.25" customHeight="1"/>
    <row r="36978" ht="14.25" customHeight="1"/>
    <row r="36979" ht="14.25" customHeight="1"/>
    <row r="36980" ht="14.25" customHeight="1"/>
    <row r="36981" ht="14.25" customHeight="1"/>
    <row r="36982" ht="14.25" customHeight="1"/>
    <row r="36983" ht="14.25" customHeight="1"/>
    <row r="36984" ht="14.25" customHeight="1"/>
    <row r="36985" ht="14.25" customHeight="1"/>
    <row r="36986" ht="14.25" customHeight="1"/>
    <row r="36987" ht="14.25" customHeight="1"/>
    <row r="36988" ht="14.25" customHeight="1"/>
    <row r="36989" ht="14.25" customHeight="1"/>
    <row r="36990" ht="14.25" customHeight="1"/>
    <row r="36991" ht="14.25" customHeight="1"/>
    <row r="36992" ht="14.25" customHeight="1"/>
    <row r="36993" ht="14.25" customHeight="1"/>
    <row r="36994" ht="14.25" customHeight="1"/>
    <row r="36995" ht="14.25" customHeight="1"/>
    <row r="36996" ht="14.25" customHeight="1"/>
    <row r="36997" ht="14.25" customHeight="1"/>
    <row r="36998" ht="14.25" customHeight="1"/>
    <row r="36999" ht="14.25" customHeight="1"/>
    <row r="37000" ht="14.25" customHeight="1"/>
    <row r="37001" ht="14.25" customHeight="1"/>
    <row r="37002" ht="14.25" customHeight="1"/>
    <row r="37003" ht="14.25" customHeight="1"/>
    <row r="37004" ht="14.25" customHeight="1"/>
    <row r="37005" ht="14.25" customHeight="1"/>
    <row r="37006" ht="14.25" customHeight="1"/>
    <row r="37007" ht="14.25" customHeight="1"/>
    <row r="37008" ht="14.25" customHeight="1"/>
    <row r="37009" ht="14.25" customHeight="1"/>
    <row r="37010" ht="14.25" customHeight="1"/>
    <row r="37011" ht="14.25" customHeight="1"/>
    <row r="37012" ht="14.25" customHeight="1"/>
    <row r="37013" ht="14.25" customHeight="1"/>
    <row r="37014" ht="14.25" customHeight="1"/>
    <row r="37015" ht="14.25" customHeight="1"/>
    <row r="37016" ht="14.25" customHeight="1"/>
    <row r="37017" ht="14.25" customHeight="1"/>
    <row r="37018" ht="14.25" customHeight="1"/>
    <row r="37019" ht="14.25" customHeight="1"/>
    <row r="37020" ht="14.25" customHeight="1"/>
    <row r="37021" ht="14.25" customHeight="1"/>
    <row r="37022" ht="14.25" customHeight="1"/>
    <row r="37023" ht="14.25" customHeight="1"/>
    <row r="37024" ht="14.25" customHeight="1"/>
    <row r="37025" ht="14.25" customHeight="1"/>
    <row r="37026" ht="14.25" customHeight="1"/>
    <row r="37027" ht="14.25" customHeight="1"/>
    <row r="37028" ht="14.25" customHeight="1"/>
    <row r="37029" ht="14.25" customHeight="1"/>
    <row r="37030" ht="14.25" customHeight="1"/>
    <row r="37031" ht="14.25" customHeight="1"/>
    <row r="37032" ht="14.25" customHeight="1"/>
    <row r="37033" ht="14.25" customHeight="1"/>
    <row r="37034" ht="14.25" customHeight="1"/>
    <row r="37035" ht="14.25" customHeight="1"/>
    <row r="37036" ht="14.25" customHeight="1"/>
    <row r="37037" ht="14.25" customHeight="1"/>
    <row r="37038" ht="14.25" customHeight="1"/>
    <row r="37039" ht="14.25" customHeight="1"/>
    <row r="37040" ht="14.25" customHeight="1"/>
    <row r="37041" ht="14.25" customHeight="1"/>
    <row r="37042" ht="14.25" customHeight="1"/>
    <row r="37043" ht="14.25" customHeight="1"/>
    <row r="37044" ht="14.25" customHeight="1"/>
    <row r="37045" ht="14.25" customHeight="1"/>
    <row r="37046" ht="14.25" customHeight="1"/>
    <row r="37047" ht="14.25" customHeight="1"/>
    <row r="37048" ht="14.25" customHeight="1"/>
    <row r="37049" ht="14.25" customHeight="1"/>
    <row r="37050" ht="14.25" customHeight="1"/>
    <row r="37051" ht="14.25" customHeight="1"/>
    <row r="37052" ht="14.25" customHeight="1"/>
    <row r="37053" ht="14.25" customHeight="1"/>
    <row r="37054" ht="14.25" customHeight="1"/>
    <row r="37055" ht="14.25" customHeight="1"/>
    <row r="37056" ht="14.25" customHeight="1"/>
    <row r="37057" ht="14.25" customHeight="1"/>
    <row r="37058" ht="14.25" customHeight="1"/>
    <row r="37059" ht="14.25" customHeight="1"/>
    <row r="37060" ht="14.25" customHeight="1"/>
    <row r="37061" ht="14.25" customHeight="1"/>
    <row r="37062" ht="14.25" customHeight="1"/>
    <row r="37063" ht="14.25" customHeight="1"/>
    <row r="37064" ht="14.25" customHeight="1"/>
    <row r="37065" ht="14.25" customHeight="1"/>
    <row r="37066" ht="14.25" customHeight="1"/>
    <row r="37067" ht="14.25" customHeight="1"/>
    <row r="37068" ht="14.25" customHeight="1"/>
    <row r="37069" ht="14.25" customHeight="1"/>
    <row r="37070" ht="14.25" customHeight="1"/>
    <row r="37071" ht="14.25" customHeight="1"/>
    <row r="37072" ht="14.25" customHeight="1"/>
    <row r="37073" ht="14.25" customHeight="1"/>
    <row r="37074" ht="14.25" customHeight="1"/>
    <row r="37075" ht="14.25" customHeight="1"/>
    <row r="37076" ht="14.25" customHeight="1"/>
    <row r="37077" ht="14.25" customHeight="1"/>
    <row r="37078" ht="14.25" customHeight="1"/>
    <row r="37079" ht="14.25" customHeight="1"/>
    <row r="37080" ht="14.25" customHeight="1"/>
    <row r="37081" ht="14.25" customHeight="1"/>
    <row r="37082" ht="14.25" customHeight="1"/>
    <row r="37083" ht="14.25" customHeight="1"/>
    <row r="37084" ht="14.25" customHeight="1"/>
    <row r="37085" ht="14.25" customHeight="1"/>
    <row r="37086" ht="14.25" customHeight="1"/>
    <row r="37087" ht="14.25" customHeight="1"/>
    <row r="37088" ht="14.25" customHeight="1"/>
    <row r="37089" ht="14.25" customHeight="1"/>
    <row r="37090" ht="14.25" customHeight="1"/>
    <row r="37091" ht="14.25" customHeight="1"/>
    <row r="37092" ht="14.25" customHeight="1"/>
    <row r="37093" ht="14.25" customHeight="1"/>
    <row r="37094" ht="14.25" customHeight="1"/>
    <row r="37095" ht="14.25" customHeight="1"/>
    <row r="37096" ht="14.25" customHeight="1"/>
    <row r="37097" ht="14.25" customHeight="1"/>
    <row r="37098" ht="14.25" customHeight="1"/>
    <row r="37099" ht="14.25" customHeight="1"/>
    <row r="37100" ht="14.25" customHeight="1"/>
    <row r="37101" ht="14.25" customHeight="1"/>
    <row r="37102" ht="14.25" customHeight="1"/>
    <row r="37103" ht="14.25" customHeight="1"/>
    <row r="37104" ht="14.25" customHeight="1"/>
    <row r="37105" ht="14.25" customHeight="1"/>
    <row r="37106" ht="14.25" customHeight="1"/>
    <row r="37107" ht="14.25" customHeight="1"/>
    <row r="37108" ht="14.25" customHeight="1"/>
    <row r="37109" ht="14.25" customHeight="1"/>
    <row r="37110" ht="14.25" customHeight="1"/>
    <row r="37111" ht="14.25" customHeight="1"/>
    <row r="37112" ht="14.25" customHeight="1"/>
    <row r="37113" ht="14.25" customHeight="1"/>
    <row r="37114" ht="14.25" customHeight="1"/>
    <row r="37115" ht="14.25" customHeight="1"/>
    <row r="37116" ht="14.25" customHeight="1"/>
    <row r="37117" ht="14.25" customHeight="1"/>
    <row r="37118" ht="14.25" customHeight="1"/>
    <row r="37119" ht="14.25" customHeight="1"/>
    <row r="37120" ht="14.25" customHeight="1"/>
    <row r="37121" ht="14.25" customHeight="1"/>
    <row r="37122" ht="14.25" customHeight="1"/>
    <row r="37123" ht="14.25" customHeight="1"/>
    <row r="37124" ht="14.25" customHeight="1"/>
    <row r="37125" ht="14.25" customHeight="1"/>
    <row r="37126" ht="14.25" customHeight="1"/>
    <row r="37127" ht="14.25" customHeight="1"/>
    <row r="37128" ht="14.25" customHeight="1"/>
    <row r="37129" ht="14.25" customHeight="1"/>
    <row r="37130" ht="14.25" customHeight="1"/>
    <row r="37131" ht="14.25" customHeight="1"/>
    <row r="37132" ht="14.25" customHeight="1"/>
    <row r="37133" ht="14.25" customHeight="1"/>
    <row r="37134" ht="14.25" customHeight="1"/>
    <row r="37135" ht="14.25" customHeight="1"/>
    <row r="37136" ht="14.25" customHeight="1"/>
    <row r="37137" ht="14.25" customHeight="1"/>
    <row r="37138" ht="14.25" customHeight="1"/>
    <row r="37139" ht="14.25" customHeight="1"/>
    <row r="37140" ht="14.25" customHeight="1"/>
    <row r="37141" ht="14.25" customHeight="1"/>
    <row r="37142" ht="14.25" customHeight="1"/>
    <row r="37143" ht="14.25" customHeight="1"/>
    <row r="37144" ht="14.25" customHeight="1"/>
    <row r="37145" ht="14.25" customHeight="1"/>
    <row r="37146" ht="14.25" customHeight="1"/>
    <row r="37147" ht="14.25" customHeight="1"/>
    <row r="37148" ht="14.25" customHeight="1"/>
    <row r="37149" ht="14.25" customHeight="1"/>
    <row r="37150" ht="14.25" customHeight="1"/>
    <row r="37151" ht="14.25" customHeight="1"/>
    <row r="37152" ht="14.25" customHeight="1"/>
    <row r="37153" ht="14.25" customHeight="1"/>
    <row r="37154" ht="14.25" customHeight="1"/>
    <row r="37155" ht="14.25" customHeight="1"/>
    <row r="37156" ht="14.25" customHeight="1"/>
    <row r="37157" ht="14.25" customHeight="1"/>
    <row r="37158" ht="14.25" customHeight="1"/>
    <row r="37159" ht="14.25" customHeight="1"/>
    <row r="37160" ht="14.25" customHeight="1"/>
    <row r="37161" ht="14.25" customHeight="1"/>
    <row r="37162" ht="14.25" customHeight="1"/>
    <row r="37163" ht="14.25" customHeight="1"/>
    <row r="37164" ht="14.25" customHeight="1"/>
    <row r="37165" ht="14.25" customHeight="1"/>
    <row r="37166" ht="14.25" customHeight="1"/>
    <row r="37167" ht="14.25" customHeight="1"/>
    <row r="37168" ht="14.25" customHeight="1"/>
    <row r="37169" ht="14.25" customHeight="1"/>
    <row r="37170" ht="14.25" customHeight="1"/>
    <row r="37171" ht="14.25" customHeight="1"/>
    <row r="37172" ht="14.25" customHeight="1"/>
    <row r="37173" ht="14.25" customHeight="1"/>
    <row r="37174" ht="14.25" customHeight="1"/>
    <row r="37175" ht="14.25" customHeight="1"/>
    <row r="37176" ht="14.25" customHeight="1"/>
    <row r="37177" ht="14.25" customHeight="1"/>
    <row r="37178" ht="14.25" customHeight="1"/>
    <row r="37179" ht="14.25" customHeight="1"/>
    <row r="37180" ht="14.25" customHeight="1"/>
    <row r="37181" ht="14.25" customHeight="1"/>
    <row r="37182" ht="14.25" customHeight="1"/>
    <row r="37183" ht="14.25" customHeight="1"/>
    <row r="37184" ht="14.25" customHeight="1"/>
    <row r="37185" ht="14.25" customHeight="1"/>
    <row r="37186" ht="14.25" customHeight="1"/>
    <row r="37187" ht="14.25" customHeight="1"/>
    <row r="37188" ht="14.25" customHeight="1"/>
    <row r="37189" ht="14.25" customHeight="1"/>
    <row r="37190" ht="14.25" customHeight="1"/>
    <row r="37191" ht="14.25" customHeight="1"/>
    <row r="37192" ht="14.25" customHeight="1"/>
    <row r="37193" ht="14.25" customHeight="1"/>
    <row r="37194" ht="14.25" customHeight="1"/>
    <row r="37195" ht="14.25" customHeight="1"/>
    <row r="37196" ht="14.25" customHeight="1"/>
    <row r="37197" ht="14.25" customHeight="1"/>
    <row r="37198" ht="14.25" customHeight="1"/>
    <row r="37199" ht="14.25" customHeight="1"/>
    <row r="37200" ht="14.25" customHeight="1"/>
    <row r="37201" ht="14.25" customHeight="1"/>
    <row r="37202" ht="14.25" customHeight="1"/>
    <row r="37203" ht="14.25" customHeight="1"/>
    <row r="37204" ht="14.25" customHeight="1"/>
    <row r="37205" ht="14.25" customHeight="1"/>
    <row r="37206" ht="14.25" customHeight="1"/>
    <row r="37207" ht="14.25" customHeight="1"/>
    <row r="37208" ht="14.25" customHeight="1"/>
    <row r="37209" ht="14.25" customHeight="1"/>
    <row r="37210" ht="14.25" customHeight="1"/>
    <row r="37211" ht="14.25" customHeight="1"/>
    <row r="37212" ht="14.25" customHeight="1"/>
    <row r="37213" ht="14.25" customHeight="1"/>
    <row r="37214" ht="14.25" customHeight="1"/>
    <row r="37215" ht="14.25" customHeight="1"/>
    <row r="37216" ht="14.25" customHeight="1"/>
    <row r="37217" ht="14.25" customHeight="1"/>
    <row r="37218" ht="14.25" customHeight="1"/>
    <row r="37219" ht="14.25" customHeight="1"/>
    <row r="37220" ht="14.25" customHeight="1"/>
    <row r="37221" ht="14.25" customHeight="1"/>
    <row r="37222" ht="14.25" customHeight="1"/>
    <row r="37223" ht="14.25" customHeight="1"/>
    <row r="37224" ht="14.25" customHeight="1"/>
    <row r="37225" ht="14.25" customHeight="1"/>
    <row r="37226" ht="14.25" customHeight="1"/>
    <row r="37227" ht="14.25" customHeight="1"/>
    <row r="37228" ht="14.25" customHeight="1"/>
    <row r="37229" ht="14.25" customHeight="1"/>
    <row r="37230" ht="14.25" customHeight="1"/>
    <row r="37231" ht="14.25" customHeight="1"/>
    <row r="37232" ht="14.25" customHeight="1"/>
    <row r="37233" ht="14.25" customHeight="1"/>
    <row r="37234" ht="14.25" customHeight="1"/>
    <row r="37235" ht="14.25" customHeight="1"/>
    <row r="37236" ht="14.25" customHeight="1"/>
    <row r="37237" ht="14.25" customHeight="1"/>
    <row r="37238" ht="14.25" customHeight="1"/>
    <row r="37239" ht="14.25" customHeight="1"/>
    <row r="37240" ht="14.25" customHeight="1"/>
    <row r="37241" ht="14.25" customHeight="1"/>
    <row r="37242" ht="14.25" customHeight="1"/>
    <row r="37243" ht="14.25" customHeight="1"/>
    <row r="37244" ht="14.25" customHeight="1"/>
    <row r="37245" ht="14.25" customHeight="1"/>
    <row r="37246" ht="14.25" customHeight="1"/>
    <row r="37247" ht="14.25" customHeight="1"/>
    <row r="37248" ht="14.25" customHeight="1"/>
    <row r="37249" ht="14.25" customHeight="1"/>
    <row r="37250" ht="14.25" customHeight="1"/>
    <row r="37251" ht="14.25" customHeight="1"/>
    <row r="37252" ht="14.25" customHeight="1"/>
    <row r="37253" ht="14.25" customHeight="1"/>
    <row r="37254" ht="14.25" customHeight="1"/>
    <row r="37255" ht="14.25" customHeight="1"/>
    <row r="37256" ht="14.25" customHeight="1"/>
    <row r="37257" ht="14.25" customHeight="1"/>
    <row r="37258" ht="14.25" customHeight="1"/>
    <row r="37259" ht="14.25" customHeight="1"/>
    <row r="37260" ht="14.25" customHeight="1"/>
    <row r="37261" ht="14.25" customHeight="1"/>
    <row r="37262" ht="14.25" customHeight="1"/>
    <row r="37263" ht="14.25" customHeight="1"/>
    <row r="37264" ht="14.25" customHeight="1"/>
    <row r="37265" ht="14.25" customHeight="1"/>
    <row r="37266" ht="14.25" customHeight="1"/>
    <row r="37267" ht="14.25" customHeight="1"/>
    <row r="37268" ht="14.25" customHeight="1"/>
    <row r="37269" ht="14.25" customHeight="1"/>
    <row r="37270" ht="14.25" customHeight="1"/>
    <row r="37271" ht="14.25" customHeight="1"/>
    <row r="37272" ht="14.25" customHeight="1"/>
    <row r="37273" ht="14.25" customHeight="1"/>
    <row r="37274" ht="14.25" customHeight="1"/>
    <row r="37275" ht="14.25" customHeight="1"/>
    <row r="37276" ht="14.25" customHeight="1"/>
    <row r="37277" ht="14.25" customHeight="1"/>
    <row r="37278" ht="14.25" customHeight="1"/>
    <row r="37279" ht="14.25" customHeight="1"/>
    <row r="37280" ht="14.25" customHeight="1"/>
    <row r="37281" ht="14.25" customHeight="1"/>
    <row r="37282" ht="14.25" customHeight="1"/>
    <row r="37283" ht="14.25" customHeight="1"/>
    <row r="37284" ht="14.25" customHeight="1"/>
    <row r="37285" ht="14.25" customHeight="1"/>
    <row r="37286" ht="14.25" customHeight="1"/>
    <row r="37287" ht="14.25" customHeight="1"/>
    <row r="37288" ht="14.25" customHeight="1"/>
    <row r="37289" ht="14.25" customHeight="1"/>
    <row r="37290" ht="14.25" customHeight="1"/>
    <row r="37291" ht="14.25" customHeight="1"/>
    <row r="37292" ht="14.25" customHeight="1"/>
    <row r="37293" ht="14.25" customHeight="1"/>
    <row r="37294" ht="14.25" customHeight="1"/>
    <row r="37295" ht="14.25" customHeight="1"/>
    <row r="37296" ht="14.25" customHeight="1"/>
    <row r="37297" ht="14.25" customHeight="1"/>
    <row r="37298" ht="14.25" customHeight="1"/>
    <row r="37299" ht="14.25" customHeight="1"/>
    <row r="37300" ht="14.25" customHeight="1"/>
    <row r="37301" ht="14.25" customHeight="1"/>
    <row r="37302" ht="14.25" customHeight="1"/>
    <row r="37303" ht="14.25" customHeight="1"/>
    <row r="37304" ht="14.25" customHeight="1"/>
    <row r="37305" ht="14.25" customHeight="1"/>
    <row r="37306" ht="14.25" customHeight="1"/>
    <row r="37307" ht="14.25" customHeight="1"/>
    <row r="37308" ht="14.25" customHeight="1"/>
    <row r="37309" ht="14.25" customHeight="1"/>
    <row r="37310" ht="14.25" customHeight="1"/>
    <row r="37311" ht="14.25" customHeight="1"/>
    <row r="37312" ht="14.25" customHeight="1"/>
    <row r="37313" ht="14.25" customHeight="1"/>
    <row r="37314" ht="14.25" customHeight="1"/>
    <row r="37315" ht="14.25" customHeight="1"/>
    <row r="37316" ht="14.25" customHeight="1"/>
    <row r="37317" ht="14.25" customHeight="1"/>
    <row r="37318" ht="14.25" customHeight="1"/>
    <row r="37319" ht="14.25" customHeight="1"/>
    <row r="37320" ht="14.25" customHeight="1"/>
    <row r="37321" ht="14.25" customHeight="1"/>
    <row r="37322" ht="14.25" customHeight="1"/>
    <row r="37323" ht="14.25" customHeight="1"/>
    <row r="37324" ht="14.25" customHeight="1"/>
    <row r="37325" ht="14.25" customHeight="1"/>
    <row r="37326" ht="14.25" customHeight="1"/>
    <row r="37327" ht="14.25" customHeight="1"/>
    <row r="37328" ht="14.25" customHeight="1"/>
    <row r="37329" ht="14.25" customHeight="1"/>
    <row r="37330" ht="14.25" customHeight="1"/>
    <row r="37331" ht="14.25" customHeight="1"/>
    <row r="37332" ht="14.25" customHeight="1"/>
    <row r="37333" ht="14.25" customHeight="1"/>
    <row r="37334" ht="14.25" customHeight="1"/>
    <row r="37335" ht="14.25" customHeight="1"/>
    <row r="37336" ht="14.25" customHeight="1"/>
    <row r="37337" ht="14.25" customHeight="1"/>
    <row r="37338" ht="14.25" customHeight="1"/>
    <row r="37339" ht="14.25" customHeight="1"/>
    <row r="37340" ht="14.25" customHeight="1"/>
    <row r="37341" ht="14.25" customHeight="1"/>
    <row r="37342" ht="14.25" customHeight="1"/>
    <row r="37343" ht="14.25" customHeight="1"/>
    <row r="37344" ht="14.25" customHeight="1"/>
    <row r="37345" ht="14.25" customHeight="1"/>
    <row r="37346" ht="14.25" customHeight="1"/>
    <row r="37347" ht="14.25" customHeight="1"/>
    <row r="37348" ht="14.25" customHeight="1"/>
    <row r="37349" ht="14.25" customHeight="1"/>
    <row r="37350" ht="14.25" customHeight="1"/>
    <row r="37351" ht="14.25" customHeight="1"/>
    <row r="37352" ht="14.25" customHeight="1"/>
    <row r="37353" ht="14.25" customHeight="1"/>
    <row r="37354" ht="14.25" customHeight="1"/>
    <row r="37355" ht="14.25" customHeight="1"/>
    <row r="37356" ht="14.25" customHeight="1"/>
    <row r="37357" ht="14.25" customHeight="1"/>
    <row r="37358" ht="14.25" customHeight="1"/>
    <row r="37359" ht="14.25" customHeight="1"/>
    <row r="37360" ht="14.25" customHeight="1"/>
    <row r="37361" ht="14.25" customHeight="1"/>
    <row r="37362" ht="14.25" customHeight="1"/>
    <row r="37363" ht="14.25" customHeight="1"/>
    <row r="37364" ht="14.25" customHeight="1"/>
    <row r="37365" ht="14.25" customHeight="1"/>
    <row r="37366" ht="14.25" customHeight="1"/>
    <row r="37367" ht="14.25" customHeight="1"/>
    <row r="37368" ht="14.25" customHeight="1"/>
    <row r="37369" ht="14.25" customHeight="1"/>
    <row r="37370" ht="14.25" customHeight="1"/>
    <row r="37371" ht="14.25" customHeight="1"/>
    <row r="37372" ht="14.25" customHeight="1"/>
    <row r="37373" ht="14.25" customHeight="1"/>
    <row r="37374" ht="14.25" customHeight="1"/>
    <row r="37375" ht="14.25" customHeight="1"/>
    <row r="37376" ht="14.25" customHeight="1"/>
    <row r="37377" ht="14.25" customHeight="1"/>
    <row r="37378" ht="14.25" customHeight="1"/>
    <row r="37379" ht="14.25" customHeight="1"/>
    <row r="37380" ht="14.25" customHeight="1"/>
    <row r="37381" ht="14.25" customHeight="1"/>
    <row r="37382" ht="14.25" customHeight="1"/>
    <row r="37383" ht="14.25" customHeight="1"/>
    <row r="37384" ht="14.25" customHeight="1"/>
    <row r="37385" ht="14.25" customHeight="1"/>
    <row r="37386" ht="14.25" customHeight="1"/>
    <row r="37387" ht="14.25" customHeight="1"/>
    <row r="37388" ht="14.25" customHeight="1"/>
    <row r="37389" ht="14.25" customHeight="1"/>
    <row r="37390" ht="14.25" customHeight="1"/>
    <row r="37391" ht="14.25" customHeight="1"/>
    <row r="37392" ht="14.25" customHeight="1"/>
    <row r="37393" ht="14.25" customHeight="1"/>
    <row r="37394" ht="14.25" customHeight="1"/>
    <row r="37395" ht="14.25" customHeight="1"/>
    <row r="37396" ht="14.25" customHeight="1"/>
    <row r="37397" ht="14.25" customHeight="1"/>
    <row r="37398" ht="14.25" customHeight="1"/>
    <row r="37399" ht="14.25" customHeight="1"/>
    <row r="37400" ht="14.25" customHeight="1"/>
    <row r="37401" ht="14.25" customHeight="1"/>
    <row r="37402" ht="14.25" customHeight="1"/>
    <row r="37403" ht="14.25" customHeight="1"/>
    <row r="37404" ht="14.25" customHeight="1"/>
    <row r="37405" ht="14.25" customHeight="1"/>
    <row r="37406" ht="14.25" customHeight="1"/>
    <row r="37407" ht="14.25" customHeight="1"/>
    <row r="37408" ht="14.25" customHeight="1"/>
    <row r="37409" ht="14.25" customHeight="1"/>
    <row r="37410" ht="14.25" customHeight="1"/>
    <row r="37411" ht="14.25" customHeight="1"/>
    <row r="37412" ht="14.25" customHeight="1"/>
    <row r="37413" ht="14.25" customHeight="1"/>
    <row r="37414" ht="14.25" customHeight="1"/>
    <row r="37415" ht="14.25" customHeight="1"/>
    <row r="37416" ht="14.25" customHeight="1"/>
    <row r="37417" ht="14.25" customHeight="1"/>
    <row r="37418" ht="14.25" customHeight="1"/>
    <row r="37419" ht="14.25" customHeight="1"/>
    <row r="37420" ht="14.25" customHeight="1"/>
    <row r="37421" ht="14.25" customHeight="1"/>
    <row r="37422" ht="14.25" customHeight="1"/>
    <row r="37423" ht="14.25" customHeight="1"/>
    <row r="37424" ht="14.25" customHeight="1"/>
    <row r="37425" ht="14.25" customHeight="1"/>
    <row r="37426" ht="14.25" customHeight="1"/>
    <row r="37427" ht="14.25" customHeight="1"/>
    <row r="37428" ht="14.25" customHeight="1"/>
    <row r="37429" ht="14.25" customHeight="1"/>
    <row r="37430" ht="14.25" customHeight="1"/>
    <row r="37431" ht="14.25" customHeight="1"/>
    <row r="37432" ht="14.25" customHeight="1"/>
    <row r="37433" ht="14.25" customHeight="1"/>
    <row r="37434" ht="14.25" customHeight="1"/>
    <row r="37435" ht="14.25" customHeight="1"/>
    <row r="37436" ht="14.25" customHeight="1"/>
    <row r="37437" ht="14.25" customHeight="1"/>
    <row r="37438" ht="14.25" customHeight="1"/>
    <row r="37439" ht="14.25" customHeight="1"/>
    <row r="37440" ht="14.25" customHeight="1"/>
    <row r="37441" ht="14.25" customHeight="1"/>
    <row r="37442" ht="14.25" customHeight="1"/>
    <row r="37443" ht="14.25" customHeight="1"/>
    <row r="37444" ht="14.25" customHeight="1"/>
    <row r="37445" ht="14.25" customHeight="1"/>
    <row r="37446" ht="14.25" customHeight="1"/>
    <row r="37447" ht="14.25" customHeight="1"/>
    <row r="37448" ht="14.25" customHeight="1"/>
    <row r="37449" ht="14.25" customHeight="1"/>
    <row r="37450" ht="14.25" customHeight="1"/>
    <row r="37451" ht="14.25" customHeight="1"/>
    <row r="37452" ht="14.25" customHeight="1"/>
    <row r="37453" ht="14.25" customHeight="1"/>
    <row r="37454" ht="14.25" customHeight="1"/>
    <row r="37455" ht="14.25" customHeight="1"/>
    <row r="37456" ht="14.25" customHeight="1"/>
    <row r="37457" ht="14.25" customHeight="1"/>
    <row r="37458" ht="14.25" customHeight="1"/>
    <row r="37459" ht="14.25" customHeight="1"/>
    <row r="37460" ht="14.25" customHeight="1"/>
    <row r="37461" ht="14.25" customHeight="1"/>
    <row r="37462" ht="14.25" customHeight="1"/>
    <row r="37463" ht="14.25" customHeight="1"/>
    <row r="37464" ht="14.25" customHeight="1"/>
    <row r="37465" ht="14.25" customHeight="1"/>
    <row r="37466" ht="14.25" customHeight="1"/>
    <row r="37467" ht="14.25" customHeight="1"/>
    <row r="37468" ht="14.25" customHeight="1"/>
    <row r="37469" ht="14.25" customHeight="1"/>
    <row r="37470" ht="14.25" customHeight="1"/>
    <row r="37471" ht="14.25" customHeight="1"/>
    <row r="37472" ht="14.25" customHeight="1"/>
    <row r="37473" ht="14.25" customHeight="1"/>
    <row r="37474" ht="14.25" customHeight="1"/>
    <row r="37475" ht="14.25" customHeight="1"/>
    <row r="37476" ht="14.25" customHeight="1"/>
    <row r="37477" ht="14.25" customHeight="1"/>
    <row r="37478" ht="14.25" customHeight="1"/>
    <row r="37479" ht="14.25" customHeight="1"/>
    <row r="37480" ht="14.25" customHeight="1"/>
    <row r="37481" ht="14.25" customHeight="1"/>
    <row r="37482" ht="14.25" customHeight="1"/>
    <row r="37483" ht="14.25" customHeight="1"/>
    <row r="37484" ht="14.25" customHeight="1"/>
    <row r="37485" ht="14.25" customHeight="1"/>
    <row r="37486" ht="14.25" customHeight="1"/>
    <row r="37487" ht="14.25" customHeight="1"/>
    <row r="37488" ht="14.25" customHeight="1"/>
    <row r="37489" ht="14.25" customHeight="1"/>
    <row r="37490" ht="14.25" customHeight="1"/>
    <row r="37491" ht="14.25" customHeight="1"/>
    <row r="37492" ht="14.25" customHeight="1"/>
    <row r="37493" ht="14.25" customHeight="1"/>
    <row r="37494" ht="14.25" customHeight="1"/>
    <row r="37495" ht="14.25" customHeight="1"/>
    <row r="37496" ht="14.25" customHeight="1"/>
    <row r="37497" ht="14.25" customHeight="1"/>
    <row r="37498" ht="14.25" customHeight="1"/>
    <row r="37499" ht="14.25" customHeight="1"/>
    <row r="37500" ht="14.25" customHeight="1"/>
    <row r="37501" ht="14.25" customHeight="1"/>
    <row r="37502" ht="14.25" customHeight="1"/>
    <row r="37503" ht="14.25" customHeight="1"/>
    <row r="37504" ht="14.25" customHeight="1"/>
    <row r="37505" ht="14.25" customHeight="1"/>
    <row r="37506" ht="14.25" customHeight="1"/>
    <row r="37507" ht="14.25" customHeight="1"/>
    <row r="37508" ht="14.25" customHeight="1"/>
    <row r="37509" ht="14.25" customHeight="1"/>
    <row r="37510" ht="14.25" customHeight="1"/>
    <row r="37511" ht="14.25" customHeight="1"/>
    <row r="37512" ht="14.25" customHeight="1"/>
    <row r="37513" ht="14.25" customHeight="1"/>
    <row r="37514" ht="14.25" customHeight="1"/>
    <row r="37515" ht="14.25" customHeight="1"/>
    <row r="37516" ht="14.25" customHeight="1"/>
    <row r="37517" ht="14.25" customHeight="1"/>
    <row r="37518" ht="14.25" customHeight="1"/>
    <row r="37519" ht="14.25" customHeight="1"/>
    <row r="37520" ht="14.25" customHeight="1"/>
    <row r="37521" ht="14.25" customHeight="1"/>
    <row r="37522" ht="14.25" customHeight="1"/>
    <row r="37523" ht="14.25" customHeight="1"/>
    <row r="37524" ht="14.25" customHeight="1"/>
    <row r="37525" ht="14.25" customHeight="1"/>
    <row r="37526" ht="14.25" customHeight="1"/>
    <row r="37527" ht="14.25" customHeight="1"/>
    <row r="37528" ht="14.25" customHeight="1"/>
    <row r="37529" ht="14.25" customHeight="1"/>
    <row r="37530" ht="14.25" customHeight="1"/>
    <row r="37531" ht="14.25" customHeight="1"/>
    <row r="37532" ht="14.25" customHeight="1"/>
    <row r="37533" ht="14.25" customHeight="1"/>
    <row r="37534" ht="14.25" customHeight="1"/>
    <row r="37535" ht="14.25" customHeight="1"/>
    <row r="37536" ht="14.25" customHeight="1"/>
    <row r="37537" ht="14.25" customHeight="1"/>
    <row r="37538" ht="14.25" customHeight="1"/>
    <row r="37539" ht="14.25" customHeight="1"/>
    <row r="37540" ht="14.25" customHeight="1"/>
    <row r="37541" ht="14.25" customHeight="1"/>
    <row r="37542" ht="14.25" customHeight="1"/>
    <row r="37543" ht="14.25" customHeight="1"/>
    <row r="37544" ht="14.25" customHeight="1"/>
    <row r="37545" ht="14.25" customHeight="1"/>
    <row r="37546" ht="14.25" customHeight="1"/>
    <row r="37547" ht="14.25" customHeight="1"/>
    <row r="37548" ht="14.25" customHeight="1"/>
    <row r="37549" ht="14.25" customHeight="1"/>
    <row r="37550" ht="14.25" customHeight="1"/>
    <row r="37551" ht="14.25" customHeight="1"/>
    <row r="37552" ht="14.25" customHeight="1"/>
    <row r="37553" ht="14.25" customHeight="1"/>
    <row r="37554" ht="14.25" customHeight="1"/>
    <row r="37555" ht="14.25" customHeight="1"/>
    <row r="37556" ht="14.25" customHeight="1"/>
    <row r="37557" ht="14.25" customHeight="1"/>
    <row r="37558" ht="14.25" customHeight="1"/>
    <row r="37559" ht="14.25" customHeight="1"/>
    <row r="37560" ht="14.25" customHeight="1"/>
    <row r="37561" ht="14.25" customHeight="1"/>
    <row r="37562" ht="14.25" customHeight="1"/>
    <row r="37563" ht="14.25" customHeight="1"/>
    <row r="37564" ht="14.25" customHeight="1"/>
    <row r="37565" ht="14.25" customHeight="1"/>
    <row r="37566" ht="14.25" customHeight="1"/>
    <row r="37567" ht="14.25" customHeight="1"/>
    <row r="37568" ht="14.25" customHeight="1"/>
    <row r="37569" ht="14.25" customHeight="1"/>
    <row r="37570" ht="14.25" customHeight="1"/>
    <row r="37571" ht="14.25" customHeight="1"/>
    <row r="37572" ht="14.25" customHeight="1"/>
    <row r="37573" ht="14.25" customHeight="1"/>
    <row r="37574" ht="14.25" customHeight="1"/>
    <row r="37575" ht="14.25" customHeight="1"/>
    <row r="37576" ht="14.25" customHeight="1"/>
    <row r="37577" ht="14.25" customHeight="1"/>
    <row r="37578" ht="14.25" customHeight="1"/>
    <row r="37579" ht="14.25" customHeight="1"/>
    <row r="37580" ht="14.25" customHeight="1"/>
    <row r="37581" ht="14.25" customHeight="1"/>
    <row r="37582" ht="14.25" customHeight="1"/>
    <row r="37583" ht="14.25" customHeight="1"/>
    <row r="37584" ht="14.25" customHeight="1"/>
    <row r="37585" ht="14.25" customHeight="1"/>
    <row r="37586" ht="14.25" customHeight="1"/>
    <row r="37587" ht="14.25" customHeight="1"/>
    <row r="37588" ht="14.25" customHeight="1"/>
    <row r="37589" ht="14.25" customHeight="1"/>
    <row r="37590" ht="14.25" customHeight="1"/>
    <row r="37591" ht="14.25" customHeight="1"/>
    <row r="37592" ht="14.25" customHeight="1"/>
    <row r="37593" ht="14.25" customHeight="1"/>
    <row r="37594" ht="14.25" customHeight="1"/>
    <row r="37595" ht="14.25" customHeight="1"/>
    <row r="37596" ht="14.25" customHeight="1"/>
    <row r="37597" ht="14.25" customHeight="1"/>
    <row r="37598" ht="14.25" customHeight="1"/>
    <row r="37599" ht="14.25" customHeight="1"/>
    <row r="37600" ht="14.25" customHeight="1"/>
    <row r="37601" ht="14.25" customHeight="1"/>
    <row r="37602" ht="14.25" customHeight="1"/>
    <row r="37603" ht="14.25" customHeight="1"/>
    <row r="37604" ht="14.25" customHeight="1"/>
    <row r="37605" ht="14.25" customHeight="1"/>
    <row r="37606" ht="14.25" customHeight="1"/>
    <row r="37607" ht="14.25" customHeight="1"/>
    <row r="37608" ht="14.25" customHeight="1"/>
    <row r="37609" ht="14.25" customHeight="1"/>
    <row r="37610" ht="14.25" customHeight="1"/>
    <row r="37611" ht="14.25" customHeight="1"/>
    <row r="37612" ht="14.25" customHeight="1"/>
    <row r="37613" ht="14.25" customHeight="1"/>
    <row r="37614" ht="14.25" customHeight="1"/>
    <row r="37615" ht="14.25" customHeight="1"/>
    <row r="37616" ht="14.25" customHeight="1"/>
    <row r="37617" ht="14.25" customHeight="1"/>
    <row r="37618" ht="14.25" customHeight="1"/>
    <row r="37619" ht="14.25" customHeight="1"/>
    <row r="37620" ht="14.25" customHeight="1"/>
    <row r="37621" ht="14.25" customHeight="1"/>
    <row r="37622" ht="14.25" customHeight="1"/>
    <row r="37623" ht="14.25" customHeight="1"/>
    <row r="37624" ht="14.25" customHeight="1"/>
    <row r="37625" ht="14.25" customHeight="1"/>
    <row r="37626" ht="14.25" customHeight="1"/>
    <row r="37627" ht="14.25" customHeight="1"/>
    <row r="37628" ht="14.25" customHeight="1"/>
    <row r="37629" ht="14.25" customHeight="1"/>
    <row r="37630" ht="14.25" customHeight="1"/>
    <row r="37631" ht="14.25" customHeight="1"/>
    <row r="37632" ht="14.25" customHeight="1"/>
    <row r="37633" ht="14.25" customHeight="1"/>
    <row r="37634" ht="14.25" customHeight="1"/>
    <row r="37635" ht="14.25" customHeight="1"/>
    <row r="37636" ht="14.25" customHeight="1"/>
    <row r="37637" ht="14.25" customHeight="1"/>
    <row r="37638" ht="14.25" customHeight="1"/>
    <row r="37639" ht="14.25" customHeight="1"/>
    <row r="37640" ht="14.25" customHeight="1"/>
    <row r="37641" ht="14.25" customHeight="1"/>
    <row r="37642" ht="14.25" customHeight="1"/>
    <row r="37643" ht="14.25" customHeight="1"/>
    <row r="37644" ht="14.25" customHeight="1"/>
    <row r="37645" ht="14.25" customHeight="1"/>
    <row r="37646" ht="14.25" customHeight="1"/>
    <row r="37647" ht="14.25" customHeight="1"/>
    <row r="37648" ht="14.25" customHeight="1"/>
    <row r="37649" ht="14.25" customHeight="1"/>
    <row r="37650" ht="14.25" customHeight="1"/>
    <row r="37651" ht="14.25" customHeight="1"/>
    <row r="37652" ht="14.25" customHeight="1"/>
    <row r="37653" ht="14.25" customHeight="1"/>
    <row r="37654" ht="14.25" customHeight="1"/>
    <row r="37655" ht="14.25" customHeight="1"/>
    <row r="37656" ht="14.25" customHeight="1"/>
    <row r="37657" ht="14.25" customHeight="1"/>
    <row r="37658" ht="14.25" customHeight="1"/>
    <row r="37659" ht="14.25" customHeight="1"/>
    <row r="37660" ht="14.25" customHeight="1"/>
    <row r="37661" ht="14.25" customHeight="1"/>
    <row r="37662" ht="14.25" customHeight="1"/>
    <row r="37663" ht="14.25" customHeight="1"/>
    <row r="37664" ht="14.25" customHeight="1"/>
    <row r="37665" ht="14.25" customHeight="1"/>
    <row r="37666" ht="14.25" customHeight="1"/>
    <row r="37667" ht="14.25" customHeight="1"/>
    <row r="37668" ht="14.25" customHeight="1"/>
    <row r="37669" ht="14.25" customHeight="1"/>
    <row r="37670" ht="14.25" customHeight="1"/>
    <row r="37671" ht="14.25" customHeight="1"/>
    <row r="37672" ht="14.25" customHeight="1"/>
    <row r="37673" ht="14.25" customHeight="1"/>
    <row r="37674" ht="14.25" customHeight="1"/>
    <row r="37675" ht="14.25" customHeight="1"/>
    <row r="37676" ht="14.25" customHeight="1"/>
    <row r="37677" ht="14.25" customHeight="1"/>
    <row r="37678" ht="14.25" customHeight="1"/>
    <row r="37679" ht="14.25" customHeight="1"/>
    <row r="37680" ht="14.25" customHeight="1"/>
    <row r="37681" ht="14.25" customHeight="1"/>
    <row r="37682" ht="14.25" customHeight="1"/>
    <row r="37683" ht="14.25" customHeight="1"/>
    <row r="37684" ht="14.25" customHeight="1"/>
    <row r="37685" ht="14.25" customHeight="1"/>
    <row r="37686" ht="14.25" customHeight="1"/>
    <row r="37687" ht="14.25" customHeight="1"/>
    <row r="37688" ht="14.25" customHeight="1"/>
    <row r="37689" ht="14.25" customHeight="1"/>
    <row r="37690" ht="14.25" customHeight="1"/>
    <row r="37691" ht="14.25" customHeight="1"/>
    <row r="37692" ht="14.25" customHeight="1"/>
    <row r="37693" ht="14.25" customHeight="1"/>
    <row r="37694" ht="14.25" customHeight="1"/>
    <row r="37695" ht="14.25" customHeight="1"/>
    <row r="37696" ht="14.25" customHeight="1"/>
    <row r="37697" ht="14.25" customHeight="1"/>
    <row r="37698" ht="14.25" customHeight="1"/>
    <row r="37699" ht="14.25" customHeight="1"/>
    <row r="37700" ht="14.25" customHeight="1"/>
    <row r="37701" ht="14.25" customHeight="1"/>
    <row r="37702" ht="14.25" customHeight="1"/>
    <row r="37703" ht="14.25" customHeight="1"/>
    <row r="37704" ht="14.25" customHeight="1"/>
    <row r="37705" ht="14.25" customHeight="1"/>
    <row r="37706" ht="14.25" customHeight="1"/>
    <row r="37707" ht="14.25" customHeight="1"/>
    <row r="37708" ht="14.25" customHeight="1"/>
    <row r="37709" ht="14.25" customHeight="1"/>
    <row r="37710" ht="14.25" customHeight="1"/>
    <row r="37711" ht="14.25" customHeight="1"/>
    <row r="37712" ht="14.25" customHeight="1"/>
    <row r="37713" ht="14.25" customHeight="1"/>
    <row r="37714" ht="14.25" customHeight="1"/>
    <row r="37715" ht="14.25" customHeight="1"/>
    <row r="37716" ht="14.25" customHeight="1"/>
    <row r="37717" ht="14.25" customHeight="1"/>
    <row r="37718" ht="14.25" customHeight="1"/>
    <row r="37719" ht="14.25" customHeight="1"/>
    <row r="37720" ht="14.25" customHeight="1"/>
    <row r="37721" ht="14.25" customHeight="1"/>
    <row r="37722" ht="14.25" customHeight="1"/>
    <row r="37723" ht="14.25" customHeight="1"/>
    <row r="37724" ht="14.25" customHeight="1"/>
    <row r="37725" ht="14.25" customHeight="1"/>
    <row r="37726" ht="14.25" customHeight="1"/>
    <row r="37727" ht="14.25" customHeight="1"/>
    <row r="37728" ht="14.25" customHeight="1"/>
    <row r="37729" ht="14.25" customHeight="1"/>
    <row r="37730" ht="14.25" customHeight="1"/>
    <row r="37731" ht="14.25" customHeight="1"/>
    <row r="37732" ht="14.25" customHeight="1"/>
    <row r="37733" ht="14.25" customHeight="1"/>
    <row r="37734" ht="14.25" customHeight="1"/>
    <row r="37735" ht="14.25" customHeight="1"/>
    <row r="37736" ht="14.25" customHeight="1"/>
    <row r="37737" ht="14.25" customHeight="1"/>
    <row r="37738" ht="14.25" customHeight="1"/>
    <row r="37739" ht="14.25" customHeight="1"/>
    <row r="37740" ht="14.25" customHeight="1"/>
    <row r="37741" ht="14.25" customHeight="1"/>
    <row r="37742" ht="14.25" customHeight="1"/>
    <row r="37743" ht="14.25" customHeight="1"/>
    <row r="37744" ht="14.25" customHeight="1"/>
    <row r="37745" ht="14.25" customHeight="1"/>
    <row r="37746" ht="14.25" customHeight="1"/>
    <row r="37747" ht="14.25" customHeight="1"/>
    <row r="37748" ht="14.25" customHeight="1"/>
    <row r="37749" ht="14.25" customHeight="1"/>
    <row r="37750" ht="14.25" customHeight="1"/>
    <row r="37751" ht="14.25" customHeight="1"/>
    <row r="37752" ht="14.25" customHeight="1"/>
    <row r="37753" ht="14.25" customHeight="1"/>
    <row r="37754" ht="14.25" customHeight="1"/>
    <row r="37755" ht="14.25" customHeight="1"/>
    <row r="37756" ht="14.25" customHeight="1"/>
    <row r="37757" ht="14.25" customHeight="1"/>
    <row r="37758" ht="14.25" customHeight="1"/>
    <row r="37759" ht="14.25" customHeight="1"/>
    <row r="37760" ht="14.25" customHeight="1"/>
    <row r="37761" ht="14.25" customHeight="1"/>
    <row r="37762" ht="14.25" customHeight="1"/>
    <row r="37763" ht="14.25" customHeight="1"/>
    <row r="37764" ht="14.25" customHeight="1"/>
    <row r="37765" ht="14.25" customHeight="1"/>
    <row r="37766" ht="14.25" customHeight="1"/>
    <row r="37767" ht="14.25" customHeight="1"/>
    <row r="37768" ht="14.25" customHeight="1"/>
    <row r="37769" ht="14.25" customHeight="1"/>
    <row r="37770" ht="14.25" customHeight="1"/>
    <row r="37771" ht="14.25" customHeight="1"/>
    <row r="37772" ht="14.25" customHeight="1"/>
    <row r="37773" ht="14.25" customHeight="1"/>
    <row r="37774" ht="14.25" customHeight="1"/>
    <row r="37775" ht="14.25" customHeight="1"/>
    <row r="37776" ht="14.25" customHeight="1"/>
    <row r="37777" ht="14.25" customHeight="1"/>
    <row r="37778" ht="14.25" customHeight="1"/>
    <row r="37779" ht="14.25" customHeight="1"/>
    <row r="37780" ht="14.25" customHeight="1"/>
    <row r="37781" ht="14.25" customHeight="1"/>
    <row r="37782" ht="14.25" customHeight="1"/>
    <row r="37783" ht="14.25" customHeight="1"/>
    <row r="37784" ht="14.25" customHeight="1"/>
    <row r="37785" ht="14.25" customHeight="1"/>
    <row r="37786" ht="14.25" customHeight="1"/>
    <row r="37787" ht="14.25" customHeight="1"/>
    <row r="37788" ht="14.25" customHeight="1"/>
    <row r="37789" ht="14.25" customHeight="1"/>
    <row r="37790" ht="14.25" customHeight="1"/>
    <row r="37791" ht="14.25" customHeight="1"/>
    <row r="37792" ht="14.25" customHeight="1"/>
    <row r="37793" ht="14.25" customHeight="1"/>
    <row r="37794" ht="14.25" customHeight="1"/>
    <row r="37795" ht="14.25" customHeight="1"/>
    <row r="37796" ht="14.25" customHeight="1"/>
    <row r="37797" ht="14.25" customHeight="1"/>
    <row r="37798" ht="14.25" customHeight="1"/>
    <row r="37799" ht="14.25" customHeight="1"/>
    <row r="37800" ht="14.25" customHeight="1"/>
    <row r="37801" ht="14.25" customHeight="1"/>
    <row r="37802" ht="14.25" customHeight="1"/>
    <row r="37803" ht="14.25" customHeight="1"/>
    <row r="37804" ht="14.25" customHeight="1"/>
    <row r="37805" ht="14.25" customHeight="1"/>
    <row r="37806" ht="14.25" customHeight="1"/>
    <row r="37807" ht="14.25" customHeight="1"/>
    <row r="37808" ht="14.25" customHeight="1"/>
    <row r="37809" ht="14.25" customHeight="1"/>
    <row r="37810" ht="14.25" customHeight="1"/>
    <row r="37811" ht="14.25" customHeight="1"/>
    <row r="37812" ht="14.25" customHeight="1"/>
    <row r="37813" ht="14.25" customHeight="1"/>
    <row r="37814" ht="14.25" customHeight="1"/>
    <row r="37815" ht="14.25" customHeight="1"/>
    <row r="37816" ht="14.25" customHeight="1"/>
    <row r="37817" ht="14.25" customHeight="1"/>
    <row r="37818" ht="14.25" customHeight="1"/>
    <row r="37819" ht="14.25" customHeight="1"/>
    <row r="37820" ht="14.25" customHeight="1"/>
    <row r="37821" ht="14.25" customHeight="1"/>
    <row r="37822" ht="14.25" customHeight="1"/>
    <row r="37823" ht="14.25" customHeight="1"/>
    <row r="37824" ht="14.25" customHeight="1"/>
    <row r="37825" ht="14.25" customHeight="1"/>
    <row r="37826" ht="14.25" customHeight="1"/>
    <row r="37827" ht="14.25" customHeight="1"/>
    <row r="37828" ht="14.25" customHeight="1"/>
    <row r="37829" ht="14.25" customHeight="1"/>
    <row r="37830" ht="14.25" customHeight="1"/>
    <row r="37831" ht="14.25" customHeight="1"/>
    <row r="37832" ht="14.25" customHeight="1"/>
    <row r="37833" ht="14.25" customHeight="1"/>
    <row r="37834" ht="14.25" customHeight="1"/>
    <row r="37835" ht="14.25" customHeight="1"/>
    <row r="37836" ht="14.25" customHeight="1"/>
    <row r="37837" ht="14.25" customHeight="1"/>
    <row r="37838" ht="14.25" customHeight="1"/>
    <row r="37839" ht="14.25" customHeight="1"/>
    <row r="37840" ht="14.25" customHeight="1"/>
    <row r="37841" ht="14.25" customHeight="1"/>
    <row r="37842" ht="14.25" customHeight="1"/>
    <row r="37843" ht="14.25" customHeight="1"/>
    <row r="37844" ht="14.25" customHeight="1"/>
    <row r="37845" ht="14.25" customHeight="1"/>
    <row r="37846" ht="14.25" customHeight="1"/>
    <row r="37847" ht="14.25" customHeight="1"/>
    <row r="37848" ht="14.25" customHeight="1"/>
    <row r="37849" ht="14.25" customHeight="1"/>
    <row r="37850" ht="14.25" customHeight="1"/>
    <row r="37851" ht="14.25" customHeight="1"/>
    <row r="37852" ht="14.25" customHeight="1"/>
    <row r="37853" ht="14.25" customHeight="1"/>
    <row r="37854" ht="14.25" customHeight="1"/>
    <row r="37855" ht="14.25" customHeight="1"/>
    <row r="37856" ht="14.25" customHeight="1"/>
    <row r="37857" ht="14.25" customHeight="1"/>
    <row r="37858" ht="14.25" customHeight="1"/>
    <row r="37859" ht="14.25" customHeight="1"/>
    <row r="37860" ht="14.25" customHeight="1"/>
    <row r="37861" ht="14.25" customHeight="1"/>
    <row r="37862" ht="14.25" customHeight="1"/>
    <row r="37863" ht="14.25" customHeight="1"/>
    <row r="37864" ht="14.25" customHeight="1"/>
    <row r="37865" ht="14.25" customHeight="1"/>
    <row r="37866" ht="14.25" customHeight="1"/>
    <row r="37867" ht="14.25" customHeight="1"/>
    <row r="37868" ht="14.25" customHeight="1"/>
    <row r="37869" ht="14.25" customHeight="1"/>
    <row r="37870" ht="14.25" customHeight="1"/>
    <row r="37871" ht="14.25" customHeight="1"/>
    <row r="37872" ht="14.25" customHeight="1"/>
    <row r="37873" ht="14.25" customHeight="1"/>
    <row r="37874" ht="14.25" customHeight="1"/>
    <row r="37875" ht="14.25" customHeight="1"/>
    <row r="37876" ht="14.25" customHeight="1"/>
    <row r="37877" ht="14.25" customHeight="1"/>
    <row r="37878" ht="14.25" customHeight="1"/>
    <row r="37879" ht="14.25" customHeight="1"/>
    <row r="37880" ht="14.25" customHeight="1"/>
    <row r="37881" ht="14.25" customHeight="1"/>
    <row r="37882" ht="14.25" customHeight="1"/>
    <row r="37883" ht="14.25" customHeight="1"/>
    <row r="37884" ht="14.25" customHeight="1"/>
    <row r="37885" ht="14.25" customHeight="1"/>
    <row r="37886" ht="14.25" customHeight="1"/>
    <row r="37887" ht="14.25" customHeight="1"/>
    <row r="37888" ht="14.25" customHeight="1"/>
    <row r="37889" ht="14.25" customHeight="1"/>
    <row r="37890" ht="14.25" customHeight="1"/>
    <row r="37891" ht="14.25" customHeight="1"/>
    <row r="37892" ht="14.25" customHeight="1"/>
    <row r="37893" ht="14.25" customHeight="1"/>
    <row r="37894" ht="14.25" customHeight="1"/>
    <row r="37895" ht="14.25" customHeight="1"/>
    <row r="37896" ht="14.25" customHeight="1"/>
    <row r="37897" ht="14.25" customHeight="1"/>
    <row r="37898" ht="14.25" customHeight="1"/>
    <row r="37899" ht="14.25" customHeight="1"/>
    <row r="37900" ht="14.25" customHeight="1"/>
    <row r="37901" ht="14.25" customHeight="1"/>
    <row r="37902" ht="14.25" customHeight="1"/>
    <row r="37903" ht="14.25" customHeight="1"/>
    <row r="37904" ht="14.25" customHeight="1"/>
    <row r="37905" ht="14.25" customHeight="1"/>
    <row r="37906" ht="14.25" customHeight="1"/>
    <row r="37907" ht="14.25" customHeight="1"/>
    <row r="37908" ht="14.25" customHeight="1"/>
    <row r="37909" ht="14.25" customHeight="1"/>
    <row r="37910" ht="14.25" customHeight="1"/>
    <row r="37911" ht="14.25" customHeight="1"/>
    <row r="37912" ht="14.25" customHeight="1"/>
    <row r="37913" ht="14.25" customHeight="1"/>
    <row r="37914" ht="14.25" customHeight="1"/>
    <row r="37915" ht="14.25" customHeight="1"/>
    <row r="37916" ht="14.25" customHeight="1"/>
    <row r="37917" ht="14.25" customHeight="1"/>
    <row r="37918" ht="14.25" customHeight="1"/>
    <row r="37919" ht="14.25" customHeight="1"/>
    <row r="37920" ht="14.25" customHeight="1"/>
    <row r="37921" ht="14.25" customHeight="1"/>
    <row r="37922" ht="14.25" customHeight="1"/>
    <row r="37923" ht="14.25" customHeight="1"/>
    <row r="37924" ht="14.25" customHeight="1"/>
    <row r="37925" ht="14.25" customHeight="1"/>
    <row r="37926" ht="14.25" customHeight="1"/>
    <row r="37927" ht="14.25" customHeight="1"/>
    <row r="37928" ht="14.25" customHeight="1"/>
    <row r="37929" ht="14.25" customHeight="1"/>
    <row r="37930" ht="14.25" customHeight="1"/>
    <row r="37931" ht="14.25" customHeight="1"/>
    <row r="37932" ht="14.25" customHeight="1"/>
    <row r="37933" ht="14.25" customHeight="1"/>
    <row r="37934" ht="14.25" customHeight="1"/>
    <row r="37935" ht="14.25" customHeight="1"/>
    <row r="37936" ht="14.25" customHeight="1"/>
    <row r="37937" ht="14.25" customHeight="1"/>
    <row r="37938" ht="14.25" customHeight="1"/>
    <row r="37939" ht="14.25" customHeight="1"/>
    <row r="37940" ht="14.25" customHeight="1"/>
    <row r="37941" ht="14.25" customHeight="1"/>
    <row r="37942" ht="14.25" customHeight="1"/>
    <row r="37943" ht="14.25" customHeight="1"/>
    <row r="37944" ht="14.25" customHeight="1"/>
    <row r="37945" ht="14.25" customHeight="1"/>
    <row r="37946" ht="14.25" customHeight="1"/>
    <row r="37947" ht="14.25" customHeight="1"/>
    <row r="37948" ht="14.25" customHeight="1"/>
    <row r="37949" ht="14.25" customHeight="1"/>
    <row r="37950" ht="14.25" customHeight="1"/>
    <row r="37951" ht="14.25" customHeight="1"/>
    <row r="37952" ht="14.25" customHeight="1"/>
    <row r="37953" ht="14.25" customHeight="1"/>
    <row r="37954" ht="14.25" customHeight="1"/>
    <row r="37955" ht="14.25" customHeight="1"/>
    <row r="37956" ht="14.25" customHeight="1"/>
    <row r="37957" ht="14.25" customHeight="1"/>
    <row r="37958" ht="14.25" customHeight="1"/>
    <row r="37959" ht="14.25" customHeight="1"/>
    <row r="37960" ht="14.25" customHeight="1"/>
    <row r="37961" ht="14.25" customHeight="1"/>
    <row r="37962" ht="14.25" customHeight="1"/>
    <row r="37963" ht="14.25" customHeight="1"/>
    <row r="37964" ht="14.25" customHeight="1"/>
    <row r="37965" ht="14.25" customHeight="1"/>
    <row r="37966" ht="14.25" customHeight="1"/>
    <row r="37967" ht="14.25" customHeight="1"/>
    <row r="37968" ht="14.25" customHeight="1"/>
    <row r="37969" ht="14.25" customHeight="1"/>
    <row r="37970" ht="14.25" customHeight="1"/>
    <row r="37971" ht="14.25" customHeight="1"/>
    <row r="37972" ht="14.25" customHeight="1"/>
    <row r="37973" ht="14.25" customHeight="1"/>
    <row r="37974" ht="14.25" customHeight="1"/>
    <row r="37975" ht="14.25" customHeight="1"/>
    <row r="37976" ht="14.25" customHeight="1"/>
    <row r="37977" ht="14.25" customHeight="1"/>
    <row r="37978" ht="14.25" customHeight="1"/>
    <row r="37979" ht="14.25" customHeight="1"/>
    <row r="37980" ht="14.25" customHeight="1"/>
    <row r="37981" ht="14.25" customHeight="1"/>
    <row r="37982" ht="14.25" customHeight="1"/>
    <row r="37983" ht="14.25" customHeight="1"/>
    <row r="37984" ht="14.25" customHeight="1"/>
    <row r="37985" ht="14.25" customHeight="1"/>
    <row r="37986" ht="14.25" customHeight="1"/>
    <row r="37987" ht="14.25" customHeight="1"/>
    <row r="37988" ht="14.25" customHeight="1"/>
    <row r="37989" ht="14.25" customHeight="1"/>
    <row r="37990" ht="14.25" customHeight="1"/>
    <row r="37991" ht="14.25" customHeight="1"/>
    <row r="37992" ht="14.25" customHeight="1"/>
    <row r="37993" ht="14.25" customHeight="1"/>
    <row r="37994" ht="14.25" customHeight="1"/>
    <row r="37995" ht="14.25" customHeight="1"/>
    <row r="37996" ht="14.25" customHeight="1"/>
    <row r="37997" ht="14.25" customHeight="1"/>
    <row r="37998" ht="14.25" customHeight="1"/>
    <row r="37999" ht="14.25" customHeight="1"/>
    <row r="38000" ht="14.25" customHeight="1"/>
    <row r="38001" ht="14.25" customHeight="1"/>
    <row r="38002" ht="14.25" customHeight="1"/>
    <row r="38003" ht="14.25" customHeight="1"/>
    <row r="38004" ht="14.25" customHeight="1"/>
    <row r="38005" ht="14.25" customHeight="1"/>
    <row r="38006" ht="14.25" customHeight="1"/>
    <row r="38007" ht="14.25" customHeight="1"/>
    <row r="38008" ht="14.25" customHeight="1"/>
    <row r="38009" ht="14.25" customHeight="1"/>
    <row r="38010" ht="14.25" customHeight="1"/>
    <row r="38011" ht="14.25" customHeight="1"/>
    <row r="38012" ht="14.25" customHeight="1"/>
    <row r="38013" ht="14.25" customHeight="1"/>
    <row r="38014" ht="14.25" customHeight="1"/>
    <row r="38015" ht="14.25" customHeight="1"/>
    <row r="38016" ht="14.25" customHeight="1"/>
    <row r="38017" ht="14.25" customHeight="1"/>
    <row r="38018" ht="14.25" customHeight="1"/>
    <row r="38019" ht="14.25" customHeight="1"/>
    <row r="38020" ht="14.25" customHeight="1"/>
    <row r="38021" ht="14.25" customHeight="1"/>
    <row r="38022" ht="14.25" customHeight="1"/>
    <row r="38023" ht="14.25" customHeight="1"/>
    <row r="38024" ht="14.25" customHeight="1"/>
    <row r="38025" ht="14.25" customHeight="1"/>
    <row r="38026" ht="14.25" customHeight="1"/>
    <row r="38027" ht="14.25" customHeight="1"/>
    <row r="38028" ht="14.25" customHeight="1"/>
    <row r="38029" ht="14.25" customHeight="1"/>
    <row r="38030" ht="14.25" customHeight="1"/>
    <row r="38031" ht="14.25" customHeight="1"/>
    <row r="38032" ht="14.25" customHeight="1"/>
    <row r="38033" ht="14.25" customHeight="1"/>
    <row r="38034" ht="14.25" customHeight="1"/>
    <row r="38035" ht="14.25" customHeight="1"/>
    <row r="38036" ht="14.25" customHeight="1"/>
    <row r="38037" ht="14.25" customHeight="1"/>
    <row r="38038" ht="14.25" customHeight="1"/>
    <row r="38039" ht="14.25" customHeight="1"/>
    <row r="38040" ht="14.25" customHeight="1"/>
    <row r="38041" ht="14.25" customHeight="1"/>
    <row r="38042" ht="14.25" customHeight="1"/>
    <row r="38043" ht="14.25" customHeight="1"/>
    <row r="38044" ht="14.25" customHeight="1"/>
    <row r="38045" ht="14.25" customHeight="1"/>
    <row r="38046" ht="14.25" customHeight="1"/>
    <row r="38047" ht="14.25" customHeight="1"/>
    <row r="38048" ht="14.25" customHeight="1"/>
    <row r="38049" ht="14.25" customHeight="1"/>
    <row r="38050" ht="14.25" customHeight="1"/>
    <row r="38051" ht="14.25" customHeight="1"/>
    <row r="38052" ht="14.25" customHeight="1"/>
    <row r="38053" ht="14.25" customHeight="1"/>
    <row r="38054" ht="14.25" customHeight="1"/>
    <row r="38055" ht="14.25" customHeight="1"/>
    <row r="38056" ht="14.25" customHeight="1"/>
    <row r="38057" ht="14.25" customHeight="1"/>
    <row r="38058" ht="14.25" customHeight="1"/>
    <row r="38059" ht="14.25" customHeight="1"/>
    <row r="38060" ht="14.25" customHeight="1"/>
    <row r="38061" ht="14.25" customHeight="1"/>
    <row r="38062" ht="14.25" customHeight="1"/>
    <row r="38063" ht="14.25" customHeight="1"/>
    <row r="38064" ht="14.25" customHeight="1"/>
    <row r="38065" ht="14.25" customHeight="1"/>
    <row r="38066" ht="14.25" customHeight="1"/>
    <row r="38067" ht="14.25" customHeight="1"/>
    <row r="38068" ht="14.25" customHeight="1"/>
    <row r="38069" ht="14.25" customHeight="1"/>
    <row r="38070" ht="14.25" customHeight="1"/>
    <row r="38071" ht="14.25" customHeight="1"/>
    <row r="38072" ht="14.25" customHeight="1"/>
    <row r="38073" ht="14.25" customHeight="1"/>
    <row r="38074" ht="14.25" customHeight="1"/>
    <row r="38075" ht="14.25" customHeight="1"/>
    <row r="38076" ht="14.25" customHeight="1"/>
    <row r="38077" ht="14.25" customHeight="1"/>
    <row r="38078" ht="14.25" customHeight="1"/>
    <row r="38079" ht="14.25" customHeight="1"/>
    <row r="38080" ht="14.25" customHeight="1"/>
    <row r="38081" ht="14.25" customHeight="1"/>
    <row r="38082" ht="14.25" customHeight="1"/>
    <row r="38083" ht="14.25" customHeight="1"/>
    <row r="38084" ht="14.25" customHeight="1"/>
    <row r="38085" ht="14.25" customHeight="1"/>
    <row r="38086" ht="14.25" customHeight="1"/>
    <row r="38087" ht="14.25" customHeight="1"/>
    <row r="38088" ht="14.25" customHeight="1"/>
    <row r="38089" ht="14.25" customHeight="1"/>
    <row r="38090" ht="14.25" customHeight="1"/>
    <row r="38091" ht="14.25" customHeight="1"/>
    <row r="38092" ht="14.25" customHeight="1"/>
    <row r="38093" ht="14.25" customHeight="1"/>
    <row r="38094" ht="14.25" customHeight="1"/>
    <row r="38095" ht="14.25" customHeight="1"/>
    <row r="38096" ht="14.25" customHeight="1"/>
    <row r="38097" ht="14.25" customHeight="1"/>
    <row r="38098" ht="14.25" customHeight="1"/>
    <row r="38099" ht="14.25" customHeight="1"/>
    <row r="38100" ht="14.25" customHeight="1"/>
    <row r="38101" ht="14.25" customHeight="1"/>
    <row r="38102" ht="14.25" customHeight="1"/>
    <row r="38103" ht="14.25" customHeight="1"/>
    <row r="38104" ht="14.25" customHeight="1"/>
    <row r="38105" ht="14.25" customHeight="1"/>
    <row r="38106" ht="14.25" customHeight="1"/>
    <row r="38107" ht="14.25" customHeight="1"/>
    <row r="38108" ht="14.25" customHeight="1"/>
    <row r="38109" ht="14.25" customHeight="1"/>
    <row r="38110" ht="14.25" customHeight="1"/>
    <row r="38111" ht="14.25" customHeight="1"/>
    <row r="38112" ht="14.25" customHeight="1"/>
    <row r="38113" ht="14.25" customHeight="1"/>
    <row r="38114" ht="14.25" customHeight="1"/>
    <row r="38115" ht="14.25" customHeight="1"/>
    <row r="38116" ht="14.25" customHeight="1"/>
    <row r="38117" ht="14.25" customHeight="1"/>
    <row r="38118" ht="14.25" customHeight="1"/>
    <row r="38119" ht="14.25" customHeight="1"/>
    <row r="38120" ht="14.25" customHeight="1"/>
    <row r="38121" ht="14.25" customHeight="1"/>
    <row r="38122" ht="14.25" customHeight="1"/>
    <row r="38123" ht="14.25" customHeight="1"/>
    <row r="38124" ht="14.25" customHeight="1"/>
    <row r="38125" ht="14.25" customHeight="1"/>
    <row r="38126" ht="14.25" customHeight="1"/>
    <row r="38127" ht="14.25" customHeight="1"/>
    <row r="38128" ht="14.25" customHeight="1"/>
    <row r="38129" ht="14.25" customHeight="1"/>
    <row r="38130" ht="14.25" customHeight="1"/>
    <row r="38131" ht="14.25" customHeight="1"/>
    <row r="38132" ht="14.25" customHeight="1"/>
    <row r="38133" ht="14.25" customHeight="1"/>
    <row r="38134" ht="14.25" customHeight="1"/>
    <row r="38135" ht="14.25" customHeight="1"/>
    <row r="38136" ht="14.25" customHeight="1"/>
    <row r="38137" ht="14.25" customHeight="1"/>
    <row r="38138" ht="14.25" customHeight="1"/>
    <row r="38139" ht="14.25" customHeight="1"/>
    <row r="38140" ht="14.25" customHeight="1"/>
    <row r="38141" ht="14.25" customHeight="1"/>
    <row r="38142" ht="14.25" customHeight="1"/>
    <row r="38143" ht="14.25" customHeight="1"/>
    <row r="38144" ht="14.25" customHeight="1"/>
    <row r="38145" ht="14.25" customHeight="1"/>
    <row r="38146" ht="14.25" customHeight="1"/>
    <row r="38147" ht="14.25" customHeight="1"/>
    <row r="38148" ht="14.25" customHeight="1"/>
    <row r="38149" ht="14.25" customHeight="1"/>
    <row r="38150" ht="14.25" customHeight="1"/>
    <row r="38151" ht="14.25" customHeight="1"/>
    <row r="38152" ht="14.25" customHeight="1"/>
    <row r="38153" ht="14.25" customHeight="1"/>
    <row r="38154" ht="14.25" customHeight="1"/>
    <row r="38155" ht="14.25" customHeight="1"/>
    <row r="38156" ht="14.25" customHeight="1"/>
    <row r="38157" ht="14.25" customHeight="1"/>
    <row r="38158" ht="14.25" customHeight="1"/>
    <row r="38159" ht="14.25" customHeight="1"/>
    <row r="38160" ht="14.25" customHeight="1"/>
    <row r="38161" ht="14.25" customHeight="1"/>
    <row r="38162" ht="14.25" customHeight="1"/>
    <row r="38163" ht="14.25" customHeight="1"/>
    <row r="38164" ht="14.25" customHeight="1"/>
    <row r="38165" ht="14.25" customHeight="1"/>
    <row r="38166" ht="14.25" customHeight="1"/>
    <row r="38167" ht="14.25" customHeight="1"/>
    <row r="38168" ht="14.25" customHeight="1"/>
    <row r="38169" ht="14.25" customHeight="1"/>
    <row r="38170" ht="14.25" customHeight="1"/>
    <row r="38171" ht="14.25" customHeight="1"/>
    <row r="38172" ht="14.25" customHeight="1"/>
    <row r="38173" ht="14.25" customHeight="1"/>
    <row r="38174" ht="14.25" customHeight="1"/>
    <row r="38175" ht="14.25" customHeight="1"/>
    <row r="38176" ht="14.25" customHeight="1"/>
    <row r="38177" ht="14.25" customHeight="1"/>
    <row r="38178" ht="14.25" customHeight="1"/>
    <row r="38179" ht="14.25" customHeight="1"/>
    <row r="38180" ht="14.25" customHeight="1"/>
    <row r="38181" ht="14.25" customHeight="1"/>
    <row r="38182" ht="14.25" customHeight="1"/>
    <row r="38183" ht="14.25" customHeight="1"/>
    <row r="38184" ht="14.25" customHeight="1"/>
    <row r="38185" ht="14.25" customHeight="1"/>
    <row r="38186" ht="14.25" customHeight="1"/>
    <row r="38187" ht="14.25" customHeight="1"/>
    <row r="38188" ht="14.25" customHeight="1"/>
    <row r="38189" ht="14.25" customHeight="1"/>
    <row r="38190" ht="14.25" customHeight="1"/>
    <row r="38191" ht="14.25" customHeight="1"/>
    <row r="38192" ht="14.25" customHeight="1"/>
    <row r="38193" ht="14.25" customHeight="1"/>
    <row r="38194" ht="14.25" customHeight="1"/>
    <row r="38195" ht="14.25" customHeight="1"/>
    <row r="38196" ht="14.25" customHeight="1"/>
    <row r="38197" ht="14.25" customHeight="1"/>
    <row r="38198" ht="14.25" customHeight="1"/>
    <row r="38199" ht="14.25" customHeight="1"/>
    <row r="38200" ht="14.25" customHeight="1"/>
    <row r="38201" ht="14.25" customHeight="1"/>
    <row r="38202" ht="14.25" customHeight="1"/>
    <row r="38203" ht="14.25" customHeight="1"/>
    <row r="38204" ht="14.25" customHeight="1"/>
    <row r="38205" ht="14.25" customHeight="1"/>
    <row r="38206" ht="14.25" customHeight="1"/>
    <row r="38207" ht="14.25" customHeight="1"/>
    <row r="38208" ht="14.25" customHeight="1"/>
    <row r="38209" ht="14.25" customHeight="1"/>
    <row r="38210" ht="14.25" customHeight="1"/>
    <row r="38211" ht="14.25" customHeight="1"/>
    <row r="38212" ht="14.25" customHeight="1"/>
    <row r="38213" ht="14.25" customHeight="1"/>
    <row r="38214" ht="14.25" customHeight="1"/>
    <row r="38215" ht="14.25" customHeight="1"/>
    <row r="38216" ht="14.25" customHeight="1"/>
    <row r="38217" ht="14.25" customHeight="1"/>
    <row r="38218" ht="14.25" customHeight="1"/>
    <row r="38219" ht="14.25" customHeight="1"/>
    <row r="38220" ht="14.25" customHeight="1"/>
    <row r="38221" ht="14.25" customHeight="1"/>
    <row r="38222" ht="14.25" customHeight="1"/>
    <row r="38223" ht="14.25" customHeight="1"/>
    <row r="38224" ht="14.25" customHeight="1"/>
    <row r="38225" ht="14.25" customHeight="1"/>
    <row r="38226" ht="14.25" customHeight="1"/>
    <row r="38227" ht="14.25" customHeight="1"/>
    <row r="38228" ht="14.25" customHeight="1"/>
    <row r="38229" ht="14.25" customHeight="1"/>
    <row r="38230" ht="14.25" customHeight="1"/>
    <row r="38231" ht="14.25" customHeight="1"/>
    <row r="38232" ht="14.25" customHeight="1"/>
    <row r="38233" ht="14.25" customHeight="1"/>
    <row r="38234" ht="14.25" customHeight="1"/>
    <row r="38235" ht="14.25" customHeight="1"/>
    <row r="38236" ht="14.25" customHeight="1"/>
    <row r="38237" ht="14.25" customHeight="1"/>
    <row r="38238" ht="14.25" customHeight="1"/>
    <row r="38239" ht="14.25" customHeight="1"/>
    <row r="38240" ht="14.25" customHeight="1"/>
    <row r="38241" ht="14.25" customHeight="1"/>
    <row r="38242" ht="14.25" customHeight="1"/>
    <row r="38243" ht="14.25" customHeight="1"/>
    <row r="38244" ht="14.25" customHeight="1"/>
    <row r="38245" ht="14.25" customHeight="1"/>
    <row r="38246" ht="14.25" customHeight="1"/>
    <row r="38247" ht="14.25" customHeight="1"/>
    <row r="38248" ht="14.25" customHeight="1"/>
    <row r="38249" ht="14.25" customHeight="1"/>
    <row r="38250" ht="14.25" customHeight="1"/>
    <row r="38251" ht="14.25" customHeight="1"/>
    <row r="38252" ht="14.25" customHeight="1"/>
    <row r="38253" ht="14.25" customHeight="1"/>
    <row r="38254" ht="14.25" customHeight="1"/>
    <row r="38255" ht="14.25" customHeight="1"/>
    <row r="38256" ht="14.25" customHeight="1"/>
    <row r="38257" ht="14.25" customHeight="1"/>
    <row r="38258" ht="14.25" customHeight="1"/>
    <row r="38259" ht="14.25" customHeight="1"/>
    <row r="38260" ht="14.25" customHeight="1"/>
    <row r="38261" ht="14.25" customHeight="1"/>
    <row r="38262" ht="14.25" customHeight="1"/>
    <row r="38263" ht="14.25" customHeight="1"/>
    <row r="38264" ht="14.25" customHeight="1"/>
    <row r="38265" ht="14.25" customHeight="1"/>
    <row r="38266" ht="14.25" customHeight="1"/>
    <row r="38267" ht="14.25" customHeight="1"/>
    <row r="38268" ht="14.25" customHeight="1"/>
    <row r="38269" ht="14.25" customHeight="1"/>
    <row r="38270" ht="14.25" customHeight="1"/>
    <row r="38271" ht="14.25" customHeight="1"/>
    <row r="38272" ht="14.25" customHeight="1"/>
    <row r="38273" ht="14.25" customHeight="1"/>
    <row r="38274" ht="14.25" customHeight="1"/>
    <row r="38275" ht="14.25" customHeight="1"/>
    <row r="38276" ht="14.25" customHeight="1"/>
    <row r="38277" ht="14.25" customHeight="1"/>
    <row r="38278" ht="14.25" customHeight="1"/>
    <row r="38279" ht="14.25" customHeight="1"/>
    <row r="38280" ht="14.25" customHeight="1"/>
    <row r="38281" ht="14.25" customHeight="1"/>
    <row r="38282" ht="14.25" customHeight="1"/>
    <row r="38283" ht="14.25" customHeight="1"/>
    <row r="38284" ht="14.25" customHeight="1"/>
    <row r="38285" ht="14.25" customHeight="1"/>
    <row r="38286" ht="14.25" customHeight="1"/>
    <row r="38287" ht="14.25" customHeight="1"/>
    <row r="38288" ht="14.25" customHeight="1"/>
    <row r="38289" ht="14.25" customHeight="1"/>
    <row r="38290" ht="14.25" customHeight="1"/>
    <row r="38291" ht="14.25" customHeight="1"/>
    <row r="38292" ht="14.25" customHeight="1"/>
    <row r="38293" ht="14.25" customHeight="1"/>
    <row r="38294" ht="14.25" customHeight="1"/>
    <row r="38295" ht="14.25" customHeight="1"/>
    <row r="38296" ht="14.25" customHeight="1"/>
    <row r="38297" ht="14.25" customHeight="1"/>
    <row r="38298" ht="14.25" customHeight="1"/>
    <row r="38299" ht="14.25" customHeight="1"/>
    <row r="38300" ht="14.25" customHeight="1"/>
    <row r="38301" ht="14.25" customHeight="1"/>
    <row r="38302" ht="14.25" customHeight="1"/>
    <row r="38303" ht="14.25" customHeight="1"/>
    <row r="38304" ht="14.25" customHeight="1"/>
    <row r="38305" ht="14.25" customHeight="1"/>
    <row r="38306" ht="14.25" customHeight="1"/>
    <row r="38307" ht="14.25" customHeight="1"/>
    <row r="38308" ht="14.25" customHeight="1"/>
    <row r="38309" ht="14.25" customHeight="1"/>
    <row r="38310" ht="14.25" customHeight="1"/>
    <row r="38311" ht="14.25" customHeight="1"/>
    <row r="38312" ht="14.25" customHeight="1"/>
    <row r="38313" ht="14.25" customHeight="1"/>
    <row r="38314" ht="14.25" customHeight="1"/>
    <row r="38315" ht="14.25" customHeight="1"/>
    <row r="38316" ht="14.25" customHeight="1"/>
    <row r="38317" ht="14.25" customHeight="1"/>
    <row r="38318" ht="14.25" customHeight="1"/>
    <row r="38319" ht="14.25" customHeight="1"/>
    <row r="38320" ht="14.25" customHeight="1"/>
    <row r="38321" ht="14.25" customHeight="1"/>
    <row r="38322" ht="14.25" customHeight="1"/>
    <row r="38323" ht="14.25" customHeight="1"/>
    <row r="38324" ht="14.25" customHeight="1"/>
    <row r="38325" ht="14.25" customHeight="1"/>
    <row r="38326" ht="14.25" customHeight="1"/>
    <row r="38327" ht="14.25" customHeight="1"/>
    <row r="38328" ht="14.25" customHeight="1"/>
    <row r="38329" ht="14.25" customHeight="1"/>
    <row r="38330" ht="14.25" customHeight="1"/>
    <row r="38331" ht="14.25" customHeight="1"/>
    <row r="38332" ht="14.25" customHeight="1"/>
    <row r="38333" ht="14.25" customHeight="1"/>
    <row r="38334" ht="14.25" customHeight="1"/>
    <row r="38335" ht="14.25" customHeight="1"/>
    <row r="38336" ht="14.25" customHeight="1"/>
    <row r="38337" ht="14.25" customHeight="1"/>
    <row r="38338" ht="14.25" customHeight="1"/>
    <row r="38339" ht="14.25" customHeight="1"/>
    <row r="38340" ht="14.25" customHeight="1"/>
    <row r="38341" ht="14.25" customHeight="1"/>
    <row r="38342" ht="14.25" customHeight="1"/>
    <row r="38343" ht="14.25" customHeight="1"/>
    <row r="38344" ht="14.25" customHeight="1"/>
    <row r="38345" ht="14.25" customHeight="1"/>
    <row r="38346" ht="14.25" customHeight="1"/>
    <row r="38347" ht="14.25" customHeight="1"/>
    <row r="38348" ht="14.25" customHeight="1"/>
    <row r="38349" ht="14.25" customHeight="1"/>
    <row r="38350" ht="14.25" customHeight="1"/>
    <row r="38351" ht="14.25" customHeight="1"/>
    <row r="38352" ht="14.25" customHeight="1"/>
    <row r="38353" ht="14.25" customHeight="1"/>
    <row r="38354" ht="14.25" customHeight="1"/>
    <row r="38355" ht="14.25" customHeight="1"/>
    <row r="38356" ht="14.25" customHeight="1"/>
    <row r="38357" ht="14.25" customHeight="1"/>
    <row r="38358" ht="14.25" customHeight="1"/>
    <row r="38359" ht="14.25" customHeight="1"/>
    <row r="38360" ht="14.25" customHeight="1"/>
    <row r="38361" ht="14.25" customHeight="1"/>
    <row r="38362" ht="14.25" customHeight="1"/>
    <row r="38363" ht="14.25" customHeight="1"/>
    <row r="38364" ht="14.25" customHeight="1"/>
    <row r="38365" ht="14.25" customHeight="1"/>
    <row r="38366" ht="14.25" customHeight="1"/>
    <row r="38367" ht="14.25" customHeight="1"/>
    <row r="38368" ht="14.25" customHeight="1"/>
    <row r="38369" ht="14.25" customHeight="1"/>
    <row r="38370" ht="14.25" customHeight="1"/>
    <row r="38371" ht="14.25" customHeight="1"/>
    <row r="38372" ht="14.25" customHeight="1"/>
    <row r="38373" ht="14.25" customHeight="1"/>
    <row r="38374" ht="14.25" customHeight="1"/>
    <row r="38375" ht="14.25" customHeight="1"/>
    <row r="38376" ht="14.25" customHeight="1"/>
    <row r="38377" ht="14.25" customHeight="1"/>
    <row r="38378" ht="14.25" customHeight="1"/>
    <row r="38379" ht="14.25" customHeight="1"/>
    <row r="38380" ht="14.25" customHeight="1"/>
    <row r="38381" ht="14.25" customHeight="1"/>
    <row r="38382" ht="14.25" customHeight="1"/>
    <row r="38383" ht="14.25" customHeight="1"/>
    <row r="38384" ht="14.25" customHeight="1"/>
    <row r="38385" ht="14.25" customHeight="1"/>
    <row r="38386" ht="14.25" customHeight="1"/>
    <row r="38387" ht="14.25" customHeight="1"/>
    <row r="38388" ht="14.25" customHeight="1"/>
    <row r="38389" ht="14.25" customHeight="1"/>
    <row r="38390" ht="14.25" customHeight="1"/>
    <row r="38391" ht="14.25" customHeight="1"/>
    <row r="38392" ht="14.25" customHeight="1"/>
    <row r="38393" ht="14.25" customHeight="1"/>
    <row r="38394" ht="14.25" customHeight="1"/>
    <row r="38395" ht="14.25" customHeight="1"/>
    <row r="38396" ht="14.25" customHeight="1"/>
    <row r="38397" ht="14.25" customHeight="1"/>
    <row r="38398" ht="14.25" customHeight="1"/>
    <row r="38399" ht="14.25" customHeight="1"/>
    <row r="38400" ht="14.25" customHeight="1"/>
    <row r="38401" ht="14.25" customHeight="1"/>
    <row r="38402" ht="14.25" customHeight="1"/>
    <row r="38403" ht="14.25" customHeight="1"/>
    <row r="38404" ht="14.25" customHeight="1"/>
    <row r="38405" ht="14.25" customHeight="1"/>
    <row r="38406" ht="14.25" customHeight="1"/>
    <row r="38407" ht="14.25" customHeight="1"/>
    <row r="38408" ht="14.25" customHeight="1"/>
    <row r="38409" ht="14.25" customHeight="1"/>
    <row r="38410" ht="14.25" customHeight="1"/>
    <row r="38411" ht="14.25" customHeight="1"/>
    <row r="38412" ht="14.25" customHeight="1"/>
    <row r="38413" ht="14.25" customHeight="1"/>
    <row r="38414" ht="14.25" customHeight="1"/>
    <row r="38415" ht="14.25" customHeight="1"/>
    <row r="38416" ht="14.25" customHeight="1"/>
    <row r="38417" ht="14.25" customHeight="1"/>
    <row r="38418" ht="14.25" customHeight="1"/>
    <row r="38419" ht="14.25" customHeight="1"/>
    <row r="38420" ht="14.25" customHeight="1"/>
    <row r="38421" ht="14.25" customHeight="1"/>
    <row r="38422" ht="14.25" customHeight="1"/>
    <row r="38423" ht="14.25" customHeight="1"/>
    <row r="38424" ht="14.25" customHeight="1"/>
    <row r="38425" ht="14.25" customHeight="1"/>
    <row r="38426" ht="14.25" customHeight="1"/>
    <row r="38427" ht="14.25" customHeight="1"/>
    <row r="38428" ht="14.25" customHeight="1"/>
    <row r="38429" ht="14.25" customHeight="1"/>
    <row r="38430" ht="14.25" customHeight="1"/>
    <row r="38431" ht="14.25" customHeight="1"/>
    <row r="38432" ht="14.25" customHeight="1"/>
    <row r="38433" ht="14.25" customHeight="1"/>
    <row r="38434" ht="14.25" customHeight="1"/>
    <row r="38435" ht="14.25" customHeight="1"/>
    <row r="38436" ht="14.25" customHeight="1"/>
    <row r="38437" ht="14.25" customHeight="1"/>
    <row r="38438" ht="14.25" customHeight="1"/>
    <row r="38439" ht="14.25" customHeight="1"/>
    <row r="38440" ht="14.25" customHeight="1"/>
    <row r="38441" ht="14.25" customHeight="1"/>
    <row r="38442" ht="14.25" customHeight="1"/>
    <row r="38443" ht="14.25" customHeight="1"/>
    <row r="38444" ht="14.25" customHeight="1"/>
    <row r="38445" ht="14.25" customHeight="1"/>
    <row r="38446" ht="14.25" customHeight="1"/>
    <row r="38447" ht="14.25" customHeight="1"/>
    <row r="38448" ht="14.25" customHeight="1"/>
    <row r="38449" ht="14.25" customHeight="1"/>
    <row r="38450" ht="14.25" customHeight="1"/>
    <row r="38451" ht="14.25" customHeight="1"/>
    <row r="38452" ht="14.25" customHeight="1"/>
    <row r="38453" ht="14.25" customHeight="1"/>
    <row r="38454" ht="14.25" customHeight="1"/>
    <row r="38455" ht="14.25" customHeight="1"/>
    <row r="38456" ht="14.25" customHeight="1"/>
    <row r="38457" ht="14.25" customHeight="1"/>
    <row r="38458" ht="14.25" customHeight="1"/>
    <row r="38459" ht="14.25" customHeight="1"/>
    <row r="38460" ht="14.25" customHeight="1"/>
    <row r="38461" ht="14.25" customHeight="1"/>
    <row r="38462" ht="14.25" customHeight="1"/>
    <row r="38463" ht="14.25" customHeight="1"/>
    <row r="38464" ht="14.25" customHeight="1"/>
    <row r="38465" ht="14.25" customHeight="1"/>
    <row r="38466" ht="14.25" customHeight="1"/>
    <row r="38467" ht="14.25" customHeight="1"/>
    <row r="38468" ht="14.25" customHeight="1"/>
    <row r="38469" ht="14.25" customHeight="1"/>
    <row r="38470" ht="14.25" customHeight="1"/>
    <row r="38471" ht="14.25" customHeight="1"/>
    <row r="38472" ht="14.25" customHeight="1"/>
    <row r="38473" ht="14.25" customHeight="1"/>
    <row r="38474" ht="14.25" customHeight="1"/>
    <row r="38475" ht="14.25" customHeight="1"/>
    <row r="38476" ht="14.25" customHeight="1"/>
    <row r="38477" ht="14.25" customHeight="1"/>
    <row r="38478" ht="14.25" customHeight="1"/>
    <row r="38479" ht="14.25" customHeight="1"/>
    <row r="38480" ht="14.25" customHeight="1"/>
    <row r="38481" ht="14.25" customHeight="1"/>
    <row r="38482" ht="14.25" customHeight="1"/>
    <row r="38483" ht="14.25" customHeight="1"/>
    <row r="38484" ht="14.25" customHeight="1"/>
    <row r="38485" ht="14.25" customHeight="1"/>
    <row r="38486" ht="14.25" customHeight="1"/>
    <row r="38487" ht="14.25" customHeight="1"/>
    <row r="38488" ht="14.25" customHeight="1"/>
    <row r="38489" ht="14.25" customHeight="1"/>
    <row r="38490" ht="14.25" customHeight="1"/>
    <row r="38491" ht="14.25" customHeight="1"/>
    <row r="38492" ht="14.25" customHeight="1"/>
    <row r="38493" ht="14.25" customHeight="1"/>
    <row r="38494" ht="14.25" customHeight="1"/>
    <row r="38495" ht="14.25" customHeight="1"/>
    <row r="38496" ht="14.25" customHeight="1"/>
    <row r="38497" ht="14.25" customHeight="1"/>
    <row r="38498" ht="14.25" customHeight="1"/>
    <row r="38499" ht="14.25" customHeight="1"/>
    <row r="38500" ht="14.25" customHeight="1"/>
    <row r="38501" ht="14.25" customHeight="1"/>
    <row r="38502" ht="14.25" customHeight="1"/>
    <row r="38503" ht="14.25" customHeight="1"/>
    <row r="38504" ht="14.25" customHeight="1"/>
    <row r="38505" ht="14.25" customHeight="1"/>
    <row r="38506" ht="14.25" customHeight="1"/>
    <row r="38507" ht="14.25" customHeight="1"/>
    <row r="38508" ht="14.25" customHeight="1"/>
    <row r="38509" ht="14.25" customHeight="1"/>
    <row r="38510" ht="14.25" customHeight="1"/>
    <row r="38511" ht="14.25" customHeight="1"/>
    <row r="38512" ht="14.25" customHeight="1"/>
    <row r="38513" ht="14.25" customHeight="1"/>
    <row r="38514" ht="14.25" customHeight="1"/>
    <row r="38515" ht="14.25" customHeight="1"/>
    <row r="38516" ht="14.25" customHeight="1"/>
    <row r="38517" ht="14.25" customHeight="1"/>
    <row r="38518" ht="14.25" customHeight="1"/>
    <row r="38519" ht="14.25" customHeight="1"/>
    <row r="38520" ht="14.25" customHeight="1"/>
    <row r="38521" ht="14.25" customHeight="1"/>
    <row r="38522" ht="14.25" customHeight="1"/>
    <row r="38523" ht="14.25" customHeight="1"/>
    <row r="38524" ht="14.25" customHeight="1"/>
    <row r="38525" ht="14.25" customHeight="1"/>
    <row r="38526" ht="14.25" customHeight="1"/>
    <row r="38527" ht="14.25" customHeight="1"/>
    <row r="38528" ht="14.25" customHeight="1"/>
    <row r="38529" ht="14.25" customHeight="1"/>
    <row r="38530" ht="14.25" customHeight="1"/>
    <row r="38531" ht="14.25" customHeight="1"/>
    <row r="38532" ht="14.25" customHeight="1"/>
    <row r="38533" ht="14.25" customHeight="1"/>
    <row r="38534" ht="14.25" customHeight="1"/>
    <row r="38535" ht="14.25" customHeight="1"/>
    <row r="38536" ht="14.25" customHeight="1"/>
    <row r="38537" ht="14.25" customHeight="1"/>
    <row r="38538" ht="14.25" customHeight="1"/>
    <row r="38539" ht="14.25" customHeight="1"/>
    <row r="38540" ht="14.25" customHeight="1"/>
    <row r="38541" ht="14.25" customHeight="1"/>
    <row r="38542" ht="14.25" customHeight="1"/>
    <row r="38543" ht="14.25" customHeight="1"/>
    <row r="38544" ht="14.25" customHeight="1"/>
    <row r="38545" ht="14.25" customHeight="1"/>
    <row r="38546" ht="14.25" customHeight="1"/>
    <row r="38547" ht="14.25" customHeight="1"/>
    <row r="38548" ht="14.25" customHeight="1"/>
    <row r="38549" ht="14.25" customHeight="1"/>
    <row r="38550" ht="14.25" customHeight="1"/>
    <row r="38551" ht="14.25" customHeight="1"/>
    <row r="38552" ht="14.25" customHeight="1"/>
    <row r="38553" ht="14.25" customHeight="1"/>
    <row r="38554" ht="14.25" customHeight="1"/>
    <row r="38555" ht="14.25" customHeight="1"/>
    <row r="38556" ht="14.25" customHeight="1"/>
    <row r="38557" ht="14.25" customHeight="1"/>
    <row r="38558" ht="14.25" customHeight="1"/>
    <row r="38559" ht="14.25" customHeight="1"/>
    <row r="38560" ht="14.25" customHeight="1"/>
    <row r="38561" ht="14.25" customHeight="1"/>
    <row r="38562" ht="14.25" customHeight="1"/>
    <row r="38563" ht="14.25" customHeight="1"/>
    <row r="38564" ht="14.25" customHeight="1"/>
    <row r="38565" ht="14.25" customHeight="1"/>
    <row r="38566" ht="14.25" customHeight="1"/>
    <row r="38567" ht="14.25" customHeight="1"/>
    <row r="38568" ht="14.25" customHeight="1"/>
    <row r="38569" ht="14.25" customHeight="1"/>
    <row r="38570" ht="14.25" customHeight="1"/>
    <row r="38571" ht="14.25" customHeight="1"/>
    <row r="38572" ht="14.25" customHeight="1"/>
    <row r="38573" ht="14.25" customHeight="1"/>
    <row r="38574" ht="14.25" customHeight="1"/>
    <row r="38575" ht="14.25" customHeight="1"/>
    <row r="38576" ht="14.25" customHeight="1"/>
    <row r="38577" ht="14.25" customHeight="1"/>
    <row r="38578" ht="14.25" customHeight="1"/>
    <row r="38579" ht="14.25" customHeight="1"/>
    <row r="38580" ht="14.25" customHeight="1"/>
    <row r="38581" ht="14.25" customHeight="1"/>
    <row r="38582" ht="14.25" customHeight="1"/>
    <row r="38583" ht="14.25" customHeight="1"/>
    <row r="38584" ht="14.25" customHeight="1"/>
    <row r="38585" ht="14.25" customHeight="1"/>
    <row r="38586" ht="14.25" customHeight="1"/>
    <row r="38587" ht="14.25" customHeight="1"/>
    <row r="38588" ht="14.25" customHeight="1"/>
    <row r="38589" ht="14.25" customHeight="1"/>
    <row r="38590" ht="14.25" customHeight="1"/>
    <row r="38591" ht="14.25" customHeight="1"/>
    <row r="38592" ht="14.25" customHeight="1"/>
    <row r="38593" ht="14.25" customHeight="1"/>
    <row r="38594" ht="14.25" customHeight="1"/>
    <row r="38595" ht="14.25" customHeight="1"/>
    <row r="38596" ht="14.25" customHeight="1"/>
    <row r="38597" ht="14.25" customHeight="1"/>
    <row r="38598" ht="14.25" customHeight="1"/>
    <row r="38599" ht="14.25" customHeight="1"/>
    <row r="38600" ht="14.25" customHeight="1"/>
    <row r="38601" ht="14.25" customHeight="1"/>
    <row r="38602" ht="14.25" customHeight="1"/>
    <row r="38603" ht="14.25" customHeight="1"/>
    <row r="38604" ht="14.25" customHeight="1"/>
    <row r="38605" ht="14.25" customHeight="1"/>
    <row r="38606" ht="14.25" customHeight="1"/>
    <row r="38607" ht="14.25" customHeight="1"/>
    <row r="38608" ht="14.25" customHeight="1"/>
    <row r="38609" ht="14.25" customHeight="1"/>
    <row r="38610" ht="14.25" customHeight="1"/>
    <row r="38611" ht="14.25" customHeight="1"/>
    <row r="38612" ht="14.25" customHeight="1"/>
    <row r="38613" ht="14.25" customHeight="1"/>
    <row r="38614" ht="14.25" customHeight="1"/>
    <row r="38615" ht="14.25" customHeight="1"/>
    <row r="38616" ht="14.25" customHeight="1"/>
    <row r="38617" ht="14.25" customHeight="1"/>
    <row r="38618" ht="14.25" customHeight="1"/>
    <row r="38619" ht="14.25" customHeight="1"/>
    <row r="38620" ht="14.25" customHeight="1"/>
    <row r="38621" ht="14.25" customHeight="1"/>
    <row r="38622" ht="14.25" customHeight="1"/>
    <row r="38623" ht="14.25" customHeight="1"/>
    <row r="38624" ht="14.25" customHeight="1"/>
    <row r="38625" ht="14.25" customHeight="1"/>
    <row r="38626" ht="14.25" customHeight="1"/>
    <row r="38627" ht="14.25" customHeight="1"/>
    <row r="38628" ht="14.25" customHeight="1"/>
    <row r="38629" ht="14.25" customHeight="1"/>
    <row r="38630" ht="14.25" customHeight="1"/>
    <row r="38631" ht="14.25" customHeight="1"/>
    <row r="38632" ht="14.25" customHeight="1"/>
    <row r="38633" ht="14.25" customHeight="1"/>
    <row r="38634" ht="14.25" customHeight="1"/>
    <row r="38635" ht="14.25" customHeight="1"/>
    <row r="38636" ht="14.25" customHeight="1"/>
    <row r="38637" ht="14.25" customHeight="1"/>
    <row r="38638" ht="14.25" customHeight="1"/>
    <row r="38639" ht="14.25" customHeight="1"/>
    <row r="38640" ht="14.25" customHeight="1"/>
    <row r="38641" ht="14.25" customHeight="1"/>
    <row r="38642" ht="14.25" customHeight="1"/>
    <row r="38643" ht="14.25" customHeight="1"/>
    <row r="38644" ht="14.25" customHeight="1"/>
    <row r="38645" ht="14.25" customHeight="1"/>
    <row r="38646" ht="14.25" customHeight="1"/>
    <row r="38647" ht="14.25" customHeight="1"/>
    <row r="38648" ht="14.25" customHeight="1"/>
    <row r="38649" ht="14.25" customHeight="1"/>
    <row r="38650" ht="14.25" customHeight="1"/>
    <row r="38651" ht="14.25" customHeight="1"/>
    <row r="38652" ht="14.25" customHeight="1"/>
    <row r="38653" ht="14.25" customHeight="1"/>
    <row r="38654" ht="14.25" customHeight="1"/>
    <row r="38655" ht="14.25" customHeight="1"/>
    <row r="38656" ht="14.25" customHeight="1"/>
    <row r="38657" ht="14.25" customHeight="1"/>
    <row r="38658" ht="14.25" customHeight="1"/>
    <row r="38659" ht="14.25" customHeight="1"/>
    <row r="38660" ht="14.25" customHeight="1"/>
    <row r="38661" ht="14.25" customHeight="1"/>
    <row r="38662" ht="14.25" customHeight="1"/>
    <row r="38663" ht="14.25" customHeight="1"/>
    <row r="38664" ht="14.25" customHeight="1"/>
    <row r="38665" ht="14.25" customHeight="1"/>
    <row r="38666" ht="14.25" customHeight="1"/>
    <row r="38667" ht="14.25" customHeight="1"/>
    <row r="38668" ht="14.25" customHeight="1"/>
    <row r="38669" ht="14.25" customHeight="1"/>
    <row r="38670" ht="14.25" customHeight="1"/>
    <row r="38671" ht="14.25" customHeight="1"/>
    <row r="38672" ht="14.25" customHeight="1"/>
    <row r="38673" ht="14.25" customHeight="1"/>
    <row r="38674" ht="14.25" customHeight="1"/>
    <row r="38675" ht="14.25" customHeight="1"/>
    <row r="38676" ht="14.25" customHeight="1"/>
    <row r="38677" ht="14.25" customHeight="1"/>
    <row r="38678" ht="14.25" customHeight="1"/>
    <row r="38679" ht="14.25" customHeight="1"/>
    <row r="38680" ht="14.25" customHeight="1"/>
    <row r="38681" ht="14.25" customHeight="1"/>
    <row r="38682" ht="14.25" customHeight="1"/>
    <row r="38683" ht="14.25" customHeight="1"/>
    <row r="38684" ht="14.25" customHeight="1"/>
    <row r="38685" ht="14.25" customHeight="1"/>
    <row r="38686" ht="14.25" customHeight="1"/>
    <row r="38687" ht="14.25" customHeight="1"/>
    <row r="38688" ht="14.25" customHeight="1"/>
    <row r="38689" ht="14.25" customHeight="1"/>
    <row r="38690" ht="14.25" customHeight="1"/>
    <row r="38691" ht="14.25" customHeight="1"/>
    <row r="38692" ht="14.25" customHeight="1"/>
    <row r="38693" ht="14.25" customHeight="1"/>
    <row r="38694" ht="14.25" customHeight="1"/>
    <row r="38695" ht="14.25" customHeight="1"/>
    <row r="38696" ht="14.25" customHeight="1"/>
    <row r="38697" ht="14.25" customHeight="1"/>
    <row r="38698" ht="14.25" customHeight="1"/>
    <row r="38699" ht="14.25" customHeight="1"/>
    <row r="38700" ht="14.25" customHeight="1"/>
    <row r="38701" ht="14.25" customHeight="1"/>
    <row r="38702" ht="14.25" customHeight="1"/>
    <row r="38703" ht="14.25" customHeight="1"/>
    <row r="38704" ht="14.25" customHeight="1"/>
    <row r="38705" ht="14.25" customHeight="1"/>
    <row r="38706" ht="14.25" customHeight="1"/>
    <row r="38707" ht="14.25" customHeight="1"/>
    <row r="38708" ht="14.25" customHeight="1"/>
    <row r="38709" ht="14.25" customHeight="1"/>
    <row r="38710" ht="14.25" customHeight="1"/>
    <row r="38711" ht="14.25" customHeight="1"/>
    <row r="38712" ht="14.25" customHeight="1"/>
    <row r="38713" ht="14.25" customHeight="1"/>
    <row r="38714" ht="14.25" customHeight="1"/>
    <row r="38715" ht="14.25" customHeight="1"/>
    <row r="38716" ht="14.25" customHeight="1"/>
    <row r="38717" ht="14.25" customHeight="1"/>
    <row r="38718" ht="14.25" customHeight="1"/>
    <row r="38719" ht="14.25" customHeight="1"/>
    <row r="38720" ht="14.25" customHeight="1"/>
    <row r="38721" ht="14.25" customHeight="1"/>
    <row r="38722" ht="14.25" customHeight="1"/>
    <row r="38723" ht="14.25" customHeight="1"/>
    <row r="38724" ht="14.25" customHeight="1"/>
    <row r="38725" ht="14.25" customHeight="1"/>
    <row r="38726" ht="14.25" customHeight="1"/>
    <row r="38727" ht="14.25" customHeight="1"/>
    <row r="38728" ht="14.25" customHeight="1"/>
    <row r="38729" ht="14.25" customHeight="1"/>
    <row r="38730" ht="14.25" customHeight="1"/>
    <row r="38731" ht="14.25" customHeight="1"/>
    <row r="38732" ht="14.25" customHeight="1"/>
    <row r="38733" ht="14.25" customHeight="1"/>
    <row r="38734" ht="14.25" customHeight="1"/>
    <row r="38735" ht="14.25" customHeight="1"/>
    <row r="38736" ht="14.25" customHeight="1"/>
    <row r="38737" ht="14.25" customHeight="1"/>
    <row r="38738" ht="14.25" customHeight="1"/>
    <row r="38739" ht="14.25" customHeight="1"/>
    <row r="38740" ht="14.25" customHeight="1"/>
    <row r="38741" ht="14.25" customHeight="1"/>
    <row r="38742" ht="14.25" customHeight="1"/>
    <row r="38743" ht="14.25" customHeight="1"/>
    <row r="38744" ht="14.25" customHeight="1"/>
    <row r="38745" ht="14.25" customHeight="1"/>
    <row r="38746" ht="14.25" customHeight="1"/>
    <row r="38747" ht="14.25" customHeight="1"/>
    <row r="38748" ht="14.25" customHeight="1"/>
    <row r="38749" ht="14.25" customHeight="1"/>
    <row r="38750" ht="14.25" customHeight="1"/>
    <row r="38751" ht="14.25" customHeight="1"/>
    <row r="38752" ht="14.25" customHeight="1"/>
    <row r="38753" ht="14.25" customHeight="1"/>
    <row r="38754" ht="14.25" customHeight="1"/>
    <row r="38755" ht="14.25" customHeight="1"/>
    <row r="38756" ht="14.25" customHeight="1"/>
    <row r="38757" ht="14.25" customHeight="1"/>
    <row r="38758" ht="14.25" customHeight="1"/>
    <row r="38759" ht="14.25" customHeight="1"/>
    <row r="38760" ht="14.25" customHeight="1"/>
    <row r="38761" ht="14.25" customHeight="1"/>
    <row r="38762" ht="14.25" customHeight="1"/>
    <row r="38763" ht="14.25" customHeight="1"/>
    <row r="38764" ht="14.25" customHeight="1"/>
    <row r="38765" ht="14.25" customHeight="1"/>
    <row r="38766" ht="14.25" customHeight="1"/>
    <row r="38767" ht="14.25" customHeight="1"/>
    <row r="38768" ht="14.25" customHeight="1"/>
    <row r="38769" ht="14.25" customHeight="1"/>
    <row r="38770" ht="14.25" customHeight="1"/>
    <row r="38771" ht="14.25" customHeight="1"/>
    <row r="38772" ht="14.25" customHeight="1"/>
    <row r="38773" ht="14.25" customHeight="1"/>
    <row r="38774" ht="14.25" customHeight="1"/>
    <row r="38775" ht="14.25" customHeight="1"/>
    <row r="38776" ht="14.25" customHeight="1"/>
    <row r="38777" ht="14.25" customHeight="1"/>
    <row r="38778" ht="14.25" customHeight="1"/>
    <row r="38779" ht="14.25" customHeight="1"/>
    <row r="38780" ht="14.25" customHeight="1"/>
    <row r="38781" ht="14.25" customHeight="1"/>
    <row r="38782" ht="14.25" customHeight="1"/>
    <row r="38783" ht="14.25" customHeight="1"/>
    <row r="38784" ht="14.25" customHeight="1"/>
    <row r="38785" ht="14.25" customHeight="1"/>
    <row r="38786" ht="14.25" customHeight="1"/>
    <row r="38787" ht="14.25" customHeight="1"/>
    <row r="38788" ht="14.25" customHeight="1"/>
    <row r="38789" ht="14.25" customHeight="1"/>
    <row r="38790" ht="14.25" customHeight="1"/>
    <row r="38791" ht="14.25" customHeight="1"/>
    <row r="38792" ht="14.25" customHeight="1"/>
    <row r="38793" ht="14.25" customHeight="1"/>
    <row r="38794" ht="14.25" customHeight="1"/>
    <row r="38795" ht="14.25" customHeight="1"/>
    <row r="38796" ht="14.25" customHeight="1"/>
    <row r="38797" ht="14.25" customHeight="1"/>
    <row r="38798" ht="14.25" customHeight="1"/>
    <row r="38799" ht="14.25" customHeight="1"/>
    <row r="38800" ht="14.25" customHeight="1"/>
    <row r="38801" ht="14.25" customHeight="1"/>
    <row r="38802" ht="14.25" customHeight="1"/>
    <row r="38803" ht="14.25" customHeight="1"/>
    <row r="38804" ht="14.25" customHeight="1"/>
    <row r="38805" ht="14.25" customHeight="1"/>
    <row r="38806" ht="14.25" customHeight="1"/>
    <row r="38807" ht="14.25" customHeight="1"/>
    <row r="38808" ht="14.25" customHeight="1"/>
    <row r="38809" ht="14.25" customHeight="1"/>
    <row r="38810" ht="14.25" customHeight="1"/>
    <row r="38811" ht="14.25" customHeight="1"/>
    <row r="38812" ht="14.25" customHeight="1"/>
    <row r="38813" ht="14.25" customHeight="1"/>
    <row r="38814" ht="14.25" customHeight="1"/>
    <row r="38815" ht="14.25" customHeight="1"/>
    <row r="38816" ht="14.25" customHeight="1"/>
    <row r="38817" ht="14.25" customHeight="1"/>
    <row r="38818" ht="14.25" customHeight="1"/>
    <row r="38819" ht="14.25" customHeight="1"/>
    <row r="38820" ht="14.25" customHeight="1"/>
    <row r="38821" ht="14.25" customHeight="1"/>
    <row r="38822" ht="14.25" customHeight="1"/>
    <row r="38823" ht="14.25" customHeight="1"/>
    <row r="38824" ht="14.25" customHeight="1"/>
    <row r="38825" ht="14.25" customHeight="1"/>
    <row r="38826" ht="14.25" customHeight="1"/>
    <row r="38827" ht="14.25" customHeight="1"/>
    <row r="38828" ht="14.25" customHeight="1"/>
    <row r="38829" ht="14.25" customHeight="1"/>
    <row r="38830" ht="14.25" customHeight="1"/>
    <row r="38831" ht="14.25" customHeight="1"/>
    <row r="38832" ht="14.25" customHeight="1"/>
    <row r="38833" ht="14.25" customHeight="1"/>
    <row r="38834" ht="14.25" customHeight="1"/>
    <row r="38835" ht="14.25" customHeight="1"/>
    <row r="38836" ht="14.25" customHeight="1"/>
    <row r="38837" ht="14.25" customHeight="1"/>
    <row r="38838" ht="14.25" customHeight="1"/>
    <row r="38839" ht="14.25" customHeight="1"/>
    <row r="38840" ht="14.25" customHeight="1"/>
    <row r="38841" ht="14.25" customHeight="1"/>
    <row r="38842" ht="14.25" customHeight="1"/>
    <row r="38843" ht="14.25" customHeight="1"/>
    <row r="38844" ht="14.25" customHeight="1"/>
    <row r="38845" ht="14.25" customHeight="1"/>
    <row r="38846" ht="14.25" customHeight="1"/>
    <row r="38847" ht="14.25" customHeight="1"/>
    <row r="38848" ht="14.25" customHeight="1"/>
    <row r="38849" ht="14.25" customHeight="1"/>
    <row r="38850" ht="14.25" customHeight="1"/>
    <row r="38851" ht="14.25" customHeight="1"/>
    <row r="38852" ht="14.25" customHeight="1"/>
    <row r="38853" ht="14.25" customHeight="1"/>
    <row r="38854" ht="14.25" customHeight="1"/>
    <row r="38855" ht="14.25" customHeight="1"/>
    <row r="38856" ht="14.25" customHeight="1"/>
    <row r="38857" ht="14.25" customHeight="1"/>
    <row r="38858" ht="14.25" customHeight="1"/>
    <row r="38859" ht="14.25" customHeight="1"/>
    <row r="38860" ht="14.25" customHeight="1"/>
    <row r="38861" ht="14.25" customHeight="1"/>
    <row r="38862" ht="14.25" customHeight="1"/>
    <row r="38863" ht="14.25" customHeight="1"/>
    <row r="38864" ht="14.25" customHeight="1"/>
    <row r="38865" ht="14.25" customHeight="1"/>
    <row r="38866" ht="14.25" customHeight="1"/>
    <row r="38867" ht="14.25" customHeight="1"/>
    <row r="38868" ht="14.25" customHeight="1"/>
    <row r="38869" ht="14.25" customHeight="1"/>
    <row r="38870" ht="14.25" customHeight="1"/>
    <row r="38871" ht="14.25" customHeight="1"/>
    <row r="38872" ht="14.25" customHeight="1"/>
    <row r="38873" ht="14.25" customHeight="1"/>
    <row r="38874" ht="14.25" customHeight="1"/>
    <row r="38875" ht="14.25" customHeight="1"/>
    <row r="38876" ht="14.25" customHeight="1"/>
    <row r="38877" ht="14.25" customHeight="1"/>
    <row r="38878" ht="14.25" customHeight="1"/>
    <row r="38879" ht="14.25" customHeight="1"/>
    <row r="38880" ht="14.25" customHeight="1"/>
    <row r="38881" ht="14.25" customHeight="1"/>
    <row r="38882" ht="14.25" customHeight="1"/>
    <row r="38883" ht="14.25" customHeight="1"/>
    <row r="38884" ht="14.25" customHeight="1"/>
    <row r="38885" ht="14.25" customHeight="1"/>
    <row r="38886" ht="14.25" customHeight="1"/>
    <row r="38887" ht="14.25" customHeight="1"/>
    <row r="38888" ht="14.25" customHeight="1"/>
    <row r="38889" ht="14.25" customHeight="1"/>
    <row r="38890" ht="14.25" customHeight="1"/>
    <row r="38891" ht="14.25" customHeight="1"/>
    <row r="38892" ht="14.25" customHeight="1"/>
    <row r="38893" ht="14.25" customHeight="1"/>
    <row r="38894" ht="14.25" customHeight="1"/>
    <row r="38895" ht="14.25" customHeight="1"/>
    <row r="38896" ht="14.25" customHeight="1"/>
    <row r="38897" ht="14.25" customHeight="1"/>
    <row r="38898" ht="14.25" customHeight="1"/>
    <row r="38899" ht="14.25" customHeight="1"/>
    <row r="38900" ht="14.25" customHeight="1"/>
    <row r="38901" ht="14.25" customHeight="1"/>
    <row r="38902" ht="14.25" customHeight="1"/>
    <row r="38903" ht="14.25" customHeight="1"/>
    <row r="38904" ht="14.25" customHeight="1"/>
    <row r="38905" ht="14.25" customHeight="1"/>
    <row r="38906" ht="14.25" customHeight="1"/>
    <row r="38907" ht="14.25" customHeight="1"/>
    <row r="38908" ht="14.25" customHeight="1"/>
    <row r="38909" ht="14.25" customHeight="1"/>
    <row r="38910" ht="14.25" customHeight="1"/>
    <row r="38911" ht="14.25" customHeight="1"/>
    <row r="38912" ht="14.25" customHeight="1"/>
    <row r="38913" ht="14.25" customHeight="1"/>
    <row r="38914" ht="14.25" customHeight="1"/>
    <row r="38915" ht="14.25" customHeight="1"/>
    <row r="38916" ht="14.25" customHeight="1"/>
    <row r="38917" ht="14.25" customHeight="1"/>
    <row r="38918" ht="14.25" customHeight="1"/>
    <row r="38919" ht="14.25" customHeight="1"/>
    <row r="38920" ht="14.25" customHeight="1"/>
    <row r="38921" ht="14.25" customHeight="1"/>
    <row r="38922" ht="14.25" customHeight="1"/>
    <row r="38923" ht="14.25" customHeight="1"/>
    <row r="38924" ht="14.25" customHeight="1"/>
    <row r="38925" ht="14.25" customHeight="1"/>
    <row r="38926" ht="14.25" customHeight="1"/>
    <row r="38927" ht="14.25" customHeight="1"/>
    <row r="38928" ht="14.25" customHeight="1"/>
    <row r="38929" ht="14.25" customHeight="1"/>
    <row r="38930" ht="14.25" customHeight="1"/>
    <row r="38931" ht="14.25" customHeight="1"/>
    <row r="38932" ht="14.25" customHeight="1"/>
    <row r="38933" ht="14.25" customHeight="1"/>
    <row r="38934" ht="14.25" customHeight="1"/>
    <row r="38935" ht="14.25" customHeight="1"/>
    <row r="38936" ht="14.25" customHeight="1"/>
    <row r="38937" ht="14.25" customHeight="1"/>
    <row r="38938" ht="14.25" customHeight="1"/>
    <row r="38939" ht="14.25" customHeight="1"/>
    <row r="38940" ht="14.25" customHeight="1"/>
    <row r="38941" ht="14.25" customHeight="1"/>
    <row r="38942" ht="14.25" customHeight="1"/>
    <row r="38943" ht="14.25" customHeight="1"/>
    <row r="38944" ht="14.25" customHeight="1"/>
    <row r="38945" ht="14.25" customHeight="1"/>
    <row r="38946" ht="14.25" customHeight="1"/>
    <row r="38947" ht="14.25" customHeight="1"/>
    <row r="38948" ht="14.25" customHeight="1"/>
    <row r="38949" ht="14.25" customHeight="1"/>
    <row r="38950" ht="14.25" customHeight="1"/>
    <row r="38951" ht="14.25" customHeight="1"/>
    <row r="38952" ht="14.25" customHeight="1"/>
    <row r="38953" ht="14.25" customHeight="1"/>
    <row r="38954" ht="14.25" customHeight="1"/>
    <row r="38955" ht="14.25" customHeight="1"/>
    <row r="38956" ht="14.25" customHeight="1"/>
    <row r="38957" ht="14.25" customHeight="1"/>
    <row r="38958" ht="14.25" customHeight="1"/>
    <row r="38959" ht="14.25" customHeight="1"/>
    <row r="38960" ht="14.25" customHeight="1"/>
    <row r="38961" ht="14.25" customHeight="1"/>
    <row r="38962" ht="14.25" customHeight="1"/>
    <row r="38963" ht="14.25" customHeight="1"/>
    <row r="38964" ht="14.25" customHeight="1"/>
    <row r="38965" ht="14.25" customHeight="1"/>
    <row r="38966" ht="14.25" customHeight="1"/>
    <row r="38967" ht="14.25" customHeight="1"/>
    <row r="38968" ht="14.25" customHeight="1"/>
    <row r="38969" ht="14.25" customHeight="1"/>
    <row r="38970" ht="14.25" customHeight="1"/>
    <row r="38971" ht="14.25" customHeight="1"/>
    <row r="38972" ht="14.25" customHeight="1"/>
    <row r="38973" ht="14.25" customHeight="1"/>
    <row r="38974" ht="14.25" customHeight="1"/>
    <row r="38975" ht="14.25" customHeight="1"/>
    <row r="38976" ht="14.25" customHeight="1"/>
    <row r="38977" ht="14.25" customHeight="1"/>
    <row r="38978" ht="14.25" customHeight="1"/>
    <row r="38979" ht="14.25" customHeight="1"/>
    <row r="38980" ht="14.25" customHeight="1"/>
    <row r="38981" ht="14.25" customHeight="1"/>
    <row r="38982" ht="14.25" customHeight="1"/>
    <row r="38983" ht="14.25" customHeight="1"/>
    <row r="38984" ht="14.25" customHeight="1"/>
    <row r="38985" ht="14.25" customHeight="1"/>
    <row r="38986" ht="14.25" customHeight="1"/>
    <row r="38987" ht="14.25" customHeight="1"/>
    <row r="38988" ht="14.25" customHeight="1"/>
    <row r="38989" ht="14.25" customHeight="1"/>
    <row r="38990" ht="14.25" customHeight="1"/>
    <row r="38991" ht="14.25" customHeight="1"/>
    <row r="38992" ht="14.25" customHeight="1"/>
    <row r="38993" ht="14.25" customHeight="1"/>
    <row r="38994" ht="14.25" customHeight="1"/>
    <row r="38995" ht="14.25" customHeight="1"/>
    <row r="38996" ht="14.25" customHeight="1"/>
    <row r="38997" ht="14.25" customHeight="1"/>
    <row r="38998" ht="14.25" customHeight="1"/>
    <row r="38999" ht="14.25" customHeight="1"/>
    <row r="39000" ht="14.25" customHeight="1"/>
    <row r="39001" ht="14.25" customHeight="1"/>
    <row r="39002" ht="14.25" customHeight="1"/>
    <row r="39003" ht="14.25" customHeight="1"/>
    <row r="39004" ht="14.25" customHeight="1"/>
    <row r="39005" ht="14.25" customHeight="1"/>
    <row r="39006" ht="14.25" customHeight="1"/>
    <row r="39007" ht="14.25" customHeight="1"/>
    <row r="39008" ht="14.25" customHeight="1"/>
    <row r="39009" ht="14.25" customHeight="1"/>
    <row r="39010" ht="14.25" customHeight="1"/>
    <row r="39011" ht="14.25" customHeight="1"/>
    <row r="39012" ht="14.25" customHeight="1"/>
    <row r="39013" ht="14.25" customHeight="1"/>
    <row r="39014" ht="14.25" customHeight="1"/>
    <row r="39015" ht="14.25" customHeight="1"/>
    <row r="39016" ht="14.25" customHeight="1"/>
    <row r="39017" ht="14.25" customHeight="1"/>
    <row r="39018" ht="14.25" customHeight="1"/>
    <row r="39019" ht="14.25" customHeight="1"/>
    <row r="39020" ht="14.25" customHeight="1"/>
    <row r="39021" ht="14.25" customHeight="1"/>
    <row r="39022" ht="14.25" customHeight="1"/>
    <row r="39023" ht="14.25" customHeight="1"/>
    <row r="39024" ht="14.25" customHeight="1"/>
    <row r="39025" ht="14.25" customHeight="1"/>
    <row r="39026" ht="14.25" customHeight="1"/>
    <row r="39027" ht="14.25" customHeight="1"/>
    <row r="39028" ht="14.25" customHeight="1"/>
    <row r="39029" ht="14.25" customHeight="1"/>
    <row r="39030" ht="14.25" customHeight="1"/>
    <row r="39031" ht="14.25" customHeight="1"/>
    <row r="39032" ht="14.25" customHeight="1"/>
    <row r="39033" ht="14.25" customHeight="1"/>
    <row r="39034" ht="14.25" customHeight="1"/>
    <row r="39035" ht="14.25" customHeight="1"/>
    <row r="39036" ht="14.25" customHeight="1"/>
    <row r="39037" ht="14.25" customHeight="1"/>
    <row r="39038" ht="14.25" customHeight="1"/>
    <row r="39039" ht="14.25" customHeight="1"/>
    <row r="39040" ht="14.25" customHeight="1"/>
    <row r="39041" ht="14.25" customHeight="1"/>
    <row r="39042" ht="14.25" customHeight="1"/>
    <row r="39043" ht="14.25" customHeight="1"/>
    <row r="39044" ht="14.25" customHeight="1"/>
    <row r="39045" ht="14.25" customHeight="1"/>
    <row r="39046" ht="14.25" customHeight="1"/>
    <row r="39047" ht="14.25" customHeight="1"/>
    <row r="39048" ht="14.25" customHeight="1"/>
    <row r="39049" ht="14.25" customHeight="1"/>
    <row r="39050" ht="14.25" customHeight="1"/>
    <row r="39051" ht="14.25" customHeight="1"/>
    <row r="39052" ht="14.25" customHeight="1"/>
    <row r="39053" ht="14.25" customHeight="1"/>
    <row r="39054" ht="14.25" customHeight="1"/>
    <row r="39055" ht="14.25" customHeight="1"/>
    <row r="39056" ht="14.25" customHeight="1"/>
    <row r="39057" ht="14.25" customHeight="1"/>
    <row r="39058" ht="14.25" customHeight="1"/>
    <row r="39059" ht="14.25" customHeight="1"/>
    <row r="39060" ht="14.25" customHeight="1"/>
    <row r="39061" ht="14.25" customHeight="1"/>
    <row r="39062" ht="14.25" customHeight="1"/>
    <row r="39063" ht="14.25" customHeight="1"/>
    <row r="39064" ht="14.25" customHeight="1"/>
    <row r="39065" ht="14.25" customHeight="1"/>
    <row r="39066" ht="14.25" customHeight="1"/>
    <row r="39067" ht="14.25" customHeight="1"/>
    <row r="39068" ht="14.25" customHeight="1"/>
    <row r="39069" ht="14.25" customHeight="1"/>
    <row r="39070" ht="14.25" customHeight="1"/>
    <row r="39071" ht="14.25" customHeight="1"/>
    <row r="39072" ht="14.25" customHeight="1"/>
    <row r="39073" ht="14.25" customHeight="1"/>
    <row r="39074" ht="14.25" customHeight="1"/>
    <row r="39075" ht="14.25" customHeight="1"/>
    <row r="39076" ht="14.25" customHeight="1"/>
    <row r="39077" ht="14.25" customHeight="1"/>
    <row r="39078" ht="14.25" customHeight="1"/>
    <row r="39079" ht="14.25" customHeight="1"/>
    <row r="39080" ht="14.25" customHeight="1"/>
    <row r="39081" ht="14.25" customHeight="1"/>
    <row r="39082" ht="14.25" customHeight="1"/>
    <row r="39083" ht="14.25" customHeight="1"/>
    <row r="39084" ht="14.25" customHeight="1"/>
    <row r="39085" ht="14.25" customHeight="1"/>
    <row r="39086" ht="14.25" customHeight="1"/>
    <row r="39087" ht="14.25" customHeight="1"/>
    <row r="39088" ht="14.25" customHeight="1"/>
    <row r="39089" ht="14.25" customHeight="1"/>
    <row r="39090" ht="14.25" customHeight="1"/>
    <row r="39091" ht="14.25" customHeight="1"/>
    <row r="39092" ht="14.25" customHeight="1"/>
    <row r="39093" ht="14.25" customHeight="1"/>
    <row r="39094" ht="14.25" customHeight="1"/>
    <row r="39095" ht="14.25" customHeight="1"/>
    <row r="39096" ht="14.25" customHeight="1"/>
    <row r="39097" ht="14.25" customHeight="1"/>
    <row r="39098" ht="14.25" customHeight="1"/>
    <row r="39099" ht="14.25" customHeight="1"/>
    <row r="39100" ht="14.25" customHeight="1"/>
    <row r="39101" ht="14.25" customHeight="1"/>
    <row r="39102" ht="14.25" customHeight="1"/>
    <row r="39103" ht="14.25" customHeight="1"/>
    <row r="39104" ht="14.25" customHeight="1"/>
    <row r="39105" ht="14.25" customHeight="1"/>
    <row r="39106" ht="14.25" customHeight="1"/>
    <row r="39107" ht="14.25" customHeight="1"/>
    <row r="39108" ht="14.25" customHeight="1"/>
    <row r="39109" ht="14.25" customHeight="1"/>
    <row r="39110" ht="14.25" customHeight="1"/>
    <row r="39111" ht="14.25" customHeight="1"/>
    <row r="39112" ht="14.25" customHeight="1"/>
    <row r="39113" ht="14.25" customHeight="1"/>
    <row r="39114" ht="14.25" customHeight="1"/>
    <row r="39115" ht="14.25" customHeight="1"/>
    <row r="39116" ht="14.25" customHeight="1"/>
    <row r="39117" ht="14.25" customHeight="1"/>
    <row r="39118" ht="14.25" customHeight="1"/>
    <row r="39119" ht="14.25" customHeight="1"/>
    <row r="39120" ht="14.25" customHeight="1"/>
    <row r="39121" ht="14.25" customHeight="1"/>
    <row r="39122" ht="14.25" customHeight="1"/>
    <row r="39123" ht="14.25" customHeight="1"/>
    <row r="39124" ht="14.25" customHeight="1"/>
    <row r="39125" ht="14.25" customHeight="1"/>
    <row r="39126" ht="14.25" customHeight="1"/>
    <row r="39127" ht="14.25" customHeight="1"/>
    <row r="39128" ht="14.25" customHeight="1"/>
    <row r="39129" ht="14.25" customHeight="1"/>
    <row r="39130" ht="14.25" customHeight="1"/>
    <row r="39131" ht="14.25" customHeight="1"/>
    <row r="39132" ht="14.25" customHeight="1"/>
    <row r="39133" ht="14.25" customHeight="1"/>
    <row r="39134" ht="14.25" customHeight="1"/>
    <row r="39135" ht="14.25" customHeight="1"/>
    <row r="39136" ht="14.25" customHeight="1"/>
    <row r="39137" ht="14.25" customHeight="1"/>
    <row r="39138" ht="14.25" customHeight="1"/>
    <row r="39139" ht="14.25" customHeight="1"/>
    <row r="39140" ht="14.25" customHeight="1"/>
    <row r="39141" ht="14.25" customHeight="1"/>
    <row r="39142" ht="14.25" customHeight="1"/>
    <row r="39143" ht="14.25" customHeight="1"/>
    <row r="39144" ht="14.25" customHeight="1"/>
    <row r="39145" ht="14.25" customHeight="1"/>
    <row r="39146" ht="14.25" customHeight="1"/>
    <row r="39147" ht="14.25" customHeight="1"/>
    <row r="39148" ht="14.25" customHeight="1"/>
    <row r="39149" ht="14.25" customHeight="1"/>
    <row r="39150" ht="14.25" customHeight="1"/>
    <row r="39151" ht="14.25" customHeight="1"/>
    <row r="39152" ht="14.25" customHeight="1"/>
    <row r="39153" ht="14.25" customHeight="1"/>
    <row r="39154" ht="14.25" customHeight="1"/>
    <row r="39155" ht="14.25" customHeight="1"/>
    <row r="39156" ht="14.25" customHeight="1"/>
    <row r="39157" ht="14.25" customHeight="1"/>
    <row r="39158" ht="14.25" customHeight="1"/>
    <row r="39159" ht="14.25" customHeight="1"/>
    <row r="39160" ht="14.25" customHeight="1"/>
    <row r="39161" ht="14.25" customHeight="1"/>
    <row r="39162" ht="14.25" customHeight="1"/>
    <row r="39163" ht="14.25" customHeight="1"/>
    <row r="39164" ht="14.25" customHeight="1"/>
    <row r="39165" ht="14.25" customHeight="1"/>
    <row r="39166" ht="14.25" customHeight="1"/>
    <row r="39167" ht="14.25" customHeight="1"/>
    <row r="39168" ht="14.25" customHeight="1"/>
    <row r="39169" ht="14.25" customHeight="1"/>
    <row r="39170" ht="14.25" customHeight="1"/>
    <row r="39171" ht="14.25" customHeight="1"/>
    <row r="39172" ht="14.25" customHeight="1"/>
    <row r="39173" ht="14.25" customHeight="1"/>
    <row r="39174" ht="14.25" customHeight="1"/>
    <row r="39175" ht="14.25" customHeight="1"/>
    <row r="39176" ht="14.25" customHeight="1"/>
    <row r="39177" ht="14.25" customHeight="1"/>
    <row r="39178" ht="14.25" customHeight="1"/>
    <row r="39179" ht="14.25" customHeight="1"/>
    <row r="39180" ht="14.25" customHeight="1"/>
    <row r="39181" ht="14.25" customHeight="1"/>
    <row r="39182" ht="14.25" customHeight="1"/>
    <row r="39183" ht="14.25" customHeight="1"/>
    <row r="39184" ht="14.25" customHeight="1"/>
    <row r="39185" ht="14.25" customHeight="1"/>
    <row r="39186" ht="14.25" customHeight="1"/>
    <row r="39187" ht="14.25" customHeight="1"/>
    <row r="39188" ht="14.25" customHeight="1"/>
    <row r="39189" ht="14.25" customHeight="1"/>
    <row r="39190" ht="14.25" customHeight="1"/>
    <row r="39191" ht="14.25" customHeight="1"/>
    <row r="39192" ht="14.25" customHeight="1"/>
    <row r="39193" ht="14.25" customHeight="1"/>
    <row r="39194" ht="14.25" customHeight="1"/>
    <row r="39195" ht="14.25" customHeight="1"/>
    <row r="39196" ht="14.25" customHeight="1"/>
    <row r="39197" ht="14.25" customHeight="1"/>
    <row r="39198" ht="14.25" customHeight="1"/>
    <row r="39199" ht="14.25" customHeight="1"/>
    <row r="39200" ht="14.25" customHeight="1"/>
    <row r="39201" ht="14.25" customHeight="1"/>
    <row r="39202" ht="14.25" customHeight="1"/>
    <row r="39203" ht="14.25" customHeight="1"/>
    <row r="39204" ht="14.25" customHeight="1"/>
    <row r="39205" ht="14.25" customHeight="1"/>
    <row r="39206" ht="14.25" customHeight="1"/>
    <row r="39207" ht="14.25" customHeight="1"/>
    <row r="39208" ht="14.25" customHeight="1"/>
    <row r="39209" ht="14.25" customHeight="1"/>
    <row r="39210" ht="14.25" customHeight="1"/>
    <row r="39211" ht="14.25" customHeight="1"/>
    <row r="39212" ht="14.25" customHeight="1"/>
    <row r="39213" ht="14.25" customHeight="1"/>
    <row r="39214" ht="14.25" customHeight="1"/>
    <row r="39215" ht="14.25" customHeight="1"/>
    <row r="39216" ht="14.25" customHeight="1"/>
    <row r="39217" ht="14.25" customHeight="1"/>
    <row r="39218" ht="14.25" customHeight="1"/>
    <row r="39219" ht="14.25" customHeight="1"/>
    <row r="39220" ht="14.25" customHeight="1"/>
    <row r="39221" ht="14.25" customHeight="1"/>
    <row r="39222" ht="14.25" customHeight="1"/>
    <row r="39223" ht="14.25" customHeight="1"/>
    <row r="39224" ht="14.25" customHeight="1"/>
    <row r="39225" ht="14.25" customHeight="1"/>
    <row r="39226" ht="14.25" customHeight="1"/>
    <row r="39227" ht="14.25" customHeight="1"/>
    <row r="39228" ht="14.25" customHeight="1"/>
    <row r="39229" ht="14.25" customHeight="1"/>
    <row r="39230" ht="14.25" customHeight="1"/>
    <row r="39231" ht="14.25" customHeight="1"/>
    <row r="39232" ht="14.25" customHeight="1"/>
    <row r="39233" ht="14.25" customHeight="1"/>
    <row r="39234" ht="14.25" customHeight="1"/>
    <row r="39235" ht="14.25" customHeight="1"/>
    <row r="39236" ht="14.25" customHeight="1"/>
    <row r="39237" ht="14.25" customHeight="1"/>
    <row r="39238" ht="14.25" customHeight="1"/>
    <row r="39239" ht="14.25" customHeight="1"/>
    <row r="39240" ht="14.25" customHeight="1"/>
    <row r="39241" ht="14.25" customHeight="1"/>
    <row r="39242" ht="14.25" customHeight="1"/>
    <row r="39243" ht="14.25" customHeight="1"/>
    <row r="39244" ht="14.25" customHeight="1"/>
    <row r="39245" ht="14.25" customHeight="1"/>
    <row r="39246" ht="14.25" customHeight="1"/>
    <row r="39247" ht="14.25" customHeight="1"/>
    <row r="39248" ht="14.25" customHeight="1"/>
    <row r="39249" ht="14.25" customHeight="1"/>
    <row r="39250" ht="14.25" customHeight="1"/>
    <row r="39251" ht="14.25" customHeight="1"/>
    <row r="39252" ht="14.25" customHeight="1"/>
    <row r="39253" ht="14.25" customHeight="1"/>
    <row r="39254" ht="14.25" customHeight="1"/>
    <row r="39255" ht="14.25" customHeight="1"/>
    <row r="39256" ht="14.25" customHeight="1"/>
    <row r="39257" ht="14.25" customHeight="1"/>
    <row r="39258" ht="14.25" customHeight="1"/>
    <row r="39259" ht="14.25" customHeight="1"/>
    <row r="39260" ht="14.25" customHeight="1"/>
    <row r="39261" ht="14.25" customHeight="1"/>
    <row r="39262" ht="14.25" customHeight="1"/>
    <row r="39263" ht="14.25" customHeight="1"/>
    <row r="39264" ht="14.25" customHeight="1"/>
    <row r="39265" ht="14.25" customHeight="1"/>
    <row r="39266" ht="14.25" customHeight="1"/>
    <row r="39267" ht="14.25" customHeight="1"/>
    <row r="39268" ht="14.25" customHeight="1"/>
    <row r="39269" ht="14.25" customHeight="1"/>
    <row r="39270" ht="14.25" customHeight="1"/>
    <row r="39271" ht="14.25" customHeight="1"/>
    <row r="39272" ht="14.25" customHeight="1"/>
    <row r="39273" ht="14.25" customHeight="1"/>
    <row r="39274" ht="14.25" customHeight="1"/>
    <row r="39275" ht="14.25" customHeight="1"/>
    <row r="39276" ht="14.25" customHeight="1"/>
    <row r="39277" ht="14.25" customHeight="1"/>
    <row r="39278" ht="14.25" customHeight="1"/>
    <row r="39279" ht="14.25" customHeight="1"/>
    <row r="39280" ht="14.25" customHeight="1"/>
    <row r="39281" ht="14.25" customHeight="1"/>
    <row r="39282" ht="14.25" customHeight="1"/>
    <row r="39283" ht="14.25" customHeight="1"/>
    <row r="39284" ht="14.25" customHeight="1"/>
    <row r="39285" ht="14.25" customHeight="1"/>
    <row r="39286" ht="14.25" customHeight="1"/>
    <row r="39287" ht="14.25" customHeight="1"/>
    <row r="39288" ht="14.25" customHeight="1"/>
    <row r="39289" ht="14.25" customHeight="1"/>
    <row r="39290" ht="14.25" customHeight="1"/>
    <row r="39291" ht="14.25" customHeight="1"/>
    <row r="39292" ht="14.25" customHeight="1"/>
    <row r="39293" ht="14.25" customHeight="1"/>
    <row r="39294" ht="14.25" customHeight="1"/>
    <row r="39295" ht="14.25" customHeight="1"/>
    <row r="39296" ht="14.25" customHeight="1"/>
    <row r="39297" ht="14.25" customHeight="1"/>
    <row r="39298" ht="14.25" customHeight="1"/>
    <row r="39299" ht="14.25" customHeight="1"/>
    <row r="39300" ht="14.25" customHeight="1"/>
    <row r="39301" ht="14.25" customHeight="1"/>
    <row r="39302" ht="14.25" customHeight="1"/>
    <row r="39303" ht="14.25" customHeight="1"/>
    <row r="39304" ht="14.25" customHeight="1"/>
    <row r="39305" ht="14.25" customHeight="1"/>
    <row r="39306" ht="14.25" customHeight="1"/>
    <row r="39307" ht="14.25" customHeight="1"/>
    <row r="39308" ht="14.25" customHeight="1"/>
    <row r="39309" ht="14.25" customHeight="1"/>
    <row r="39310" ht="14.25" customHeight="1"/>
    <row r="39311" ht="14.25" customHeight="1"/>
    <row r="39312" ht="14.25" customHeight="1"/>
    <row r="39313" ht="14.25" customHeight="1"/>
    <row r="39314" ht="14.25" customHeight="1"/>
    <row r="39315" ht="14.25" customHeight="1"/>
    <row r="39316" ht="14.25" customHeight="1"/>
    <row r="39317" ht="14.25" customHeight="1"/>
    <row r="39318" ht="14.25" customHeight="1"/>
    <row r="39319" ht="14.25" customHeight="1"/>
    <row r="39320" ht="14.25" customHeight="1"/>
    <row r="39321" ht="14.25" customHeight="1"/>
    <row r="39322" ht="14.25" customHeight="1"/>
    <row r="39323" ht="14.25" customHeight="1"/>
    <row r="39324" ht="14.25" customHeight="1"/>
    <row r="39325" ht="14.25" customHeight="1"/>
    <row r="39326" ht="14.25" customHeight="1"/>
    <row r="39327" ht="14.25" customHeight="1"/>
    <row r="39328" ht="14.25" customHeight="1"/>
    <row r="39329" ht="14.25" customHeight="1"/>
    <row r="39330" ht="14.25" customHeight="1"/>
    <row r="39331" ht="14.25" customHeight="1"/>
    <row r="39332" ht="14.25" customHeight="1"/>
    <row r="39333" ht="14.25" customHeight="1"/>
    <row r="39334" ht="14.25" customHeight="1"/>
    <row r="39335" ht="14.25" customHeight="1"/>
    <row r="39336" ht="14.25" customHeight="1"/>
    <row r="39337" ht="14.25" customHeight="1"/>
    <row r="39338" ht="14.25" customHeight="1"/>
    <row r="39339" ht="14.25" customHeight="1"/>
    <row r="39340" ht="14.25" customHeight="1"/>
    <row r="39341" ht="14.25" customHeight="1"/>
    <row r="39342" ht="14.25" customHeight="1"/>
    <row r="39343" ht="14.25" customHeight="1"/>
    <row r="39344" ht="14.25" customHeight="1"/>
    <row r="39345" ht="14.25" customHeight="1"/>
    <row r="39346" ht="14.25" customHeight="1"/>
    <row r="39347" ht="14.25" customHeight="1"/>
    <row r="39348" ht="14.25" customHeight="1"/>
    <row r="39349" ht="14.25" customHeight="1"/>
    <row r="39350" ht="14.25" customHeight="1"/>
    <row r="39351" ht="14.25" customHeight="1"/>
    <row r="39352" ht="14.25" customHeight="1"/>
    <row r="39353" ht="14.25" customHeight="1"/>
    <row r="39354" ht="14.25" customHeight="1"/>
    <row r="39355" ht="14.25" customHeight="1"/>
    <row r="39356" ht="14.25" customHeight="1"/>
    <row r="39357" ht="14.25" customHeight="1"/>
    <row r="39358" ht="14.25" customHeight="1"/>
    <row r="39359" ht="14.25" customHeight="1"/>
    <row r="39360" ht="14.25" customHeight="1"/>
    <row r="39361" ht="14.25" customHeight="1"/>
    <row r="39362" ht="14.25" customHeight="1"/>
    <row r="39363" ht="14.25" customHeight="1"/>
    <row r="39364" ht="14.25" customHeight="1"/>
    <row r="39365" ht="14.25" customHeight="1"/>
    <row r="39366" ht="14.25" customHeight="1"/>
    <row r="39367" ht="14.25" customHeight="1"/>
    <row r="39368" ht="14.25" customHeight="1"/>
    <row r="39369" ht="14.25" customHeight="1"/>
    <row r="39370" ht="14.25" customHeight="1"/>
    <row r="39371" ht="14.25" customHeight="1"/>
    <row r="39372" ht="14.25" customHeight="1"/>
    <row r="39373" ht="14.25" customHeight="1"/>
    <row r="39374" ht="14.25" customHeight="1"/>
    <row r="39375" ht="14.25" customHeight="1"/>
    <row r="39376" ht="14.25" customHeight="1"/>
    <row r="39377" ht="14.25" customHeight="1"/>
    <row r="39378" ht="14.25" customHeight="1"/>
    <row r="39379" ht="14.25" customHeight="1"/>
    <row r="39380" ht="14.25" customHeight="1"/>
    <row r="39381" ht="14.25" customHeight="1"/>
    <row r="39382" ht="14.25" customHeight="1"/>
    <row r="39383" ht="14.25" customHeight="1"/>
    <row r="39384" ht="14.25" customHeight="1"/>
    <row r="39385" ht="14.25" customHeight="1"/>
    <row r="39386" ht="14.25" customHeight="1"/>
    <row r="39387" ht="14.25" customHeight="1"/>
    <row r="39388" ht="14.25" customHeight="1"/>
    <row r="39389" ht="14.25" customHeight="1"/>
    <row r="39390" ht="14.25" customHeight="1"/>
    <row r="39391" ht="14.25" customHeight="1"/>
    <row r="39392" ht="14.25" customHeight="1"/>
    <row r="39393" ht="14.25" customHeight="1"/>
    <row r="39394" ht="14.25" customHeight="1"/>
    <row r="39395" ht="14.25" customHeight="1"/>
    <row r="39396" ht="14.25" customHeight="1"/>
    <row r="39397" ht="14.25" customHeight="1"/>
    <row r="39398" ht="14.25" customHeight="1"/>
    <row r="39399" ht="14.25" customHeight="1"/>
    <row r="39400" ht="14.25" customHeight="1"/>
    <row r="39401" ht="14.25" customHeight="1"/>
    <row r="39402" ht="14.25" customHeight="1"/>
    <row r="39403" ht="14.25" customHeight="1"/>
    <row r="39404" ht="14.25" customHeight="1"/>
    <row r="39405" ht="14.25" customHeight="1"/>
    <row r="39406" ht="14.25" customHeight="1"/>
    <row r="39407" ht="14.25" customHeight="1"/>
    <row r="39408" ht="14.25" customHeight="1"/>
    <row r="39409" ht="14.25" customHeight="1"/>
    <row r="39410" ht="14.25" customHeight="1"/>
    <row r="39411" ht="14.25" customHeight="1"/>
    <row r="39412" ht="14.25" customHeight="1"/>
    <row r="39413" ht="14.25" customHeight="1"/>
    <row r="39414" ht="14.25" customHeight="1"/>
    <row r="39415" ht="14.25" customHeight="1"/>
    <row r="39416" ht="14.25" customHeight="1"/>
    <row r="39417" ht="14.25" customHeight="1"/>
    <row r="39418" ht="14.25" customHeight="1"/>
    <row r="39419" ht="14.25" customHeight="1"/>
    <row r="39420" ht="14.25" customHeight="1"/>
    <row r="39421" ht="14.25" customHeight="1"/>
    <row r="39422" ht="14.25" customHeight="1"/>
    <row r="39423" ht="14.25" customHeight="1"/>
    <row r="39424" ht="14.25" customHeight="1"/>
    <row r="39425" ht="14.25" customHeight="1"/>
    <row r="39426" ht="14.25" customHeight="1"/>
    <row r="39427" ht="14.25" customHeight="1"/>
    <row r="39428" ht="14.25" customHeight="1"/>
    <row r="39429" ht="14.25" customHeight="1"/>
    <row r="39430" ht="14.25" customHeight="1"/>
    <row r="39431" ht="14.25" customHeight="1"/>
    <row r="39432" ht="14.25" customHeight="1"/>
    <row r="39433" ht="14.25" customHeight="1"/>
    <row r="39434" ht="14.25" customHeight="1"/>
    <row r="39435" ht="14.25" customHeight="1"/>
    <row r="39436" ht="14.25" customHeight="1"/>
    <row r="39437" ht="14.25" customHeight="1"/>
    <row r="39438" ht="14.25" customHeight="1"/>
    <row r="39439" ht="14.25" customHeight="1"/>
    <row r="39440" ht="14.25" customHeight="1"/>
    <row r="39441" ht="14.25" customHeight="1"/>
    <row r="39442" ht="14.25" customHeight="1"/>
    <row r="39443" ht="14.25" customHeight="1"/>
    <row r="39444" ht="14.25" customHeight="1"/>
    <row r="39445" ht="14.25" customHeight="1"/>
    <row r="39446" ht="14.25" customHeight="1"/>
    <row r="39447" ht="14.25" customHeight="1"/>
    <row r="39448" ht="14.25" customHeight="1"/>
    <row r="39449" ht="14.25" customHeight="1"/>
    <row r="39450" ht="14.25" customHeight="1"/>
    <row r="39451" ht="14.25" customHeight="1"/>
    <row r="39452" ht="14.25" customHeight="1"/>
    <row r="39453" ht="14.25" customHeight="1"/>
    <row r="39454" ht="14.25" customHeight="1"/>
    <row r="39455" ht="14.25" customHeight="1"/>
    <row r="39456" ht="14.25" customHeight="1"/>
    <row r="39457" ht="14.25" customHeight="1"/>
    <row r="39458" ht="14.25" customHeight="1"/>
    <row r="39459" ht="14.25" customHeight="1"/>
    <row r="39460" ht="14.25" customHeight="1"/>
    <row r="39461" ht="14.25" customHeight="1"/>
    <row r="39462" ht="14.25" customHeight="1"/>
    <row r="39463" ht="14.25" customHeight="1"/>
    <row r="39464" ht="14.25" customHeight="1"/>
    <row r="39465" ht="14.25" customHeight="1"/>
    <row r="39466" ht="14.25" customHeight="1"/>
    <row r="39467" ht="14.25" customHeight="1"/>
    <row r="39468" ht="14.25" customHeight="1"/>
    <row r="39469" ht="14.25" customHeight="1"/>
    <row r="39470" ht="14.25" customHeight="1"/>
    <row r="39471" ht="14.25" customHeight="1"/>
    <row r="39472" ht="14.25" customHeight="1"/>
    <row r="39473" ht="14.25" customHeight="1"/>
    <row r="39474" ht="14.25" customHeight="1"/>
    <row r="39475" ht="14.25" customHeight="1"/>
    <row r="39476" ht="14.25" customHeight="1"/>
    <row r="39477" ht="14.25" customHeight="1"/>
    <row r="39478" ht="14.25" customHeight="1"/>
    <row r="39479" ht="14.25" customHeight="1"/>
    <row r="39480" ht="14.25" customHeight="1"/>
    <row r="39481" ht="14.25" customHeight="1"/>
    <row r="39482" ht="14.25" customHeight="1"/>
    <row r="39483" ht="14.25" customHeight="1"/>
    <row r="39484" ht="14.25" customHeight="1"/>
    <row r="39485" ht="14.25" customHeight="1"/>
    <row r="39486" ht="14.25" customHeight="1"/>
    <row r="39487" ht="14.25" customHeight="1"/>
    <row r="39488" ht="14.25" customHeight="1"/>
    <row r="39489" ht="14.25" customHeight="1"/>
    <row r="39490" ht="14.25" customHeight="1"/>
    <row r="39491" ht="14.25" customHeight="1"/>
    <row r="39492" ht="14.25" customHeight="1"/>
    <row r="39493" ht="14.25" customHeight="1"/>
    <row r="39494" ht="14.25" customHeight="1"/>
    <row r="39495" ht="14.25" customHeight="1"/>
    <row r="39496" ht="14.25" customHeight="1"/>
    <row r="39497" ht="14.25" customHeight="1"/>
    <row r="39498" ht="14.25" customHeight="1"/>
    <row r="39499" ht="14.25" customHeight="1"/>
    <row r="39500" ht="14.25" customHeight="1"/>
    <row r="39501" ht="14.25" customHeight="1"/>
    <row r="39502" ht="14.25" customHeight="1"/>
    <row r="39503" ht="14.25" customHeight="1"/>
    <row r="39504" ht="14.25" customHeight="1"/>
    <row r="39505" ht="14.25" customHeight="1"/>
    <row r="39506" ht="14.25" customHeight="1"/>
    <row r="39507" ht="14.25" customHeight="1"/>
    <row r="39508" ht="14.25" customHeight="1"/>
    <row r="39509" ht="14.25" customHeight="1"/>
    <row r="39510" ht="14.25" customHeight="1"/>
    <row r="39511" ht="14.25" customHeight="1"/>
    <row r="39512" ht="14.25" customHeight="1"/>
    <row r="39513" ht="14.25" customHeight="1"/>
    <row r="39514" ht="14.25" customHeight="1"/>
    <row r="39515" ht="14.25" customHeight="1"/>
    <row r="39516" ht="14.25" customHeight="1"/>
    <row r="39517" ht="14.25" customHeight="1"/>
    <row r="39518" ht="14.25" customHeight="1"/>
    <row r="39519" ht="14.25" customHeight="1"/>
    <row r="39520" ht="14.25" customHeight="1"/>
    <row r="39521" ht="14.25" customHeight="1"/>
    <row r="39522" ht="14.25" customHeight="1"/>
    <row r="39523" ht="14.25" customHeight="1"/>
    <row r="39524" ht="14.25" customHeight="1"/>
    <row r="39525" ht="14.25" customHeight="1"/>
    <row r="39526" ht="14.25" customHeight="1"/>
    <row r="39527" ht="14.25" customHeight="1"/>
    <row r="39528" ht="14.25" customHeight="1"/>
    <row r="39529" ht="14.25" customHeight="1"/>
    <row r="39530" ht="14.25" customHeight="1"/>
    <row r="39531" ht="14.25" customHeight="1"/>
    <row r="39532" ht="14.25" customHeight="1"/>
    <row r="39533" ht="14.25" customHeight="1"/>
    <row r="39534" ht="14.25" customHeight="1"/>
    <row r="39535" ht="14.25" customHeight="1"/>
    <row r="39536" ht="14.25" customHeight="1"/>
    <row r="39537" ht="14.25" customHeight="1"/>
    <row r="39538" ht="14.25" customHeight="1"/>
    <row r="39539" ht="14.25" customHeight="1"/>
    <row r="39540" ht="14.25" customHeight="1"/>
    <row r="39541" ht="14.25" customHeight="1"/>
    <row r="39542" ht="14.25" customHeight="1"/>
    <row r="39543" ht="14.25" customHeight="1"/>
    <row r="39544" ht="14.25" customHeight="1"/>
    <row r="39545" ht="14.25" customHeight="1"/>
    <row r="39546" ht="14.25" customHeight="1"/>
    <row r="39547" ht="14.25" customHeight="1"/>
    <row r="39548" ht="14.25" customHeight="1"/>
    <row r="39549" ht="14.25" customHeight="1"/>
    <row r="39550" ht="14.25" customHeight="1"/>
    <row r="39551" ht="14.25" customHeight="1"/>
    <row r="39552" ht="14.25" customHeight="1"/>
    <row r="39553" ht="14.25" customHeight="1"/>
    <row r="39554" ht="14.25" customHeight="1"/>
    <row r="39555" ht="14.25" customHeight="1"/>
    <row r="39556" ht="14.25" customHeight="1"/>
    <row r="39557" ht="14.25" customHeight="1"/>
    <row r="39558" ht="14.25" customHeight="1"/>
    <row r="39559" ht="14.25" customHeight="1"/>
    <row r="39560" ht="14.25" customHeight="1"/>
    <row r="39561" ht="14.25" customHeight="1"/>
    <row r="39562" ht="14.25" customHeight="1"/>
    <row r="39563" ht="14.25" customHeight="1"/>
    <row r="39564" ht="14.25" customHeight="1"/>
    <row r="39565" ht="14.25" customHeight="1"/>
    <row r="39566" ht="14.25" customHeight="1"/>
    <row r="39567" ht="14.25" customHeight="1"/>
    <row r="39568" ht="14.25" customHeight="1"/>
    <row r="39569" ht="14.25" customHeight="1"/>
    <row r="39570" ht="14.25" customHeight="1"/>
    <row r="39571" ht="14.25" customHeight="1"/>
    <row r="39572" ht="14.25" customHeight="1"/>
    <row r="39573" ht="14.25" customHeight="1"/>
    <row r="39574" ht="14.25" customHeight="1"/>
    <row r="39575" ht="14.25" customHeight="1"/>
    <row r="39576" ht="14.25" customHeight="1"/>
    <row r="39577" ht="14.25" customHeight="1"/>
    <row r="39578" ht="14.25" customHeight="1"/>
    <row r="39579" ht="14.25" customHeight="1"/>
    <row r="39580" ht="14.25" customHeight="1"/>
    <row r="39581" ht="14.25" customHeight="1"/>
    <row r="39582" ht="14.25" customHeight="1"/>
    <row r="39583" ht="14.25" customHeight="1"/>
    <row r="39584" ht="14.25" customHeight="1"/>
    <row r="39585" ht="14.25" customHeight="1"/>
    <row r="39586" ht="14.25" customHeight="1"/>
    <row r="39587" ht="14.25" customHeight="1"/>
    <row r="39588" ht="14.25" customHeight="1"/>
    <row r="39589" ht="14.25" customHeight="1"/>
    <row r="39590" ht="14.25" customHeight="1"/>
    <row r="39591" ht="14.25" customHeight="1"/>
    <row r="39592" ht="14.25" customHeight="1"/>
    <row r="39593" ht="14.25" customHeight="1"/>
    <row r="39594" ht="14.25" customHeight="1"/>
    <row r="39595" ht="14.25" customHeight="1"/>
    <row r="39596" ht="14.25" customHeight="1"/>
    <row r="39597" ht="14.25" customHeight="1"/>
    <row r="39598" ht="14.25" customHeight="1"/>
    <row r="39599" ht="14.25" customHeight="1"/>
    <row r="39600" ht="14.25" customHeight="1"/>
    <row r="39601" ht="14.25" customHeight="1"/>
    <row r="39602" ht="14.25" customHeight="1"/>
    <row r="39603" ht="14.25" customHeight="1"/>
    <row r="39604" ht="14.25" customHeight="1"/>
    <row r="39605" ht="14.25" customHeight="1"/>
    <row r="39606" ht="14.25" customHeight="1"/>
    <row r="39607" ht="14.25" customHeight="1"/>
    <row r="39608" ht="14.25" customHeight="1"/>
    <row r="39609" ht="14.25" customHeight="1"/>
    <row r="39610" ht="14.25" customHeight="1"/>
    <row r="39611" ht="14.25" customHeight="1"/>
    <row r="39612" ht="14.25" customHeight="1"/>
    <row r="39613" ht="14.25" customHeight="1"/>
    <row r="39614" ht="14.25" customHeight="1"/>
    <row r="39615" ht="14.25" customHeight="1"/>
    <row r="39616" ht="14.25" customHeight="1"/>
    <row r="39617" ht="14.25" customHeight="1"/>
    <row r="39618" ht="14.25" customHeight="1"/>
    <row r="39619" ht="14.25" customHeight="1"/>
    <row r="39620" ht="14.25" customHeight="1"/>
    <row r="39621" ht="14.25" customHeight="1"/>
    <row r="39622" ht="14.25" customHeight="1"/>
    <row r="39623" ht="14.25" customHeight="1"/>
    <row r="39624" ht="14.25" customHeight="1"/>
    <row r="39625" ht="14.25" customHeight="1"/>
    <row r="39626" ht="14.25" customHeight="1"/>
    <row r="39627" ht="14.25" customHeight="1"/>
    <row r="39628" ht="14.25" customHeight="1"/>
    <row r="39629" ht="14.25" customHeight="1"/>
    <row r="39630" ht="14.25" customHeight="1"/>
    <row r="39631" ht="14.25" customHeight="1"/>
    <row r="39632" ht="14.25" customHeight="1"/>
    <row r="39633" ht="14.25" customHeight="1"/>
    <row r="39634" ht="14.25" customHeight="1"/>
    <row r="39635" ht="14.25" customHeight="1"/>
    <row r="39636" ht="14.25" customHeight="1"/>
    <row r="39637" ht="14.25" customHeight="1"/>
    <row r="39638" ht="14.25" customHeight="1"/>
    <row r="39639" ht="14.25" customHeight="1"/>
    <row r="39640" ht="14.25" customHeight="1"/>
    <row r="39641" ht="14.25" customHeight="1"/>
    <row r="39642" ht="14.25" customHeight="1"/>
    <row r="39643" ht="14.25" customHeight="1"/>
    <row r="39644" ht="14.25" customHeight="1"/>
    <row r="39645" ht="14.25" customHeight="1"/>
    <row r="39646" ht="14.25" customHeight="1"/>
    <row r="39647" ht="14.25" customHeight="1"/>
    <row r="39648" ht="14.25" customHeight="1"/>
    <row r="39649" ht="14.25" customHeight="1"/>
    <row r="39650" ht="14.25" customHeight="1"/>
    <row r="39651" ht="14.25" customHeight="1"/>
    <row r="39652" ht="14.25" customHeight="1"/>
    <row r="39653" ht="14.25" customHeight="1"/>
    <row r="39654" ht="14.25" customHeight="1"/>
    <row r="39655" ht="14.25" customHeight="1"/>
    <row r="39656" ht="14.25" customHeight="1"/>
    <row r="39657" ht="14.25" customHeight="1"/>
    <row r="39658" ht="14.25" customHeight="1"/>
    <row r="39659" ht="14.25" customHeight="1"/>
    <row r="39660" ht="14.25" customHeight="1"/>
    <row r="39661" ht="14.25" customHeight="1"/>
    <row r="39662" ht="14.25" customHeight="1"/>
    <row r="39663" ht="14.25" customHeight="1"/>
    <row r="39664" ht="14.25" customHeight="1"/>
    <row r="39665" ht="14.25" customHeight="1"/>
    <row r="39666" ht="14.25" customHeight="1"/>
    <row r="39667" ht="14.25" customHeight="1"/>
    <row r="39668" ht="14.25" customHeight="1"/>
    <row r="39669" ht="14.25" customHeight="1"/>
    <row r="39670" ht="14.25" customHeight="1"/>
    <row r="39671" ht="14.25" customHeight="1"/>
    <row r="39672" ht="14.25" customHeight="1"/>
    <row r="39673" ht="14.25" customHeight="1"/>
    <row r="39674" ht="14.25" customHeight="1"/>
    <row r="39675" ht="14.25" customHeight="1"/>
    <row r="39676" ht="14.25" customHeight="1"/>
    <row r="39677" ht="14.25" customHeight="1"/>
    <row r="39678" ht="14.25" customHeight="1"/>
    <row r="39679" ht="14.25" customHeight="1"/>
    <row r="39680" ht="14.25" customHeight="1"/>
    <row r="39681" ht="14.25" customHeight="1"/>
    <row r="39682" ht="14.25" customHeight="1"/>
    <row r="39683" ht="14.25" customHeight="1"/>
    <row r="39684" ht="14.25" customHeight="1"/>
    <row r="39685" ht="14.25" customHeight="1"/>
    <row r="39686" ht="14.25" customHeight="1"/>
    <row r="39687" ht="14.25" customHeight="1"/>
    <row r="39688" ht="14.25" customHeight="1"/>
    <row r="39689" ht="14.25" customHeight="1"/>
    <row r="39690" ht="14.25" customHeight="1"/>
    <row r="39691" ht="14.25" customHeight="1"/>
    <row r="39692" ht="14.25" customHeight="1"/>
    <row r="39693" ht="14.25" customHeight="1"/>
    <row r="39694" ht="14.25" customHeight="1"/>
    <row r="39695" ht="14.25" customHeight="1"/>
    <row r="39696" ht="14.25" customHeight="1"/>
    <row r="39697" ht="14.25" customHeight="1"/>
    <row r="39698" ht="14.25" customHeight="1"/>
    <row r="39699" ht="14.25" customHeight="1"/>
    <row r="39700" ht="14.25" customHeight="1"/>
    <row r="39701" ht="14.25" customHeight="1"/>
    <row r="39702" ht="14.25" customHeight="1"/>
    <row r="39703" ht="14.25" customHeight="1"/>
    <row r="39704" ht="14.25" customHeight="1"/>
    <row r="39705" ht="14.25" customHeight="1"/>
    <row r="39706" ht="14.25" customHeight="1"/>
    <row r="39707" ht="14.25" customHeight="1"/>
    <row r="39708" ht="14.25" customHeight="1"/>
    <row r="39709" ht="14.25" customHeight="1"/>
    <row r="39710" ht="14.25" customHeight="1"/>
    <row r="39711" ht="14.25" customHeight="1"/>
    <row r="39712" ht="14.25" customHeight="1"/>
    <row r="39713" ht="14.25" customHeight="1"/>
    <row r="39714" ht="14.25" customHeight="1"/>
    <row r="39715" ht="14.25" customHeight="1"/>
    <row r="39716" ht="14.25" customHeight="1"/>
    <row r="39717" ht="14.25" customHeight="1"/>
    <row r="39718" ht="14.25" customHeight="1"/>
    <row r="39719" ht="14.25" customHeight="1"/>
    <row r="39720" ht="14.25" customHeight="1"/>
    <row r="39721" ht="14.25" customHeight="1"/>
    <row r="39722" ht="14.25" customHeight="1"/>
    <row r="39723" ht="14.25" customHeight="1"/>
    <row r="39724" ht="14.25" customHeight="1"/>
    <row r="39725" ht="14.25" customHeight="1"/>
    <row r="39726" ht="14.25" customHeight="1"/>
    <row r="39727" ht="14.25" customHeight="1"/>
    <row r="39728" ht="14.25" customHeight="1"/>
    <row r="39729" ht="14.25" customHeight="1"/>
    <row r="39730" ht="14.25" customHeight="1"/>
    <row r="39731" ht="14.25" customHeight="1"/>
    <row r="39732" ht="14.25" customHeight="1"/>
    <row r="39733" ht="14.25" customHeight="1"/>
    <row r="39734" ht="14.25" customHeight="1"/>
    <row r="39735" ht="14.25" customHeight="1"/>
    <row r="39736" ht="14.25" customHeight="1"/>
    <row r="39737" ht="14.25" customHeight="1"/>
    <row r="39738" ht="14.25" customHeight="1"/>
    <row r="39739" ht="14.25" customHeight="1"/>
    <row r="39740" ht="14.25" customHeight="1"/>
    <row r="39741" ht="14.25" customHeight="1"/>
    <row r="39742" ht="14.25" customHeight="1"/>
    <row r="39743" ht="14.25" customHeight="1"/>
    <row r="39744" ht="14.25" customHeight="1"/>
    <row r="39745" ht="14.25" customHeight="1"/>
    <row r="39746" ht="14.25" customHeight="1"/>
    <row r="39747" ht="14.25" customHeight="1"/>
    <row r="39748" ht="14.25" customHeight="1"/>
    <row r="39749" ht="14.25" customHeight="1"/>
    <row r="39750" ht="14.25" customHeight="1"/>
    <row r="39751" ht="14.25" customHeight="1"/>
    <row r="39752" ht="14.25" customHeight="1"/>
    <row r="39753" ht="14.25" customHeight="1"/>
    <row r="39754" ht="14.25" customHeight="1"/>
    <row r="39755" ht="14.25" customHeight="1"/>
    <row r="39756" ht="14.25" customHeight="1"/>
    <row r="39757" ht="14.25" customHeight="1"/>
    <row r="39758" ht="14.25" customHeight="1"/>
    <row r="39759" ht="14.25" customHeight="1"/>
    <row r="39760" ht="14.25" customHeight="1"/>
    <row r="39761" ht="14.25" customHeight="1"/>
    <row r="39762" ht="14.25" customHeight="1"/>
    <row r="39763" ht="14.25" customHeight="1"/>
    <row r="39764" ht="14.25" customHeight="1"/>
    <row r="39765" ht="14.25" customHeight="1"/>
    <row r="39766" ht="14.25" customHeight="1"/>
    <row r="39767" ht="14.25" customHeight="1"/>
    <row r="39768" ht="14.25" customHeight="1"/>
    <row r="39769" ht="14.25" customHeight="1"/>
    <row r="39770" ht="14.25" customHeight="1"/>
    <row r="39771" ht="14.25" customHeight="1"/>
    <row r="39772" ht="14.25" customHeight="1"/>
    <row r="39773" ht="14.25" customHeight="1"/>
    <row r="39774" ht="14.25" customHeight="1"/>
    <row r="39775" ht="14.25" customHeight="1"/>
    <row r="39776" ht="14.25" customHeight="1"/>
    <row r="39777" ht="14.25" customHeight="1"/>
    <row r="39778" ht="14.25" customHeight="1"/>
    <row r="39779" ht="14.25" customHeight="1"/>
    <row r="39780" ht="14.25" customHeight="1"/>
    <row r="39781" ht="14.25" customHeight="1"/>
    <row r="39782" ht="14.25" customHeight="1"/>
    <row r="39783" ht="14.25" customHeight="1"/>
    <row r="39784" ht="14.25" customHeight="1"/>
    <row r="39785" ht="14.25" customHeight="1"/>
    <row r="39786" ht="14.25" customHeight="1"/>
    <row r="39787" ht="14.25" customHeight="1"/>
    <row r="39788" ht="14.25" customHeight="1"/>
    <row r="39789" ht="14.25" customHeight="1"/>
    <row r="39790" ht="14.25" customHeight="1"/>
    <row r="39791" ht="14.25" customHeight="1"/>
    <row r="39792" ht="14.25" customHeight="1"/>
    <row r="39793" ht="14.25" customHeight="1"/>
    <row r="39794" ht="14.25" customHeight="1"/>
    <row r="39795" ht="14.25" customHeight="1"/>
    <row r="39796" ht="14.25" customHeight="1"/>
    <row r="39797" ht="14.25" customHeight="1"/>
    <row r="39798" ht="14.25" customHeight="1"/>
    <row r="39799" ht="14.25" customHeight="1"/>
    <row r="39800" ht="14.25" customHeight="1"/>
    <row r="39801" ht="14.25" customHeight="1"/>
    <row r="39802" ht="14.25" customHeight="1"/>
    <row r="39803" ht="14.25" customHeight="1"/>
    <row r="39804" ht="14.25" customHeight="1"/>
    <row r="39805" ht="14.25" customHeight="1"/>
    <row r="39806" ht="14.25" customHeight="1"/>
    <row r="39807" ht="14.25" customHeight="1"/>
    <row r="39808" ht="14.25" customHeight="1"/>
    <row r="39809" ht="14.25" customHeight="1"/>
    <row r="39810" ht="14.25" customHeight="1"/>
    <row r="39811" ht="14.25" customHeight="1"/>
    <row r="39812" ht="14.25" customHeight="1"/>
    <row r="39813" ht="14.25" customHeight="1"/>
    <row r="39814" ht="14.25" customHeight="1"/>
    <row r="39815" ht="14.25" customHeight="1"/>
    <row r="39816" ht="14.25" customHeight="1"/>
    <row r="39817" ht="14.25" customHeight="1"/>
    <row r="39818" ht="14.25" customHeight="1"/>
    <row r="39819" ht="14.25" customHeight="1"/>
    <row r="39820" ht="14.25" customHeight="1"/>
    <row r="39821" ht="14.25" customHeight="1"/>
    <row r="39822" ht="14.25" customHeight="1"/>
    <row r="39823" ht="14.25" customHeight="1"/>
    <row r="39824" ht="14.25" customHeight="1"/>
    <row r="39825" ht="14.25" customHeight="1"/>
    <row r="39826" ht="14.25" customHeight="1"/>
    <row r="39827" ht="14.25" customHeight="1"/>
    <row r="39828" ht="14.25" customHeight="1"/>
    <row r="39829" ht="14.25" customHeight="1"/>
    <row r="39830" ht="14.25" customHeight="1"/>
    <row r="39831" ht="14.25" customHeight="1"/>
    <row r="39832" ht="14.25" customHeight="1"/>
    <row r="39833" ht="14.25" customHeight="1"/>
    <row r="39834" ht="14.25" customHeight="1"/>
    <row r="39835" ht="14.25" customHeight="1"/>
    <row r="39836" ht="14.25" customHeight="1"/>
    <row r="39837" ht="14.25" customHeight="1"/>
    <row r="39838" ht="14.25" customHeight="1"/>
    <row r="39839" ht="14.25" customHeight="1"/>
    <row r="39840" ht="14.25" customHeight="1"/>
    <row r="39841" ht="14.25" customHeight="1"/>
    <row r="39842" ht="14.25" customHeight="1"/>
    <row r="39843" ht="14.25" customHeight="1"/>
    <row r="39844" ht="14.25" customHeight="1"/>
    <row r="39845" ht="14.25" customHeight="1"/>
    <row r="39846" ht="14.25" customHeight="1"/>
    <row r="39847" ht="14.25" customHeight="1"/>
    <row r="39848" ht="14.25" customHeight="1"/>
    <row r="39849" ht="14.25" customHeight="1"/>
    <row r="39850" ht="14.25" customHeight="1"/>
    <row r="39851" ht="14.25" customHeight="1"/>
    <row r="39852" ht="14.25" customHeight="1"/>
    <row r="39853" ht="14.25" customHeight="1"/>
    <row r="39854" ht="14.25" customHeight="1"/>
    <row r="39855" ht="14.25" customHeight="1"/>
    <row r="39856" ht="14.25" customHeight="1"/>
    <row r="39857" ht="14.25" customHeight="1"/>
    <row r="39858" ht="14.25" customHeight="1"/>
    <row r="39859" ht="14.25" customHeight="1"/>
    <row r="39860" ht="14.25" customHeight="1"/>
    <row r="39861" ht="14.25" customHeight="1"/>
    <row r="39862" ht="14.25" customHeight="1"/>
    <row r="39863" ht="14.25" customHeight="1"/>
    <row r="39864" ht="14.25" customHeight="1"/>
    <row r="39865" ht="14.25" customHeight="1"/>
    <row r="39866" ht="14.25" customHeight="1"/>
    <row r="39867" ht="14.25" customHeight="1"/>
    <row r="39868" ht="14.25" customHeight="1"/>
    <row r="39869" ht="14.25" customHeight="1"/>
    <row r="39870" ht="14.25" customHeight="1"/>
    <row r="39871" ht="14.25" customHeight="1"/>
    <row r="39872" ht="14.25" customHeight="1"/>
    <row r="39873" ht="14.25" customHeight="1"/>
    <row r="39874" ht="14.25" customHeight="1"/>
    <row r="39875" ht="14.25" customHeight="1"/>
    <row r="39876" ht="14.25" customHeight="1"/>
    <row r="39877" ht="14.25" customHeight="1"/>
    <row r="39878" ht="14.25" customHeight="1"/>
    <row r="39879" ht="14.25" customHeight="1"/>
    <row r="39880" ht="14.25" customHeight="1"/>
    <row r="39881" ht="14.25" customHeight="1"/>
    <row r="39882" ht="14.25" customHeight="1"/>
    <row r="39883" ht="14.25" customHeight="1"/>
    <row r="39884" ht="14.25" customHeight="1"/>
    <row r="39885" ht="14.25" customHeight="1"/>
    <row r="39886" ht="14.25" customHeight="1"/>
    <row r="39887" ht="14.25" customHeight="1"/>
    <row r="39888" ht="14.25" customHeight="1"/>
    <row r="39889" ht="14.25" customHeight="1"/>
    <row r="39890" ht="14.25" customHeight="1"/>
    <row r="39891" ht="14.25" customHeight="1"/>
    <row r="39892" ht="14.25" customHeight="1"/>
    <row r="39893" ht="14.25" customHeight="1"/>
    <row r="39894" ht="14.25" customHeight="1"/>
    <row r="39895" ht="14.25" customHeight="1"/>
    <row r="39896" ht="14.25" customHeight="1"/>
    <row r="39897" ht="14.25" customHeight="1"/>
    <row r="39898" ht="14.25" customHeight="1"/>
    <row r="39899" ht="14.25" customHeight="1"/>
    <row r="39900" ht="14.25" customHeight="1"/>
    <row r="39901" ht="14.25" customHeight="1"/>
    <row r="39902" ht="14.25" customHeight="1"/>
    <row r="39903" ht="14.25" customHeight="1"/>
    <row r="39904" ht="14.25" customHeight="1"/>
    <row r="39905" ht="14.25" customHeight="1"/>
    <row r="39906" ht="14.25" customHeight="1"/>
    <row r="39907" ht="14.25" customHeight="1"/>
    <row r="39908" ht="14.25" customHeight="1"/>
    <row r="39909" ht="14.25" customHeight="1"/>
    <row r="39910" ht="14.25" customHeight="1"/>
    <row r="39911" ht="14.25" customHeight="1"/>
    <row r="39912" ht="14.25" customHeight="1"/>
    <row r="39913" ht="14.25" customHeight="1"/>
    <row r="39914" ht="14.25" customHeight="1"/>
    <row r="39915" ht="14.25" customHeight="1"/>
    <row r="39916" ht="14.25" customHeight="1"/>
    <row r="39917" ht="14.25" customHeight="1"/>
    <row r="39918" ht="14.25" customHeight="1"/>
    <row r="39919" ht="14.25" customHeight="1"/>
    <row r="39920" ht="14.25" customHeight="1"/>
    <row r="39921" ht="14.25" customHeight="1"/>
    <row r="39922" ht="14.25" customHeight="1"/>
    <row r="39923" ht="14.25" customHeight="1"/>
    <row r="39924" ht="14.25" customHeight="1"/>
    <row r="39925" ht="14.25" customHeight="1"/>
    <row r="39926" ht="14.25" customHeight="1"/>
    <row r="39927" ht="14.25" customHeight="1"/>
    <row r="39928" ht="14.25" customHeight="1"/>
    <row r="39929" ht="14.25" customHeight="1"/>
    <row r="39930" ht="14.25" customHeight="1"/>
    <row r="39931" ht="14.25" customHeight="1"/>
    <row r="39932" ht="14.25" customHeight="1"/>
    <row r="39933" ht="14.25" customHeight="1"/>
    <row r="39934" ht="14.25" customHeight="1"/>
    <row r="39935" ht="14.25" customHeight="1"/>
    <row r="39936" ht="14.25" customHeight="1"/>
    <row r="39937" ht="14.25" customHeight="1"/>
    <row r="39938" ht="14.25" customHeight="1"/>
    <row r="39939" ht="14.25" customHeight="1"/>
    <row r="39940" ht="14.25" customHeight="1"/>
    <row r="39941" ht="14.25" customHeight="1"/>
    <row r="39942" ht="14.25" customHeight="1"/>
    <row r="39943" ht="14.25" customHeight="1"/>
    <row r="39944" ht="14.25" customHeight="1"/>
    <row r="39945" ht="14.25" customHeight="1"/>
    <row r="39946" ht="14.25" customHeight="1"/>
    <row r="39947" ht="14.25" customHeight="1"/>
    <row r="39948" ht="14.25" customHeight="1"/>
    <row r="39949" ht="14.25" customHeight="1"/>
    <row r="39950" ht="14.25" customHeight="1"/>
    <row r="39951" ht="14.25" customHeight="1"/>
    <row r="39952" ht="14.25" customHeight="1"/>
    <row r="39953" ht="14.25" customHeight="1"/>
    <row r="39954" ht="14.25" customHeight="1"/>
    <row r="39955" ht="14.25" customHeight="1"/>
    <row r="39956" ht="14.25" customHeight="1"/>
    <row r="39957" ht="14.25" customHeight="1"/>
    <row r="39958" ht="14.25" customHeight="1"/>
    <row r="39959" ht="14.25" customHeight="1"/>
    <row r="39960" ht="14.25" customHeight="1"/>
    <row r="39961" ht="14.25" customHeight="1"/>
    <row r="39962" ht="14.25" customHeight="1"/>
    <row r="39963" ht="14.25" customHeight="1"/>
    <row r="39964" ht="14.25" customHeight="1"/>
    <row r="39965" ht="14.25" customHeight="1"/>
    <row r="39966" ht="14.25" customHeight="1"/>
    <row r="39967" ht="14.25" customHeight="1"/>
    <row r="39968" ht="14.25" customHeight="1"/>
    <row r="39969" ht="14.25" customHeight="1"/>
    <row r="39970" ht="14.25" customHeight="1"/>
    <row r="39971" ht="14.25" customHeight="1"/>
    <row r="39972" ht="14.25" customHeight="1"/>
    <row r="39973" ht="14.25" customHeight="1"/>
    <row r="39974" ht="14.25" customHeight="1"/>
    <row r="39975" ht="14.25" customHeight="1"/>
    <row r="39976" ht="14.25" customHeight="1"/>
    <row r="39977" ht="14.25" customHeight="1"/>
    <row r="39978" ht="14.25" customHeight="1"/>
    <row r="39979" ht="14.25" customHeight="1"/>
    <row r="39980" ht="14.25" customHeight="1"/>
    <row r="39981" ht="14.25" customHeight="1"/>
    <row r="39982" ht="14.25" customHeight="1"/>
    <row r="39983" ht="14.25" customHeight="1"/>
    <row r="39984" ht="14.25" customHeight="1"/>
    <row r="39985" ht="14.25" customHeight="1"/>
    <row r="39986" ht="14.25" customHeight="1"/>
    <row r="39987" ht="14.25" customHeight="1"/>
    <row r="39988" ht="14.25" customHeight="1"/>
    <row r="39989" ht="14.25" customHeight="1"/>
    <row r="39990" ht="14.25" customHeight="1"/>
    <row r="39991" ht="14.25" customHeight="1"/>
    <row r="39992" ht="14.25" customHeight="1"/>
    <row r="39993" ht="14.25" customHeight="1"/>
    <row r="39994" ht="14.25" customHeight="1"/>
    <row r="39995" ht="14.25" customHeight="1"/>
    <row r="39996" ht="14.25" customHeight="1"/>
    <row r="39997" ht="14.25" customHeight="1"/>
    <row r="39998" ht="14.25" customHeight="1"/>
    <row r="39999" ht="14.25" customHeight="1"/>
    <row r="40000" ht="14.25" customHeight="1"/>
    <row r="40001" ht="14.25" customHeight="1"/>
    <row r="40002" ht="14.25" customHeight="1"/>
    <row r="40003" ht="14.25" customHeight="1"/>
    <row r="40004" ht="14.25" customHeight="1"/>
    <row r="40005" ht="14.25" customHeight="1"/>
    <row r="40006" ht="14.25" customHeight="1"/>
    <row r="40007" ht="14.25" customHeight="1"/>
    <row r="40008" ht="14.25" customHeight="1"/>
    <row r="40009" ht="14.25" customHeight="1"/>
    <row r="40010" ht="14.25" customHeight="1"/>
    <row r="40011" ht="14.25" customHeight="1"/>
    <row r="40012" ht="14.25" customHeight="1"/>
    <row r="40013" ht="14.25" customHeight="1"/>
    <row r="40014" ht="14.25" customHeight="1"/>
    <row r="40015" ht="14.25" customHeight="1"/>
    <row r="40016" ht="14.25" customHeight="1"/>
    <row r="40017" ht="14.25" customHeight="1"/>
    <row r="40018" ht="14.25" customHeight="1"/>
    <row r="40019" ht="14.25" customHeight="1"/>
    <row r="40020" ht="14.25" customHeight="1"/>
    <row r="40021" ht="14.25" customHeight="1"/>
    <row r="40022" ht="14.25" customHeight="1"/>
    <row r="40023" ht="14.25" customHeight="1"/>
    <row r="40024" ht="14.25" customHeight="1"/>
    <row r="40025" ht="14.25" customHeight="1"/>
    <row r="40026" ht="14.25" customHeight="1"/>
    <row r="40027" ht="14.25" customHeight="1"/>
    <row r="40028" ht="14.25" customHeight="1"/>
    <row r="40029" ht="14.25" customHeight="1"/>
    <row r="40030" ht="14.25" customHeight="1"/>
    <row r="40031" ht="14.25" customHeight="1"/>
    <row r="40032" ht="14.25" customHeight="1"/>
    <row r="40033" ht="14.25" customHeight="1"/>
    <row r="40034" ht="14.25" customHeight="1"/>
    <row r="40035" ht="14.25" customHeight="1"/>
    <row r="40036" ht="14.25" customHeight="1"/>
    <row r="40037" ht="14.25" customHeight="1"/>
    <row r="40038" ht="14.25" customHeight="1"/>
    <row r="40039" ht="14.25" customHeight="1"/>
    <row r="40040" ht="14.25" customHeight="1"/>
    <row r="40041" ht="14.25" customHeight="1"/>
    <row r="40042" ht="14.25" customHeight="1"/>
    <row r="40043" ht="14.25" customHeight="1"/>
    <row r="40044" ht="14.25" customHeight="1"/>
    <row r="40045" ht="14.25" customHeight="1"/>
    <row r="40046" ht="14.25" customHeight="1"/>
    <row r="40047" ht="14.25" customHeight="1"/>
    <row r="40048" ht="14.25" customHeight="1"/>
    <row r="40049" ht="14.25" customHeight="1"/>
    <row r="40050" ht="14.25" customHeight="1"/>
    <row r="40051" ht="14.25" customHeight="1"/>
    <row r="40052" ht="14.25" customHeight="1"/>
    <row r="40053" ht="14.25" customHeight="1"/>
    <row r="40054" ht="14.25" customHeight="1"/>
    <row r="40055" ht="14.25" customHeight="1"/>
    <row r="40056" ht="14.25" customHeight="1"/>
    <row r="40057" ht="14.25" customHeight="1"/>
    <row r="40058" ht="14.25" customHeight="1"/>
    <row r="40059" ht="14.25" customHeight="1"/>
    <row r="40060" ht="14.25" customHeight="1"/>
    <row r="40061" ht="14.25" customHeight="1"/>
    <row r="40062" ht="14.25" customHeight="1"/>
    <row r="40063" ht="14.25" customHeight="1"/>
    <row r="40064" ht="14.25" customHeight="1"/>
    <row r="40065" ht="14.25" customHeight="1"/>
    <row r="40066" ht="14.25" customHeight="1"/>
    <row r="40067" ht="14.25" customHeight="1"/>
    <row r="40068" ht="14.25" customHeight="1"/>
    <row r="40069" ht="14.25" customHeight="1"/>
    <row r="40070" ht="14.25" customHeight="1"/>
    <row r="40071" ht="14.25" customHeight="1"/>
    <row r="40072" ht="14.25" customHeight="1"/>
    <row r="40073" ht="14.25" customHeight="1"/>
    <row r="40074" ht="14.25" customHeight="1"/>
    <row r="40075" ht="14.25" customHeight="1"/>
    <row r="40076" ht="14.25" customHeight="1"/>
    <row r="40077" ht="14.25" customHeight="1"/>
    <row r="40078" ht="14.25" customHeight="1"/>
    <row r="40079" ht="14.25" customHeight="1"/>
    <row r="40080" ht="14.25" customHeight="1"/>
    <row r="40081" ht="14.25" customHeight="1"/>
    <row r="40082" ht="14.25" customHeight="1"/>
    <row r="40083" ht="14.25" customHeight="1"/>
    <row r="40084" ht="14.25" customHeight="1"/>
    <row r="40085" ht="14.25" customHeight="1"/>
    <row r="40086" ht="14.25" customHeight="1"/>
    <row r="40087" ht="14.25" customHeight="1"/>
    <row r="40088" ht="14.25" customHeight="1"/>
    <row r="40089" ht="14.25" customHeight="1"/>
    <row r="40090" ht="14.25" customHeight="1"/>
    <row r="40091" ht="14.25" customHeight="1"/>
    <row r="40092" ht="14.25" customHeight="1"/>
    <row r="40093" ht="14.25" customHeight="1"/>
    <row r="40094" ht="14.25" customHeight="1"/>
    <row r="40095" ht="14.25" customHeight="1"/>
    <row r="40096" ht="14.25" customHeight="1"/>
    <row r="40097" ht="14.25" customHeight="1"/>
    <row r="40098" ht="14.25" customHeight="1"/>
    <row r="40099" ht="14.25" customHeight="1"/>
    <row r="40100" ht="14.25" customHeight="1"/>
    <row r="40101" ht="14.25" customHeight="1"/>
    <row r="40102" ht="14.25" customHeight="1"/>
    <row r="40103" ht="14.25" customHeight="1"/>
    <row r="40104" ht="14.25" customHeight="1"/>
    <row r="40105" ht="14.25" customHeight="1"/>
    <row r="40106" ht="14.25" customHeight="1"/>
    <row r="40107" ht="14.25" customHeight="1"/>
    <row r="40108" ht="14.25" customHeight="1"/>
    <row r="40109" ht="14.25" customHeight="1"/>
    <row r="40110" ht="14.25" customHeight="1"/>
    <row r="40111" ht="14.25" customHeight="1"/>
    <row r="40112" ht="14.25" customHeight="1"/>
    <row r="40113" ht="14.25" customHeight="1"/>
    <row r="40114" ht="14.25" customHeight="1"/>
    <row r="40115" ht="14.25" customHeight="1"/>
    <row r="40116" ht="14.25" customHeight="1"/>
    <row r="40117" ht="14.25" customHeight="1"/>
    <row r="40118" ht="14.25" customHeight="1"/>
    <row r="40119" ht="14.25" customHeight="1"/>
    <row r="40120" ht="14.25" customHeight="1"/>
    <row r="40121" ht="14.25" customHeight="1"/>
    <row r="40122" ht="14.25" customHeight="1"/>
    <row r="40123" ht="14.25" customHeight="1"/>
    <row r="40124" ht="14.25" customHeight="1"/>
    <row r="40125" ht="14.25" customHeight="1"/>
    <row r="40126" ht="14.25" customHeight="1"/>
    <row r="40127" ht="14.25" customHeight="1"/>
    <row r="40128" ht="14.25" customHeight="1"/>
    <row r="40129" ht="14.25" customHeight="1"/>
    <row r="40130" ht="14.25" customHeight="1"/>
    <row r="40131" ht="14.25" customHeight="1"/>
    <row r="40132" ht="14.25" customHeight="1"/>
    <row r="40133" ht="14.25" customHeight="1"/>
    <row r="40134" ht="14.25" customHeight="1"/>
    <row r="40135" ht="14.25" customHeight="1"/>
    <row r="40136" ht="14.25" customHeight="1"/>
    <row r="40137" ht="14.25" customHeight="1"/>
    <row r="40138" ht="14.25" customHeight="1"/>
    <row r="40139" ht="14.25" customHeight="1"/>
    <row r="40140" ht="14.25" customHeight="1"/>
    <row r="40141" ht="14.25" customHeight="1"/>
    <row r="40142" ht="14.25" customHeight="1"/>
    <row r="40143" ht="14.25" customHeight="1"/>
    <row r="40144" ht="14.25" customHeight="1"/>
    <row r="40145" ht="14.25" customHeight="1"/>
    <row r="40146" ht="14.25" customHeight="1"/>
    <row r="40147" ht="14.25" customHeight="1"/>
    <row r="40148" ht="14.25" customHeight="1"/>
    <row r="40149" ht="14.25" customHeight="1"/>
    <row r="40150" ht="14.25" customHeight="1"/>
    <row r="40151" ht="14.25" customHeight="1"/>
    <row r="40152" ht="14.25" customHeight="1"/>
    <row r="40153" ht="14.25" customHeight="1"/>
    <row r="40154" ht="14.25" customHeight="1"/>
    <row r="40155" ht="14.25" customHeight="1"/>
    <row r="40156" ht="14.25" customHeight="1"/>
    <row r="40157" ht="14.25" customHeight="1"/>
    <row r="40158" ht="14.25" customHeight="1"/>
    <row r="40159" ht="14.25" customHeight="1"/>
    <row r="40160" ht="14.25" customHeight="1"/>
    <row r="40161" ht="14.25" customHeight="1"/>
    <row r="40162" ht="14.25" customHeight="1"/>
    <row r="40163" ht="14.25" customHeight="1"/>
    <row r="40164" ht="14.25" customHeight="1"/>
    <row r="40165" ht="14.25" customHeight="1"/>
    <row r="40166" ht="14.25" customHeight="1"/>
    <row r="40167" ht="14.25" customHeight="1"/>
    <row r="40168" ht="14.25" customHeight="1"/>
    <row r="40169" ht="14.25" customHeight="1"/>
    <row r="40170" ht="14.25" customHeight="1"/>
    <row r="40171" ht="14.25" customHeight="1"/>
    <row r="40172" ht="14.25" customHeight="1"/>
    <row r="40173" ht="14.25" customHeight="1"/>
    <row r="40174" ht="14.25" customHeight="1"/>
    <row r="40175" ht="14.25" customHeight="1"/>
    <row r="40176" ht="14.25" customHeight="1"/>
    <row r="40177" ht="14.25" customHeight="1"/>
    <row r="40178" ht="14.25" customHeight="1"/>
    <row r="40179" ht="14.25" customHeight="1"/>
    <row r="40180" ht="14.25" customHeight="1"/>
    <row r="40181" ht="14.25" customHeight="1"/>
    <row r="40182" ht="14.25" customHeight="1"/>
    <row r="40183" ht="14.25" customHeight="1"/>
    <row r="40184" ht="14.25" customHeight="1"/>
    <row r="40185" ht="14.25" customHeight="1"/>
    <row r="40186" ht="14.25" customHeight="1"/>
    <row r="40187" ht="14.25" customHeight="1"/>
    <row r="40188" ht="14.25" customHeight="1"/>
    <row r="40189" ht="14.25" customHeight="1"/>
    <row r="40190" ht="14.25" customHeight="1"/>
    <row r="40191" ht="14.25" customHeight="1"/>
    <row r="40192" ht="14.25" customHeight="1"/>
    <row r="40193" ht="14.25" customHeight="1"/>
    <row r="40194" ht="14.25" customHeight="1"/>
    <row r="40195" ht="14.25" customHeight="1"/>
    <row r="40196" ht="14.25" customHeight="1"/>
    <row r="40197" ht="14.25" customHeight="1"/>
    <row r="40198" ht="14.25" customHeight="1"/>
    <row r="40199" ht="14.25" customHeight="1"/>
    <row r="40200" ht="14.25" customHeight="1"/>
    <row r="40201" ht="14.25" customHeight="1"/>
    <row r="40202" ht="14.25" customHeight="1"/>
    <row r="40203" ht="14.25" customHeight="1"/>
    <row r="40204" ht="14.25" customHeight="1"/>
    <row r="40205" ht="14.25" customHeight="1"/>
    <row r="40206" ht="14.25" customHeight="1"/>
    <row r="40207" ht="14.25" customHeight="1"/>
    <row r="40208" ht="14.25" customHeight="1"/>
    <row r="40209" ht="14.25" customHeight="1"/>
    <row r="40210" ht="14.25" customHeight="1"/>
    <row r="40211" ht="14.25" customHeight="1"/>
    <row r="40212" ht="14.25" customHeight="1"/>
    <row r="40213" ht="14.25" customHeight="1"/>
    <row r="40214" ht="14.25" customHeight="1"/>
    <row r="40215" ht="14.25" customHeight="1"/>
    <row r="40216" ht="14.25" customHeight="1"/>
    <row r="40217" ht="14.25" customHeight="1"/>
    <row r="40218" ht="14.25" customHeight="1"/>
    <row r="40219" ht="14.25" customHeight="1"/>
    <row r="40220" ht="14.25" customHeight="1"/>
    <row r="40221" ht="14.25" customHeight="1"/>
    <row r="40222" ht="14.25" customHeight="1"/>
    <row r="40223" ht="14.25" customHeight="1"/>
    <row r="40224" ht="14.25" customHeight="1"/>
    <row r="40225" ht="14.25" customHeight="1"/>
    <row r="40226" ht="14.25" customHeight="1"/>
    <row r="40227" ht="14.25" customHeight="1"/>
    <row r="40228" ht="14.25" customHeight="1"/>
    <row r="40229" ht="14.25" customHeight="1"/>
    <row r="40230" ht="14.25" customHeight="1"/>
    <row r="40231" ht="14.25" customHeight="1"/>
    <row r="40232" ht="14.25" customHeight="1"/>
    <row r="40233" ht="14.25" customHeight="1"/>
    <row r="40234" ht="14.25" customHeight="1"/>
    <row r="40235" ht="14.25" customHeight="1"/>
    <row r="40236" ht="14.25" customHeight="1"/>
    <row r="40237" ht="14.25" customHeight="1"/>
    <row r="40238" ht="14.25" customHeight="1"/>
    <row r="40239" ht="14.25" customHeight="1"/>
    <row r="40240" ht="14.25" customHeight="1"/>
    <row r="40241" ht="14.25" customHeight="1"/>
    <row r="40242" ht="14.25" customHeight="1"/>
    <row r="40243" ht="14.25" customHeight="1"/>
    <row r="40244" ht="14.25" customHeight="1"/>
    <row r="40245" ht="14.25" customHeight="1"/>
    <row r="40246" ht="14.25" customHeight="1"/>
    <row r="40247" ht="14.25" customHeight="1"/>
    <row r="40248" ht="14.25" customHeight="1"/>
    <row r="40249" ht="14.25" customHeight="1"/>
    <row r="40250" ht="14.25" customHeight="1"/>
    <row r="40251" ht="14.25" customHeight="1"/>
    <row r="40252" ht="14.25" customHeight="1"/>
    <row r="40253" ht="14.25" customHeight="1"/>
    <row r="40254" ht="14.25" customHeight="1"/>
    <row r="40255" ht="14.25" customHeight="1"/>
    <row r="40256" ht="14.25" customHeight="1"/>
    <row r="40257" ht="14.25" customHeight="1"/>
    <row r="40258" ht="14.25" customHeight="1"/>
    <row r="40259" ht="14.25" customHeight="1"/>
    <row r="40260" ht="14.25" customHeight="1"/>
    <row r="40261" ht="14.25" customHeight="1"/>
    <row r="40262" ht="14.25" customHeight="1"/>
    <row r="40263" ht="14.25" customHeight="1"/>
    <row r="40264" ht="14.25" customHeight="1"/>
    <row r="40265" ht="14.25" customHeight="1"/>
    <row r="40266" ht="14.25" customHeight="1"/>
    <row r="40267" ht="14.25" customHeight="1"/>
    <row r="40268" ht="14.25" customHeight="1"/>
    <row r="40269" ht="14.25" customHeight="1"/>
    <row r="40270" ht="14.25" customHeight="1"/>
    <row r="40271" ht="14.25" customHeight="1"/>
    <row r="40272" ht="14.25" customHeight="1"/>
    <row r="40273" ht="14.25" customHeight="1"/>
    <row r="40274" ht="14.25" customHeight="1"/>
    <row r="40275" ht="14.25" customHeight="1"/>
    <row r="40276" ht="14.25" customHeight="1"/>
    <row r="40277" ht="14.25" customHeight="1"/>
    <row r="40278" ht="14.25" customHeight="1"/>
    <row r="40279" ht="14.25" customHeight="1"/>
    <row r="40280" ht="14.25" customHeight="1"/>
    <row r="40281" ht="14.25" customHeight="1"/>
    <row r="40282" ht="14.25" customHeight="1"/>
    <row r="40283" ht="14.25" customHeight="1"/>
    <row r="40284" ht="14.25" customHeight="1"/>
    <row r="40285" ht="14.25" customHeight="1"/>
    <row r="40286" ht="14.25" customHeight="1"/>
    <row r="40287" ht="14.25" customHeight="1"/>
    <row r="40288" ht="14.25" customHeight="1"/>
    <row r="40289" ht="14.25" customHeight="1"/>
    <row r="40290" ht="14.25" customHeight="1"/>
    <row r="40291" ht="14.25" customHeight="1"/>
    <row r="40292" ht="14.25" customHeight="1"/>
    <row r="40293" ht="14.25" customHeight="1"/>
    <row r="40294" ht="14.25" customHeight="1"/>
    <row r="40295" ht="14.25" customHeight="1"/>
    <row r="40296" ht="14.25" customHeight="1"/>
    <row r="40297" ht="14.25" customHeight="1"/>
    <row r="40298" ht="14.25" customHeight="1"/>
    <row r="40299" ht="14.25" customHeight="1"/>
    <row r="40300" ht="14.25" customHeight="1"/>
    <row r="40301" ht="14.25" customHeight="1"/>
    <row r="40302" ht="14.25" customHeight="1"/>
    <row r="40303" ht="14.25" customHeight="1"/>
    <row r="40304" ht="14.25" customHeight="1"/>
    <row r="40305" ht="14.25" customHeight="1"/>
    <row r="40306" ht="14.25" customHeight="1"/>
    <row r="40307" ht="14.25" customHeight="1"/>
    <row r="40308" ht="14.25" customHeight="1"/>
    <row r="40309" ht="14.25" customHeight="1"/>
    <row r="40310" ht="14.25" customHeight="1"/>
    <row r="40311" ht="14.25" customHeight="1"/>
    <row r="40312" ht="14.25" customHeight="1"/>
    <row r="40313" ht="14.25" customHeight="1"/>
    <row r="40314" ht="14.25" customHeight="1"/>
    <row r="40315" ht="14.25" customHeight="1"/>
    <row r="40316" ht="14.25" customHeight="1"/>
    <row r="40317" ht="14.25" customHeight="1"/>
    <row r="40318" ht="14.25" customHeight="1"/>
    <row r="40319" ht="14.25" customHeight="1"/>
    <row r="40320" ht="14.25" customHeight="1"/>
    <row r="40321" ht="14.25" customHeight="1"/>
    <row r="40322" ht="14.25" customHeight="1"/>
    <row r="40323" ht="14.25" customHeight="1"/>
    <row r="40324" ht="14.25" customHeight="1"/>
    <row r="40325" ht="14.25" customHeight="1"/>
    <row r="40326" ht="14.25" customHeight="1"/>
    <row r="40327" ht="14.25" customHeight="1"/>
    <row r="40328" ht="14.25" customHeight="1"/>
    <row r="40329" ht="14.25" customHeight="1"/>
    <row r="40330" ht="14.25" customHeight="1"/>
    <row r="40331" ht="14.25" customHeight="1"/>
    <row r="40332" ht="14.25" customHeight="1"/>
    <row r="40333" ht="14.25" customHeight="1"/>
    <row r="40334" ht="14.25" customHeight="1"/>
    <row r="40335" ht="14.25" customHeight="1"/>
    <row r="40336" ht="14.25" customHeight="1"/>
    <row r="40337" ht="14.25" customHeight="1"/>
    <row r="40338" ht="14.25" customHeight="1"/>
    <row r="40339" ht="14.25" customHeight="1"/>
    <row r="40340" ht="14.25" customHeight="1"/>
    <row r="40341" ht="14.25" customHeight="1"/>
    <row r="40342" ht="14.25" customHeight="1"/>
    <row r="40343" ht="14.25" customHeight="1"/>
    <row r="40344" ht="14.25" customHeight="1"/>
    <row r="40345" ht="14.25" customHeight="1"/>
    <row r="40346" ht="14.25" customHeight="1"/>
    <row r="40347" ht="14.25" customHeight="1"/>
    <row r="40348" ht="14.25" customHeight="1"/>
    <row r="40349" ht="14.25" customHeight="1"/>
    <row r="40350" ht="14.25" customHeight="1"/>
    <row r="40351" ht="14.25" customHeight="1"/>
    <row r="40352" ht="14.25" customHeight="1"/>
    <row r="40353" ht="14.25" customHeight="1"/>
    <row r="40354" ht="14.25" customHeight="1"/>
    <row r="40355" ht="14.25" customHeight="1"/>
    <row r="40356" ht="14.25" customHeight="1"/>
    <row r="40357" ht="14.25" customHeight="1"/>
    <row r="40358" ht="14.25" customHeight="1"/>
    <row r="40359" ht="14.25" customHeight="1"/>
    <row r="40360" ht="14.25" customHeight="1"/>
    <row r="40361" ht="14.25" customHeight="1"/>
    <row r="40362" ht="14.25" customHeight="1"/>
    <row r="40363" ht="14.25" customHeight="1"/>
    <row r="40364" ht="14.25" customHeight="1"/>
    <row r="40365" ht="14.25" customHeight="1"/>
    <row r="40366" ht="14.25" customHeight="1"/>
    <row r="40367" ht="14.25" customHeight="1"/>
    <row r="40368" ht="14.25" customHeight="1"/>
    <row r="40369" ht="14.25" customHeight="1"/>
    <row r="40370" ht="14.25" customHeight="1"/>
    <row r="40371" ht="14.25" customHeight="1"/>
    <row r="40372" ht="14.25" customHeight="1"/>
    <row r="40373" ht="14.25" customHeight="1"/>
    <row r="40374" ht="14.25" customHeight="1"/>
    <row r="40375" ht="14.25" customHeight="1"/>
    <row r="40376" ht="14.25" customHeight="1"/>
    <row r="40377" ht="14.25" customHeight="1"/>
    <row r="40378" ht="14.25" customHeight="1"/>
    <row r="40379" ht="14.25" customHeight="1"/>
    <row r="40380" ht="14.25" customHeight="1"/>
    <row r="40381" ht="14.25" customHeight="1"/>
    <row r="40382" ht="14.25" customHeight="1"/>
    <row r="40383" ht="14.25" customHeight="1"/>
    <row r="40384" ht="14.25" customHeight="1"/>
    <row r="40385" ht="14.25" customHeight="1"/>
    <row r="40386" ht="14.25" customHeight="1"/>
    <row r="40387" ht="14.25" customHeight="1"/>
    <row r="40388" ht="14.25" customHeight="1"/>
    <row r="40389" ht="14.25" customHeight="1"/>
    <row r="40390" ht="14.25" customHeight="1"/>
    <row r="40391" ht="14.25" customHeight="1"/>
    <row r="40392" ht="14.25" customHeight="1"/>
    <row r="40393" ht="14.25" customHeight="1"/>
    <row r="40394" ht="14.25" customHeight="1"/>
    <row r="40395" ht="14.25" customHeight="1"/>
    <row r="40396" ht="14.25" customHeight="1"/>
    <row r="40397" ht="14.25" customHeight="1"/>
    <row r="40398" ht="14.25" customHeight="1"/>
    <row r="40399" ht="14.25" customHeight="1"/>
    <row r="40400" ht="14.25" customHeight="1"/>
    <row r="40401" ht="14.25" customHeight="1"/>
    <row r="40402" ht="14.25" customHeight="1"/>
    <row r="40403" ht="14.25" customHeight="1"/>
    <row r="40404" ht="14.25" customHeight="1"/>
    <row r="40405" ht="14.25" customHeight="1"/>
    <row r="40406" ht="14.25" customHeight="1"/>
    <row r="40407" ht="14.25" customHeight="1"/>
    <row r="40408" ht="14.25" customHeight="1"/>
    <row r="40409" ht="14.25" customHeight="1"/>
    <row r="40410" ht="14.25" customHeight="1"/>
    <row r="40411" ht="14.25" customHeight="1"/>
    <row r="40412" ht="14.25" customHeight="1"/>
    <row r="40413" ht="14.25" customHeight="1"/>
    <row r="40414" ht="14.25" customHeight="1"/>
    <row r="40415" ht="14.25" customHeight="1"/>
    <row r="40416" ht="14.25" customHeight="1"/>
    <row r="40417" ht="14.25" customHeight="1"/>
    <row r="40418" ht="14.25" customHeight="1"/>
    <row r="40419" ht="14.25" customHeight="1"/>
    <row r="40420" ht="14.25" customHeight="1"/>
    <row r="40421" ht="14.25" customHeight="1"/>
    <row r="40422" ht="14.25" customHeight="1"/>
    <row r="40423" ht="14.25" customHeight="1"/>
    <row r="40424" ht="14.25" customHeight="1"/>
    <row r="40425" ht="14.25" customHeight="1"/>
    <row r="40426" ht="14.25" customHeight="1"/>
    <row r="40427" ht="14.25" customHeight="1"/>
    <row r="40428" ht="14.25" customHeight="1"/>
    <row r="40429" ht="14.25" customHeight="1"/>
    <row r="40430" ht="14.25" customHeight="1"/>
    <row r="40431" ht="14.25" customHeight="1"/>
    <row r="40432" ht="14.25" customHeight="1"/>
    <row r="40433" ht="14.25" customHeight="1"/>
    <row r="40434" ht="14.25" customHeight="1"/>
    <row r="40435" ht="14.25" customHeight="1"/>
    <row r="40436" ht="14.25" customHeight="1"/>
    <row r="40437" ht="14.25" customHeight="1"/>
    <row r="40438" ht="14.25" customHeight="1"/>
    <row r="40439" ht="14.25" customHeight="1"/>
    <row r="40440" ht="14.25" customHeight="1"/>
    <row r="40441" ht="14.25" customHeight="1"/>
    <row r="40442" ht="14.25" customHeight="1"/>
    <row r="40443" ht="14.25" customHeight="1"/>
    <row r="40444" ht="14.25" customHeight="1"/>
    <row r="40445" ht="14.25" customHeight="1"/>
    <row r="40446" ht="14.25" customHeight="1"/>
    <row r="40447" ht="14.25" customHeight="1"/>
    <row r="40448" ht="14.25" customHeight="1"/>
    <row r="40449" ht="14.25" customHeight="1"/>
    <row r="40450" ht="14.25" customHeight="1"/>
    <row r="40451" ht="14.25" customHeight="1"/>
    <row r="40452" ht="14.25" customHeight="1"/>
    <row r="40453" ht="14.25" customHeight="1"/>
    <row r="40454" ht="14.25" customHeight="1"/>
    <row r="40455" ht="14.25" customHeight="1"/>
    <row r="40456" ht="14.25" customHeight="1"/>
    <row r="40457" ht="14.25" customHeight="1"/>
    <row r="40458" ht="14.25" customHeight="1"/>
    <row r="40459" ht="14.25" customHeight="1"/>
    <row r="40460" ht="14.25" customHeight="1"/>
    <row r="40461" ht="14.25" customHeight="1"/>
    <row r="40462" ht="14.25" customHeight="1"/>
    <row r="40463" ht="14.25" customHeight="1"/>
    <row r="40464" ht="14.25" customHeight="1"/>
    <row r="40465" ht="14.25" customHeight="1"/>
    <row r="40466" ht="14.25" customHeight="1"/>
    <row r="40467" ht="14.25" customHeight="1"/>
    <row r="40468" ht="14.25" customHeight="1"/>
    <row r="40469" ht="14.25" customHeight="1"/>
    <row r="40470" ht="14.25" customHeight="1"/>
    <row r="40471" ht="14.25" customHeight="1"/>
    <row r="40472" ht="14.25" customHeight="1"/>
    <row r="40473" ht="14.25" customHeight="1"/>
    <row r="40474" ht="14.25" customHeight="1"/>
    <row r="40475" ht="14.25" customHeight="1"/>
    <row r="40476" ht="14.25" customHeight="1"/>
    <row r="40477" ht="14.25" customHeight="1"/>
    <row r="40478" ht="14.25" customHeight="1"/>
    <row r="40479" ht="14.25" customHeight="1"/>
    <row r="40480" ht="14.25" customHeight="1"/>
    <row r="40481" ht="14.25" customHeight="1"/>
    <row r="40482" ht="14.25" customHeight="1"/>
    <row r="40483" ht="14.25" customHeight="1"/>
    <row r="40484" ht="14.25" customHeight="1"/>
    <row r="40485" ht="14.25" customHeight="1"/>
    <row r="40486" ht="14.25" customHeight="1"/>
    <row r="40487" ht="14.25" customHeight="1"/>
    <row r="40488" ht="14.25" customHeight="1"/>
    <row r="40489" ht="14.25" customHeight="1"/>
    <row r="40490" ht="14.25" customHeight="1"/>
    <row r="40491" ht="14.25" customHeight="1"/>
    <row r="40492" ht="14.25" customHeight="1"/>
    <row r="40493" ht="14.25" customHeight="1"/>
    <row r="40494" ht="14.25" customHeight="1"/>
    <row r="40495" ht="14.25" customHeight="1"/>
    <row r="40496" ht="14.25" customHeight="1"/>
    <row r="40497" ht="14.25" customHeight="1"/>
    <row r="40498" ht="14.25" customHeight="1"/>
    <row r="40499" ht="14.25" customHeight="1"/>
    <row r="40500" ht="14.25" customHeight="1"/>
    <row r="40501" ht="14.25" customHeight="1"/>
    <row r="40502" ht="14.25" customHeight="1"/>
    <row r="40503" ht="14.25" customHeight="1"/>
    <row r="40504" ht="14.25" customHeight="1"/>
    <row r="40505" ht="14.25" customHeight="1"/>
    <row r="40506" ht="14.25" customHeight="1"/>
    <row r="40507" ht="14.25" customHeight="1"/>
    <row r="40508" ht="14.25" customHeight="1"/>
    <row r="40509" ht="14.25" customHeight="1"/>
    <row r="40510" ht="14.25" customHeight="1"/>
    <row r="40511" ht="14.25" customHeight="1"/>
    <row r="40512" ht="14.25" customHeight="1"/>
    <row r="40513" ht="14.25" customHeight="1"/>
    <row r="40514" ht="14.25" customHeight="1"/>
    <row r="40515" ht="14.25" customHeight="1"/>
    <row r="40516" ht="14.25" customHeight="1"/>
    <row r="40517" ht="14.25" customHeight="1"/>
    <row r="40518" ht="14.25" customHeight="1"/>
    <row r="40519" ht="14.25" customHeight="1"/>
    <row r="40520" ht="14.25" customHeight="1"/>
    <row r="40521" ht="14.25" customHeight="1"/>
    <row r="40522" ht="14.25" customHeight="1"/>
    <row r="40523" ht="14.25" customHeight="1"/>
    <row r="40524" ht="14.25" customHeight="1"/>
    <row r="40525" ht="14.25" customHeight="1"/>
    <row r="40526" ht="14.25" customHeight="1"/>
    <row r="40527" ht="14.25" customHeight="1"/>
    <row r="40528" ht="14.25" customHeight="1"/>
    <row r="40529" ht="14.25" customHeight="1"/>
    <row r="40530" ht="14.25" customHeight="1"/>
    <row r="40531" ht="14.25" customHeight="1"/>
    <row r="40532" ht="14.25" customHeight="1"/>
    <row r="40533" ht="14.25" customHeight="1"/>
    <row r="40534" ht="14.25" customHeight="1"/>
    <row r="40535" ht="14.25" customHeight="1"/>
    <row r="40536" ht="14.25" customHeight="1"/>
    <row r="40537" ht="14.25" customHeight="1"/>
    <row r="40538" ht="14.25" customHeight="1"/>
    <row r="40539" ht="14.25" customHeight="1"/>
    <row r="40540" ht="14.25" customHeight="1"/>
    <row r="40541" ht="14.25" customHeight="1"/>
    <row r="40542" ht="14.25" customHeight="1"/>
    <row r="40543" ht="14.25" customHeight="1"/>
    <row r="40544" ht="14.25" customHeight="1"/>
    <row r="40545" ht="14.25" customHeight="1"/>
    <row r="40546" ht="14.25" customHeight="1"/>
    <row r="40547" ht="14.25" customHeight="1"/>
    <row r="40548" ht="14.25" customHeight="1"/>
    <row r="40549" ht="14.25" customHeight="1"/>
    <row r="40550" ht="14.25" customHeight="1"/>
    <row r="40551" ht="14.25" customHeight="1"/>
    <row r="40552" ht="14.25" customHeight="1"/>
    <row r="40553" ht="14.25" customHeight="1"/>
    <row r="40554" ht="14.25" customHeight="1"/>
    <row r="40555" ht="14.25" customHeight="1"/>
    <row r="40556" ht="14.25" customHeight="1"/>
    <row r="40557" ht="14.25" customHeight="1"/>
    <row r="40558" ht="14.25" customHeight="1"/>
    <row r="40559" ht="14.25" customHeight="1"/>
    <row r="40560" ht="14.25" customHeight="1"/>
    <row r="40561" ht="14.25" customHeight="1"/>
    <row r="40562" ht="14.25" customHeight="1"/>
    <row r="40563" ht="14.25" customHeight="1"/>
    <row r="40564" ht="14.25" customHeight="1"/>
    <row r="40565" ht="14.25" customHeight="1"/>
    <row r="40566" ht="14.25" customHeight="1"/>
    <row r="40567" ht="14.25" customHeight="1"/>
    <row r="40568" ht="14.25" customHeight="1"/>
    <row r="40569" ht="14.25" customHeight="1"/>
    <row r="40570" ht="14.25" customHeight="1"/>
    <row r="40571" ht="14.25" customHeight="1"/>
    <row r="40572" ht="14.25" customHeight="1"/>
    <row r="40573" ht="14.25" customHeight="1"/>
    <row r="40574" ht="14.25" customHeight="1"/>
    <row r="40575" ht="14.25" customHeight="1"/>
    <row r="40576" ht="14.25" customHeight="1"/>
    <row r="40577" ht="14.25" customHeight="1"/>
    <row r="40578" ht="14.25" customHeight="1"/>
    <row r="40579" ht="14.25" customHeight="1"/>
    <row r="40580" ht="14.25" customHeight="1"/>
    <row r="40581" ht="14.25" customHeight="1"/>
    <row r="40582" ht="14.25" customHeight="1"/>
    <row r="40583" ht="14.25" customHeight="1"/>
    <row r="40584" ht="14.25" customHeight="1"/>
    <row r="40585" ht="14.25" customHeight="1"/>
    <row r="40586" ht="14.25" customHeight="1"/>
    <row r="40587" ht="14.25" customHeight="1"/>
    <row r="40588" ht="14.25" customHeight="1"/>
    <row r="40589" ht="14.25" customHeight="1"/>
    <row r="40590" ht="14.25" customHeight="1"/>
    <row r="40591" ht="14.25" customHeight="1"/>
    <row r="40592" ht="14.25" customHeight="1"/>
    <row r="40593" ht="14.25" customHeight="1"/>
    <row r="40594" ht="14.25" customHeight="1"/>
    <row r="40595" ht="14.25" customHeight="1"/>
    <row r="40596" ht="14.25" customHeight="1"/>
    <row r="40597" ht="14.25" customHeight="1"/>
    <row r="40598" ht="14.25" customHeight="1"/>
    <row r="40599" ht="14.25" customHeight="1"/>
    <row r="40600" ht="14.25" customHeight="1"/>
    <row r="40601" ht="14.25" customHeight="1"/>
    <row r="40602" ht="14.25" customHeight="1"/>
    <row r="40603" ht="14.25" customHeight="1"/>
    <row r="40604" ht="14.25" customHeight="1"/>
    <row r="40605" ht="14.25" customHeight="1"/>
    <row r="40606" ht="14.25" customHeight="1"/>
    <row r="40607" ht="14.25" customHeight="1"/>
    <row r="40608" ht="14.25" customHeight="1"/>
    <row r="40609" ht="14.25" customHeight="1"/>
    <row r="40610" ht="14.25" customHeight="1"/>
    <row r="40611" ht="14.25" customHeight="1"/>
    <row r="40612" ht="14.25" customHeight="1"/>
    <row r="40613" ht="14.25" customHeight="1"/>
    <row r="40614" ht="14.25" customHeight="1"/>
    <row r="40615" ht="14.25" customHeight="1"/>
    <row r="40616" ht="14.25" customHeight="1"/>
    <row r="40617" ht="14.25" customHeight="1"/>
    <row r="40618" ht="14.25" customHeight="1"/>
    <row r="40619" ht="14.25" customHeight="1"/>
    <row r="40620" ht="14.25" customHeight="1"/>
    <row r="40621" ht="14.25" customHeight="1"/>
    <row r="40622" ht="14.25" customHeight="1"/>
    <row r="40623" ht="14.25" customHeight="1"/>
    <row r="40624" ht="14.25" customHeight="1"/>
    <row r="40625" ht="14.25" customHeight="1"/>
    <row r="40626" ht="14.25" customHeight="1"/>
    <row r="40627" ht="14.25" customHeight="1"/>
    <row r="40628" ht="14.25" customHeight="1"/>
    <row r="40629" ht="14.25" customHeight="1"/>
    <row r="40630" ht="14.25" customHeight="1"/>
    <row r="40631" ht="14.25" customHeight="1"/>
    <row r="40632" ht="14.25" customHeight="1"/>
    <row r="40633" ht="14.25" customHeight="1"/>
    <row r="40634" ht="14.25" customHeight="1"/>
    <row r="40635" ht="14.25" customHeight="1"/>
    <row r="40636" ht="14.25" customHeight="1"/>
    <row r="40637" ht="14.25" customHeight="1"/>
    <row r="40638" ht="14.25" customHeight="1"/>
    <row r="40639" ht="14.25" customHeight="1"/>
    <row r="40640" ht="14.25" customHeight="1"/>
    <row r="40641" ht="14.25" customHeight="1"/>
    <row r="40642" ht="14.25" customHeight="1"/>
    <row r="40643" ht="14.25" customHeight="1"/>
    <row r="40644" ht="14.25" customHeight="1"/>
    <row r="40645" ht="14.25" customHeight="1"/>
    <row r="40646" ht="14.25" customHeight="1"/>
    <row r="40647" ht="14.25" customHeight="1"/>
    <row r="40648" ht="14.25" customHeight="1"/>
    <row r="40649" ht="14.25" customHeight="1"/>
    <row r="40650" ht="14.25" customHeight="1"/>
    <row r="40651" ht="14.25" customHeight="1"/>
    <row r="40652" ht="14.25" customHeight="1"/>
    <row r="40653" ht="14.25" customHeight="1"/>
    <row r="40654" ht="14.25" customHeight="1"/>
    <row r="40655" ht="14.25" customHeight="1"/>
    <row r="40656" ht="14.25" customHeight="1"/>
    <row r="40657" ht="14.25" customHeight="1"/>
    <row r="40658" ht="14.25" customHeight="1"/>
    <row r="40659" ht="14.25" customHeight="1"/>
    <row r="40660" ht="14.25" customHeight="1"/>
    <row r="40661" ht="14.25" customHeight="1"/>
    <row r="40662" ht="14.25" customHeight="1"/>
    <row r="40663" ht="14.25" customHeight="1"/>
    <row r="40664" ht="14.25" customHeight="1"/>
    <row r="40665" ht="14.25" customHeight="1"/>
    <row r="40666" ht="14.25" customHeight="1"/>
    <row r="40667" ht="14.25" customHeight="1"/>
    <row r="40668" ht="14.25" customHeight="1"/>
    <row r="40669" ht="14.25" customHeight="1"/>
    <row r="40670" ht="14.25" customHeight="1"/>
    <row r="40671" ht="14.25" customHeight="1"/>
    <row r="40672" ht="14.25" customHeight="1"/>
    <row r="40673" ht="14.25" customHeight="1"/>
    <row r="40674" ht="14.25" customHeight="1"/>
    <row r="40675" ht="14.25" customHeight="1"/>
    <row r="40676" ht="14.25" customHeight="1"/>
    <row r="40677" ht="14.25" customHeight="1"/>
    <row r="40678" ht="14.25" customHeight="1"/>
    <row r="40679" ht="14.25" customHeight="1"/>
    <row r="40680" ht="14.25" customHeight="1"/>
    <row r="40681" ht="14.25" customHeight="1"/>
    <row r="40682" ht="14.25" customHeight="1"/>
    <row r="40683" ht="14.25" customHeight="1"/>
    <row r="40684" ht="14.25" customHeight="1"/>
    <row r="40685" ht="14.25" customHeight="1"/>
    <row r="40686" ht="14.25" customHeight="1"/>
    <row r="40687" ht="14.25" customHeight="1"/>
    <row r="40688" ht="14.25" customHeight="1"/>
    <row r="40689" ht="14.25" customHeight="1"/>
    <row r="40690" ht="14.25" customHeight="1"/>
    <row r="40691" ht="14.25" customHeight="1"/>
    <row r="40692" ht="14.25" customHeight="1"/>
    <row r="40693" ht="14.25" customHeight="1"/>
    <row r="40694" ht="14.25" customHeight="1"/>
    <row r="40695" ht="14.25" customHeight="1"/>
    <row r="40696" ht="14.25" customHeight="1"/>
    <row r="40697" ht="14.25" customHeight="1"/>
    <row r="40698" ht="14.25" customHeight="1"/>
    <row r="40699" ht="14.25" customHeight="1"/>
    <row r="40700" ht="14.25" customHeight="1"/>
    <row r="40701" ht="14.25" customHeight="1"/>
    <row r="40702" ht="14.25" customHeight="1"/>
    <row r="40703" ht="14.25" customHeight="1"/>
    <row r="40704" ht="14.25" customHeight="1"/>
    <row r="40705" ht="14.25" customHeight="1"/>
    <row r="40706" ht="14.25" customHeight="1"/>
    <row r="40707" ht="14.25" customHeight="1"/>
    <row r="40708" ht="14.25" customHeight="1"/>
    <row r="40709" ht="14.25" customHeight="1"/>
    <row r="40710" ht="14.25" customHeight="1"/>
    <row r="40711" ht="14.25" customHeight="1"/>
    <row r="40712" ht="14.25" customHeight="1"/>
    <row r="40713" ht="14.25" customHeight="1"/>
    <row r="40714" ht="14.25" customHeight="1"/>
    <row r="40715" ht="14.25" customHeight="1"/>
    <row r="40716" ht="14.25" customHeight="1"/>
    <row r="40717" ht="14.25" customHeight="1"/>
    <row r="40718" ht="14.25" customHeight="1"/>
    <row r="40719" ht="14.25" customHeight="1"/>
    <row r="40720" ht="14.25" customHeight="1"/>
    <row r="40721" ht="14.25" customHeight="1"/>
    <row r="40722" ht="14.25" customHeight="1"/>
    <row r="40723" ht="14.25" customHeight="1"/>
    <row r="40724" ht="14.25" customHeight="1"/>
    <row r="40725" ht="14.25" customHeight="1"/>
    <row r="40726" ht="14.25" customHeight="1"/>
    <row r="40727" ht="14.25" customHeight="1"/>
    <row r="40728" ht="14.25" customHeight="1"/>
    <row r="40729" ht="14.25" customHeight="1"/>
    <row r="40730" ht="14.25" customHeight="1"/>
    <row r="40731" ht="14.25" customHeight="1"/>
    <row r="40732" ht="14.25" customHeight="1"/>
    <row r="40733" ht="14.25" customHeight="1"/>
    <row r="40734" ht="14.25" customHeight="1"/>
    <row r="40735" ht="14.25" customHeight="1"/>
    <row r="40736" ht="14.25" customHeight="1"/>
    <row r="40737" ht="14.25" customHeight="1"/>
    <row r="40738" ht="14.25" customHeight="1"/>
    <row r="40739" ht="14.25" customHeight="1"/>
    <row r="40740" ht="14.25" customHeight="1"/>
    <row r="40741" ht="14.25" customHeight="1"/>
    <row r="40742" ht="14.25" customHeight="1"/>
    <row r="40743" ht="14.25" customHeight="1"/>
    <row r="40744" ht="14.25" customHeight="1"/>
    <row r="40745" ht="14.25" customHeight="1"/>
    <row r="40746" ht="14.25" customHeight="1"/>
    <row r="40747" ht="14.25" customHeight="1"/>
    <row r="40748" ht="14.25" customHeight="1"/>
    <row r="40749" ht="14.25" customHeight="1"/>
    <row r="40750" ht="14.25" customHeight="1"/>
    <row r="40751" ht="14.25" customHeight="1"/>
    <row r="40752" ht="14.25" customHeight="1"/>
    <row r="40753" ht="14.25" customHeight="1"/>
    <row r="40754" ht="14.25" customHeight="1"/>
    <row r="40755" ht="14.25" customHeight="1"/>
    <row r="40756" ht="14.25" customHeight="1"/>
    <row r="40757" ht="14.25" customHeight="1"/>
    <row r="40758" ht="14.25" customHeight="1"/>
    <row r="40759" ht="14.25" customHeight="1"/>
    <row r="40760" ht="14.25" customHeight="1"/>
    <row r="40761" ht="14.25" customHeight="1"/>
    <row r="40762" ht="14.25" customHeight="1"/>
    <row r="40763" ht="14.25" customHeight="1"/>
    <row r="40764" ht="14.25" customHeight="1"/>
    <row r="40765" ht="14.25" customHeight="1"/>
    <row r="40766" ht="14.25" customHeight="1"/>
    <row r="40767" ht="14.25" customHeight="1"/>
    <row r="40768" ht="14.25" customHeight="1"/>
    <row r="40769" ht="14.25" customHeight="1"/>
    <row r="40770" ht="14.25" customHeight="1"/>
    <row r="40771" ht="14.25" customHeight="1"/>
    <row r="40772" ht="14.25" customHeight="1"/>
    <row r="40773" ht="14.25" customHeight="1"/>
    <row r="40774" ht="14.25" customHeight="1"/>
    <row r="40775" ht="14.25" customHeight="1"/>
    <row r="40776" ht="14.25" customHeight="1"/>
    <row r="40777" ht="14.25" customHeight="1"/>
    <row r="40778" ht="14.25" customHeight="1"/>
    <row r="40779" ht="14.25" customHeight="1"/>
    <row r="40780" ht="14.25" customHeight="1"/>
    <row r="40781" ht="14.25" customHeight="1"/>
    <row r="40782" ht="14.25" customHeight="1"/>
    <row r="40783" ht="14.25" customHeight="1"/>
    <row r="40784" ht="14.25" customHeight="1"/>
    <row r="40785" ht="14.25" customHeight="1"/>
    <row r="40786" ht="14.25" customHeight="1"/>
    <row r="40787" ht="14.25" customHeight="1"/>
    <row r="40788" ht="14.25" customHeight="1"/>
    <row r="40789" ht="14.25" customHeight="1"/>
    <row r="40790" ht="14.25" customHeight="1"/>
    <row r="40791" ht="14.25" customHeight="1"/>
    <row r="40792" ht="14.25" customHeight="1"/>
    <row r="40793" ht="14.25" customHeight="1"/>
    <row r="40794" ht="14.25" customHeight="1"/>
    <row r="40795" ht="14.25" customHeight="1"/>
    <row r="40796" ht="14.25" customHeight="1"/>
    <row r="40797" ht="14.25" customHeight="1"/>
    <row r="40798" ht="14.25" customHeight="1"/>
    <row r="40799" ht="14.25" customHeight="1"/>
    <row r="40800" ht="14.25" customHeight="1"/>
    <row r="40801" ht="14.25" customHeight="1"/>
    <row r="40802" ht="14.25" customHeight="1"/>
    <row r="40803" ht="14.25" customHeight="1"/>
    <row r="40804" ht="14.25" customHeight="1"/>
    <row r="40805" ht="14.25" customHeight="1"/>
    <row r="40806" ht="14.25" customHeight="1"/>
    <row r="40807" ht="14.25" customHeight="1"/>
    <row r="40808" ht="14.25" customHeight="1"/>
    <row r="40809" ht="14.25" customHeight="1"/>
    <row r="40810" ht="14.25" customHeight="1"/>
    <row r="40811" ht="14.25" customHeight="1"/>
    <row r="40812" ht="14.25" customHeight="1"/>
    <row r="40813" ht="14.25" customHeight="1"/>
    <row r="40814" ht="14.25" customHeight="1"/>
    <row r="40815" ht="14.25" customHeight="1"/>
    <row r="40816" ht="14.25" customHeight="1"/>
    <row r="40817" ht="14.25" customHeight="1"/>
    <row r="40818" ht="14.25" customHeight="1"/>
    <row r="40819" ht="14.25" customHeight="1"/>
    <row r="40820" ht="14.25" customHeight="1"/>
    <row r="40821" ht="14.25" customHeight="1"/>
    <row r="40822" ht="14.25" customHeight="1"/>
    <row r="40823" ht="14.25" customHeight="1"/>
    <row r="40824" ht="14.25" customHeight="1"/>
    <row r="40825" ht="14.25" customHeight="1"/>
    <row r="40826" ht="14.25" customHeight="1"/>
    <row r="40827" ht="14.25" customHeight="1"/>
    <row r="40828" ht="14.25" customHeight="1"/>
    <row r="40829" ht="14.25" customHeight="1"/>
    <row r="40830" ht="14.25" customHeight="1"/>
    <row r="40831" ht="14.25" customHeight="1"/>
    <row r="40832" ht="14.25" customHeight="1"/>
    <row r="40833" ht="14.25" customHeight="1"/>
    <row r="40834" ht="14.25" customHeight="1"/>
    <row r="40835" ht="14.25" customHeight="1"/>
    <row r="40836" ht="14.25" customHeight="1"/>
    <row r="40837" ht="14.25" customHeight="1"/>
    <row r="40838" ht="14.25" customHeight="1"/>
    <row r="40839" ht="14.25" customHeight="1"/>
    <row r="40840" ht="14.25" customHeight="1"/>
    <row r="40841" ht="14.25" customHeight="1"/>
    <row r="40842" ht="14.25" customHeight="1"/>
    <row r="40843" ht="14.25" customHeight="1"/>
    <row r="40844" ht="14.25" customHeight="1"/>
    <row r="40845" ht="14.25" customHeight="1"/>
    <row r="40846" ht="14.25" customHeight="1"/>
    <row r="40847" ht="14.25" customHeight="1"/>
    <row r="40848" ht="14.25" customHeight="1"/>
    <row r="40849" ht="14.25" customHeight="1"/>
    <row r="40850" ht="14.25" customHeight="1"/>
    <row r="40851" ht="14.25" customHeight="1"/>
    <row r="40852" ht="14.25" customHeight="1"/>
    <row r="40853" ht="14.25" customHeight="1"/>
    <row r="40854" ht="14.25" customHeight="1"/>
    <row r="40855" ht="14.25" customHeight="1"/>
    <row r="40856" ht="14.25" customHeight="1"/>
    <row r="40857" ht="14.25" customHeight="1"/>
    <row r="40858" ht="14.25" customHeight="1"/>
    <row r="40859" ht="14.25" customHeight="1"/>
    <row r="40860" ht="14.25" customHeight="1"/>
    <row r="40861" ht="14.25" customHeight="1"/>
    <row r="40862" ht="14.25" customHeight="1"/>
    <row r="40863" ht="14.25" customHeight="1"/>
    <row r="40864" ht="14.25" customHeight="1"/>
    <row r="40865" ht="14.25" customHeight="1"/>
    <row r="40866" ht="14.25" customHeight="1"/>
    <row r="40867" ht="14.25" customHeight="1"/>
    <row r="40868" ht="14.25" customHeight="1"/>
    <row r="40869" ht="14.25" customHeight="1"/>
    <row r="40870" ht="14.25" customHeight="1"/>
    <row r="40871" ht="14.25" customHeight="1"/>
    <row r="40872" ht="14.25" customHeight="1"/>
    <row r="40873" ht="14.25" customHeight="1"/>
    <row r="40874" ht="14.25" customHeight="1"/>
    <row r="40875" ht="14.25" customHeight="1"/>
    <row r="40876" ht="14.25" customHeight="1"/>
    <row r="40877" ht="14.25" customHeight="1"/>
    <row r="40878" ht="14.25" customHeight="1"/>
    <row r="40879" ht="14.25" customHeight="1"/>
    <row r="40880" ht="14.25" customHeight="1"/>
    <row r="40881" ht="14.25" customHeight="1"/>
    <row r="40882" ht="14.25" customHeight="1"/>
    <row r="40883" ht="14.25" customHeight="1"/>
    <row r="40884" ht="14.25" customHeight="1"/>
    <row r="40885" ht="14.25" customHeight="1"/>
    <row r="40886" ht="14.25" customHeight="1"/>
    <row r="40887" ht="14.25" customHeight="1"/>
    <row r="40888" ht="14.25" customHeight="1"/>
    <row r="40889" ht="14.25" customHeight="1"/>
    <row r="40890" ht="14.25" customHeight="1"/>
    <row r="40891" ht="14.25" customHeight="1"/>
    <row r="40892" ht="14.25" customHeight="1"/>
    <row r="40893" ht="14.25" customHeight="1"/>
    <row r="40894" ht="14.25" customHeight="1"/>
    <row r="40895" ht="14.25" customHeight="1"/>
    <row r="40896" ht="14.25" customHeight="1"/>
    <row r="40897" ht="14.25" customHeight="1"/>
    <row r="40898" ht="14.25" customHeight="1"/>
    <row r="40899" ht="14.25" customHeight="1"/>
    <row r="40900" ht="14.25" customHeight="1"/>
    <row r="40901" ht="14.25" customHeight="1"/>
    <row r="40902" ht="14.25" customHeight="1"/>
    <row r="40903" ht="14.25" customHeight="1"/>
    <row r="40904" ht="14.25" customHeight="1"/>
    <row r="40905" ht="14.25" customHeight="1"/>
    <row r="40906" ht="14.25" customHeight="1"/>
    <row r="40907" ht="14.25" customHeight="1"/>
    <row r="40908" ht="14.25" customHeight="1"/>
    <row r="40909" ht="14.25" customHeight="1"/>
    <row r="40910" ht="14.25" customHeight="1"/>
    <row r="40911" ht="14.25" customHeight="1"/>
    <row r="40912" ht="14.25" customHeight="1"/>
    <row r="40913" ht="14.25" customHeight="1"/>
    <row r="40914" ht="14.25" customHeight="1"/>
    <row r="40915" ht="14.25" customHeight="1"/>
    <row r="40916" ht="14.25" customHeight="1"/>
    <row r="40917" ht="14.25" customHeight="1"/>
    <row r="40918" ht="14.25" customHeight="1"/>
    <row r="40919" ht="14.25" customHeight="1"/>
    <row r="40920" ht="14.25" customHeight="1"/>
    <row r="40921" ht="14.25" customHeight="1"/>
    <row r="40922" ht="14.25" customHeight="1"/>
    <row r="40923" ht="14.25" customHeight="1"/>
    <row r="40924" ht="14.25" customHeight="1"/>
    <row r="40925" ht="14.25" customHeight="1"/>
    <row r="40926" ht="14.25" customHeight="1"/>
    <row r="40927" ht="14.25" customHeight="1"/>
    <row r="40928" ht="14.25" customHeight="1"/>
    <row r="40929" ht="14.25" customHeight="1"/>
    <row r="40930" ht="14.25" customHeight="1"/>
    <row r="40931" ht="14.25" customHeight="1"/>
    <row r="40932" ht="14.25" customHeight="1"/>
    <row r="40933" ht="14.25" customHeight="1"/>
    <row r="40934" ht="14.25" customHeight="1"/>
    <row r="40935" ht="14.25" customHeight="1"/>
    <row r="40936" ht="14.25" customHeight="1"/>
    <row r="40937" ht="14.25" customHeight="1"/>
    <row r="40938" ht="14.25" customHeight="1"/>
    <row r="40939" ht="14.25" customHeight="1"/>
    <row r="40940" ht="14.25" customHeight="1"/>
    <row r="40941" ht="14.25" customHeight="1"/>
    <row r="40942" ht="14.25" customHeight="1"/>
    <row r="40943" ht="14.25" customHeight="1"/>
    <row r="40944" ht="14.25" customHeight="1"/>
    <row r="40945" ht="14.25" customHeight="1"/>
    <row r="40946" ht="14.25" customHeight="1"/>
    <row r="40947" ht="14.25" customHeight="1"/>
    <row r="40948" ht="14.25" customHeight="1"/>
    <row r="40949" ht="14.25" customHeight="1"/>
    <row r="40950" ht="14.25" customHeight="1"/>
    <row r="40951" ht="14.25" customHeight="1"/>
    <row r="40952" ht="14.25" customHeight="1"/>
    <row r="40953" ht="14.25" customHeight="1"/>
    <row r="40954" ht="14.25" customHeight="1"/>
    <row r="40955" ht="14.25" customHeight="1"/>
    <row r="40956" ht="14.25" customHeight="1"/>
    <row r="40957" ht="14.25" customHeight="1"/>
    <row r="40958" ht="14.25" customHeight="1"/>
    <row r="40959" ht="14.25" customHeight="1"/>
    <row r="40960" ht="14.25" customHeight="1"/>
    <row r="40961" ht="14.25" customHeight="1"/>
    <row r="40962" ht="14.25" customHeight="1"/>
    <row r="40963" ht="14.25" customHeight="1"/>
    <row r="40964" ht="14.25" customHeight="1"/>
    <row r="40965" ht="14.25" customHeight="1"/>
    <row r="40966" ht="14.25" customHeight="1"/>
    <row r="40967" ht="14.25" customHeight="1"/>
    <row r="40968" ht="14.25" customHeight="1"/>
    <row r="40969" ht="14.25" customHeight="1"/>
    <row r="40970" ht="14.25" customHeight="1"/>
    <row r="40971" ht="14.25" customHeight="1"/>
    <row r="40972" ht="14.25" customHeight="1"/>
    <row r="40973" ht="14.25" customHeight="1"/>
    <row r="40974" ht="14.25" customHeight="1"/>
    <row r="40975" ht="14.25" customHeight="1"/>
    <row r="40976" ht="14.25" customHeight="1"/>
    <row r="40977" ht="14.25" customHeight="1"/>
    <row r="40978" ht="14.25" customHeight="1"/>
    <row r="40979" ht="14.25" customHeight="1"/>
    <row r="40980" ht="14.25" customHeight="1"/>
    <row r="40981" ht="14.25" customHeight="1"/>
    <row r="40982" ht="14.25" customHeight="1"/>
    <row r="40983" ht="14.25" customHeight="1"/>
    <row r="40984" ht="14.25" customHeight="1"/>
    <row r="40985" ht="14.25" customHeight="1"/>
    <row r="40986" ht="14.25" customHeight="1"/>
    <row r="40987" ht="14.25" customHeight="1"/>
    <row r="40988" ht="14.25" customHeight="1"/>
    <row r="40989" ht="14.25" customHeight="1"/>
    <row r="40990" ht="14.25" customHeight="1"/>
    <row r="40991" ht="14.25" customHeight="1"/>
    <row r="40992" ht="14.25" customHeight="1"/>
    <row r="40993" ht="14.25" customHeight="1"/>
    <row r="40994" ht="14.25" customHeight="1"/>
    <row r="40995" ht="14.25" customHeight="1"/>
    <row r="40996" ht="14.25" customHeight="1"/>
    <row r="40997" ht="14.25" customHeight="1"/>
    <row r="40998" ht="14.25" customHeight="1"/>
    <row r="40999" ht="14.25" customHeight="1"/>
    <row r="41000" ht="14.25" customHeight="1"/>
    <row r="41001" ht="14.25" customHeight="1"/>
    <row r="41002" ht="14.25" customHeight="1"/>
    <row r="41003" ht="14.25" customHeight="1"/>
    <row r="41004" ht="14.25" customHeight="1"/>
    <row r="41005" ht="14.25" customHeight="1"/>
    <row r="41006" ht="14.25" customHeight="1"/>
    <row r="41007" ht="14.25" customHeight="1"/>
    <row r="41008" ht="14.25" customHeight="1"/>
    <row r="41009" ht="14.25" customHeight="1"/>
    <row r="41010" ht="14.25" customHeight="1"/>
    <row r="41011" ht="14.25" customHeight="1"/>
    <row r="41012" ht="14.25" customHeight="1"/>
    <row r="41013" ht="14.25" customHeight="1"/>
    <row r="41014" ht="14.25" customHeight="1"/>
    <row r="41015" ht="14.25" customHeight="1"/>
    <row r="41016" ht="14.25" customHeight="1"/>
    <row r="41017" ht="14.25" customHeight="1"/>
    <row r="41018" ht="14.25" customHeight="1"/>
    <row r="41019" ht="14.25" customHeight="1"/>
    <row r="41020" ht="14.25" customHeight="1"/>
    <row r="41021" ht="14.25" customHeight="1"/>
    <row r="41022" ht="14.25" customHeight="1"/>
    <row r="41023" ht="14.25" customHeight="1"/>
    <row r="41024" ht="14.25" customHeight="1"/>
    <row r="41025" ht="14.25" customHeight="1"/>
    <row r="41026" ht="14.25" customHeight="1"/>
    <row r="41027" ht="14.25" customHeight="1"/>
    <row r="41028" ht="14.25" customHeight="1"/>
    <row r="41029" ht="14.25" customHeight="1"/>
    <row r="41030" ht="14.25" customHeight="1"/>
    <row r="41031" ht="14.25" customHeight="1"/>
    <row r="41032" ht="14.25" customHeight="1"/>
    <row r="41033" ht="14.25" customHeight="1"/>
    <row r="41034" ht="14.25" customHeight="1"/>
    <row r="41035" ht="14.25" customHeight="1"/>
    <row r="41036" ht="14.25" customHeight="1"/>
    <row r="41037" ht="14.25" customHeight="1"/>
    <row r="41038" ht="14.25" customHeight="1"/>
    <row r="41039" ht="14.25" customHeight="1"/>
    <row r="41040" ht="14.25" customHeight="1"/>
    <row r="41041" ht="14.25" customHeight="1"/>
    <row r="41042" ht="14.25" customHeight="1"/>
    <row r="41043" ht="14.25" customHeight="1"/>
    <row r="41044" ht="14.25" customHeight="1"/>
    <row r="41045" ht="14.25" customHeight="1"/>
    <row r="41046" ht="14.25" customHeight="1"/>
    <row r="41047" ht="14.25" customHeight="1"/>
    <row r="41048" ht="14.25" customHeight="1"/>
    <row r="41049" ht="14.25" customHeight="1"/>
    <row r="41050" ht="14.25" customHeight="1"/>
    <row r="41051" ht="14.25" customHeight="1"/>
    <row r="41052" ht="14.25" customHeight="1"/>
    <row r="41053" ht="14.25" customHeight="1"/>
    <row r="41054" ht="14.25" customHeight="1"/>
    <row r="41055" ht="14.25" customHeight="1"/>
    <row r="41056" ht="14.25" customHeight="1"/>
    <row r="41057" ht="14.25" customHeight="1"/>
    <row r="41058" ht="14.25" customHeight="1"/>
    <row r="41059" ht="14.25" customHeight="1"/>
    <row r="41060" ht="14.25" customHeight="1"/>
    <row r="41061" ht="14.25" customHeight="1"/>
    <row r="41062" ht="14.25" customHeight="1"/>
    <row r="41063" ht="14.25" customHeight="1"/>
    <row r="41064" ht="14.25" customHeight="1"/>
    <row r="41065" ht="14.25" customHeight="1"/>
    <row r="41066" ht="14.25" customHeight="1"/>
    <row r="41067" ht="14.25" customHeight="1"/>
    <row r="41068" ht="14.25" customHeight="1"/>
    <row r="41069" ht="14.25" customHeight="1"/>
    <row r="41070" ht="14.25" customHeight="1"/>
    <row r="41071" ht="14.25" customHeight="1"/>
    <row r="41072" ht="14.25" customHeight="1"/>
    <row r="41073" ht="14.25" customHeight="1"/>
    <row r="41074" ht="14.25" customHeight="1"/>
    <row r="41075" ht="14.25" customHeight="1"/>
    <row r="41076" ht="14.25" customHeight="1"/>
    <row r="41077" ht="14.25" customHeight="1"/>
    <row r="41078" ht="14.25" customHeight="1"/>
    <row r="41079" ht="14.25" customHeight="1"/>
    <row r="41080" ht="14.25" customHeight="1"/>
    <row r="41081" ht="14.25" customHeight="1"/>
    <row r="41082" ht="14.25" customHeight="1"/>
    <row r="41083" ht="14.25" customHeight="1"/>
    <row r="41084" ht="14.25" customHeight="1"/>
    <row r="41085" ht="14.25" customHeight="1"/>
    <row r="41086" ht="14.25" customHeight="1"/>
    <row r="41087" ht="14.25" customHeight="1"/>
    <row r="41088" ht="14.25" customHeight="1"/>
    <row r="41089" ht="14.25" customHeight="1"/>
    <row r="41090" ht="14.25" customHeight="1"/>
    <row r="41091" ht="14.25" customHeight="1"/>
    <row r="41092" ht="14.25" customHeight="1"/>
    <row r="41093" ht="14.25" customHeight="1"/>
    <row r="41094" ht="14.25" customHeight="1"/>
    <row r="41095" ht="14.25" customHeight="1"/>
    <row r="41096" ht="14.25" customHeight="1"/>
    <row r="41097" ht="14.25" customHeight="1"/>
    <row r="41098" ht="14.25" customHeight="1"/>
    <row r="41099" ht="14.25" customHeight="1"/>
    <row r="41100" ht="14.25" customHeight="1"/>
    <row r="41101" ht="14.25" customHeight="1"/>
    <row r="41102" ht="14.25" customHeight="1"/>
    <row r="41103" ht="14.25" customHeight="1"/>
    <row r="41104" ht="14.25" customHeight="1"/>
    <row r="41105" ht="14.25" customHeight="1"/>
    <row r="41106" ht="14.25" customHeight="1"/>
    <row r="41107" ht="14.25" customHeight="1"/>
    <row r="41108" ht="14.25" customHeight="1"/>
    <row r="41109" ht="14.25" customHeight="1"/>
    <row r="41110" ht="14.25" customHeight="1"/>
    <row r="41111" ht="14.25" customHeight="1"/>
    <row r="41112" ht="14.25" customHeight="1"/>
    <row r="41113" ht="14.25" customHeight="1"/>
    <row r="41114" ht="14.25" customHeight="1"/>
    <row r="41115" ht="14.25" customHeight="1"/>
    <row r="41116" ht="14.25" customHeight="1"/>
    <row r="41117" ht="14.25" customHeight="1"/>
    <row r="41118" ht="14.25" customHeight="1"/>
    <row r="41119" ht="14.25" customHeight="1"/>
    <row r="41120" ht="14.25" customHeight="1"/>
    <row r="41121" ht="14.25" customHeight="1"/>
    <row r="41122" ht="14.25" customHeight="1"/>
    <row r="41123" ht="14.25" customHeight="1"/>
    <row r="41124" ht="14.25" customHeight="1"/>
    <row r="41125" ht="14.25" customHeight="1"/>
    <row r="41126" ht="14.25" customHeight="1"/>
    <row r="41127" ht="14.25" customHeight="1"/>
    <row r="41128" ht="14.25" customHeight="1"/>
    <row r="41129" ht="14.25" customHeight="1"/>
    <row r="41130" ht="14.25" customHeight="1"/>
    <row r="41131" ht="14.25" customHeight="1"/>
    <row r="41132" ht="14.25" customHeight="1"/>
    <row r="41133" ht="14.25" customHeight="1"/>
    <row r="41134" ht="14.25" customHeight="1"/>
    <row r="41135" ht="14.25" customHeight="1"/>
    <row r="41136" ht="14.25" customHeight="1"/>
    <row r="41137" ht="14.25" customHeight="1"/>
    <row r="41138" ht="14.25" customHeight="1"/>
    <row r="41139" ht="14.25" customHeight="1"/>
    <row r="41140" ht="14.25" customHeight="1"/>
    <row r="41141" ht="14.25" customHeight="1"/>
    <row r="41142" ht="14.25" customHeight="1"/>
    <row r="41143" ht="14.25" customHeight="1"/>
    <row r="41144" ht="14.25" customHeight="1"/>
    <row r="41145" ht="14.25" customHeight="1"/>
    <row r="41146" ht="14.25" customHeight="1"/>
    <row r="41147" ht="14.25" customHeight="1"/>
    <row r="41148" ht="14.25" customHeight="1"/>
    <row r="41149" ht="14.25" customHeight="1"/>
    <row r="41150" ht="14.25" customHeight="1"/>
    <row r="41151" ht="14.25" customHeight="1"/>
    <row r="41152" ht="14.25" customHeight="1"/>
    <row r="41153" ht="14.25" customHeight="1"/>
    <row r="41154" ht="14.25" customHeight="1"/>
    <row r="41155" ht="14.25" customHeight="1"/>
    <row r="41156" ht="14.25" customHeight="1"/>
    <row r="41157" ht="14.25" customHeight="1"/>
    <row r="41158" ht="14.25" customHeight="1"/>
    <row r="41159" ht="14.25" customHeight="1"/>
    <row r="41160" ht="14.25" customHeight="1"/>
    <row r="41161" ht="14.25" customHeight="1"/>
    <row r="41162" ht="14.25" customHeight="1"/>
    <row r="41163" ht="14.25" customHeight="1"/>
    <row r="41164" ht="14.25" customHeight="1"/>
    <row r="41165" ht="14.25" customHeight="1"/>
    <row r="41166" ht="14.25" customHeight="1"/>
    <row r="41167" ht="14.25" customHeight="1"/>
    <row r="41168" ht="14.25" customHeight="1"/>
    <row r="41169" ht="14.25" customHeight="1"/>
    <row r="41170" ht="14.25" customHeight="1"/>
    <row r="41171" ht="14.25" customHeight="1"/>
    <row r="41172" ht="14.25" customHeight="1"/>
    <row r="41173" ht="14.25" customHeight="1"/>
    <row r="41174" ht="14.25" customHeight="1"/>
    <row r="41175" ht="14.25" customHeight="1"/>
    <row r="41176" ht="14.25" customHeight="1"/>
    <row r="41177" ht="14.25" customHeight="1"/>
    <row r="41178" ht="14.25" customHeight="1"/>
    <row r="41179" ht="14.25" customHeight="1"/>
    <row r="41180" ht="14.25" customHeight="1"/>
    <row r="41181" ht="14.25" customHeight="1"/>
    <row r="41182" ht="14.25" customHeight="1"/>
    <row r="41183" ht="14.25" customHeight="1"/>
    <row r="41184" ht="14.25" customHeight="1"/>
    <row r="41185" ht="14.25" customHeight="1"/>
    <row r="41186" ht="14.25" customHeight="1"/>
    <row r="41187" ht="14.25" customHeight="1"/>
    <row r="41188" ht="14.25" customHeight="1"/>
    <row r="41189" ht="14.25" customHeight="1"/>
    <row r="41190" ht="14.25" customHeight="1"/>
    <row r="41191" ht="14.25" customHeight="1"/>
    <row r="41192" ht="14.25" customHeight="1"/>
    <row r="41193" ht="14.25" customHeight="1"/>
    <row r="41194" ht="14.25" customHeight="1"/>
    <row r="41195" ht="14.25" customHeight="1"/>
    <row r="41196" ht="14.25" customHeight="1"/>
    <row r="41197" ht="14.25" customHeight="1"/>
    <row r="41198" ht="14.25" customHeight="1"/>
    <row r="41199" ht="14.25" customHeight="1"/>
    <row r="41200" ht="14.25" customHeight="1"/>
    <row r="41201" ht="14.25" customHeight="1"/>
    <row r="41202" ht="14.25" customHeight="1"/>
    <row r="41203" ht="14.25" customHeight="1"/>
    <row r="41204" ht="14.25" customHeight="1"/>
    <row r="41205" ht="14.25" customHeight="1"/>
    <row r="41206" ht="14.25" customHeight="1"/>
    <row r="41207" ht="14.25" customHeight="1"/>
    <row r="41208" ht="14.25" customHeight="1"/>
    <row r="41209" ht="14.25" customHeight="1"/>
    <row r="41210" ht="14.25" customHeight="1"/>
    <row r="41211" ht="14.25" customHeight="1"/>
    <row r="41212" ht="14.25" customHeight="1"/>
    <row r="41213" ht="14.25" customHeight="1"/>
    <row r="41214" ht="14.25" customHeight="1"/>
    <row r="41215" ht="14.25" customHeight="1"/>
    <row r="41216" ht="14.25" customHeight="1"/>
    <row r="41217" ht="14.25" customHeight="1"/>
    <row r="41218" ht="14.25" customHeight="1"/>
    <row r="41219" ht="14.25" customHeight="1"/>
    <row r="41220" ht="14.25" customHeight="1"/>
    <row r="41221" ht="14.25" customHeight="1"/>
    <row r="41222" ht="14.25" customHeight="1"/>
    <row r="41223" ht="14.25" customHeight="1"/>
    <row r="41224" ht="14.25" customHeight="1"/>
    <row r="41225" ht="14.25" customHeight="1"/>
    <row r="41226" ht="14.25" customHeight="1"/>
    <row r="41227" ht="14.25" customHeight="1"/>
    <row r="41228" ht="14.25" customHeight="1"/>
    <row r="41229" ht="14.25" customHeight="1"/>
    <row r="41230" ht="14.25" customHeight="1"/>
    <row r="41231" ht="14.25" customHeight="1"/>
    <row r="41232" ht="14.25" customHeight="1"/>
    <row r="41233" ht="14.25" customHeight="1"/>
    <row r="41234" ht="14.25" customHeight="1"/>
    <row r="41235" ht="14.25" customHeight="1"/>
    <row r="41236" ht="14.25" customHeight="1"/>
    <row r="41237" ht="14.25" customHeight="1"/>
    <row r="41238" ht="14.25" customHeight="1"/>
    <row r="41239" ht="14.25" customHeight="1"/>
    <row r="41240" ht="14.25" customHeight="1"/>
    <row r="41241" ht="14.25" customHeight="1"/>
    <row r="41242" ht="14.25" customHeight="1"/>
    <row r="41243" ht="14.25" customHeight="1"/>
    <row r="41244" ht="14.25" customHeight="1"/>
    <row r="41245" ht="14.25" customHeight="1"/>
    <row r="41246" ht="14.25" customHeight="1"/>
    <row r="41247" ht="14.25" customHeight="1"/>
    <row r="41248" ht="14.25" customHeight="1"/>
    <row r="41249" ht="14.25" customHeight="1"/>
    <row r="41250" ht="14.25" customHeight="1"/>
    <row r="41251" ht="14.25" customHeight="1"/>
    <row r="41252" ht="14.25" customHeight="1"/>
    <row r="41253" ht="14.25" customHeight="1"/>
    <row r="41254" ht="14.25" customHeight="1"/>
    <row r="41255" ht="14.25" customHeight="1"/>
    <row r="41256" ht="14.25" customHeight="1"/>
    <row r="41257" ht="14.25" customHeight="1"/>
    <row r="41258" ht="14.25" customHeight="1"/>
    <row r="41259" ht="14.25" customHeight="1"/>
    <row r="41260" ht="14.25" customHeight="1"/>
    <row r="41261" ht="14.25" customHeight="1"/>
    <row r="41262" ht="14.25" customHeight="1"/>
    <row r="41263" ht="14.25" customHeight="1"/>
    <row r="41264" ht="14.25" customHeight="1"/>
    <row r="41265" ht="14.25" customHeight="1"/>
    <row r="41266" ht="14.25" customHeight="1"/>
    <row r="41267" ht="14.25" customHeight="1"/>
    <row r="41268" ht="14.25" customHeight="1"/>
    <row r="41269" ht="14.25" customHeight="1"/>
    <row r="41270" ht="14.25" customHeight="1"/>
    <row r="41271" ht="14.25" customHeight="1"/>
    <row r="41272" ht="14.25" customHeight="1"/>
    <row r="41273" ht="14.25" customHeight="1"/>
    <row r="41274" ht="14.25" customHeight="1"/>
    <row r="41275" ht="14.25" customHeight="1"/>
    <row r="41276" ht="14.25" customHeight="1"/>
    <row r="41277" ht="14.25" customHeight="1"/>
    <row r="41278" ht="14.25" customHeight="1"/>
    <row r="41279" ht="14.25" customHeight="1"/>
    <row r="41280" ht="14.25" customHeight="1"/>
    <row r="41281" ht="14.25" customHeight="1"/>
    <row r="41282" ht="14.25" customHeight="1"/>
    <row r="41283" ht="14.25" customHeight="1"/>
    <row r="41284" ht="14.25" customHeight="1"/>
    <row r="41285" ht="14.25" customHeight="1"/>
    <row r="41286" ht="14.25" customHeight="1"/>
    <row r="41287" ht="14.25" customHeight="1"/>
    <row r="41288" ht="14.25" customHeight="1"/>
    <row r="41289" ht="14.25" customHeight="1"/>
    <row r="41290" ht="14.25" customHeight="1"/>
    <row r="41291" ht="14.25" customHeight="1"/>
    <row r="41292" ht="14.25" customHeight="1"/>
    <row r="41293" ht="14.25" customHeight="1"/>
    <row r="41294" ht="14.25" customHeight="1"/>
    <row r="41295" ht="14.25" customHeight="1"/>
    <row r="41296" ht="14.25" customHeight="1"/>
    <row r="41297" ht="14.25" customHeight="1"/>
    <row r="41298" ht="14.25" customHeight="1"/>
    <row r="41299" ht="14.25" customHeight="1"/>
    <row r="41300" ht="14.25" customHeight="1"/>
    <row r="41301" ht="14.25" customHeight="1"/>
    <row r="41302" ht="14.25" customHeight="1"/>
    <row r="41303" ht="14.25" customHeight="1"/>
    <row r="41304" ht="14.25" customHeight="1"/>
    <row r="41305" ht="14.25" customHeight="1"/>
    <row r="41306" ht="14.25" customHeight="1"/>
    <row r="41307" ht="14.25" customHeight="1"/>
    <row r="41308" ht="14.25" customHeight="1"/>
    <row r="41309" ht="14.25" customHeight="1"/>
    <row r="41310" ht="14.25" customHeight="1"/>
    <row r="41311" ht="14.25" customHeight="1"/>
    <row r="41312" ht="14.25" customHeight="1"/>
    <row r="41313" ht="14.25" customHeight="1"/>
    <row r="41314" ht="14.25" customHeight="1"/>
    <row r="41315" ht="14.25" customHeight="1"/>
    <row r="41316" ht="14.25" customHeight="1"/>
    <row r="41317" ht="14.25" customHeight="1"/>
    <row r="41318" ht="14.25" customHeight="1"/>
    <row r="41319" ht="14.25" customHeight="1"/>
    <row r="41320" ht="14.25" customHeight="1"/>
    <row r="41321" ht="14.25" customHeight="1"/>
    <row r="41322" ht="14.25" customHeight="1"/>
    <row r="41323" ht="14.25" customHeight="1"/>
    <row r="41324" ht="14.25" customHeight="1"/>
    <row r="41325" ht="14.25" customHeight="1"/>
    <row r="41326" ht="14.25" customHeight="1"/>
    <row r="41327" ht="14.25" customHeight="1"/>
    <row r="41328" ht="14.25" customHeight="1"/>
    <row r="41329" ht="14.25" customHeight="1"/>
    <row r="41330" ht="14.25" customHeight="1"/>
    <row r="41331" ht="14.25" customHeight="1"/>
    <row r="41332" ht="14.25" customHeight="1"/>
    <row r="41333" ht="14.25" customHeight="1"/>
    <row r="41334" ht="14.25" customHeight="1"/>
    <row r="41335" ht="14.25" customHeight="1"/>
    <row r="41336" ht="14.25" customHeight="1"/>
    <row r="41337" ht="14.25" customHeight="1"/>
    <row r="41338" ht="14.25" customHeight="1"/>
    <row r="41339" ht="14.25" customHeight="1"/>
    <row r="41340" ht="14.25" customHeight="1"/>
    <row r="41341" ht="14.25" customHeight="1"/>
    <row r="41342" ht="14.25" customHeight="1"/>
    <row r="41343" ht="14.25" customHeight="1"/>
    <row r="41344" ht="14.25" customHeight="1"/>
    <row r="41345" ht="14.25" customHeight="1"/>
    <row r="41346" ht="14.25" customHeight="1"/>
    <row r="41347" ht="14.25" customHeight="1"/>
    <row r="41348" ht="14.25" customHeight="1"/>
    <row r="41349" ht="14.25" customHeight="1"/>
    <row r="41350" ht="14.25" customHeight="1"/>
    <row r="41351" ht="14.25" customHeight="1"/>
    <row r="41352" ht="14.25" customHeight="1"/>
    <row r="41353" ht="14.25" customHeight="1"/>
    <row r="41354" ht="14.25" customHeight="1"/>
    <row r="41355" ht="14.25" customHeight="1"/>
    <row r="41356" ht="14.25" customHeight="1"/>
    <row r="41357" ht="14.25" customHeight="1"/>
    <row r="41358" ht="14.25" customHeight="1"/>
    <row r="41359" ht="14.25" customHeight="1"/>
    <row r="41360" ht="14.25" customHeight="1"/>
    <row r="41361" ht="14.25" customHeight="1"/>
    <row r="41362" ht="14.25" customHeight="1"/>
    <row r="41363" ht="14.25" customHeight="1"/>
    <row r="41364" ht="14.25" customHeight="1"/>
    <row r="41365" ht="14.25" customHeight="1"/>
    <row r="41366" ht="14.25" customHeight="1"/>
    <row r="41367" ht="14.25" customHeight="1"/>
    <row r="41368" ht="14.25" customHeight="1"/>
    <row r="41369" ht="14.25" customHeight="1"/>
    <row r="41370" ht="14.25" customHeight="1"/>
    <row r="41371" ht="14.25" customHeight="1"/>
    <row r="41372" ht="14.25" customHeight="1"/>
    <row r="41373" ht="14.25" customHeight="1"/>
    <row r="41374" ht="14.25" customHeight="1"/>
    <row r="41375" ht="14.25" customHeight="1"/>
    <row r="41376" ht="14.25" customHeight="1"/>
    <row r="41377" ht="14.25" customHeight="1"/>
    <row r="41378" ht="14.25" customHeight="1"/>
    <row r="41379" ht="14.25" customHeight="1"/>
    <row r="41380" ht="14.25" customHeight="1"/>
    <row r="41381" ht="14.25" customHeight="1"/>
    <row r="41382" ht="14.25" customHeight="1"/>
    <row r="41383" ht="14.25" customHeight="1"/>
    <row r="41384" ht="14.25" customHeight="1"/>
    <row r="41385" ht="14.25" customHeight="1"/>
    <row r="41386" ht="14.25" customHeight="1"/>
    <row r="41387" ht="14.25" customHeight="1"/>
    <row r="41388" ht="14.25" customHeight="1"/>
    <row r="41389" ht="14.25" customHeight="1"/>
    <row r="41390" ht="14.25" customHeight="1"/>
    <row r="41391" ht="14.25" customHeight="1"/>
    <row r="41392" ht="14.25" customHeight="1"/>
    <row r="41393" ht="14.25" customHeight="1"/>
    <row r="41394" ht="14.25" customHeight="1"/>
    <row r="41395" ht="14.25" customHeight="1"/>
    <row r="41396" ht="14.25" customHeight="1"/>
    <row r="41397" ht="14.25" customHeight="1"/>
    <row r="41398" ht="14.25" customHeight="1"/>
    <row r="41399" ht="14.25" customHeight="1"/>
    <row r="41400" ht="14.25" customHeight="1"/>
    <row r="41401" ht="14.25" customHeight="1"/>
    <row r="41402" ht="14.25" customHeight="1"/>
    <row r="41403" ht="14.25" customHeight="1"/>
    <row r="41404" ht="14.25" customHeight="1"/>
    <row r="41405" ht="14.25" customHeight="1"/>
    <row r="41406" ht="14.25" customHeight="1"/>
    <row r="41407" ht="14.25" customHeight="1"/>
    <row r="41408" ht="14.25" customHeight="1"/>
    <row r="41409" ht="14.25" customHeight="1"/>
    <row r="41410" ht="14.25" customHeight="1"/>
    <row r="41411" ht="14.25" customHeight="1"/>
    <row r="41412" ht="14.25" customHeight="1"/>
    <row r="41413" ht="14.25" customHeight="1"/>
    <row r="41414" ht="14.25" customHeight="1"/>
    <row r="41415" ht="14.25" customHeight="1"/>
    <row r="41416" ht="14.25" customHeight="1"/>
    <row r="41417" ht="14.25" customHeight="1"/>
    <row r="41418" ht="14.25" customHeight="1"/>
    <row r="41419" ht="14.25" customHeight="1"/>
    <row r="41420" ht="14.25" customHeight="1"/>
    <row r="41421" ht="14.25" customHeight="1"/>
    <row r="41422" ht="14.25" customHeight="1"/>
    <row r="41423" ht="14.25" customHeight="1"/>
    <row r="41424" ht="14.25" customHeight="1"/>
    <row r="41425" ht="14.25" customHeight="1"/>
    <row r="41426" ht="14.25" customHeight="1"/>
    <row r="41427" ht="14.25" customHeight="1"/>
    <row r="41428" ht="14.25" customHeight="1"/>
    <row r="41429" ht="14.25" customHeight="1"/>
    <row r="41430" ht="14.25" customHeight="1"/>
    <row r="41431" ht="14.25" customHeight="1"/>
    <row r="41432" ht="14.25" customHeight="1"/>
    <row r="41433" ht="14.25" customHeight="1"/>
    <row r="41434" ht="14.25" customHeight="1"/>
    <row r="41435" ht="14.25" customHeight="1"/>
    <row r="41436" ht="14.25" customHeight="1"/>
    <row r="41437" ht="14.25" customHeight="1"/>
    <row r="41438" ht="14.25" customHeight="1"/>
    <row r="41439" ht="14.25" customHeight="1"/>
    <row r="41440" ht="14.25" customHeight="1"/>
    <row r="41441" ht="14.25" customHeight="1"/>
    <row r="41442" ht="14.25" customHeight="1"/>
    <row r="41443" ht="14.25" customHeight="1"/>
    <row r="41444" ht="14.25" customHeight="1"/>
    <row r="41445" ht="14.25" customHeight="1"/>
    <row r="41446" ht="14.25" customHeight="1"/>
    <row r="41447" ht="14.25" customHeight="1"/>
    <row r="41448" ht="14.25" customHeight="1"/>
    <row r="41449" ht="14.25" customHeight="1"/>
    <row r="41450" ht="14.25" customHeight="1"/>
    <row r="41451" ht="14.25" customHeight="1"/>
    <row r="41452" ht="14.25" customHeight="1"/>
    <row r="41453" ht="14.25" customHeight="1"/>
    <row r="41454" ht="14.25" customHeight="1"/>
    <row r="41455" ht="14.25" customHeight="1"/>
    <row r="41456" ht="14.25" customHeight="1"/>
    <row r="41457" ht="14.25" customHeight="1"/>
    <row r="41458" ht="14.25" customHeight="1"/>
    <row r="41459" ht="14.25" customHeight="1"/>
    <row r="41460" ht="14.25" customHeight="1"/>
    <row r="41461" ht="14.25" customHeight="1"/>
    <row r="41462" ht="14.25" customHeight="1"/>
    <row r="41463" ht="14.25" customHeight="1"/>
    <row r="41464" ht="14.25" customHeight="1"/>
    <row r="41465" ht="14.25" customHeight="1"/>
    <row r="41466" ht="14.25" customHeight="1"/>
    <row r="41467" ht="14.25" customHeight="1"/>
    <row r="41468" ht="14.25" customHeight="1"/>
    <row r="41469" ht="14.25" customHeight="1"/>
    <row r="41470" ht="14.25" customHeight="1"/>
    <row r="41471" ht="14.25" customHeight="1"/>
    <row r="41472" ht="14.25" customHeight="1"/>
    <row r="41473" ht="14.25" customHeight="1"/>
    <row r="41474" ht="14.25" customHeight="1"/>
    <row r="41475" ht="14.25" customHeight="1"/>
    <row r="41476" ht="14.25" customHeight="1"/>
    <row r="41477" ht="14.25" customHeight="1"/>
    <row r="41478" ht="14.25" customHeight="1"/>
    <row r="41479" ht="14.25" customHeight="1"/>
    <row r="41480" ht="14.25" customHeight="1"/>
    <row r="41481" ht="14.25" customHeight="1"/>
    <row r="41482" ht="14.25" customHeight="1"/>
    <row r="41483" ht="14.25" customHeight="1"/>
    <row r="41484" ht="14.25" customHeight="1"/>
    <row r="41485" ht="14.25" customHeight="1"/>
    <row r="41486" ht="14.25" customHeight="1"/>
    <row r="41487" ht="14.25" customHeight="1"/>
    <row r="41488" ht="14.25" customHeight="1"/>
    <row r="41489" ht="14.25" customHeight="1"/>
    <row r="41490" ht="14.25" customHeight="1"/>
    <row r="41491" ht="14.25" customHeight="1"/>
    <row r="41492" ht="14.25" customHeight="1"/>
    <row r="41493" ht="14.25" customHeight="1"/>
    <row r="41494" ht="14.25" customHeight="1"/>
    <row r="41495" ht="14.25" customHeight="1"/>
    <row r="41496" ht="14.25" customHeight="1"/>
    <row r="41497" ht="14.25" customHeight="1"/>
    <row r="41498" ht="14.25" customHeight="1"/>
    <row r="41499" ht="14.25" customHeight="1"/>
    <row r="41500" ht="14.25" customHeight="1"/>
    <row r="41501" ht="14.25" customHeight="1"/>
    <row r="41502" ht="14.25" customHeight="1"/>
    <row r="41503" ht="14.25" customHeight="1"/>
    <row r="41504" ht="14.25" customHeight="1"/>
    <row r="41505" ht="14.25" customHeight="1"/>
    <row r="41506" ht="14.25" customHeight="1"/>
    <row r="41507" ht="14.25" customHeight="1"/>
    <row r="41508" ht="14.25" customHeight="1"/>
    <row r="41509" ht="14.25" customHeight="1"/>
    <row r="41510" ht="14.25" customHeight="1"/>
    <row r="41511" ht="14.25" customHeight="1"/>
    <row r="41512" ht="14.25" customHeight="1"/>
    <row r="41513" ht="14.25" customHeight="1"/>
    <row r="41514" ht="14.25" customHeight="1"/>
    <row r="41515" ht="14.25" customHeight="1"/>
    <row r="41516" ht="14.25" customHeight="1"/>
    <row r="41517" ht="14.25" customHeight="1"/>
    <row r="41518" ht="14.25" customHeight="1"/>
    <row r="41519" ht="14.25" customHeight="1"/>
    <row r="41520" ht="14.25" customHeight="1"/>
    <row r="41521" ht="14.25" customHeight="1"/>
    <row r="41522" ht="14.25" customHeight="1"/>
    <row r="41523" ht="14.25" customHeight="1"/>
    <row r="41524" ht="14.25" customHeight="1"/>
    <row r="41525" ht="14.25" customHeight="1"/>
    <row r="41526" ht="14.25" customHeight="1"/>
    <row r="41527" ht="14.25" customHeight="1"/>
    <row r="41528" ht="14.25" customHeight="1"/>
    <row r="41529" ht="14.25" customHeight="1"/>
    <row r="41530" ht="14.25" customHeight="1"/>
    <row r="41531" ht="14.25" customHeight="1"/>
    <row r="41532" ht="14.25" customHeight="1"/>
    <row r="41533" ht="14.25" customHeight="1"/>
    <row r="41534" ht="14.25" customHeight="1"/>
    <row r="41535" ht="14.25" customHeight="1"/>
    <row r="41536" ht="14.25" customHeight="1"/>
    <row r="41537" ht="14.25" customHeight="1"/>
    <row r="41538" ht="14.25" customHeight="1"/>
    <row r="41539" ht="14.25" customHeight="1"/>
    <row r="41540" ht="14.25" customHeight="1"/>
    <row r="41541" ht="14.25" customHeight="1"/>
    <row r="41542" ht="14.25" customHeight="1"/>
    <row r="41543" ht="14.25" customHeight="1"/>
    <row r="41544" ht="14.25" customHeight="1"/>
    <row r="41545" ht="14.25" customHeight="1"/>
    <row r="41546" ht="14.25" customHeight="1"/>
    <row r="41547" ht="14.25" customHeight="1"/>
    <row r="41548" ht="14.25" customHeight="1"/>
    <row r="41549" ht="14.25" customHeight="1"/>
    <row r="41550" ht="14.25" customHeight="1"/>
    <row r="41551" ht="14.25" customHeight="1"/>
    <row r="41552" ht="14.25" customHeight="1"/>
    <row r="41553" ht="14.25" customHeight="1"/>
    <row r="41554" ht="14.25" customHeight="1"/>
    <row r="41555" ht="14.25" customHeight="1"/>
    <row r="41556" ht="14.25" customHeight="1"/>
    <row r="41557" ht="14.25" customHeight="1"/>
    <row r="41558" ht="14.25" customHeight="1"/>
    <row r="41559" ht="14.25" customHeight="1"/>
    <row r="41560" ht="14.25" customHeight="1"/>
    <row r="41561" ht="14.25" customHeight="1"/>
    <row r="41562" ht="14.25" customHeight="1"/>
    <row r="41563" ht="14.25" customHeight="1"/>
    <row r="41564" ht="14.25" customHeight="1"/>
    <row r="41565" ht="14.25" customHeight="1"/>
    <row r="41566" ht="14.25" customHeight="1"/>
    <row r="41567" ht="14.25" customHeight="1"/>
    <row r="41568" ht="14.25" customHeight="1"/>
    <row r="41569" ht="14.25" customHeight="1"/>
    <row r="41570" ht="14.25" customHeight="1"/>
    <row r="41571" ht="14.25" customHeight="1"/>
    <row r="41572" ht="14.25" customHeight="1"/>
    <row r="41573" ht="14.25" customHeight="1"/>
    <row r="41574" ht="14.25" customHeight="1"/>
    <row r="41575" ht="14.25" customHeight="1"/>
    <row r="41576" ht="14.25" customHeight="1"/>
    <row r="41577" ht="14.25" customHeight="1"/>
    <row r="41578" ht="14.25" customHeight="1"/>
    <row r="41579" ht="14.25" customHeight="1"/>
    <row r="41580" ht="14.25" customHeight="1"/>
    <row r="41581" ht="14.25" customHeight="1"/>
    <row r="41582" ht="14.25" customHeight="1"/>
    <row r="41583" ht="14.25" customHeight="1"/>
    <row r="41584" ht="14.25" customHeight="1"/>
    <row r="41585" ht="14.25" customHeight="1"/>
    <row r="41586" ht="14.25" customHeight="1"/>
    <row r="41587" ht="14.25" customHeight="1"/>
    <row r="41588" ht="14.25" customHeight="1"/>
    <row r="41589" ht="14.25" customHeight="1"/>
    <row r="41590" ht="14.25" customHeight="1"/>
    <row r="41591" ht="14.25" customHeight="1"/>
    <row r="41592" ht="14.25" customHeight="1"/>
    <row r="41593" ht="14.25" customHeight="1"/>
    <row r="41594" ht="14.25" customHeight="1"/>
    <row r="41595" ht="14.25" customHeight="1"/>
    <row r="41596" ht="14.25" customHeight="1"/>
    <row r="41597" ht="14.25" customHeight="1"/>
    <row r="41598" ht="14.25" customHeight="1"/>
    <row r="41599" ht="14.25" customHeight="1"/>
    <row r="41600" ht="14.25" customHeight="1"/>
    <row r="41601" ht="14.25" customHeight="1"/>
    <row r="41602" ht="14.25" customHeight="1"/>
    <row r="41603" ht="14.25" customHeight="1"/>
    <row r="41604" ht="14.25" customHeight="1"/>
    <row r="41605" ht="14.25" customHeight="1"/>
    <row r="41606" ht="14.25" customHeight="1"/>
    <row r="41607" ht="14.25" customHeight="1"/>
    <row r="41608" ht="14.25" customHeight="1"/>
    <row r="41609" ht="14.25" customHeight="1"/>
    <row r="41610" ht="14.25" customHeight="1"/>
    <row r="41611" ht="14.25" customHeight="1"/>
    <row r="41612" ht="14.25" customHeight="1"/>
    <row r="41613" ht="14.25" customHeight="1"/>
    <row r="41614" ht="14.25" customHeight="1"/>
    <row r="41615" ht="14.25" customHeight="1"/>
    <row r="41616" ht="14.25" customHeight="1"/>
    <row r="41617" ht="14.25" customHeight="1"/>
    <row r="41618" ht="14.25" customHeight="1"/>
    <row r="41619" ht="14.25" customHeight="1"/>
    <row r="41620" ht="14.25" customHeight="1"/>
    <row r="41621" ht="14.25" customHeight="1"/>
    <row r="41622" ht="14.25" customHeight="1"/>
    <row r="41623" ht="14.25" customHeight="1"/>
    <row r="41624" ht="14.25" customHeight="1"/>
    <row r="41625" ht="14.25" customHeight="1"/>
    <row r="41626" ht="14.25" customHeight="1"/>
    <row r="41627" ht="14.25" customHeight="1"/>
    <row r="41628" ht="14.25" customHeight="1"/>
    <row r="41629" ht="14.25" customHeight="1"/>
    <row r="41630" ht="14.25" customHeight="1"/>
    <row r="41631" ht="14.25" customHeight="1"/>
    <row r="41632" ht="14.25" customHeight="1"/>
    <row r="41633" ht="14.25" customHeight="1"/>
    <row r="41634" ht="14.25" customHeight="1"/>
    <row r="41635" ht="14.25" customHeight="1"/>
    <row r="41636" ht="14.25" customHeight="1"/>
    <row r="41637" ht="14.25" customHeight="1"/>
    <row r="41638" ht="14.25" customHeight="1"/>
    <row r="41639" ht="14.25" customHeight="1"/>
    <row r="41640" ht="14.25" customHeight="1"/>
    <row r="41641" ht="14.25" customHeight="1"/>
    <row r="41642" ht="14.25" customHeight="1"/>
    <row r="41643" ht="14.25" customHeight="1"/>
    <row r="41644" ht="14.25" customHeight="1"/>
    <row r="41645" ht="14.25" customHeight="1"/>
    <row r="41646" ht="14.25" customHeight="1"/>
    <row r="41647" ht="14.25" customHeight="1"/>
    <row r="41648" ht="14.25" customHeight="1"/>
    <row r="41649" ht="14.25" customHeight="1"/>
    <row r="41650" ht="14.25" customHeight="1"/>
    <row r="41651" ht="14.25" customHeight="1"/>
    <row r="41652" ht="14.25" customHeight="1"/>
    <row r="41653" ht="14.25" customHeight="1"/>
    <row r="41654" ht="14.25" customHeight="1"/>
    <row r="41655" ht="14.25" customHeight="1"/>
    <row r="41656" ht="14.25" customHeight="1"/>
    <row r="41657" ht="14.25" customHeight="1"/>
    <row r="41658" ht="14.25" customHeight="1"/>
    <row r="41659" ht="14.25" customHeight="1"/>
    <row r="41660" ht="14.25" customHeight="1"/>
    <row r="41661" ht="14.25" customHeight="1"/>
    <row r="41662" ht="14.25" customHeight="1"/>
    <row r="41663" ht="14.25" customHeight="1"/>
    <row r="41664" ht="14.25" customHeight="1"/>
    <row r="41665" ht="14.25" customHeight="1"/>
    <row r="41666" ht="14.25" customHeight="1"/>
    <row r="41667" ht="14.25" customHeight="1"/>
    <row r="41668" ht="14.25" customHeight="1"/>
    <row r="41669" ht="14.25" customHeight="1"/>
    <row r="41670" ht="14.25" customHeight="1"/>
    <row r="41671" ht="14.25" customHeight="1"/>
    <row r="41672" ht="14.25" customHeight="1"/>
    <row r="41673" ht="14.25" customHeight="1"/>
    <row r="41674" ht="14.25" customHeight="1"/>
    <row r="41675" ht="14.25" customHeight="1"/>
    <row r="41676" ht="14.25" customHeight="1"/>
    <row r="41677" ht="14.25" customHeight="1"/>
    <row r="41678" ht="14.25" customHeight="1"/>
    <row r="41679" ht="14.25" customHeight="1"/>
    <row r="41680" ht="14.25" customHeight="1"/>
    <row r="41681" ht="14.25" customHeight="1"/>
    <row r="41682" ht="14.25" customHeight="1"/>
    <row r="41683" ht="14.25" customHeight="1"/>
    <row r="41684" ht="14.25" customHeight="1"/>
    <row r="41685" ht="14.25" customHeight="1"/>
    <row r="41686" ht="14.25" customHeight="1"/>
    <row r="41687" ht="14.25" customHeight="1"/>
    <row r="41688" ht="14.25" customHeight="1"/>
    <row r="41689" ht="14.25" customHeight="1"/>
    <row r="41690" ht="14.25" customHeight="1"/>
    <row r="41691" ht="14.25" customHeight="1"/>
    <row r="41692" ht="14.25" customHeight="1"/>
    <row r="41693" ht="14.25" customHeight="1"/>
    <row r="41694" ht="14.25" customHeight="1"/>
    <row r="41695" ht="14.25" customHeight="1"/>
    <row r="41696" ht="14.25" customHeight="1"/>
    <row r="41697" ht="14.25" customHeight="1"/>
    <row r="41698" ht="14.25" customHeight="1"/>
    <row r="41699" ht="14.25" customHeight="1"/>
    <row r="41700" ht="14.25" customHeight="1"/>
    <row r="41701" ht="14.25" customHeight="1"/>
    <row r="41702" ht="14.25" customHeight="1"/>
    <row r="41703" ht="14.25" customHeight="1"/>
    <row r="41704" ht="14.25" customHeight="1"/>
    <row r="41705" ht="14.25" customHeight="1"/>
    <row r="41706" ht="14.25" customHeight="1"/>
    <row r="41707" ht="14.25" customHeight="1"/>
    <row r="41708" ht="14.25" customHeight="1"/>
    <row r="41709" ht="14.25" customHeight="1"/>
    <row r="41710" ht="14.25" customHeight="1"/>
    <row r="41711" ht="14.25" customHeight="1"/>
    <row r="41712" ht="14.25" customHeight="1"/>
    <row r="41713" ht="14.25" customHeight="1"/>
    <row r="41714" ht="14.25" customHeight="1"/>
    <row r="41715" ht="14.25" customHeight="1"/>
    <row r="41716" ht="14.25" customHeight="1"/>
    <row r="41717" ht="14.25" customHeight="1"/>
    <row r="41718" ht="14.25" customHeight="1"/>
    <row r="41719" ht="14.25" customHeight="1"/>
    <row r="41720" ht="14.25" customHeight="1"/>
    <row r="41721" ht="14.25" customHeight="1"/>
    <row r="41722" ht="14.25" customHeight="1"/>
    <row r="41723" ht="14.25" customHeight="1"/>
    <row r="41724" ht="14.25" customHeight="1"/>
    <row r="41725" ht="14.25" customHeight="1"/>
    <row r="41726" ht="14.25" customHeight="1"/>
    <row r="41727" ht="14.25" customHeight="1"/>
    <row r="41728" ht="14.25" customHeight="1"/>
    <row r="41729" ht="14.25" customHeight="1"/>
    <row r="41730" ht="14.25" customHeight="1"/>
    <row r="41731" ht="14.25" customHeight="1"/>
    <row r="41732" ht="14.25" customHeight="1"/>
    <row r="41733" ht="14.25" customHeight="1"/>
    <row r="41734" ht="14.25" customHeight="1"/>
    <row r="41735" ht="14.25" customHeight="1"/>
    <row r="41736" ht="14.25" customHeight="1"/>
    <row r="41737" ht="14.25" customHeight="1"/>
    <row r="41738" ht="14.25" customHeight="1"/>
    <row r="41739" ht="14.25" customHeight="1"/>
    <row r="41740" ht="14.25" customHeight="1"/>
    <row r="41741" ht="14.25" customHeight="1"/>
    <row r="41742" ht="14.25" customHeight="1"/>
    <row r="41743" ht="14.25" customHeight="1"/>
    <row r="41744" ht="14.25" customHeight="1"/>
    <row r="41745" ht="14.25" customHeight="1"/>
    <row r="41746" ht="14.25" customHeight="1"/>
    <row r="41747" ht="14.25" customHeight="1"/>
    <row r="41748" ht="14.25" customHeight="1"/>
    <row r="41749" ht="14.25" customHeight="1"/>
    <row r="41750" ht="14.25" customHeight="1"/>
    <row r="41751" ht="14.25" customHeight="1"/>
    <row r="41752" ht="14.25" customHeight="1"/>
    <row r="41753" ht="14.25" customHeight="1"/>
    <row r="41754" ht="14.25" customHeight="1"/>
    <row r="41755" ht="14.25" customHeight="1"/>
    <row r="41756" ht="14.25" customHeight="1"/>
    <row r="41757" ht="14.25" customHeight="1"/>
    <row r="41758" ht="14.25" customHeight="1"/>
    <row r="41759" ht="14.25" customHeight="1"/>
    <row r="41760" ht="14.25" customHeight="1"/>
    <row r="41761" ht="14.25" customHeight="1"/>
    <row r="41762" ht="14.25" customHeight="1"/>
    <row r="41763" ht="14.25" customHeight="1"/>
    <row r="41764" ht="14.25" customHeight="1"/>
    <row r="41765" ht="14.25" customHeight="1"/>
    <row r="41766" ht="14.25" customHeight="1"/>
    <row r="41767" ht="14.25" customHeight="1"/>
    <row r="41768" ht="14.25" customHeight="1"/>
    <row r="41769" ht="14.25" customHeight="1"/>
    <row r="41770" ht="14.25" customHeight="1"/>
    <row r="41771" ht="14.25" customHeight="1"/>
    <row r="41772" ht="14.25" customHeight="1"/>
    <row r="41773" ht="14.25" customHeight="1"/>
    <row r="41774" ht="14.25" customHeight="1"/>
    <row r="41775" ht="14.25" customHeight="1"/>
    <row r="41776" ht="14.25" customHeight="1"/>
    <row r="41777" ht="14.25" customHeight="1"/>
    <row r="41778" ht="14.25" customHeight="1"/>
    <row r="41779" ht="14.25" customHeight="1"/>
    <row r="41780" ht="14.25" customHeight="1"/>
    <row r="41781" ht="14.25" customHeight="1"/>
    <row r="41782" ht="14.25" customHeight="1"/>
    <row r="41783" ht="14.25" customHeight="1"/>
    <row r="41784" ht="14.25" customHeight="1"/>
    <row r="41785" ht="14.25" customHeight="1"/>
    <row r="41786" ht="14.25" customHeight="1"/>
    <row r="41787" ht="14.25" customHeight="1"/>
    <row r="41788" ht="14.25" customHeight="1"/>
    <row r="41789" ht="14.25" customHeight="1"/>
    <row r="41790" ht="14.25" customHeight="1"/>
    <row r="41791" ht="14.25" customHeight="1"/>
    <row r="41792" ht="14.25" customHeight="1"/>
    <row r="41793" ht="14.25" customHeight="1"/>
    <row r="41794" ht="14.25" customHeight="1"/>
    <row r="41795" ht="14.25" customHeight="1"/>
    <row r="41796" ht="14.25" customHeight="1"/>
    <row r="41797" ht="14.25" customHeight="1"/>
    <row r="41798" ht="14.25" customHeight="1"/>
    <row r="41799" ht="14.25" customHeight="1"/>
    <row r="41800" ht="14.25" customHeight="1"/>
    <row r="41801" ht="14.25" customHeight="1"/>
    <row r="41802" ht="14.25" customHeight="1"/>
    <row r="41803" ht="14.25" customHeight="1"/>
    <row r="41804" ht="14.25" customHeight="1"/>
    <row r="41805" ht="14.25" customHeight="1"/>
    <row r="41806" ht="14.25" customHeight="1"/>
    <row r="41807" ht="14.25" customHeight="1"/>
    <row r="41808" ht="14.25" customHeight="1"/>
    <row r="41809" ht="14.25" customHeight="1"/>
    <row r="41810" ht="14.25" customHeight="1"/>
    <row r="41811" ht="14.25" customHeight="1"/>
    <row r="41812" ht="14.25" customHeight="1"/>
    <row r="41813" ht="14.25" customHeight="1"/>
    <row r="41814" ht="14.25" customHeight="1"/>
    <row r="41815" ht="14.25" customHeight="1"/>
    <row r="41816" ht="14.25" customHeight="1"/>
    <row r="41817" ht="14.25" customHeight="1"/>
    <row r="41818" ht="14.25" customHeight="1"/>
    <row r="41819" ht="14.25" customHeight="1"/>
    <row r="41820" ht="14.25" customHeight="1"/>
    <row r="41821" ht="14.25" customHeight="1"/>
    <row r="41822" ht="14.25" customHeight="1"/>
    <row r="41823" ht="14.25" customHeight="1"/>
    <row r="41824" ht="14.25" customHeight="1"/>
    <row r="41825" ht="14.25" customHeight="1"/>
    <row r="41826" ht="14.25" customHeight="1"/>
    <row r="41827" ht="14.25" customHeight="1"/>
    <row r="41828" ht="14.25" customHeight="1"/>
    <row r="41829" ht="14.25" customHeight="1"/>
    <row r="41830" ht="14.25" customHeight="1"/>
    <row r="41831" ht="14.25" customHeight="1"/>
    <row r="41832" ht="14.25" customHeight="1"/>
    <row r="41833" ht="14.25" customHeight="1"/>
    <row r="41834" ht="14.25" customHeight="1"/>
    <row r="41835" ht="14.25" customHeight="1"/>
    <row r="41836" ht="14.25" customHeight="1"/>
    <row r="41837" ht="14.25" customHeight="1"/>
    <row r="41838" ht="14.25" customHeight="1"/>
    <row r="41839" ht="14.25" customHeight="1"/>
    <row r="41840" ht="14.25" customHeight="1"/>
    <row r="41841" ht="14.25" customHeight="1"/>
    <row r="41842" ht="14.25" customHeight="1"/>
    <row r="41843" ht="14.25" customHeight="1"/>
    <row r="41844" ht="14.25" customHeight="1"/>
    <row r="41845" ht="14.25" customHeight="1"/>
    <row r="41846" ht="14.25" customHeight="1"/>
    <row r="41847" ht="14.25" customHeight="1"/>
    <row r="41848" ht="14.25" customHeight="1"/>
    <row r="41849" ht="14.25" customHeight="1"/>
    <row r="41850" ht="14.25" customHeight="1"/>
    <row r="41851" ht="14.25" customHeight="1"/>
    <row r="41852" ht="14.25" customHeight="1"/>
    <row r="41853" ht="14.25" customHeight="1"/>
    <row r="41854" ht="14.25" customHeight="1"/>
    <row r="41855" ht="14.25" customHeight="1"/>
    <row r="41856" ht="14.25" customHeight="1"/>
    <row r="41857" ht="14.25" customHeight="1"/>
    <row r="41858" ht="14.25" customHeight="1"/>
    <row r="41859" ht="14.25" customHeight="1"/>
    <row r="41860" ht="14.25" customHeight="1"/>
    <row r="41861" ht="14.25" customHeight="1"/>
    <row r="41862" ht="14.25" customHeight="1"/>
    <row r="41863" ht="14.25" customHeight="1"/>
    <row r="41864" ht="14.25" customHeight="1"/>
    <row r="41865" ht="14.25" customHeight="1"/>
    <row r="41866" ht="14.25" customHeight="1"/>
    <row r="41867" ht="14.25" customHeight="1"/>
    <row r="41868" ht="14.25" customHeight="1"/>
    <row r="41869" ht="14.25" customHeight="1"/>
    <row r="41870" ht="14.25" customHeight="1"/>
    <row r="41871" ht="14.25" customHeight="1"/>
    <row r="41872" ht="14.25" customHeight="1"/>
    <row r="41873" ht="14.25" customHeight="1"/>
    <row r="41874" ht="14.25" customHeight="1"/>
    <row r="41875" ht="14.25" customHeight="1"/>
    <row r="41876" ht="14.25" customHeight="1"/>
    <row r="41877" ht="14.25" customHeight="1"/>
    <row r="41878" ht="14.25" customHeight="1"/>
    <row r="41879" ht="14.25" customHeight="1"/>
    <row r="41880" ht="14.25" customHeight="1"/>
    <row r="41881" ht="14.25" customHeight="1"/>
    <row r="41882" ht="14.25" customHeight="1"/>
    <row r="41883" ht="14.25" customHeight="1"/>
    <row r="41884" ht="14.25" customHeight="1"/>
    <row r="41885" ht="14.25" customHeight="1"/>
    <row r="41886" ht="14.25" customHeight="1"/>
    <row r="41887" ht="14.25" customHeight="1"/>
    <row r="41888" ht="14.25" customHeight="1"/>
    <row r="41889" ht="14.25" customHeight="1"/>
    <row r="41890" ht="14.25" customHeight="1"/>
    <row r="41891" ht="14.25" customHeight="1"/>
    <row r="41892" ht="14.25" customHeight="1"/>
    <row r="41893" ht="14.25" customHeight="1"/>
    <row r="41894" ht="14.25" customHeight="1"/>
    <row r="41895" ht="14.25" customHeight="1"/>
    <row r="41896" ht="14.25" customHeight="1"/>
    <row r="41897" ht="14.25" customHeight="1"/>
    <row r="41898" ht="14.25" customHeight="1"/>
    <row r="41899" ht="14.25" customHeight="1"/>
    <row r="41900" ht="14.25" customHeight="1"/>
    <row r="41901" ht="14.25" customHeight="1"/>
    <row r="41902" ht="14.25" customHeight="1"/>
    <row r="41903" ht="14.25" customHeight="1"/>
    <row r="41904" ht="14.25" customHeight="1"/>
    <row r="41905" ht="14.25" customHeight="1"/>
    <row r="41906" ht="14.25" customHeight="1"/>
    <row r="41907" ht="14.25" customHeight="1"/>
    <row r="41908" ht="14.25" customHeight="1"/>
    <row r="41909" ht="14.25" customHeight="1"/>
    <row r="41910" ht="14.25" customHeight="1"/>
    <row r="41911" ht="14.25" customHeight="1"/>
    <row r="41912" ht="14.25" customHeight="1"/>
    <row r="41913" ht="14.25" customHeight="1"/>
    <row r="41914" ht="14.25" customHeight="1"/>
    <row r="41915" ht="14.25" customHeight="1"/>
    <row r="41916" ht="14.25" customHeight="1"/>
    <row r="41917" ht="14.25" customHeight="1"/>
    <row r="41918" ht="14.25" customHeight="1"/>
    <row r="41919" ht="14.25" customHeight="1"/>
    <row r="41920" ht="14.25" customHeight="1"/>
    <row r="41921" ht="14.25" customHeight="1"/>
    <row r="41922" ht="14.25" customHeight="1"/>
    <row r="41923" ht="14.25" customHeight="1"/>
    <row r="41924" ht="14.25" customHeight="1"/>
    <row r="41925" ht="14.25" customHeight="1"/>
    <row r="41926" ht="14.25" customHeight="1"/>
    <row r="41927" ht="14.25" customHeight="1"/>
    <row r="41928" ht="14.25" customHeight="1"/>
    <row r="41929" ht="14.25" customHeight="1"/>
    <row r="41930" ht="14.25" customHeight="1"/>
    <row r="41931" ht="14.25" customHeight="1"/>
    <row r="41932" ht="14.25" customHeight="1"/>
    <row r="41933" ht="14.25" customHeight="1"/>
    <row r="41934" ht="14.25" customHeight="1"/>
    <row r="41935" ht="14.25" customHeight="1"/>
    <row r="41936" ht="14.25" customHeight="1"/>
    <row r="41937" ht="14.25" customHeight="1"/>
    <row r="41938" ht="14.25" customHeight="1"/>
    <row r="41939" ht="14.25" customHeight="1"/>
    <row r="41940" ht="14.25" customHeight="1"/>
    <row r="41941" ht="14.25" customHeight="1"/>
    <row r="41942" ht="14.25" customHeight="1"/>
    <row r="41943" ht="14.25" customHeight="1"/>
    <row r="41944" ht="14.25" customHeight="1"/>
    <row r="41945" ht="14.25" customHeight="1"/>
    <row r="41946" ht="14.25" customHeight="1"/>
    <row r="41947" ht="14.25" customHeight="1"/>
    <row r="41948" ht="14.25" customHeight="1"/>
    <row r="41949" ht="14.25" customHeight="1"/>
    <row r="41950" ht="14.25" customHeight="1"/>
    <row r="41951" ht="14.25" customHeight="1"/>
    <row r="41952" ht="14.25" customHeight="1"/>
    <row r="41953" ht="14.25" customHeight="1"/>
    <row r="41954" ht="14.25" customHeight="1"/>
    <row r="41955" ht="14.25" customHeight="1"/>
    <row r="41956" ht="14.25" customHeight="1"/>
    <row r="41957" ht="14.25" customHeight="1"/>
    <row r="41958" ht="14.25" customHeight="1"/>
    <row r="41959" ht="14.25" customHeight="1"/>
    <row r="41960" ht="14.25" customHeight="1"/>
    <row r="41961" ht="14.25" customHeight="1"/>
    <row r="41962" ht="14.25" customHeight="1"/>
    <row r="41963" ht="14.25" customHeight="1"/>
    <row r="41964" ht="14.25" customHeight="1"/>
    <row r="41965" ht="14.25" customHeight="1"/>
    <row r="41966" ht="14.25" customHeight="1"/>
    <row r="41967" ht="14.25" customHeight="1"/>
    <row r="41968" ht="14.25" customHeight="1"/>
    <row r="41969" ht="14.25" customHeight="1"/>
    <row r="41970" ht="14.25" customHeight="1"/>
    <row r="41971" ht="14.25" customHeight="1"/>
    <row r="41972" ht="14.25" customHeight="1"/>
    <row r="41973" ht="14.25" customHeight="1"/>
    <row r="41974" ht="14.25" customHeight="1"/>
    <row r="41975" ht="14.25" customHeight="1"/>
    <row r="41976" ht="14.25" customHeight="1"/>
    <row r="41977" ht="14.25" customHeight="1"/>
    <row r="41978" ht="14.25" customHeight="1"/>
    <row r="41979" ht="14.25" customHeight="1"/>
    <row r="41980" ht="14.25" customHeight="1"/>
    <row r="41981" ht="14.25" customHeight="1"/>
    <row r="41982" ht="14.25" customHeight="1"/>
    <row r="41983" ht="14.25" customHeight="1"/>
    <row r="41984" ht="14.25" customHeight="1"/>
    <row r="41985" ht="14.25" customHeight="1"/>
    <row r="41986" ht="14.25" customHeight="1"/>
    <row r="41987" ht="14.25" customHeight="1"/>
    <row r="41988" ht="14.25" customHeight="1"/>
    <row r="41989" ht="14.25" customHeight="1"/>
    <row r="41990" ht="14.25" customHeight="1"/>
    <row r="41991" ht="14.25" customHeight="1"/>
    <row r="41992" ht="14.25" customHeight="1"/>
    <row r="41993" ht="14.25" customHeight="1"/>
    <row r="41994" ht="14.25" customHeight="1"/>
    <row r="41995" ht="14.25" customHeight="1"/>
    <row r="41996" ht="14.25" customHeight="1"/>
    <row r="41997" ht="14.25" customHeight="1"/>
    <row r="41998" ht="14.25" customHeight="1"/>
    <row r="41999" ht="14.25" customHeight="1"/>
    <row r="42000" ht="14.25" customHeight="1"/>
    <row r="42001" ht="14.25" customHeight="1"/>
    <row r="42002" ht="14.25" customHeight="1"/>
    <row r="42003" ht="14.25" customHeight="1"/>
    <row r="42004" ht="14.25" customHeight="1"/>
    <row r="42005" ht="14.25" customHeight="1"/>
    <row r="42006" ht="14.25" customHeight="1"/>
    <row r="42007" ht="14.25" customHeight="1"/>
    <row r="42008" ht="14.25" customHeight="1"/>
    <row r="42009" ht="14.25" customHeight="1"/>
    <row r="42010" ht="14.25" customHeight="1"/>
    <row r="42011" ht="14.25" customHeight="1"/>
    <row r="42012" ht="14.25" customHeight="1"/>
    <row r="42013" ht="14.25" customHeight="1"/>
    <row r="42014" ht="14.25" customHeight="1"/>
    <row r="42015" ht="14.25" customHeight="1"/>
    <row r="42016" ht="14.25" customHeight="1"/>
    <row r="42017" ht="14.25" customHeight="1"/>
    <row r="42018" ht="14.25" customHeight="1"/>
    <row r="42019" ht="14.25" customHeight="1"/>
    <row r="42020" ht="14.25" customHeight="1"/>
    <row r="42021" ht="14.25" customHeight="1"/>
    <row r="42022" ht="14.25" customHeight="1"/>
    <row r="42023" ht="14.25" customHeight="1"/>
    <row r="42024" ht="14.25" customHeight="1"/>
    <row r="42025" ht="14.25" customHeight="1"/>
    <row r="42026" ht="14.25" customHeight="1"/>
    <row r="42027" ht="14.25" customHeight="1"/>
    <row r="42028" ht="14.25" customHeight="1"/>
    <row r="42029" ht="14.25" customHeight="1"/>
    <row r="42030" ht="14.25" customHeight="1"/>
    <row r="42031" ht="14.25" customHeight="1"/>
    <row r="42032" ht="14.25" customHeight="1"/>
    <row r="42033" ht="14.25" customHeight="1"/>
    <row r="42034" ht="14.25" customHeight="1"/>
    <row r="42035" ht="14.25" customHeight="1"/>
    <row r="42036" ht="14.25" customHeight="1"/>
    <row r="42037" ht="14.25" customHeight="1"/>
    <row r="42038" ht="14.25" customHeight="1"/>
    <row r="42039" ht="14.25" customHeight="1"/>
    <row r="42040" ht="14.25" customHeight="1"/>
    <row r="42041" ht="14.25" customHeight="1"/>
    <row r="42042" ht="14.25" customHeight="1"/>
    <row r="42043" ht="14.25" customHeight="1"/>
    <row r="42044" ht="14.25" customHeight="1"/>
    <row r="42045" ht="14.25" customHeight="1"/>
    <row r="42046" ht="14.25" customHeight="1"/>
    <row r="42047" ht="14.25" customHeight="1"/>
    <row r="42048" ht="14.25" customHeight="1"/>
    <row r="42049" ht="14.25" customHeight="1"/>
    <row r="42050" ht="14.25" customHeight="1"/>
    <row r="42051" ht="14.25" customHeight="1"/>
    <row r="42052" ht="14.25" customHeight="1"/>
    <row r="42053" ht="14.25" customHeight="1"/>
    <row r="42054" ht="14.25" customHeight="1"/>
    <row r="42055" ht="14.25" customHeight="1"/>
    <row r="42056" ht="14.25" customHeight="1"/>
    <row r="42057" ht="14.25" customHeight="1"/>
    <row r="42058" ht="14.25" customHeight="1"/>
    <row r="42059" ht="14.25" customHeight="1"/>
    <row r="42060" ht="14.25" customHeight="1"/>
    <row r="42061" ht="14.25" customHeight="1"/>
    <row r="42062" ht="14.25" customHeight="1"/>
    <row r="42063" ht="14.25" customHeight="1"/>
    <row r="42064" ht="14.25" customHeight="1"/>
    <row r="42065" ht="14.25" customHeight="1"/>
    <row r="42066" ht="14.25" customHeight="1"/>
    <row r="42067" ht="14.25" customHeight="1"/>
    <row r="42068" ht="14.25" customHeight="1"/>
    <row r="42069" ht="14.25" customHeight="1"/>
    <row r="42070" ht="14.25" customHeight="1"/>
    <row r="42071" ht="14.25" customHeight="1"/>
    <row r="42072" ht="14.25" customHeight="1"/>
    <row r="42073" ht="14.25" customHeight="1"/>
    <row r="42074" ht="14.25" customHeight="1"/>
    <row r="42075" ht="14.25" customHeight="1"/>
    <row r="42076" ht="14.25" customHeight="1"/>
    <row r="42077" ht="14.25" customHeight="1"/>
    <row r="42078" ht="14.25" customHeight="1"/>
    <row r="42079" ht="14.25" customHeight="1"/>
    <row r="42080" ht="14.25" customHeight="1"/>
    <row r="42081" ht="14.25" customHeight="1"/>
    <row r="42082" ht="14.25" customHeight="1"/>
    <row r="42083" ht="14.25" customHeight="1"/>
    <row r="42084" ht="14.25" customHeight="1"/>
    <row r="42085" ht="14.25" customHeight="1"/>
    <row r="42086" ht="14.25" customHeight="1"/>
    <row r="42087" ht="14.25" customHeight="1"/>
    <row r="42088" ht="14.25" customHeight="1"/>
    <row r="42089" ht="14.25" customHeight="1"/>
    <row r="42090" ht="14.25" customHeight="1"/>
    <row r="42091" ht="14.25" customHeight="1"/>
    <row r="42092" ht="14.25" customHeight="1"/>
    <row r="42093" ht="14.25" customHeight="1"/>
    <row r="42094" ht="14.25" customHeight="1"/>
    <row r="42095" ht="14.25" customHeight="1"/>
    <row r="42096" ht="14.25" customHeight="1"/>
    <row r="42097" ht="14.25" customHeight="1"/>
    <row r="42098" ht="14.25" customHeight="1"/>
    <row r="42099" ht="14.25" customHeight="1"/>
    <row r="42100" ht="14.25" customHeight="1"/>
    <row r="42101" ht="14.25" customHeight="1"/>
    <row r="42102" ht="14.25" customHeight="1"/>
    <row r="42103" ht="14.25" customHeight="1"/>
    <row r="42104" ht="14.25" customHeight="1"/>
    <row r="42105" ht="14.25" customHeight="1"/>
    <row r="42106" ht="14.25" customHeight="1"/>
    <row r="42107" ht="14.25" customHeight="1"/>
    <row r="42108" ht="14.25" customHeight="1"/>
    <row r="42109" ht="14.25" customHeight="1"/>
    <row r="42110" ht="14.25" customHeight="1"/>
    <row r="42111" ht="14.25" customHeight="1"/>
    <row r="42112" ht="14.25" customHeight="1"/>
    <row r="42113" ht="14.25" customHeight="1"/>
    <row r="42114" ht="14.25" customHeight="1"/>
    <row r="42115" ht="14.25" customHeight="1"/>
    <row r="42116" ht="14.25" customHeight="1"/>
    <row r="42117" ht="14.25" customHeight="1"/>
    <row r="42118" ht="14.25" customHeight="1"/>
    <row r="42119" ht="14.25" customHeight="1"/>
    <row r="42120" ht="14.25" customHeight="1"/>
    <row r="42121" ht="14.25" customHeight="1"/>
    <row r="42122" ht="14.25" customHeight="1"/>
    <row r="42123" ht="14.25" customHeight="1"/>
    <row r="42124" ht="14.25" customHeight="1"/>
    <row r="42125" ht="14.25" customHeight="1"/>
    <row r="42126" ht="14.25" customHeight="1"/>
    <row r="42127" ht="14.25" customHeight="1"/>
    <row r="42128" ht="14.25" customHeight="1"/>
    <row r="42129" ht="14.25" customHeight="1"/>
    <row r="42130" ht="14.25" customHeight="1"/>
    <row r="42131" ht="14.25" customHeight="1"/>
    <row r="42132" ht="14.25" customHeight="1"/>
    <row r="42133" ht="14.25" customHeight="1"/>
    <row r="42134" ht="14.25" customHeight="1"/>
    <row r="42135" ht="14.25" customHeight="1"/>
    <row r="42136" ht="14.25" customHeight="1"/>
    <row r="42137" ht="14.25" customHeight="1"/>
    <row r="42138" ht="14.25" customHeight="1"/>
    <row r="42139" ht="14.25" customHeight="1"/>
    <row r="42140" ht="14.25" customHeight="1"/>
    <row r="42141" ht="14.25" customHeight="1"/>
    <row r="42142" ht="14.25" customHeight="1"/>
    <row r="42143" ht="14.25" customHeight="1"/>
    <row r="42144" ht="14.25" customHeight="1"/>
    <row r="42145" ht="14.25" customHeight="1"/>
    <row r="42146" ht="14.25" customHeight="1"/>
    <row r="42147" ht="14.25" customHeight="1"/>
    <row r="42148" ht="14.25" customHeight="1"/>
    <row r="42149" ht="14.25" customHeight="1"/>
    <row r="42150" ht="14.25" customHeight="1"/>
    <row r="42151" ht="14.25" customHeight="1"/>
    <row r="42152" ht="14.25" customHeight="1"/>
    <row r="42153" ht="14.25" customHeight="1"/>
    <row r="42154" ht="14.25" customHeight="1"/>
    <row r="42155" ht="14.25" customHeight="1"/>
    <row r="42156" ht="14.25" customHeight="1"/>
    <row r="42157" ht="14.25" customHeight="1"/>
    <row r="42158" ht="14.25" customHeight="1"/>
    <row r="42159" ht="14.25" customHeight="1"/>
    <row r="42160" ht="14.25" customHeight="1"/>
    <row r="42161" ht="14.25" customHeight="1"/>
    <row r="42162" ht="14.25" customHeight="1"/>
    <row r="42163" ht="14.25" customHeight="1"/>
    <row r="42164" ht="14.25" customHeight="1"/>
    <row r="42165" ht="14.25" customHeight="1"/>
    <row r="42166" ht="14.25" customHeight="1"/>
    <row r="42167" ht="14.25" customHeight="1"/>
    <row r="42168" ht="14.25" customHeight="1"/>
    <row r="42169" ht="14.25" customHeight="1"/>
    <row r="42170" ht="14.25" customHeight="1"/>
    <row r="42171" ht="14.25" customHeight="1"/>
    <row r="42172" ht="14.25" customHeight="1"/>
    <row r="42173" ht="14.25" customHeight="1"/>
    <row r="42174" ht="14.25" customHeight="1"/>
    <row r="42175" ht="14.25" customHeight="1"/>
    <row r="42176" ht="14.25" customHeight="1"/>
    <row r="42177" ht="14.25" customHeight="1"/>
    <row r="42178" ht="14.25" customHeight="1"/>
    <row r="42179" ht="14.25" customHeight="1"/>
    <row r="42180" ht="14.25" customHeight="1"/>
    <row r="42181" ht="14.25" customHeight="1"/>
    <row r="42182" ht="14.25" customHeight="1"/>
    <row r="42183" ht="14.25" customHeight="1"/>
    <row r="42184" ht="14.25" customHeight="1"/>
    <row r="42185" ht="14.25" customHeight="1"/>
    <row r="42186" ht="14.25" customHeight="1"/>
    <row r="42187" ht="14.25" customHeight="1"/>
    <row r="42188" ht="14.25" customHeight="1"/>
    <row r="42189" ht="14.25" customHeight="1"/>
    <row r="42190" ht="14.25" customHeight="1"/>
    <row r="42191" ht="14.25" customHeight="1"/>
    <row r="42192" ht="14.25" customHeight="1"/>
    <row r="42193" ht="14.25" customHeight="1"/>
    <row r="42194" ht="14.25" customHeight="1"/>
    <row r="42195" ht="14.25" customHeight="1"/>
    <row r="42196" ht="14.25" customHeight="1"/>
    <row r="42197" ht="14.25" customHeight="1"/>
    <row r="42198" ht="14.25" customHeight="1"/>
    <row r="42199" ht="14.25" customHeight="1"/>
    <row r="42200" ht="14.25" customHeight="1"/>
    <row r="42201" ht="14.25" customHeight="1"/>
    <row r="42202" ht="14.25" customHeight="1"/>
    <row r="42203" ht="14.25" customHeight="1"/>
    <row r="42204" ht="14.25" customHeight="1"/>
    <row r="42205" ht="14.25" customHeight="1"/>
    <row r="42206" ht="14.25" customHeight="1"/>
    <row r="42207" ht="14.25" customHeight="1"/>
    <row r="42208" ht="14.25" customHeight="1"/>
    <row r="42209" ht="14.25" customHeight="1"/>
    <row r="42210" ht="14.25" customHeight="1"/>
    <row r="42211" ht="14.25" customHeight="1"/>
    <row r="42212" ht="14.25" customHeight="1"/>
    <row r="42213" ht="14.25" customHeight="1"/>
    <row r="42214" ht="14.25" customHeight="1"/>
    <row r="42215" ht="14.25" customHeight="1"/>
    <row r="42216" ht="14.25" customHeight="1"/>
    <row r="42217" ht="14.25" customHeight="1"/>
    <row r="42218" ht="14.25" customHeight="1"/>
    <row r="42219" ht="14.25" customHeight="1"/>
    <row r="42220" ht="14.25" customHeight="1"/>
    <row r="42221" ht="14.25" customHeight="1"/>
    <row r="42222" ht="14.25" customHeight="1"/>
    <row r="42223" ht="14.25" customHeight="1"/>
    <row r="42224" ht="14.25" customHeight="1"/>
    <row r="42225" ht="14.25" customHeight="1"/>
    <row r="42226" ht="14.25" customHeight="1"/>
    <row r="42227" ht="14.25" customHeight="1"/>
    <row r="42228" ht="14.25" customHeight="1"/>
    <row r="42229" ht="14.25" customHeight="1"/>
    <row r="42230" ht="14.25" customHeight="1"/>
    <row r="42231" ht="14.25" customHeight="1"/>
    <row r="42232" ht="14.25" customHeight="1"/>
    <row r="42233" ht="14.25" customHeight="1"/>
    <row r="42234" ht="14.25" customHeight="1"/>
    <row r="42235" ht="14.25" customHeight="1"/>
    <row r="42236" ht="14.25" customHeight="1"/>
    <row r="42237" ht="14.25" customHeight="1"/>
    <row r="42238" ht="14.25" customHeight="1"/>
    <row r="42239" ht="14.25" customHeight="1"/>
    <row r="42240" ht="14.25" customHeight="1"/>
    <row r="42241" ht="14.25" customHeight="1"/>
    <row r="42242" ht="14.25" customHeight="1"/>
    <row r="42243" ht="14.25" customHeight="1"/>
    <row r="42244" ht="14.25" customHeight="1"/>
    <row r="42245" ht="14.25" customHeight="1"/>
    <row r="42246" ht="14.25" customHeight="1"/>
    <row r="42247" ht="14.25" customHeight="1"/>
    <row r="42248" ht="14.25" customHeight="1"/>
    <row r="42249" ht="14.25" customHeight="1"/>
    <row r="42250" ht="14.25" customHeight="1"/>
    <row r="42251" ht="14.25" customHeight="1"/>
    <row r="42252" ht="14.25" customHeight="1"/>
    <row r="42253" ht="14.25" customHeight="1"/>
    <row r="42254" ht="14.25" customHeight="1"/>
    <row r="42255" ht="14.25" customHeight="1"/>
    <row r="42256" ht="14.25" customHeight="1"/>
    <row r="42257" ht="14.25" customHeight="1"/>
    <row r="42258" ht="14.25" customHeight="1"/>
    <row r="42259" ht="14.25" customHeight="1"/>
    <row r="42260" ht="14.25" customHeight="1"/>
    <row r="42261" ht="14.25" customHeight="1"/>
    <row r="42262" ht="14.25" customHeight="1"/>
    <row r="42263" ht="14.25" customHeight="1"/>
    <row r="42264" ht="14.25" customHeight="1"/>
    <row r="42265" ht="14.25" customHeight="1"/>
    <row r="42266" ht="14.25" customHeight="1"/>
    <row r="42267" ht="14.25" customHeight="1"/>
    <row r="42268" ht="14.25" customHeight="1"/>
    <row r="42269" ht="14.25" customHeight="1"/>
    <row r="42270" ht="14.25" customHeight="1"/>
    <row r="42271" ht="14.25" customHeight="1"/>
    <row r="42272" ht="14.25" customHeight="1"/>
    <row r="42273" ht="14.25" customHeight="1"/>
    <row r="42274" ht="14.25" customHeight="1"/>
    <row r="42275" ht="14.25" customHeight="1"/>
    <row r="42276" ht="14.25" customHeight="1"/>
    <row r="42277" ht="14.25" customHeight="1"/>
    <row r="42278" ht="14.25" customHeight="1"/>
    <row r="42279" ht="14.25" customHeight="1"/>
    <row r="42280" ht="14.25" customHeight="1"/>
    <row r="42281" ht="14.25" customHeight="1"/>
    <row r="42282" ht="14.25" customHeight="1"/>
    <row r="42283" ht="14.25" customHeight="1"/>
    <row r="42284" ht="14.25" customHeight="1"/>
    <row r="42285" ht="14.25" customHeight="1"/>
    <row r="42286" ht="14.25" customHeight="1"/>
    <row r="42287" ht="14.25" customHeight="1"/>
    <row r="42288" ht="14.25" customHeight="1"/>
    <row r="42289" ht="14.25" customHeight="1"/>
    <row r="42290" ht="14.25" customHeight="1"/>
    <row r="42291" ht="14.25" customHeight="1"/>
    <row r="42292" ht="14.25" customHeight="1"/>
    <row r="42293" ht="14.25" customHeight="1"/>
    <row r="42294" ht="14.25" customHeight="1"/>
    <row r="42295" ht="14.25" customHeight="1"/>
    <row r="42296" ht="14.25" customHeight="1"/>
    <row r="42297" ht="14.25" customHeight="1"/>
    <row r="42298" ht="14.25" customHeight="1"/>
    <row r="42299" ht="14.25" customHeight="1"/>
    <row r="42300" ht="14.25" customHeight="1"/>
    <row r="42301" ht="14.25" customHeight="1"/>
    <row r="42302" ht="14.25" customHeight="1"/>
    <row r="42303" ht="14.25" customHeight="1"/>
    <row r="42304" ht="14.25" customHeight="1"/>
    <row r="42305" ht="14.25" customHeight="1"/>
    <row r="42306" ht="14.25" customHeight="1"/>
    <row r="42307" ht="14.25" customHeight="1"/>
    <row r="42308" ht="14.25" customHeight="1"/>
    <row r="42309" ht="14.25" customHeight="1"/>
    <row r="42310" ht="14.25" customHeight="1"/>
    <row r="42311" ht="14.25" customHeight="1"/>
    <row r="42312" ht="14.25" customHeight="1"/>
    <row r="42313" ht="14.25" customHeight="1"/>
    <row r="42314" ht="14.25" customHeight="1"/>
    <row r="42315" ht="14.25" customHeight="1"/>
    <row r="42316" ht="14.25" customHeight="1"/>
    <row r="42317" ht="14.25" customHeight="1"/>
    <row r="42318" ht="14.25" customHeight="1"/>
    <row r="42319" ht="14.25" customHeight="1"/>
    <row r="42320" ht="14.25" customHeight="1"/>
    <row r="42321" ht="14.25" customHeight="1"/>
    <row r="42322" ht="14.25" customHeight="1"/>
    <row r="42323" ht="14.25" customHeight="1"/>
    <row r="42324" ht="14.25" customHeight="1"/>
    <row r="42325" ht="14.25" customHeight="1"/>
    <row r="42326" ht="14.25" customHeight="1"/>
    <row r="42327" ht="14.25" customHeight="1"/>
    <row r="42328" ht="14.25" customHeight="1"/>
    <row r="42329" ht="14.25" customHeight="1"/>
    <row r="42330" ht="14.25" customHeight="1"/>
    <row r="42331" ht="14.25" customHeight="1"/>
    <row r="42332" ht="14.25" customHeight="1"/>
    <row r="42333" ht="14.25" customHeight="1"/>
    <row r="42334" ht="14.25" customHeight="1"/>
    <row r="42335" ht="14.25" customHeight="1"/>
    <row r="42336" ht="14.25" customHeight="1"/>
    <row r="42337" ht="14.25" customHeight="1"/>
    <row r="42338" ht="14.25" customHeight="1"/>
    <row r="42339" ht="14.25" customHeight="1"/>
    <row r="42340" ht="14.25" customHeight="1"/>
    <row r="42341" ht="14.25" customHeight="1"/>
    <row r="42342" ht="14.25" customHeight="1"/>
    <row r="42343" ht="14.25" customHeight="1"/>
    <row r="42344" ht="14.25" customHeight="1"/>
    <row r="42345" ht="14.25" customHeight="1"/>
    <row r="42346" ht="14.25" customHeight="1"/>
    <row r="42347" ht="14.25" customHeight="1"/>
    <row r="42348" ht="14.25" customHeight="1"/>
    <row r="42349" ht="14.25" customHeight="1"/>
    <row r="42350" ht="14.25" customHeight="1"/>
    <row r="42351" ht="14.25" customHeight="1"/>
    <row r="42352" ht="14.25" customHeight="1"/>
    <row r="42353" ht="14.25" customHeight="1"/>
    <row r="42354" ht="14.25" customHeight="1"/>
    <row r="42355" ht="14.25" customHeight="1"/>
    <row r="42356" ht="14.25" customHeight="1"/>
    <row r="42357" ht="14.25" customHeight="1"/>
    <row r="42358" ht="14.25" customHeight="1"/>
    <row r="42359" ht="14.25" customHeight="1"/>
    <row r="42360" ht="14.25" customHeight="1"/>
    <row r="42361" ht="14.25" customHeight="1"/>
    <row r="42362" ht="14.25" customHeight="1"/>
    <row r="42363" ht="14.25" customHeight="1"/>
    <row r="42364" ht="14.25" customHeight="1"/>
    <row r="42365" ht="14.25" customHeight="1"/>
    <row r="42366" ht="14.25" customHeight="1"/>
    <row r="42367" ht="14.25" customHeight="1"/>
    <row r="42368" ht="14.25" customHeight="1"/>
    <row r="42369" ht="14.25" customHeight="1"/>
    <row r="42370" ht="14.25" customHeight="1"/>
    <row r="42371" ht="14.25" customHeight="1"/>
    <row r="42372" ht="14.25" customHeight="1"/>
    <row r="42373" ht="14.25" customHeight="1"/>
    <row r="42374" ht="14.25" customHeight="1"/>
    <row r="42375" ht="14.25" customHeight="1"/>
    <row r="42376" ht="14.25" customHeight="1"/>
    <row r="42377" ht="14.25" customHeight="1"/>
    <row r="42378" ht="14.25" customHeight="1"/>
    <row r="42379" ht="14.25" customHeight="1"/>
    <row r="42380" ht="14.25" customHeight="1"/>
    <row r="42381" ht="14.25" customHeight="1"/>
    <row r="42382" ht="14.25" customHeight="1"/>
    <row r="42383" ht="14.25" customHeight="1"/>
    <row r="42384" ht="14.25" customHeight="1"/>
    <row r="42385" ht="14.25" customHeight="1"/>
    <row r="42386" ht="14.25" customHeight="1"/>
    <row r="42387" ht="14.25" customHeight="1"/>
    <row r="42388" ht="14.25" customHeight="1"/>
    <row r="42389" ht="14.25" customHeight="1"/>
    <row r="42390" ht="14.25" customHeight="1"/>
    <row r="42391" ht="14.25" customHeight="1"/>
    <row r="42392" ht="14.25" customHeight="1"/>
    <row r="42393" ht="14.25" customHeight="1"/>
    <row r="42394" ht="14.25" customHeight="1"/>
    <row r="42395" ht="14.25" customHeight="1"/>
    <row r="42396" ht="14.25" customHeight="1"/>
    <row r="42397" ht="14.25" customHeight="1"/>
    <row r="42398" ht="14.25" customHeight="1"/>
    <row r="42399" ht="14.25" customHeight="1"/>
    <row r="42400" ht="14.25" customHeight="1"/>
    <row r="42401" ht="14.25" customHeight="1"/>
    <row r="42402" ht="14.25" customHeight="1"/>
    <row r="42403" ht="14.25" customHeight="1"/>
    <row r="42404" ht="14.25" customHeight="1"/>
    <row r="42405" ht="14.25" customHeight="1"/>
    <row r="42406" ht="14.25" customHeight="1"/>
    <row r="42407" ht="14.25" customHeight="1"/>
    <row r="42408" ht="14.25" customHeight="1"/>
    <row r="42409" ht="14.25" customHeight="1"/>
    <row r="42410" ht="14.25" customHeight="1"/>
    <row r="42411" ht="14.25" customHeight="1"/>
    <row r="42412" ht="14.25" customHeight="1"/>
    <row r="42413" ht="14.25" customHeight="1"/>
    <row r="42414" ht="14.25" customHeight="1"/>
    <row r="42415" ht="14.25" customHeight="1"/>
    <row r="42416" ht="14.25" customHeight="1"/>
    <row r="42417" ht="14.25" customHeight="1"/>
    <row r="42418" ht="14.25" customHeight="1"/>
    <row r="42419" ht="14.25" customHeight="1"/>
    <row r="42420" ht="14.25" customHeight="1"/>
    <row r="42421" ht="14.25" customHeight="1"/>
    <row r="42422" ht="14.25" customHeight="1"/>
    <row r="42423" ht="14.25" customHeight="1"/>
    <row r="42424" ht="14.25" customHeight="1"/>
    <row r="42425" ht="14.25" customHeight="1"/>
    <row r="42426" ht="14.25" customHeight="1"/>
    <row r="42427" ht="14.25" customHeight="1"/>
    <row r="42428" ht="14.25" customHeight="1"/>
    <row r="42429" ht="14.25" customHeight="1"/>
    <row r="42430" ht="14.25" customHeight="1"/>
    <row r="42431" ht="14.25" customHeight="1"/>
    <row r="42432" ht="14.25" customHeight="1"/>
    <row r="42433" ht="14.25" customHeight="1"/>
    <row r="42434" ht="14.25" customHeight="1"/>
    <row r="42435" ht="14.25" customHeight="1"/>
    <row r="42436" ht="14.25" customHeight="1"/>
    <row r="42437" ht="14.25" customHeight="1"/>
    <row r="42438" ht="14.25" customHeight="1"/>
    <row r="42439" ht="14.25" customHeight="1"/>
    <row r="42440" ht="14.25" customHeight="1"/>
    <row r="42441" ht="14.25" customHeight="1"/>
    <row r="42442" ht="14.25" customHeight="1"/>
    <row r="42443" ht="14.25" customHeight="1"/>
    <row r="42444" ht="14.25" customHeight="1"/>
    <row r="42445" ht="14.25" customHeight="1"/>
    <row r="42446" ht="14.25" customHeight="1"/>
    <row r="42447" ht="14.25" customHeight="1"/>
    <row r="42448" ht="14.25" customHeight="1"/>
    <row r="42449" ht="14.25" customHeight="1"/>
    <row r="42450" ht="14.25" customHeight="1"/>
    <row r="42451" ht="14.25" customHeight="1"/>
    <row r="42452" ht="14.25" customHeight="1"/>
    <row r="42453" ht="14.25" customHeight="1"/>
    <row r="42454" ht="14.25" customHeight="1"/>
    <row r="42455" ht="14.25" customHeight="1"/>
    <row r="42456" ht="14.25" customHeight="1"/>
    <row r="42457" ht="14.25" customHeight="1"/>
    <row r="42458" ht="14.25" customHeight="1"/>
    <row r="42459" ht="14.25" customHeight="1"/>
    <row r="42460" ht="14.25" customHeight="1"/>
    <row r="42461" ht="14.25" customHeight="1"/>
    <row r="42462" ht="14.25" customHeight="1"/>
    <row r="42463" ht="14.25" customHeight="1"/>
    <row r="42464" ht="14.25" customHeight="1"/>
    <row r="42465" ht="14.25" customHeight="1"/>
    <row r="42466" ht="14.25" customHeight="1"/>
    <row r="42467" ht="14.25" customHeight="1"/>
    <row r="42468" ht="14.25" customHeight="1"/>
    <row r="42469" ht="14.25" customHeight="1"/>
    <row r="42470" ht="14.25" customHeight="1"/>
    <row r="42471" ht="14.25" customHeight="1"/>
    <row r="42472" ht="14.25" customHeight="1"/>
    <row r="42473" ht="14.25" customHeight="1"/>
    <row r="42474" ht="14.25" customHeight="1"/>
    <row r="42475" ht="14.25" customHeight="1"/>
    <row r="42476" ht="14.25" customHeight="1"/>
    <row r="42477" ht="14.25" customHeight="1"/>
    <row r="42478" ht="14.25" customHeight="1"/>
    <row r="42479" ht="14.25" customHeight="1"/>
    <row r="42480" ht="14.25" customHeight="1"/>
    <row r="42481" ht="14.25" customHeight="1"/>
    <row r="42482" ht="14.25" customHeight="1"/>
    <row r="42483" ht="14.25" customHeight="1"/>
    <row r="42484" ht="14.25" customHeight="1"/>
    <row r="42485" ht="14.25" customHeight="1"/>
    <row r="42486" ht="14.25" customHeight="1"/>
    <row r="42487" ht="14.25" customHeight="1"/>
    <row r="42488" ht="14.25" customHeight="1"/>
    <row r="42489" ht="14.25" customHeight="1"/>
    <row r="42490" ht="14.25" customHeight="1"/>
    <row r="42491" ht="14.25" customHeight="1"/>
    <row r="42492" ht="14.25" customHeight="1"/>
    <row r="42493" ht="14.25" customHeight="1"/>
    <row r="42494" ht="14.25" customHeight="1"/>
    <row r="42495" ht="14.25" customHeight="1"/>
    <row r="42496" ht="14.25" customHeight="1"/>
    <row r="42497" ht="14.25" customHeight="1"/>
    <row r="42498" ht="14.25" customHeight="1"/>
    <row r="42499" ht="14.25" customHeight="1"/>
    <row r="42500" ht="14.25" customHeight="1"/>
    <row r="42501" ht="14.25" customHeight="1"/>
    <row r="42502" ht="14.25" customHeight="1"/>
    <row r="42503" ht="14.25" customHeight="1"/>
    <row r="42504" ht="14.25" customHeight="1"/>
    <row r="42505" ht="14.25" customHeight="1"/>
    <row r="42506" ht="14.25" customHeight="1"/>
    <row r="42507" ht="14.25" customHeight="1"/>
    <row r="42508" ht="14.25" customHeight="1"/>
    <row r="42509" ht="14.25" customHeight="1"/>
    <row r="42510" ht="14.25" customHeight="1"/>
    <row r="42511" ht="14.25" customHeight="1"/>
    <row r="42512" ht="14.25" customHeight="1"/>
    <row r="42513" ht="14.25" customHeight="1"/>
    <row r="42514" ht="14.25" customHeight="1"/>
    <row r="42515" ht="14.25" customHeight="1"/>
    <row r="42516" ht="14.25" customHeight="1"/>
    <row r="42517" ht="14.25" customHeight="1"/>
    <row r="42518" ht="14.25" customHeight="1"/>
    <row r="42519" ht="14.25" customHeight="1"/>
    <row r="42520" ht="14.25" customHeight="1"/>
    <row r="42521" ht="14.25" customHeight="1"/>
    <row r="42522" ht="14.25" customHeight="1"/>
    <row r="42523" ht="14.25" customHeight="1"/>
    <row r="42524" ht="14.25" customHeight="1"/>
    <row r="42525" ht="14.25" customHeight="1"/>
    <row r="42526" ht="14.25" customHeight="1"/>
    <row r="42527" ht="14.25" customHeight="1"/>
    <row r="42528" ht="14.25" customHeight="1"/>
    <row r="42529" ht="14.25" customHeight="1"/>
    <row r="42530" ht="14.25" customHeight="1"/>
    <row r="42531" ht="14.25" customHeight="1"/>
    <row r="42532" ht="14.25" customHeight="1"/>
    <row r="42533" ht="14.25" customHeight="1"/>
    <row r="42534" ht="14.25" customHeight="1"/>
    <row r="42535" ht="14.25" customHeight="1"/>
    <row r="42536" ht="14.25" customHeight="1"/>
    <row r="42537" ht="14.25" customHeight="1"/>
    <row r="42538" ht="14.25" customHeight="1"/>
    <row r="42539" ht="14.25" customHeight="1"/>
    <row r="42540" ht="14.25" customHeight="1"/>
    <row r="42541" ht="14.25" customHeight="1"/>
    <row r="42542" ht="14.25" customHeight="1"/>
    <row r="42543" ht="14.25" customHeight="1"/>
    <row r="42544" ht="14.25" customHeight="1"/>
    <row r="42545" ht="14.25" customHeight="1"/>
    <row r="42546" ht="14.25" customHeight="1"/>
    <row r="42547" ht="14.25" customHeight="1"/>
    <row r="42548" ht="14.25" customHeight="1"/>
    <row r="42549" ht="14.25" customHeight="1"/>
    <row r="42550" ht="14.25" customHeight="1"/>
    <row r="42551" ht="14.25" customHeight="1"/>
    <row r="42552" ht="14.25" customHeight="1"/>
    <row r="42553" ht="14.25" customHeight="1"/>
    <row r="42554" ht="14.25" customHeight="1"/>
    <row r="42555" ht="14.25" customHeight="1"/>
    <row r="42556" ht="14.25" customHeight="1"/>
    <row r="42557" ht="14.25" customHeight="1"/>
    <row r="42558" ht="14.25" customHeight="1"/>
    <row r="42559" ht="14.25" customHeight="1"/>
    <row r="42560" ht="14.25" customHeight="1"/>
    <row r="42561" ht="14.25" customHeight="1"/>
    <row r="42562" ht="14.25" customHeight="1"/>
    <row r="42563" ht="14.25" customHeight="1"/>
    <row r="42564" ht="14.25" customHeight="1"/>
    <row r="42565" ht="14.25" customHeight="1"/>
    <row r="42566" ht="14.25" customHeight="1"/>
    <row r="42567" ht="14.25" customHeight="1"/>
    <row r="42568" ht="14.25" customHeight="1"/>
    <row r="42569" ht="14.25" customHeight="1"/>
    <row r="42570" ht="14.25" customHeight="1"/>
    <row r="42571" ht="14.25" customHeight="1"/>
    <row r="42572" ht="14.25" customHeight="1"/>
    <row r="42573" ht="14.25" customHeight="1"/>
    <row r="42574" ht="14.25" customHeight="1"/>
    <row r="42575" ht="14.25" customHeight="1"/>
    <row r="42576" ht="14.25" customHeight="1"/>
    <row r="42577" ht="14.25" customHeight="1"/>
    <row r="42578" ht="14.25" customHeight="1"/>
    <row r="42579" ht="14.25" customHeight="1"/>
    <row r="42580" ht="14.25" customHeight="1"/>
    <row r="42581" ht="14.25" customHeight="1"/>
    <row r="42582" ht="14.25" customHeight="1"/>
    <row r="42583" ht="14.25" customHeight="1"/>
    <row r="42584" ht="14.25" customHeight="1"/>
    <row r="42585" ht="14.25" customHeight="1"/>
    <row r="42586" ht="14.25" customHeight="1"/>
    <row r="42587" ht="14.25" customHeight="1"/>
    <row r="42588" ht="14.25" customHeight="1"/>
    <row r="42589" ht="14.25" customHeight="1"/>
    <row r="42590" ht="14.25" customHeight="1"/>
    <row r="42591" ht="14.25" customHeight="1"/>
    <row r="42592" ht="14.25" customHeight="1"/>
    <row r="42593" ht="14.25" customHeight="1"/>
    <row r="42594" ht="14.25" customHeight="1"/>
    <row r="42595" ht="14.25" customHeight="1"/>
    <row r="42596" ht="14.25" customHeight="1"/>
    <row r="42597" ht="14.25" customHeight="1"/>
    <row r="42598" ht="14.25" customHeight="1"/>
    <row r="42599" ht="14.25" customHeight="1"/>
    <row r="42600" ht="14.25" customHeight="1"/>
    <row r="42601" ht="14.25" customHeight="1"/>
    <row r="42602" ht="14.25" customHeight="1"/>
    <row r="42603" ht="14.25" customHeight="1"/>
    <row r="42604" ht="14.25" customHeight="1"/>
    <row r="42605" ht="14.25" customHeight="1"/>
    <row r="42606" ht="14.25" customHeight="1"/>
    <row r="42607" ht="14.25" customHeight="1"/>
    <row r="42608" ht="14.25" customHeight="1"/>
    <row r="42609" ht="14.25" customHeight="1"/>
    <row r="42610" ht="14.25" customHeight="1"/>
    <row r="42611" ht="14.25" customHeight="1"/>
    <row r="42612" ht="14.25" customHeight="1"/>
    <row r="42613" ht="14.25" customHeight="1"/>
    <row r="42614" ht="14.25" customHeight="1"/>
    <row r="42615" ht="14.25" customHeight="1"/>
    <row r="42616" ht="14.25" customHeight="1"/>
    <row r="42617" ht="14.25" customHeight="1"/>
    <row r="42618" ht="14.25" customHeight="1"/>
    <row r="42619" ht="14.25" customHeight="1"/>
    <row r="42620" ht="14.25" customHeight="1"/>
    <row r="42621" ht="14.25" customHeight="1"/>
    <row r="42622" ht="14.25" customHeight="1"/>
    <row r="42623" ht="14.25" customHeight="1"/>
    <row r="42624" ht="14.25" customHeight="1"/>
    <row r="42625" ht="14.25" customHeight="1"/>
    <row r="42626" ht="14.25" customHeight="1"/>
    <row r="42627" ht="14.25" customHeight="1"/>
    <row r="42628" ht="14.25" customHeight="1"/>
    <row r="42629" ht="14.25" customHeight="1"/>
    <row r="42630" ht="14.25" customHeight="1"/>
    <row r="42631" ht="14.25" customHeight="1"/>
    <row r="42632" ht="14.25" customHeight="1"/>
    <row r="42633" ht="14.25" customHeight="1"/>
    <row r="42634" ht="14.25" customHeight="1"/>
    <row r="42635" ht="14.25" customHeight="1"/>
    <row r="42636" ht="14.25" customHeight="1"/>
    <row r="42637" ht="14.25" customHeight="1"/>
    <row r="42638" ht="14.25" customHeight="1"/>
    <row r="42639" ht="14.25" customHeight="1"/>
    <row r="42640" ht="14.25" customHeight="1"/>
    <row r="42641" ht="14.25" customHeight="1"/>
    <row r="42642" ht="14.25" customHeight="1"/>
    <row r="42643" ht="14.25" customHeight="1"/>
    <row r="42644" ht="14.25" customHeight="1"/>
    <row r="42645" ht="14.25" customHeight="1"/>
    <row r="42646" ht="14.25" customHeight="1"/>
    <row r="42647" ht="14.25" customHeight="1"/>
    <row r="42648" ht="14.25" customHeight="1"/>
    <row r="42649" ht="14.25" customHeight="1"/>
    <row r="42650" ht="14.25" customHeight="1"/>
    <row r="42651" ht="14.25" customHeight="1"/>
    <row r="42652" ht="14.25" customHeight="1"/>
    <row r="42653" ht="14.25" customHeight="1"/>
    <row r="42654" ht="14.25" customHeight="1"/>
    <row r="42655" ht="14.25" customHeight="1"/>
    <row r="42656" ht="14.25" customHeight="1"/>
    <row r="42657" ht="14.25" customHeight="1"/>
    <row r="42658" ht="14.25" customHeight="1"/>
    <row r="42659" ht="14.25" customHeight="1"/>
    <row r="42660" ht="14.25" customHeight="1"/>
    <row r="42661" ht="14.25" customHeight="1"/>
    <row r="42662" ht="14.25" customHeight="1"/>
    <row r="42663" ht="14.25" customHeight="1"/>
    <row r="42664" ht="14.25" customHeight="1"/>
    <row r="42665" ht="14.25" customHeight="1"/>
    <row r="42666" ht="14.25" customHeight="1"/>
    <row r="42667" ht="14.25" customHeight="1"/>
    <row r="42668" ht="14.25" customHeight="1"/>
    <row r="42669" ht="14.25" customHeight="1"/>
    <row r="42670" ht="14.25" customHeight="1"/>
    <row r="42671" ht="14.25" customHeight="1"/>
    <row r="42672" ht="14.25" customHeight="1"/>
    <row r="42673" ht="14.25" customHeight="1"/>
    <row r="42674" ht="14.25" customHeight="1"/>
    <row r="42675" ht="14.25" customHeight="1"/>
    <row r="42676" ht="14.25" customHeight="1"/>
    <row r="42677" ht="14.25" customHeight="1"/>
    <row r="42678" ht="14.25" customHeight="1"/>
    <row r="42679" ht="14.25" customHeight="1"/>
    <row r="42680" ht="14.25" customHeight="1"/>
    <row r="42681" ht="14.25" customHeight="1"/>
    <row r="42682" ht="14.25" customHeight="1"/>
    <row r="42683" ht="14.25" customHeight="1"/>
    <row r="42684" ht="14.25" customHeight="1"/>
    <row r="42685" ht="14.25" customHeight="1"/>
    <row r="42686" ht="14.25" customHeight="1"/>
    <row r="42687" ht="14.25" customHeight="1"/>
    <row r="42688" ht="14.25" customHeight="1"/>
    <row r="42689" ht="14.25" customHeight="1"/>
    <row r="42690" ht="14.25" customHeight="1"/>
    <row r="42691" ht="14.25" customHeight="1"/>
    <row r="42692" ht="14.25" customHeight="1"/>
    <row r="42693" ht="14.25" customHeight="1"/>
    <row r="42694" ht="14.25" customHeight="1"/>
    <row r="42695" ht="14.25" customHeight="1"/>
    <row r="42696" ht="14.25" customHeight="1"/>
    <row r="42697" ht="14.25" customHeight="1"/>
    <row r="42698" ht="14.25" customHeight="1"/>
    <row r="42699" ht="14.25" customHeight="1"/>
    <row r="42700" ht="14.25" customHeight="1"/>
    <row r="42701" ht="14.25" customHeight="1"/>
    <row r="42702" ht="14.25" customHeight="1"/>
    <row r="42703" ht="14.25" customHeight="1"/>
    <row r="42704" ht="14.25" customHeight="1"/>
    <row r="42705" ht="14.25" customHeight="1"/>
    <row r="42706" ht="14.25" customHeight="1"/>
    <row r="42707" ht="14.25" customHeight="1"/>
    <row r="42708" ht="14.25" customHeight="1"/>
    <row r="42709" ht="14.25" customHeight="1"/>
    <row r="42710" ht="14.25" customHeight="1"/>
    <row r="42711" ht="14.25" customHeight="1"/>
    <row r="42712" ht="14.25" customHeight="1"/>
    <row r="42713" ht="14.25" customHeight="1"/>
    <row r="42714" ht="14.25" customHeight="1"/>
    <row r="42715" ht="14.25" customHeight="1"/>
    <row r="42716" ht="14.25" customHeight="1"/>
    <row r="42717" ht="14.25" customHeight="1"/>
    <row r="42718" ht="14.25" customHeight="1"/>
    <row r="42719" ht="14.25" customHeight="1"/>
    <row r="42720" ht="14.25" customHeight="1"/>
    <row r="42721" ht="14.25" customHeight="1"/>
    <row r="42722" ht="14.25" customHeight="1"/>
    <row r="42723" ht="14.25" customHeight="1"/>
    <row r="42724" ht="14.25" customHeight="1"/>
    <row r="42725" ht="14.25" customHeight="1"/>
    <row r="42726" ht="14.25" customHeight="1"/>
    <row r="42727" ht="14.25" customHeight="1"/>
    <row r="42728" ht="14.25" customHeight="1"/>
    <row r="42729" ht="14.25" customHeight="1"/>
    <row r="42730" ht="14.25" customHeight="1"/>
    <row r="42731" ht="14.25" customHeight="1"/>
    <row r="42732" ht="14.25" customHeight="1"/>
    <row r="42733" ht="14.25" customHeight="1"/>
    <row r="42734" ht="14.25" customHeight="1"/>
    <row r="42735" ht="14.25" customHeight="1"/>
    <row r="42736" ht="14.25" customHeight="1"/>
    <row r="42737" ht="14.25" customHeight="1"/>
    <row r="42738" ht="14.25" customHeight="1"/>
    <row r="42739" ht="14.25" customHeight="1"/>
    <row r="42740" ht="14.25" customHeight="1"/>
    <row r="42741" ht="14.25" customHeight="1"/>
    <row r="42742" ht="14.25" customHeight="1"/>
    <row r="42743" ht="14.25" customHeight="1"/>
    <row r="42744" ht="14.25" customHeight="1"/>
    <row r="42745" ht="14.25" customHeight="1"/>
    <row r="42746" ht="14.25" customHeight="1"/>
    <row r="42747" ht="14.25" customHeight="1"/>
    <row r="42748" ht="14.25" customHeight="1"/>
    <row r="42749" ht="14.25" customHeight="1"/>
    <row r="42750" ht="14.25" customHeight="1"/>
    <row r="42751" ht="14.25" customHeight="1"/>
    <row r="42752" ht="14.25" customHeight="1"/>
    <row r="42753" ht="14.25" customHeight="1"/>
    <row r="42754" ht="14.25" customHeight="1"/>
    <row r="42755" ht="14.25" customHeight="1"/>
    <row r="42756" ht="14.25" customHeight="1"/>
    <row r="42757" ht="14.25" customHeight="1"/>
    <row r="42758" ht="14.25" customHeight="1"/>
    <row r="42759" ht="14.25" customHeight="1"/>
    <row r="42760" ht="14.25" customHeight="1"/>
    <row r="42761" ht="14.25" customHeight="1"/>
    <row r="42762" ht="14.25" customHeight="1"/>
    <row r="42763" ht="14.25" customHeight="1"/>
    <row r="42764" ht="14.25" customHeight="1"/>
    <row r="42765" ht="14.25" customHeight="1"/>
    <row r="42766" ht="14.25" customHeight="1"/>
    <row r="42767" ht="14.25" customHeight="1"/>
    <row r="42768" ht="14.25" customHeight="1"/>
    <row r="42769" ht="14.25" customHeight="1"/>
    <row r="42770" ht="14.25" customHeight="1"/>
    <row r="42771" ht="14.25" customHeight="1"/>
    <row r="42772" ht="14.25" customHeight="1"/>
    <row r="42773" ht="14.25" customHeight="1"/>
    <row r="42774" ht="14.25" customHeight="1"/>
    <row r="42775" ht="14.25" customHeight="1"/>
    <row r="42776" ht="14.25" customHeight="1"/>
    <row r="42777" ht="14.25" customHeight="1"/>
    <row r="42778" ht="14.25" customHeight="1"/>
    <row r="42779" ht="14.25" customHeight="1"/>
    <row r="42780" ht="14.25" customHeight="1"/>
    <row r="42781" ht="14.25" customHeight="1"/>
    <row r="42782" ht="14.25" customHeight="1"/>
    <row r="42783" ht="14.25" customHeight="1"/>
    <row r="42784" ht="14.25" customHeight="1"/>
    <row r="42785" ht="14.25" customHeight="1"/>
    <row r="42786" ht="14.25" customHeight="1"/>
    <row r="42787" ht="14.25" customHeight="1"/>
    <row r="42788" ht="14.25" customHeight="1"/>
    <row r="42789" ht="14.25" customHeight="1"/>
    <row r="42790" ht="14.25" customHeight="1"/>
    <row r="42791" ht="14.25" customHeight="1"/>
    <row r="42792" ht="14.25" customHeight="1"/>
    <row r="42793" ht="14.25" customHeight="1"/>
    <row r="42794" ht="14.25" customHeight="1"/>
    <row r="42795" ht="14.25" customHeight="1"/>
    <row r="42796" ht="14.25" customHeight="1"/>
    <row r="42797" ht="14.25" customHeight="1"/>
    <row r="42798" ht="14.25" customHeight="1"/>
    <row r="42799" ht="14.25" customHeight="1"/>
    <row r="42800" ht="14.25" customHeight="1"/>
    <row r="42801" ht="14.25" customHeight="1"/>
    <row r="42802" ht="14.25" customHeight="1"/>
    <row r="42803" ht="14.25" customHeight="1"/>
    <row r="42804" ht="14.25" customHeight="1"/>
    <row r="42805" ht="14.25" customHeight="1"/>
    <row r="42806" ht="14.25" customHeight="1"/>
    <row r="42807" ht="14.25" customHeight="1"/>
    <row r="42808" ht="14.25" customHeight="1"/>
    <row r="42809" ht="14.25" customHeight="1"/>
    <row r="42810" ht="14.25" customHeight="1"/>
    <row r="42811" ht="14.25" customHeight="1"/>
    <row r="42812" ht="14.25" customHeight="1"/>
    <row r="42813" ht="14.25" customHeight="1"/>
    <row r="42814" ht="14.25" customHeight="1"/>
    <row r="42815" ht="14.25" customHeight="1"/>
    <row r="42816" ht="14.25" customHeight="1"/>
    <row r="42817" ht="14.25" customHeight="1"/>
    <row r="42818" ht="14.25" customHeight="1"/>
    <row r="42819" ht="14.25" customHeight="1"/>
    <row r="42820" ht="14.25" customHeight="1"/>
    <row r="42821" ht="14.25" customHeight="1"/>
    <row r="42822" ht="14.25" customHeight="1"/>
    <row r="42823" ht="14.25" customHeight="1"/>
    <row r="42824" ht="14.25" customHeight="1"/>
    <row r="42825" ht="14.25" customHeight="1"/>
    <row r="42826" ht="14.25" customHeight="1"/>
    <row r="42827" ht="14.25" customHeight="1"/>
    <row r="42828" ht="14.25" customHeight="1"/>
    <row r="42829" ht="14.25" customHeight="1"/>
    <row r="42830" ht="14.25" customHeight="1"/>
    <row r="42831" ht="14.25" customHeight="1"/>
    <row r="42832" ht="14.25" customHeight="1"/>
    <row r="42833" ht="14.25" customHeight="1"/>
    <row r="42834" ht="14.25" customHeight="1"/>
    <row r="42835" ht="14.25" customHeight="1"/>
    <row r="42836" ht="14.25" customHeight="1"/>
    <row r="42837" ht="14.25" customHeight="1"/>
    <row r="42838" ht="14.25" customHeight="1"/>
    <row r="42839" ht="14.25" customHeight="1"/>
    <row r="42840" ht="14.25" customHeight="1"/>
    <row r="42841" ht="14.25" customHeight="1"/>
    <row r="42842" ht="14.25" customHeight="1"/>
    <row r="42843" ht="14.25" customHeight="1"/>
    <row r="42844" ht="14.25" customHeight="1"/>
    <row r="42845" ht="14.25" customHeight="1"/>
    <row r="42846" ht="14.25" customHeight="1"/>
    <row r="42847" ht="14.25" customHeight="1"/>
    <row r="42848" ht="14.25" customHeight="1"/>
    <row r="42849" ht="14.25" customHeight="1"/>
    <row r="42850" ht="14.25" customHeight="1"/>
    <row r="42851" ht="14.25" customHeight="1"/>
    <row r="42852" ht="14.25" customHeight="1"/>
    <row r="42853" ht="14.25" customHeight="1"/>
    <row r="42854" ht="14.25" customHeight="1"/>
    <row r="42855" ht="14.25" customHeight="1"/>
    <row r="42856" ht="14.25" customHeight="1"/>
    <row r="42857" ht="14.25" customHeight="1"/>
    <row r="42858" ht="14.25" customHeight="1"/>
    <row r="42859" ht="14.25" customHeight="1"/>
    <row r="42860" ht="14.25" customHeight="1"/>
    <row r="42861" ht="14.25" customHeight="1"/>
    <row r="42862" ht="14.25" customHeight="1"/>
    <row r="42863" ht="14.25" customHeight="1"/>
    <row r="42864" ht="14.25" customHeight="1"/>
    <row r="42865" ht="14.25" customHeight="1"/>
    <row r="42866" ht="14.25" customHeight="1"/>
    <row r="42867" ht="14.25" customHeight="1"/>
    <row r="42868" ht="14.25" customHeight="1"/>
    <row r="42869" ht="14.25" customHeight="1"/>
    <row r="42870" ht="14.25" customHeight="1"/>
    <row r="42871" ht="14.25" customHeight="1"/>
    <row r="42872" ht="14.25" customHeight="1"/>
    <row r="42873" ht="14.25" customHeight="1"/>
    <row r="42874" ht="14.25" customHeight="1"/>
    <row r="42875" ht="14.25" customHeight="1"/>
    <row r="42876" ht="14.25" customHeight="1"/>
    <row r="42877" ht="14.25" customHeight="1"/>
    <row r="42878" ht="14.25" customHeight="1"/>
    <row r="42879" ht="14.25" customHeight="1"/>
    <row r="42880" ht="14.25" customHeight="1"/>
    <row r="42881" ht="14.25" customHeight="1"/>
    <row r="42882" ht="14.25" customHeight="1"/>
    <row r="42883" ht="14.25" customHeight="1"/>
    <row r="42884" ht="14.25" customHeight="1"/>
    <row r="42885" ht="14.25" customHeight="1"/>
    <row r="42886" ht="14.25" customHeight="1"/>
    <row r="42887" ht="14.25" customHeight="1"/>
    <row r="42888" ht="14.25" customHeight="1"/>
    <row r="42889" ht="14.25" customHeight="1"/>
    <row r="42890" ht="14.25" customHeight="1"/>
    <row r="42891" ht="14.25" customHeight="1"/>
    <row r="42892" ht="14.25" customHeight="1"/>
    <row r="42893" ht="14.25" customHeight="1"/>
    <row r="42894" ht="14.25" customHeight="1"/>
    <row r="42895" ht="14.25" customHeight="1"/>
    <row r="42896" ht="14.25" customHeight="1"/>
    <row r="42897" ht="14.25" customHeight="1"/>
    <row r="42898" ht="14.25" customHeight="1"/>
    <row r="42899" ht="14.25" customHeight="1"/>
    <row r="42900" ht="14.25" customHeight="1"/>
    <row r="42901" ht="14.25" customHeight="1"/>
    <row r="42902" ht="14.25" customHeight="1"/>
    <row r="42903" ht="14.25" customHeight="1"/>
    <row r="42904" ht="14.25" customHeight="1"/>
    <row r="42905" ht="14.25" customHeight="1"/>
    <row r="42906" ht="14.25" customHeight="1"/>
    <row r="42907" ht="14.25" customHeight="1"/>
    <row r="42908" ht="14.25" customHeight="1"/>
    <row r="42909" ht="14.25" customHeight="1"/>
    <row r="42910" ht="14.25" customHeight="1"/>
    <row r="42911" ht="14.25" customHeight="1"/>
    <row r="42912" ht="14.25" customHeight="1"/>
    <row r="42913" ht="14.25" customHeight="1"/>
    <row r="42914" ht="14.25" customHeight="1"/>
    <row r="42915" ht="14.25" customHeight="1"/>
    <row r="42916" ht="14.25" customHeight="1"/>
    <row r="42917" ht="14.25" customHeight="1"/>
    <row r="42918" ht="14.25" customHeight="1"/>
    <row r="42919" ht="14.25" customHeight="1"/>
    <row r="42920" ht="14.25" customHeight="1"/>
    <row r="42921" ht="14.25" customHeight="1"/>
    <row r="42922" ht="14.25" customHeight="1"/>
    <row r="42923" ht="14.25" customHeight="1"/>
    <row r="42924" ht="14.25" customHeight="1"/>
    <row r="42925" ht="14.25" customHeight="1"/>
    <row r="42926" ht="14.25" customHeight="1"/>
    <row r="42927" ht="14.25" customHeight="1"/>
    <row r="42928" ht="14.25" customHeight="1"/>
    <row r="42929" ht="14.25" customHeight="1"/>
    <row r="42930" ht="14.25" customHeight="1"/>
    <row r="42931" ht="14.25" customHeight="1"/>
    <row r="42932" ht="14.25" customHeight="1"/>
    <row r="42933" ht="14.25" customHeight="1"/>
    <row r="42934" ht="14.25" customHeight="1"/>
    <row r="42935" ht="14.25" customHeight="1"/>
    <row r="42936" ht="14.25" customHeight="1"/>
    <row r="42937" ht="14.25" customHeight="1"/>
    <row r="42938" ht="14.25" customHeight="1"/>
    <row r="42939" ht="14.25" customHeight="1"/>
    <row r="42940" ht="14.25" customHeight="1"/>
    <row r="42941" ht="14.25" customHeight="1"/>
    <row r="42942" ht="14.25" customHeight="1"/>
    <row r="42943" ht="14.25" customHeight="1"/>
    <row r="42944" ht="14.25" customHeight="1"/>
    <row r="42945" ht="14.25" customHeight="1"/>
    <row r="42946" ht="14.25" customHeight="1"/>
    <row r="42947" ht="14.25" customHeight="1"/>
    <row r="42948" ht="14.25" customHeight="1"/>
    <row r="42949" ht="14.25" customHeight="1"/>
    <row r="42950" ht="14.25" customHeight="1"/>
    <row r="42951" ht="14.25" customHeight="1"/>
    <row r="42952" ht="14.25" customHeight="1"/>
    <row r="42953" ht="14.25" customHeight="1"/>
    <row r="42954" ht="14.25" customHeight="1"/>
    <row r="42955" ht="14.25" customHeight="1"/>
    <row r="42956" ht="14.25" customHeight="1"/>
    <row r="42957" ht="14.25" customHeight="1"/>
    <row r="42958" ht="14.25" customHeight="1"/>
    <row r="42959" ht="14.25" customHeight="1"/>
    <row r="42960" ht="14.25" customHeight="1"/>
    <row r="42961" ht="14.25" customHeight="1"/>
    <row r="42962" ht="14.25" customHeight="1"/>
    <row r="42963" ht="14.25" customHeight="1"/>
    <row r="42964" ht="14.25" customHeight="1"/>
    <row r="42965" ht="14.25" customHeight="1"/>
    <row r="42966" ht="14.25" customHeight="1"/>
    <row r="42967" ht="14.25" customHeight="1"/>
    <row r="42968" ht="14.25" customHeight="1"/>
    <row r="42969" ht="14.25" customHeight="1"/>
    <row r="42970" ht="14.25" customHeight="1"/>
    <row r="42971" ht="14.25" customHeight="1"/>
    <row r="42972" ht="14.25" customHeight="1"/>
    <row r="42973" ht="14.25" customHeight="1"/>
    <row r="42974" ht="14.25" customHeight="1"/>
    <row r="42975" ht="14.25" customHeight="1"/>
    <row r="42976" ht="14.25" customHeight="1"/>
    <row r="42977" ht="14.25" customHeight="1"/>
    <row r="42978" ht="14.25" customHeight="1"/>
    <row r="42979" ht="14.25" customHeight="1"/>
    <row r="42980" ht="14.25" customHeight="1"/>
    <row r="42981" ht="14.25" customHeight="1"/>
    <row r="42982" ht="14.25" customHeight="1"/>
    <row r="42983" ht="14.25" customHeight="1"/>
    <row r="42984" ht="14.25" customHeight="1"/>
    <row r="42985" ht="14.25" customHeight="1"/>
    <row r="42986" ht="14.25" customHeight="1"/>
    <row r="42987" ht="14.25" customHeight="1"/>
    <row r="42988" ht="14.25" customHeight="1"/>
    <row r="42989" ht="14.25" customHeight="1"/>
    <row r="42990" ht="14.25" customHeight="1"/>
    <row r="42991" ht="14.25" customHeight="1"/>
    <row r="42992" ht="14.25" customHeight="1"/>
    <row r="42993" ht="14.25" customHeight="1"/>
    <row r="42994" ht="14.25" customHeight="1"/>
    <row r="42995" ht="14.25" customHeight="1"/>
    <row r="42996" ht="14.25" customHeight="1"/>
    <row r="42997" ht="14.25" customHeight="1"/>
    <row r="42998" ht="14.25" customHeight="1"/>
    <row r="42999" ht="14.25" customHeight="1"/>
    <row r="43000" ht="14.25" customHeight="1"/>
    <row r="43001" ht="14.25" customHeight="1"/>
    <row r="43002" ht="14.25" customHeight="1"/>
    <row r="43003" ht="14.25" customHeight="1"/>
    <row r="43004" ht="14.25" customHeight="1"/>
    <row r="43005" ht="14.25" customHeight="1"/>
    <row r="43006" ht="14.25" customHeight="1"/>
    <row r="43007" ht="14.25" customHeight="1"/>
    <row r="43008" ht="14.25" customHeight="1"/>
    <row r="43009" ht="14.25" customHeight="1"/>
    <row r="43010" ht="14.25" customHeight="1"/>
    <row r="43011" ht="14.25" customHeight="1"/>
    <row r="43012" ht="14.25" customHeight="1"/>
    <row r="43013" ht="14.25" customHeight="1"/>
    <row r="43014" ht="14.25" customHeight="1"/>
    <row r="43015" ht="14.25" customHeight="1"/>
    <row r="43016" ht="14.25" customHeight="1"/>
    <row r="43017" ht="14.25" customHeight="1"/>
    <row r="43018" ht="14.25" customHeight="1"/>
    <row r="43019" ht="14.25" customHeight="1"/>
    <row r="43020" ht="14.25" customHeight="1"/>
    <row r="43021" ht="14.25" customHeight="1"/>
    <row r="43022" ht="14.25" customHeight="1"/>
    <row r="43023" ht="14.25" customHeight="1"/>
    <row r="43024" ht="14.25" customHeight="1"/>
    <row r="43025" ht="14.25" customHeight="1"/>
    <row r="43026" ht="14.25" customHeight="1"/>
    <row r="43027" ht="14.25" customHeight="1"/>
    <row r="43028" ht="14.25" customHeight="1"/>
    <row r="43029" ht="14.25" customHeight="1"/>
    <row r="43030" ht="14.25" customHeight="1"/>
    <row r="43031" ht="14.25" customHeight="1"/>
    <row r="43032" ht="14.25" customHeight="1"/>
    <row r="43033" ht="14.25" customHeight="1"/>
    <row r="43034" ht="14.25" customHeight="1"/>
    <row r="43035" ht="14.25" customHeight="1"/>
    <row r="43036" ht="14.25" customHeight="1"/>
    <row r="43037" ht="14.25" customHeight="1"/>
    <row r="43038" ht="14.25" customHeight="1"/>
    <row r="43039" ht="14.25" customHeight="1"/>
    <row r="43040" ht="14.25" customHeight="1"/>
    <row r="43041" ht="14.25" customHeight="1"/>
    <row r="43042" ht="14.25" customHeight="1"/>
    <row r="43043" ht="14.25" customHeight="1"/>
    <row r="43044" ht="14.25" customHeight="1"/>
    <row r="43045" ht="14.25" customHeight="1"/>
    <row r="43046" ht="14.25" customHeight="1"/>
    <row r="43047" ht="14.25" customHeight="1"/>
    <row r="43048" ht="14.25" customHeight="1"/>
    <row r="43049" ht="14.25" customHeight="1"/>
    <row r="43050" ht="14.25" customHeight="1"/>
    <row r="43051" ht="14.25" customHeight="1"/>
    <row r="43052" ht="14.25" customHeight="1"/>
    <row r="43053" ht="14.25" customHeight="1"/>
    <row r="43054" ht="14.25" customHeight="1"/>
    <row r="43055" ht="14.25" customHeight="1"/>
    <row r="43056" ht="14.25" customHeight="1"/>
    <row r="43057" ht="14.25" customHeight="1"/>
    <row r="43058" ht="14.25" customHeight="1"/>
    <row r="43059" ht="14.25" customHeight="1"/>
    <row r="43060" ht="14.25" customHeight="1"/>
    <row r="43061" ht="14.25" customHeight="1"/>
    <row r="43062" ht="14.25" customHeight="1"/>
    <row r="43063" ht="14.25" customHeight="1"/>
    <row r="43064" ht="14.25" customHeight="1"/>
    <row r="43065" ht="14.25" customHeight="1"/>
    <row r="43066" ht="14.25" customHeight="1"/>
    <row r="43067" ht="14.25" customHeight="1"/>
    <row r="43068" ht="14.25" customHeight="1"/>
    <row r="43069" ht="14.25" customHeight="1"/>
    <row r="43070" ht="14.25" customHeight="1"/>
    <row r="43071" ht="14.25" customHeight="1"/>
    <row r="43072" ht="14.25" customHeight="1"/>
    <row r="43073" ht="14.25" customHeight="1"/>
    <row r="43074" ht="14.25" customHeight="1"/>
    <row r="43075" ht="14.25" customHeight="1"/>
    <row r="43076" ht="14.25" customHeight="1"/>
    <row r="43077" ht="14.25" customHeight="1"/>
    <row r="43078" ht="14.25" customHeight="1"/>
    <row r="43079" ht="14.25" customHeight="1"/>
    <row r="43080" ht="14.25" customHeight="1"/>
    <row r="43081" ht="14.25" customHeight="1"/>
    <row r="43082" ht="14.25" customHeight="1"/>
    <row r="43083" ht="14.25" customHeight="1"/>
    <row r="43084" ht="14.25" customHeight="1"/>
    <row r="43085" ht="14.25" customHeight="1"/>
    <row r="43086" ht="14.25" customHeight="1"/>
    <row r="43087" ht="14.25" customHeight="1"/>
    <row r="43088" ht="14.25" customHeight="1"/>
    <row r="43089" ht="14.25" customHeight="1"/>
    <row r="43090" ht="14.25" customHeight="1"/>
    <row r="43091" ht="14.25" customHeight="1"/>
    <row r="43092" ht="14.25" customHeight="1"/>
    <row r="43093" ht="14.25" customHeight="1"/>
    <row r="43094" ht="14.25" customHeight="1"/>
    <row r="43095" ht="14.25" customHeight="1"/>
    <row r="43096" ht="14.25" customHeight="1"/>
    <row r="43097" ht="14.25" customHeight="1"/>
    <row r="43098" ht="14.25" customHeight="1"/>
    <row r="43099" ht="14.25" customHeight="1"/>
    <row r="43100" ht="14.25" customHeight="1"/>
    <row r="43101" ht="14.25" customHeight="1"/>
    <row r="43102" ht="14.25" customHeight="1"/>
    <row r="43103" ht="14.25" customHeight="1"/>
    <row r="43104" ht="14.25" customHeight="1"/>
    <row r="43105" ht="14.25" customHeight="1"/>
    <row r="43106" ht="14.25" customHeight="1"/>
    <row r="43107" ht="14.25" customHeight="1"/>
    <row r="43108" ht="14.25" customHeight="1"/>
    <row r="43109" ht="14.25" customHeight="1"/>
    <row r="43110" ht="14.25" customHeight="1"/>
    <row r="43111" ht="14.25" customHeight="1"/>
    <row r="43112" ht="14.25" customHeight="1"/>
    <row r="43113" ht="14.25" customHeight="1"/>
    <row r="43114" ht="14.25" customHeight="1"/>
    <row r="43115" ht="14.25" customHeight="1"/>
    <row r="43116" ht="14.25" customHeight="1"/>
    <row r="43117" ht="14.25" customHeight="1"/>
    <row r="43118" ht="14.25" customHeight="1"/>
    <row r="43119" ht="14.25" customHeight="1"/>
    <row r="43120" ht="14.25" customHeight="1"/>
    <row r="43121" ht="14.25" customHeight="1"/>
    <row r="43122" ht="14.25" customHeight="1"/>
    <row r="43123" ht="14.25" customHeight="1"/>
    <row r="43124" ht="14.25" customHeight="1"/>
    <row r="43125" ht="14.25" customHeight="1"/>
    <row r="43126" ht="14.25" customHeight="1"/>
    <row r="43127" ht="14.25" customHeight="1"/>
    <row r="43128" ht="14.25" customHeight="1"/>
    <row r="43129" ht="14.25" customHeight="1"/>
    <row r="43130" ht="14.25" customHeight="1"/>
    <row r="43131" ht="14.25" customHeight="1"/>
    <row r="43132" ht="14.25" customHeight="1"/>
    <row r="43133" ht="14.25" customHeight="1"/>
    <row r="43134" ht="14.25" customHeight="1"/>
    <row r="43135" ht="14.25" customHeight="1"/>
    <row r="43136" ht="14.25" customHeight="1"/>
    <row r="43137" ht="14.25" customHeight="1"/>
    <row r="43138" ht="14.25" customHeight="1"/>
    <row r="43139" ht="14.25" customHeight="1"/>
    <row r="43140" ht="14.25" customHeight="1"/>
    <row r="43141" ht="14.25" customHeight="1"/>
    <row r="43142" ht="14.25" customHeight="1"/>
    <row r="43143" ht="14.25" customHeight="1"/>
    <row r="43144" ht="14.25" customHeight="1"/>
    <row r="43145" ht="14.25" customHeight="1"/>
    <row r="43146" ht="14.25" customHeight="1"/>
    <row r="43147" ht="14.25" customHeight="1"/>
    <row r="43148" ht="14.25" customHeight="1"/>
    <row r="43149" ht="14.25" customHeight="1"/>
    <row r="43150" ht="14.25" customHeight="1"/>
    <row r="43151" ht="14.25" customHeight="1"/>
    <row r="43152" ht="14.25" customHeight="1"/>
    <row r="43153" ht="14.25" customHeight="1"/>
    <row r="43154" ht="14.25" customHeight="1"/>
    <row r="43155" ht="14.25" customHeight="1"/>
    <row r="43156" ht="14.25" customHeight="1"/>
    <row r="43157" ht="14.25" customHeight="1"/>
    <row r="43158" ht="14.25" customHeight="1"/>
    <row r="43159" ht="14.25" customHeight="1"/>
    <row r="43160" ht="14.25" customHeight="1"/>
    <row r="43161" ht="14.25" customHeight="1"/>
    <row r="43162" ht="14.25" customHeight="1"/>
    <row r="43163" ht="14.25" customHeight="1"/>
    <row r="43164" ht="14.25" customHeight="1"/>
    <row r="43165" ht="14.25" customHeight="1"/>
    <row r="43166" ht="14.25" customHeight="1"/>
    <row r="43167" ht="14.25" customHeight="1"/>
    <row r="43168" ht="14.25" customHeight="1"/>
    <row r="43169" ht="14.25" customHeight="1"/>
    <row r="43170" ht="14.25" customHeight="1"/>
    <row r="43171" ht="14.25" customHeight="1"/>
    <row r="43172" ht="14.25" customHeight="1"/>
    <row r="43173" ht="14.25" customHeight="1"/>
    <row r="43174" ht="14.25" customHeight="1"/>
    <row r="43175" ht="14.25" customHeight="1"/>
    <row r="43176" ht="14.25" customHeight="1"/>
    <row r="43177" ht="14.25" customHeight="1"/>
    <row r="43178" ht="14.25" customHeight="1"/>
    <row r="43179" ht="14.25" customHeight="1"/>
    <row r="43180" ht="14.25" customHeight="1"/>
    <row r="43181" ht="14.25" customHeight="1"/>
    <row r="43182" ht="14.25" customHeight="1"/>
    <row r="43183" ht="14.25" customHeight="1"/>
    <row r="43184" ht="14.25" customHeight="1"/>
    <row r="43185" ht="14.25" customHeight="1"/>
    <row r="43186" ht="14.25" customHeight="1"/>
    <row r="43187" ht="14.25" customHeight="1"/>
    <row r="43188" ht="14.25" customHeight="1"/>
    <row r="43189" ht="14.25" customHeight="1"/>
    <row r="43190" ht="14.25" customHeight="1"/>
    <row r="43191" ht="14.25" customHeight="1"/>
    <row r="43192" ht="14.25" customHeight="1"/>
    <row r="43193" ht="14.25" customHeight="1"/>
    <row r="43194" ht="14.25" customHeight="1"/>
    <row r="43195" ht="14.25" customHeight="1"/>
    <row r="43196" ht="14.25" customHeight="1"/>
    <row r="43197" ht="14.25" customHeight="1"/>
    <row r="43198" ht="14.25" customHeight="1"/>
    <row r="43199" ht="14.25" customHeight="1"/>
    <row r="43200" ht="14.25" customHeight="1"/>
    <row r="43201" ht="14.25" customHeight="1"/>
    <row r="43202" ht="14.25" customHeight="1"/>
    <row r="43203" ht="14.25" customHeight="1"/>
    <row r="43204" ht="14.25" customHeight="1"/>
    <row r="43205" ht="14.25" customHeight="1"/>
    <row r="43206" ht="14.25" customHeight="1"/>
    <row r="43207" ht="14.25" customHeight="1"/>
    <row r="43208" ht="14.25" customHeight="1"/>
    <row r="43209" ht="14.25" customHeight="1"/>
    <row r="43210" ht="14.25" customHeight="1"/>
    <row r="43211" ht="14.25" customHeight="1"/>
    <row r="43212" ht="14.25" customHeight="1"/>
    <row r="43213" ht="14.25" customHeight="1"/>
    <row r="43214" ht="14.25" customHeight="1"/>
    <row r="43215" ht="14.25" customHeight="1"/>
    <row r="43216" ht="14.25" customHeight="1"/>
    <row r="43217" ht="14.25" customHeight="1"/>
    <row r="43218" ht="14.25" customHeight="1"/>
    <row r="43219" ht="14.25" customHeight="1"/>
    <row r="43220" ht="14.25" customHeight="1"/>
    <row r="43221" ht="14.25" customHeight="1"/>
    <row r="43222" ht="14.25" customHeight="1"/>
    <row r="43223" ht="14.25" customHeight="1"/>
    <row r="43224" ht="14.25" customHeight="1"/>
    <row r="43225" ht="14.25" customHeight="1"/>
    <row r="43226" ht="14.25" customHeight="1"/>
    <row r="43227" ht="14.25" customHeight="1"/>
    <row r="43228" ht="14.25" customHeight="1"/>
    <row r="43229" ht="14.25" customHeight="1"/>
    <row r="43230" ht="14.25" customHeight="1"/>
    <row r="43231" ht="14.25" customHeight="1"/>
    <row r="43232" ht="14.25" customHeight="1"/>
    <row r="43233" ht="14.25" customHeight="1"/>
    <row r="43234" ht="14.25" customHeight="1"/>
    <row r="43235" ht="14.25" customHeight="1"/>
    <row r="43236" ht="14.25" customHeight="1"/>
    <row r="43237" ht="14.25" customHeight="1"/>
    <row r="43238" ht="14.25" customHeight="1"/>
    <row r="43239" ht="14.25" customHeight="1"/>
    <row r="43240" ht="14.25" customHeight="1"/>
    <row r="43241" ht="14.25" customHeight="1"/>
    <row r="43242" ht="14.25" customHeight="1"/>
    <row r="43243" ht="14.25" customHeight="1"/>
    <row r="43244" ht="14.25" customHeight="1"/>
    <row r="43245" ht="14.25" customHeight="1"/>
    <row r="43246" ht="14.25" customHeight="1"/>
    <row r="43247" ht="14.25" customHeight="1"/>
    <row r="43248" ht="14.25" customHeight="1"/>
    <row r="43249" ht="14.25" customHeight="1"/>
    <row r="43250" ht="14.25" customHeight="1"/>
    <row r="43251" ht="14.25" customHeight="1"/>
    <row r="43252" ht="14.25" customHeight="1"/>
    <row r="43253" ht="14.25" customHeight="1"/>
    <row r="43254" ht="14.25" customHeight="1"/>
    <row r="43255" ht="14.25" customHeight="1"/>
    <row r="43256" ht="14.25" customHeight="1"/>
    <row r="43257" ht="14.25" customHeight="1"/>
    <row r="43258" ht="14.25" customHeight="1"/>
    <row r="43259" ht="14.25" customHeight="1"/>
    <row r="43260" ht="14.25" customHeight="1"/>
    <row r="43261" ht="14.25" customHeight="1"/>
    <row r="43262" ht="14.25" customHeight="1"/>
    <row r="43263" ht="14.25" customHeight="1"/>
    <row r="43264" ht="14.25" customHeight="1"/>
    <row r="43265" ht="14.25" customHeight="1"/>
    <row r="43266" ht="14.25" customHeight="1"/>
    <row r="43267" ht="14.25" customHeight="1"/>
    <row r="43268" ht="14.25" customHeight="1"/>
    <row r="43269" ht="14.25" customHeight="1"/>
    <row r="43270" ht="14.25" customHeight="1"/>
    <row r="43271" ht="14.25" customHeight="1"/>
    <row r="43272" ht="14.25" customHeight="1"/>
    <row r="43273" ht="14.25" customHeight="1"/>
    <row r="43274" ht="14.25" customHeight="1"/>
    <row r="43275" ht="14.25" customHeight="1"/>
    <row r="43276" ht="14.25" customHeight="1"/>
    <row r="43277" ht="14.25" customHeight="1"/>
    <row r="43278" ht="14.25" customHeight="1"/>
    <row r="43279" ht="14.25" customHeight="1"/>
    <row r="43280" ht="14.25" customHeight="1"/>
    <row r="43281" ht="14.25" customHeight="1"/>
    <row r="43282" ht="14.25" customHeight="1"/>
    <row r="43283" ht="14.25" customHeight="1"/>
    <row r="43284" ht="14.25" customHeight="1"/>
    <row r="43285" ht="14.25" customHeight="1"/>
    <row r="43286" ht="14.25" customHeight="1"/>
    <row r="43287" ht="14.25" customHeight="1"/>
    <row r="43288" ht="14.25" customHeight="1"/>
    <row r="43289" ht="14.25" customHeight="1"/>
    <row r="43290" ht="14.25" customHeight="1"/>
    <row r="43291" ht="14.25" customHeight="1"/>
    <row r="43292" ht="14.25" customHeight="1"/>
    <row r="43293" ht="14.25" customHeight="1"/>
    <row r="43294" ht="14.25" customHeight="1"/>
    <row r="43295" ht="14.25" customHeight="1"/>
    <row r="43296" ht="14.25" customHeight="1"/>
    <row r="43297" ht="14.25" customHeight="1"/>
    <row r="43298" ht="14.25" customHeight="1"/>
    <row r="43299" ht="14.25" customHeight="1"/>
    <row r="43300" ht="14.25" customHeight="1"/>
    <row r="43301" ht="14.25" customHeight="1"/>
    <row r="43302" ht="14.25" customHeight="1"/>
    <row r="43303" ht="14.25" customHeight="1"/>
    <row r="43304" ht="14.25" customHeight="1"/>
    <row r="43305" ht="14.25" customHeight="1"/>
    <row r="43306" ht="14.25" customHeight="1"/>
    <row r="43307" ht="14.25" customHeight="1"/>
    <row r="43308" ht="14.25" customHeight="1"/>
    <row r="43309" ht="14.25" customHeight="1"/>
    <row r="43310" ht="14.25" customHeight="1"/>
    <row r="43311" ht="14.25" customHeight="1"/>
    <row r="43312" ht="14.25" customHeight="1"/>
    <row r="43313" ht="14.25" customHeight="1"/>
    <row r="43314" ht="14.25" customHeight="1"/>
    <row r="43315" ht="14.25" customHeight="1"/>
    <row r="43316" ht="14.25" customHeight="1"/>
    <row r="43317" ht="14.25" customHeight="1"/>
    <row r="43318" ht="14.25" customHeight="1"/>
    <row r="43319" ht="14.25" customHeight="1"/>
    <row r="43320" ht="14.25" customHeight="1"/>
    <row r="43321" ht="14.25" customHeight="1"/>
    <row r="43322" ht="14.25" customHeight="1"/>
    <row r="43323" ht="14.25" customHeight="1"/>
    <row r="43324" ht="14.25" customHeight="1"/>
    <row r="43325" ht="14.25" customHeight="1"/>
    <row r="43326" ht="14.25" customHeight="1"/>
    <row r="43327" ht="14.25" customHeight="1"/>
    <row r="43328" ht="14.25" customHeight="1"/>
    <row r="43329" ht="14.25" customHeight="1"/>
    <row r="43330" ht="14.25" customHeight="1"/>
    <row r="43331" ht="14.25" customHeight="1"/>
    <row r="43332" ht="14.25" customHeight="1"/>
    <row r="43333" ht="14.25" customHeight="1"/>
    <row r="43334" ht="14.25" customHeight="1"/>
    <row r="43335" ht="14.25" customHeight="1"/>
    <row r="43336" ht="14.25" customHeight="1"/>
    <row r="43337" ht="14.25" customHeight="1"/>
    <row r="43338" ht="14.25" customHeight="1"/>
    <row r="43339" ht="14.25" customHeight="1"/>
    <row r="43340" ht="14.25" customHeight="1"/>
    <row r="43341" ht="14.25" customHeight="1"/>
    <row r="43342" ht="14.25" customHeight="1"/>
    <row r="43343" ht="14.25" customHeight="1"/>
    <row r="43344" ht="14.25" customHeight="1"/>
    <row r="43345" ht="14.25" customHeight="1"/>
    <row r="43346" ht="14.25" customHeight="1"/>
    <row r="43347" ht="14.25" customHeight="1"/>
    <row r="43348" ht="14.25" customHeight="1"/>
    <row r="43349" ht="14.25" customHeight="1"/>
    <row r="43350" ht="14.25" customHeight="1"/>
    <row r="43351" ht="14.25" customHeight="1"/>
    <row r="43352" ht="14.25" customHeight="1"/>
    <row r="43353" ht="14.25" customHeight="1"/>
    <row r="43354" ht="14.25" customHeight="1"/>
    <row r="43355" ht="14.25" customHeight="1"/>
    <row r="43356" ht="14.25" customHeight="1"/>
    <row r="43357" ht="14.25" customHeight="1"/>
    <row r="43358" ht="14.25" customHeight="1"/>
    <row r="43359" ht="14.25" customHeight="1"/>
    <row r="43360" ht="14.25" customHeight="1"/>
    <row r="43361" ht="14.25" customHeight="1"/>
    <row r="43362" ht="14.25" customHeight="1"/>
    <row r="43363" ht="14.25" customHeight="1"/>
    <row r="43364" ht="14.25" customHeight="1"/>
    <row r="43365" ht="14.25" customHeight="1"/>
    <row r="43366" ht="14.25" customHeight="1"/>
    <row r="43367" ht="14.25" customHeight="1"/>
    <row r="43368" ht="14.25" customHeight="1"/>
    <row r="43369" ht="14.25" customHeight="1"/>
    <row r="43370" ht="14.25" customHeight="1"/>
    <row r="43371" ht="14.25" customHeight="1"/>
    <row r="43372" ht="14.25" customHeight="1"/>
    <row r="43373" ht="14.25" customHeight="1"/>
    <row r="43374" ht="14.25" customHeight="1"/>
    <row r="43375" ht="14.25" customHeight="1"/>
    <row r="43376" ht="14.25" customHeight="1"/>
    <row r="43377" ht="14.25" customHeight="1"/>
    <row r="43378" ht="14.25" customHeight="1"/>
    <row r="43379" ht="14.25" customHeight="1"/>
    <row r="43380" ht="14.25" customHeight="1"/>
    <row r="43381" ht="14.25" customHeight="1"/>
    <row r="43382" ht="14.25" customHeight="1"/>
    <row r="43383" ht="14.25" customHeight="1"/>
    <row r="43384" ht="14.25" customHeight="1"/>
    <row r="43385" ht="14.25" customHeight="1"/>
    <row r="43386" ht="14.25" customHeight="1"/>
    <row r="43387" ht="14.25" customHeight="1"/>
    <row r="43388" ht="14.25" customHeight="1"/>
    <row r="43389" ht="14.25" customHeight="1"/>
    <row r="43390" ht="14.25" customHeight="1"/>
    <row r="43391" ht="14.25" customHeight="1"/>
    <row r="43392" ht="14.25" customHeight="1"/>
    <row r="43393" ht="14.25" customHeight="1"/>
    <row r="43394" ht="14.25" customHeight="1"/>
    <row r="43395" ht="14.25" customHeight="1"/>
    <row r="43396" ht="14.25" customHeight="1"/>
    <row r="43397" ht="14.25" customHeight="1"/>
    <row r="43398" ht="14.25" customHeight="1"/>
    <row r="43399" ht="14.25" customHeight="1"/>
    <row r="43400" ht="14.25" customHeight="1"/>
    <row r="43401" ht="14.25" customHeight="1"/>
    <row r="43402" ht="14.25" customHeight="1"/>
    <row r="43403" ht="14.25" customHeight="1"/>
    <row r="43404" ht="14.25" customHeight="1"/>
    <row r="43405" ht="14.25" customHeight="1"/>
    <row r="43406" ht="14.25" customHeight="1"/>
    <row r="43407" ht="14.25" customHeight="1"/>
    <row r="43408" ht="14.25" customHeight="1"/>
    <row r="43409" ht="14.25" customHeight="1"/>
    <row r="43410" ht="14.25" customHeight="1"/>
    <row r="43411" ht="14.25" customHeight="1"/>
    <row r="43412" ht="14.25" customHeight="1"/>
    <row r="43413" ht="14.25" customHeight="1"/>
    <row r="43414" ht="14.25" customHeight="1"/>
    <row r="43415" ht="14.25" customHeight="1"/>
    <row r="43416" ht="14.25" customHeight="1"/>
    <row r="43417" ht="14.25" customHeight="1"/>
    <row r="43418" ht="14.25" customHeight="1"/>
    <row r="43419" ht="14.25" customHeight="1"/>
    <row r="43420" ht="14.25" customHeight="1"/>
    <row r="43421" ht="14.25" customHeight="1"/>
    <row r="43422" ht="14.25" customHeight="1"/>
    <row r="43423" ht="14.25" customHeight="1"/>
    <row r="43424" ht="14.25" customHeight="1"/>
    <row r="43425" ht="14.25" customHeight="1"/>
    <row r="43426" ht="14.25" customHeight="1"/>
    <row r="43427" ht="14.25" customHeight="1"/>
    <row r="43428" ht="14.25" customHeight="1"/>
    <row r="43429" ht="14.25" customHeight="1"/>
    <row r="43430" ht="14.25" customHeight="1"/>
    <row r="43431" ht="14.25" customHeight="1"/>
    <row r="43432" ht="14.25" customHeight="1"/>
    <row r="43433" ht="14.25" customHeight="1"/>
    <row r="43434" ht="14.25" customHeight="1"/>
    <row r="43435" ht="14.25" customHeight="1"/>
    <row r="43436" ht="14.25" customHeight="1"/>
    <row r="43437" ht="14.25" customHeight="1"/>
    <row r="43438" ht="14.25" customHeight="1"/>
    <row r="43439" ht="14.25" customHeight="1"/>
    <row r="43440" ht="14.25" customHeight="1"/>
    <row r="43441" ht="14.25" customHeight="1"/>
    <row r="43442" ht="14.25" customHeight="1"/>
    <row r="43443" ht="14.25" customHeight="1"/>
    <row r="43444" ht="14.25" customHeight="1"/>
    <row r="43445" ht="14.25" customHeight="1"/>
    <row r="43446" ht="14.25" customHeight="1"/>
    <row r="43447" ht="14.25" customHeight="1"/>
    <row r="43448" ht="14.25" customHeight="1"/>
    <row r="43449" ht="14.25" customHeight="1"/>
    <row r="43450" ht="14.25" customHeight="1"/>
    <row r="43451" ht="14.25" customHeight="1"/>
    <row r="43452" ht="14.25" customHeight="1"/>
    <row r="43453" ht="14.25" customHeight="1"/>
    <row r="43454" ht="14.25" customHeight="1"/>
    <row r="43455" ht="14.25" customHeight="1"/>
    <row r="43456" ht="14.25" customHeight="1"/>
    <row r="43457" ht="14.25" customHeight="1"/>
    <row r="43458" ht="14.25" customHeight="1"/>
    <row r="43459" ht="14.25" customHeight="1"/>
    <row r="43460" ht="14.25" customHeight="1"/>
    <row r="43461" ht="14.25" customHeight="1"/>
    <row r="43462" ht="14.25" customHeight="1"/>
    <row r="43463" ht="14.25" customHeight="1"/>
    <row r="43464" ht="14.25" customHeight="1"/>
    <row r="43465" ht="14.25" customHeight="1"/>
    <row r="43466" ht="14.25" customHeight="1"/>
    <row r="43467" ht="14.25" customHeight="1"/>
    <row r="43468" ht="14.25" customHeight="1"/>
    <row r="43469" ht="14.25" customHeight="1"/>
    <row r="43470" ht="14.25" customHeight="1"/>
    <row r="43471" ht="14.25" customHeight="1"/>
    <row r="43472" ht="14.25" customHeight="1"/>
    <row r="43473" ht="14.25" customHeight="1"/>
    <row r="43474" ht="14.25" customHeight="1"/>
    <row r="43475" ht="14.25" customHeight="1"/>
    <row r="43476" ht="14.25" customHeight="1"/>
    <row r="43477" ht="14.25" customHeight="1"/>
    <row r="43478" ht="14.25" customHeight="1"/>
    <row r="43479" ht="14.25" customHeight="1"/>
    <row r="43480" ht="14.25" customHeight="1"/>
    <row r="43481" ht="14.25" customHeight="1"/>
    <row r="43482" ht="14.25" customHeight="1"/>
    <row r="43483" ht="14.25" customHeight="1"/>
    <row r="43484" ht="14.25" customHeight="1"/>
    <row r="43485" ht="14.25" customHeight="1"/>
    <row r="43486" ht="14.25" customHeight="1"/>
    <row r="43487" ht="14.25" customHeight="1"/>
    <row r="43488" ht="14.25" customHeight="1"/>
    <row r="43489" ht="14.25" customHeight="1"/>
    <row r="43490" ht="14.25" customHeight="1"/>
    <row r="43491" ht="14.25" customHeight="1"/>
    <row r="43492" ht="14.25" customHeight="1"/>
    <row r="43493" ht="14.25" customHeight="1"/>
    <row r="43494" ht="14.25" customHeight="1"/>
    <row r="43495" ht="14.25" customHeight="1"/>
    <row r="43496" ht="14.25" customHeight="1"/>
    <row r="43497" ht="14.25" customHeight="1"/>
    <row r="43498" ht="14.25" customHeight="1"/>
    <row r="43499" ht="14.25" customHeight="1"/>
    <row r="43500" ht="14.25" customHeight="1"/>
    <row r="43501" ht="14.25" customHeight="1"/>
    <row r="43502" ht="14.25" customHeight="1"/>
    <row r="43503" ht="14.25" customHeight="1"/>
    <row r="43504" ht="14.25" customHeight="1"/>
    <row r="43505" ht="14.25" customHeight="1"/>
    <row r="43506" ht="14.25" customHeight="1"/>
    <row r="43507" ht="14.25" customHeight="1"/>
    <row r="43508" ht="14.25" customHeight="1"/>
    <row r="43509" ht="14.25" customHeight="1"/>
    <row r="43510" ht="14.25" customHeight="1"/>
    <row r="43511" ht="14.25" customHeight="1"/>
    <row r="43512" ht="14.25" customHeight="1"/>
    <row r="43513" ht="14.25" customHeight="1"/>
    <row r="43514" ht="14.25" customHeight="1"/>
    <row r="43515" ht="14.25" customHeight="1"/>
    <row r="43516" ht="14.25" customHeight="1"/>
    <row r="43517" ht="14.25" customHeight="1"/>
    <row r="43518" ht="14.25" customHeight="1"/>
    <row r="43519" ht="14.25" customHeight="1"/>
    <row r="43520" ht="14.25" customHeight="1"/>
    <row r="43521" ht="14.25" customHeight="1"/>
    <row r="43522" ht="14.25" customHeight="1"/>
    <row r="43523" ht="14.25" customHeight="1"/>
    <row r="43524" ht="14.25" customHeight="1"/>
    <row r="43525" ht="14.25" customHeight="1"/>
    <row r="43526" ht="14.25" customHeight="1"/>
    <row r="43527" ht="14.25" customHeight="1"/>
    <row r="43528" ht="14.25" customHeight="1"/>
    <row r="43529" ht="14.25" customHeight="1"/>
    <row r="43530" ht="14.25" customHeight="1"/>
    <row r="43531" ht="14.25" customHeight="1"/>
    <row r="43532" ht="14.25" customHeight="1"/>
    <row r="43533" ht="14.25" customHeight="1"/>
    <row r="43534" ht="14.25" customHeight="1"/>
    <row r="43535" ht="14.25" customHeight="1"/>
    <row r="43536" ht="14.25" customHeight="1"/>
    <row r="43537" ht="14.25" customHeight="1"/>
    <row r="43538" ht="14.25" customHeight="1"/>
    <row r="43539" ht="14.25" customHeight="1"/>
    <row r="43540" ht="14.25" customHeight="1"/>
    <row r="43541" ht="14.25" customHeight="1"/>
    <row r="43542" ht="14.25" customHeight="1"/>
    <row r="43543" ht="14.25" customHeight="1"/>
    <row r="43544" ht="14.25" customHeight="1"/>
    <row r="43545" ht="14.25" customHeight="1"/>
    <row r="43546" ht="14.25" customHeight="1"/>
    <row r="43547" ht="14.25" customHeight="1"/>
    <row r="43548" ht="14.25" customHeight="1"/>
    <row r="43549" ht="14.25" customHeight="1"/>
    <row r="43550" ht="14.25" customHeight="1"/>
    <row r="43551" ht="14.25" customHeight="1"/>
    <row r="43552" ht="14.25" customHeight="1"/>
    <row r="43553" ht="14.25" customHeight="1"/>
    <row r="43554" ht="14.25" customHeight="1"/>
    <row r="43555" ht="14.25" customHeight="1"/>
    <row r="43556" ht="14.25" customHeight="1"/>
    <row r="43557" ht="14.25" customHeight="1"/>
    <row r="43558" ht="14.25" customHeight="1"/>
    <row r="43559" ht="14.25" customHeight="1"/>
    <row r="43560" ht="14.25" customHeight="1"/>
    <row r="43561" ht="14.25" customHeight="1"/>
    <row r="43562" ht="14.25" customHeight="1"/>
    <row r="43563" ht="14.25" customHeight="1"/>
    <row r="43564" ht="14.25" customHeight="1"/>
    <row r="43565" ht="14.25" customHeight="1"/>
    <row r="43566" ht="14.25" customHeight="1"/>
    <row r="43567" ht="14.25" customHeight="1"/>
    <row r="43568" ht="14.25" customHeight="1"/>
    <row r="43569" ht="14.25" customHeight="1"/>
    <row r="43570" ht="14.25" customHeight="1"/>
    <row r="43571" ht="14.25" customHeight="1"/>
    <row r="43572" ht="14.25" customHeight="1"/>
    <row r="43573" ht="14.25" customHeight="1"/>
    <row r="43574" ht="14.25" customHeight="1"/>
    <row r="43575" ht="14.25" customHeight="1"/>
    <row r="43576" ht="14.25" customHeight="1"/>
  </sheetData>
  <sheetProtection formatCells="0" formatColumns="0" formatRows="0" insertColumns="0" insertRows="0" sort="0" autoFilter="0" pivotTables="0"/>
  <hyperlinks>
    <hyperlink ref="AU4" r:id="rId1" display="Treasury Rates"/>
  </hyperlinks>
  <printOptions/>
  <pageMargins left="0.25" right="0.25" top="0.75" bottom="0.75" header="0.3" footer="0.3"/>
  <pageSetup useFirstPageNumber="1" fitToHeight="1" fitToWidth="1" paperSize="1" firstPageNumber="1" scale="95" pageOrder="downThenOver" orientation="landscape"/>
  <headerFooter>
    <oddHeader>&amp;L&amp;D&amp;C&amp;R</oddHeader>
    <oddFooter>&amp;LSelect Producer Above&amp;C&amp;R</oddFooter>
  </headerFooter>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7160F19C-F98C-56D7-AACC-8C556C6D1367}" mc:Ignorable="x14ac xr xr2 xr3">
  <sheetPr>
    <tabColor theme="8" tint="-0.5"/>
  </sheetPr>
  <dimension ref="A1:L120"/>
  <sheetViews>
    <sheetView topLeftCell="A1" workbookViewId="0">
      <selection activeCell="A1" sqref="A1"/>
    </sheetView>
  </sheetViews>
  <sheetFormatPr defaultRowHeight="15" defaultColWidth="8.8515625" customHeight="1"/>
  <cols>
    <col min="1" max="1" width="24.57421875" customWidth="1"/>
    <col min="2" max="2" width="19.7109375" customWidth="1"/>
    <col min="3" max="3" width="32.57421875" customWidth="1"/>
    <col min="4" max="4" width="21.57421875" customWidth="1"/>
    <col min="5" max="5" width="85.57421875" customWidth="1"/>
    <col min="6" max="7" width="22.57421875" customWidth="1"/>
    <col min="11" max="11" width="15.8515625" customWidth="1"/>
  </cols>
  <sheetData>
    <row r="1" ht="20.25" customHeight="1">
      <c r="A1" t="s">
        <v>1040</v>
      </c>
    </row>
    <row r="2" ht="15" customHeight="1">
      <c r="A2" t="s">
        <v>1041</v>
      </c>
      <c r="B2" t="s">
        <v>1042</v>
      </c>
      <c r="C2" t="s">
        <v>1043</v>
      </c>
      <c r="D2" t="s">
        <v>1044</v>
      </c>
      <c r="E2" t="s">
        <v>1045</v>
      </c>
      <c r="F2" t="s">
        <v>1046</v>
      </c>
      <c r="G2" t="s">
        <v>1047</v>
      </c>
    </row>
    <row r="3" ht="15" customHeight="1">
      <c r="A3" t="s">
        <v>1048</v>
      </c>
    </row>
    <row r="4" ht="15" customHeight="1">
      <c r="A4">
        <v>1</v>
      </c>
      <c r="B4" t="s">
        <v>1049</v>
      </c>
      <c r="C4" t="s">
        <v>1050</v>
      </c>
      <c r="D4" t="s">
        <v>1051</v>
      </c>
      <c r="E4" t="s">
        <v>1052</v>
      </c>
      <c r="F4" t="str">
        <f>IF('SBL Quotes'!AN4&lt;1000000,"EXCEPTION",IF('SBL Quotes'!AN4&lt;1200000,"PRE-SCREEN",""))</f>
        <v>EXCEPTION</v>
      </c>
    </row>
    <row r="5" ht="15" customHeight="1">
      <c r="A5">
        <v>2</v>
      </c>
      <c r="B5" t="s">
        <v>1054</v>
      </c>
      <c r="C5" t="s">
        <v>1050</v>
      </c>
      <c r="D5" t="s">
        <v>1055</v>
      </c>
      <c r="E5" t="s">
        <v>1056</v>
      </c>
      <c r="F5">
        <f>IF(AND(OR('SBL Quotes'!B22="Small",'SBL Quotes'!B22="Very Small"),'SBL Quotes'!AN4&gt;6000000),"EXCEPTION","")</f>
      </c>
    </row>
    <row r="6" ht="15" customHeight="1">
      <c r="A6">
        <v>3</v>
      </c>
      <c r="B6" t="s">
        <v>1054</v>
      </c>
      <c r="C6" t="s">
        <v>1050</v>
      </c>
      <c r="D6" t="s">
        <v>1055</v>
      </c>
      <c r="E6" t="s">
        <v>1057</v>
      </c>
      <c r="F6">
        <f>IF(AND(number_units&gt;100,'SBL Quotes'!AN4&gt;6000000),"EXCEPTION","")</f>
      </c>
    </row>
    <row r="7" ht="15" customHeight="1">
      <c r="A7">
        <v>4</v>
      </c>
      <c r="B7" t="s">
        <v>1054</v>
      </c>
      <c r="C7" t="s">
        <v>1050</v>
      </c>
      <c r="D7" t="s">
        <v>1055</v>
      </c>
      <c r="E7" t="s">
        <v>1058</v>
      </c>
      <c r="F7">
        <f>IF(AND('SBL Quotes'!$AN$30&lt;1.25,'SBL Quotes'!$AN$4&gt;6000000),"EXCEPTION","")</f>
      </c>
    </row>
    <row r="8" ht="15" customHeight="1">
      <c r="A8">
        <v>5</v>
      </c>
      <c r="B8" t="s">
        <v>1059</v>
      </c>
      <c r="C8" t="s">
        <v>1060</v>
      </c>
      <c r="D8" t="s">
        <v>1061</v>
      </c>
      <c r="E8" t="s">
        <v>1062</v>
      </c>
      <c r="F8" t="str">
        <f>IF(AND('SBL Quotes'!AK26&gt;80%,'SBL Quotes'!AK27&lt;1),"EXCEPTION","")</f>
        <v/>
      </c>
    </row>
    <row r="9" ht="15" customHeight="1">
      <c r="A9">
        <v>6</v>
      </c>
      <c r="B9" t="s">
        <v>1049</v>
      </c>
      <c r="C9" t="s">
        <v>1063</v>
      </c>
      <c r="D9" t="s">
        <v>1064</v>
      </c>
      <c r="E9" t="s">
        <v>1065</v>
      </c>
    </row>
    <row r="10" ht="15" customHeight="1">
      <c r="A10">
        <v>7</v>
      </c>
      <c r="B10" t="s">
        <v>1049</v>
      </c>
      <c r="C10" t="s">
        <v>1063</v>
      </c>
      <c r="D10" t="s">
        <v>1064</v>
      </c>
      <c r="E10" t="s">
        <v>1066</v>
      </c>
    </row>
    <row r="11" ht="15" customHeight="1">
      <c r="A11">
        <v>8</v>
      </c>
      <c r="B11" t="s">
        <v>1049</v>
      </c>
      <c r="C11" t="s">
        <v>1063</v>
      </c>
      <c r="D11" t="s">
        <v>1067</v>
      </c>
      <c r="E11" t="s">
        <v>1068</v>
      </c>
      <c r="K11" t="s">
        <v>572</v>
      </c>
      <c r="L11" t="s">
        <v>1069</v>
      </c>
    </row>
    <row r="12" ht="15" customHeight="1">
      <c r="A12">
        <v>9</v>
      </c>
      <c r="B12" t="s">
        <v>1049</v>
      </c>
      <c r="C12" t="s">
        <v>1063</v>
      </c>
      <c r="D12" t="s">
        <v>1067</v>
      </c>
      <c r="E12" t="s">
        <v>1070</v>
      </c>
      <c r="K12" t="s">
        <v>1071</v>
      </c>
    </row>
    <row r="13" ht="15" customHeight="1">
      <c r="A13">
        <v>10</v>
      </c>
      <c r="B13" t="s">
        <v>1054</v>
      </c>
      <c r="C13" t="s">
        <v>1050</v>
      </c>
      <c r="D13" t="s">
        <v>1072</v>
      </c>
      <c r="E13" t="s">
        <v>1073</v>
      </c>
    </row>
    <row r="14" ht="15" customHeight="1">
      <c r="A14">
        <v>11</v>
      </c>
      <c r="B14" t="s">
        <v>1054</v>
      </c>
      <c r="C14" t="s">
        <v>1050</v>
      </c>
      <c r="D14" t="s">
        <v>1074</v>
      </c>
      <c r="E14" t="s">
        <v>1075</v>
      </c>
      <c r="F14">
        <f>IF(AND('SBL Quotes'!AN29&lt;65%,'SBL Quotes'!AK73="Yes"),"EXCEPTION","")</f>
      </c>
    </row>
    <row r="15" ht="15" customHeight="1">
      <c r="A15">
        <v>12</v>
      </c>
      <c r="B15" t="s">
        <v>1054</v>
      </c>
      <c r="C15" t="s">
        <v>1050</v>
      </c>
      <c r="D15" t="s">
        <v>1074</v>
      </c>
      <c r="E15" t="s">
        <v>1076</v>
      </c>
      <c r="F15">
        <f>IF('SBL Quotes'!AK74="Yes","EXCEPTION","")</f>
      </c>
      <c r="K15" t="s">
        <v>1077</v>
      </c>
    </row>
    <row r="16" ht="15" customHeight="1">
      <c r="A16">
        <v>13</v>
      </c>
      <c r="B16" t="s">
        <v>1054</v>
      </c>
      <c r="C16" t="s">
        <v>1050</v>
      </c>
      <c r="D16" t="s">
        <v>1078</v>
      </c>
      <c r="E16" t="s">
        <v>1079</v>
      </c>
    </row>
    <row r="17" ht="15" customHeight="1">
      <c r="A17">
        <v>14</v>
      </c>
      <c r="B17" t="s">
        <v>1059</v>
      </c>
      <c r="C17" t="s">
        <v>1050</v>
      </c>
      <c r="D17" t="s">
        <v>1055</v>
      </c>
      <c r="E17" t="s">
        <v>1080</v>
      </c>
      <c r="K17" t="s">
        <v>1081</v>
      </c>
    </row>
    <row r="18" ht="15" customHeight="1">
      <c r="A18" t="s">
        <v>1082</v>
      </c>
    </row>
    <row r="19" ht="15" customHeight="1">
      <c r="A19">
        <v>15</v>
      </c>
      <c r="B19" t="s">
        <v>1054</v>
      </c>
      <c r="C19" t="s">
        <v>1050</v>
      </c>
      <c r="D19" t="s">
        <v>1083</v>
      </c>
      <c r="E19" t="s">
        <v>1084</v>
      </c>
      <c r="F19">
        <f>_xlfn.IFERROR(IF(('SBL Quotes'!AK48/'SBL Quotes'!AN4)&lt;1,"EXCEPTION",""),"")</f>
      </c>
    </row>
    <row r="20" ht="15" customHeight="1">
      <c r="A20">
        <v>16</v>
      </c>
      <c r="B20" t="s">
        <v>1054</v>
      </c>
      <c r="C20" t="s">
        <v>1050</v>
      </c>
      <c r="D20" t="s">
        <v>1083</v>
      </c>
      <c r="E20" t="s">
        <v>1085</v>
      </c>
      <c r="F20">
        <f>IF('SBL Quotes'!AK47&lt;(3/4)*'SBL Quotes'!AN11,"EXCEPTION","")</f>
      </c>
    </row>
    <row r="21" ht="15" customHeight="1">
      <c r="A21">
        <v>17</v>
      </c>
      <c r="B21" t="s">
        <v>1049</v>
      </c>
      <c r="C21" t="s">
        <v>1050</v>
      </c>
      <c r="D21" t="s">
        <v>1086</v>
      </c>
      <c r="E21" t="s">
        <v>1087</v>
      </c>
      <c r="F21" t="str">
        <f>IF('SBL Quotes'!AK137&lt;1,"EXCEPTION","")</f>
        <v>EXCEPTION</v>
      </c>
    </row>
    <row r="22" ht="36" customHeight="1">
      <c r="A22">
        <v>18</v>
      </c>
      <c r="B22" t="s">
        <v>1054</v>
      </c>
      <c r="C22" t="s">
        <v>1050</v>
      </c>
      <c r="D22" t="s">
        <v>1088</v>
      </c>
      <c r="E22" t="s">
        <v>1089</v>
      </c>
      <c r="F22">
        <f>IF('SBL Quotes'!AN136="Yes","EXCEPTION","")</f>
      </c>
    </row>
    <row r="23" ht="15" customHeight="1">
      <c r="A23">
        <v>19</v>
      </c>
      <c r="B23" t="s">
        <v>1054</v>
      </c>
      <c r="C23" t="s">
        <v>1050</v>
      </c>
      <c r="D23" t="s">
        <v>1090</v>
      </c>
      <c r="E23" t="s">
        <v>1091</v>
      </c>
      <c r="F23">
        <f>IF('SBL Quotes'!AK132&lt;1,"EXCEPTION","")</f>
      </c>
    </row>
    <row r="24" ht="24" customHeight="1">
      <c r="A24">
        <v>20</v>
      </c>
      <c r="B24" t="s">
        <v>1054</v>
      </c>
      <c r="C24" t="s">
        <v>1050</v>
      </c>
      <c r="D24" t="s">
        <v>1090</v>
      </c>
      <c r="E24" t="s">
        <v>1092</v>
      </c>
      <c r="F24">
        <f>_xlfn.IFERROR(IF(OR(AND('SBL Quotes'!AK134&gt;1,'SBL Quotes'!AK136="No",'SBL Quotes'!AK48/'SBL Quotes'!AN4&lt;2,'SBL Quotes'!AK47&lt;1.5*'SBL Quotes'!AN11),AND('SBL Quotes'!AK132=1,'SBL Quotes'!AK134=1,'SBL Quotes'!AK135="No")),"EXCEPTION",""),"")</f>
      </c>
    </row>
    <row r="25" ht="15" customHeight="1">
      <c r="A25">
        <v>21</v>
      </c>
      <c r="B25" t="s">
        <v>1054</v>
      </c>
      <c r="C25" t="s">
        <v>1050</v>
      </c>
      <c r="D25" t="s">
        <v>1055</v>
      </c>
      <c r="E25" t="s">
        <v>1093</v>
      </c>
    </row>
    <row r="26" ht="15" customHeight="1">
      <c r="A26">
        <v>22</v>
      </c>
      <c r="B26" t="s">
        <v>1054</v>
      </c>
      <c r="C26" t="s">
        <v>1050</v>
      </c>
      <c r="D26" t="s">
        <v>1055</v>
      </c>
      <c r="E26" t="s">
        <v>1094</v>
      </c>
      <c r="F26">
        <f>IF('SBL Quotes'!AK129="Yes","EXCEPTION","")</f>
      </c>
    </row>
    <row r="27" ht="15" customHeight="1">
      <c r="A27">
        <v>23</v>
      </c>
      <c r="B27" t="s">
        <v>1054</v>
      </c>
      <c r="C27" t="s">
        <v>1050</v>
      </c>
      <c r="D27" t="s">
        <v>1055</v>
      </c>
      <c r="E27" t="s">
        <v>1095</v>
      </c>
      <c r="F27">
        <f>IF('SBL Quotes'!AK51="Yes","EXCEPTION","")</f>
      </c>
    </row>
    <row r="28" ht="15" customHeight="1">
      <c r="A28">
        <v>24</v>
      </c>
      <c r="B28" t="s">
        <v>1059</v>
      </c>
      <c r="C28" t="s">
        <v>1096</v>
      </c>
      <c r="D28" t="s">
        <v>1097</v>
      </c>
      <c r="E28" t="s">
        <v>1098</v>
      </c>
      <c r="F28">
        <f>IF(OR('SBL Quotes'!AK49&gt;5,AND('SBL Quotes'!AK49&gt;1,'SBL Quotes'!AK50="Yes")),"EXCEPTION","")</f>
      </c>
    </row>
    <row r="29" ht="36" customHeight="1">
      <c r="A29">
        <v>25</v>
      </c>
      <c r="B29" t="s">
        <v>1054</v>
      </c>
      <c r="C29" t="s">
        <v>1050</v>
      </c>
      <c r="D29" t="s">
        <v>1099</v>
      </c>
      <c r="E29" t="s">
        <v>1100</v>
      </c>
    </row>
    <row r="30" ht="15" customHeight="1">
      <c r="A30">
        <v>26</v>
      </c>
      <c r="B30" t="s">
        <v>1059</v>
      </c>
      <c r="C30" t="s">
        <v>1096</v>
      </c>
      <c r="D30" t="s">
        <v>1101</v>
      </c>
      <c r="E30" t="s">
        <v>1102</v>
      </c>
    </row>
    <row r="31" ht="15" customHeight="1">
      <c r="A31">
        <v>56</v>
      </c>
      <c r="B31" t="s">
        <v>1059</v>
      </c>
      <c r="C31" t="s">
        <v>1096</v>
      </c>
      <c r="D31" t="s">
        <v>1101</v>
      </c>
      <c r="E31" t="s">
        <v>1103</v>
      </c>
      <c r="F31">
        <f>IF(AND('SBL Quotes'!B22="Very Small",'SBL Quotes'!AK45="No",'SBL Quotes'!AK43&gt;0),"EXCEPTION","")</f>
      </c>
    </row>
    <row r="32" ht="15" customHeight="1">
      <c r="A32" t="s">
        <v>1104</v>
      </c>
    </row>
    <row r="33" ht="15" customHeight="1">
      <c r="A33">
        <v>27</v>
      </c>
      <c r="B33" t="s">
        <v>1054</v>
      </c>
      <c r="C33" t="s">
        <v>1050</v>
      </c>
      <c r="D33" t="s">
        <v>1101</v>
      </c>
      <c r="E33" t="s">
        <v>1105</v>
      </c>
      <c r="F33">
        <f>IF('SBL Quotes'!AK75="No","EXCEPTION","")</f>
      </c>
    </row>
    <row r="34" ht="24" customHeight="1">
      <c r="A34">
        <v>28</v>
      </c>
      <c r="B34" t="s">
        <v>1054</v>
      </c>
      <c r="C34" t="s">
        <v>1050</v>
      </c>
      <c r="D34" t="s">
        <v>1101</v>
      </c>
      <c r="E34" t="s">
        <v>1106</v>
      </c>
      <c r="F34">
        <f>IF('SBL Quotes'!AK76="No","EXCEPTION","")</f>
      </c>
    </row>
    <row r="35" ht="15" customHeight="1">
      <c r="A35" t="s">
        <v>1107</v>
      </c>
    </row>
    <row r="36" ht="15" customHeight="1">
      <c r="A36">
        <v>29</v>
      </c>
      <c r="B36" t="s">
        <v>1054</v>
      </c>
      <c r="C36" t="s">
        <v>1050</v>
      </c>
      <c r="D36" t="s">
        <v>1108</v>
      </c>
      <c r="E36" t="s">
        <v>1109</v>
      </c>
      <c r="F36">
        <f>IF(AND('SBL Quotes'!AK77="Yes",'SBL Quotes'!AK78="Yes"),"EXCEPTION","")</f>
      </c>
    </row>
    <row r="37" ht="15" customHeight="1">
      <c r="A37">
        <v>30</v>
      </c>
      <c r="B37" t="s">
        <v>1049</v>
      </c>
      <c r="C37" t="s">
        <v>1050</v>
      </c>
      <c r="D37" t="s">
        <v>1110</v>
      </c>
      <c r="E37" t="s">
        <v>1111</v>
      </c>
      <c r="F37">
        <f>IF(AND('SBL Quotes'!AK77="Yes",'SBL Quotes'!AK79="No"),"EXCEPTION","")</f>
      </c>
    </row>
    <row r="38" ht="15" customHeight="1">
      <c r="A38">
        <v>31</v>
      </c>
      <c r="B38" t="s">
        <v>1054</v>
      </c>
      <c r="C38" t="s">
        <v>1050</v>
      </c>
      <c r="D38" t="s">
        <v>1112</v>
      </c>
      <c r="E38" t="s">
        <v>1113</v>
      </c>
      <c r="F38">
        <f>IF('SBL Quotes'!AK80="Yes","EXCEPTION","")</f>
      </c>
    </row>
    <row r="39" ht="15" customHeight="1">
      <c r="A39">
        <v>32</v>
      </c>
      <c r="B39" t="s">
        <v>1054</v>
      </c>
      <c r="C39" t="s">
        <v>1050</v>
      </c>
      <c r="D39" t="s">
        <v>1114</v>
      </c>
      <c r="F39" t="str">
        <f>IF('SBL Quotes'!AK17&lt;85%,"DISCUSS","")</f>
        <v>DISCUSS</v>
      </c>
    </row>
    <row r="40" ht="15" customHeight="1">
      <c r="A40">
        <v>33</v>
      </c>
      <c r="B40" t="s">
        <v>1054</v>
      </c>
      <c r="C40" t="s">
        <v>1050</v>
      </c>
      <c r="D40" t="s">
        <v>1114</v>
      </c>
      <c r="E40" t="s">
        <v>1116</v>
      </c>
      <c r="F40">
        <f>IF(AND('SBL Quotes'!AK17&lt;90%,'SBL Quotes'!AK17&gt;=85%),"DISCUSS","")</f>
      </c>
    </row>
    <row r="41" ht="15" customHeight="1">
      <c r="A41">
        <v>34</v>
      </c>
      <c r="B41" t="s">
        <v>1059</v>
      </c>
      <c r="C41" t="s">
        <v>1117</v>
      </c>
      <c r="D41" t="s">
        <v>1101</v>
      </c>
      <c r="E41" t="s">
        <v>1118</v>
      </c>
      <c r="F41" t="s">
        <v>1119</v>
      </c>
    </row>
    <row r="42" ht="15" customHeight="1">
      <c r="A42">
        <v>35</v>
      </c>
      <c r="B42" t="s">
        <v>1054</v>
      </c>
      <c r="C42" t="s">
        <v>1050</v>
      </c>
      <c r="D42" t="s">
        <v>1055</v>
      </c>
      <c r="E42" t="s">
        <v>1120</v>
      </c>
      <c r="F42">
        <f>IF('SBL Quotes'!AK81="Yes","DISCUSS","")</f>
      </c>
    </row>
    <row r="43" ht="15" customHeight="1">
      <c r="A43">
        <v>36</v>
      </c>
      <c r="B43" t="s">
        <v>1059</v>
      </c>
      <c r="C43" t="s">
        <v>1121</v>
      </c>
      <c r="D43" t="s">
        <v>1122</v>
      </c>
      <c r="E43" t="s">
        <v>1123</v>
      </c>
      <c r="F43">
        <f>IF(AND('SBL Quotes'!AK81="Yes",'SBL Quotes'!AK82="No"),"EXCEPTION","")</f>
      </c>
    </row>
    <row r="44" ht="15" customHeight="1">
      <c r="A44" t="s">
        <v>1124</v>
      </c>
    </row>
    <row r="45" ht="15" customHeight="1">
      <c r="A45">
        <v>37</v>
      </c>
      <c r="B45" t="s">
        <v>1059</v>
      </c>
      <c r="C45" t="s">
        <v>1117</v>
      </c>
      <c r="D45" t="s">
        <v>1101</v>
      </c>
      <c r="E45" t="s">
        <v>1125</v>
      </c>
      <c r="F45" t="s">
        <v>1119</v>
      </c>
    </row>
    <row r="46" ht="15" customHeight="1">
      <c r="A46">
        <v>38</v>
      </c>
      <c r="B46" t="s">
        <v>1054</v>
      </c>
      <c r="C46" t="s">
        <v>1050</v>
      </c>
      <c r="D46" t="s">
        <v>1112</v>
      </c>
      <c r="E46" t="s">
        <v>1126</v>
      </c>
      <c r="F46">
        <f>IF('SBL Quotes'!AN73&gt;25%,"EXCEPTION",IF('SBL Quotes'!AN73&gt;15%,"DISCUSS",""))</f>
      </c>
    </row>
    <row r="47" ht="24" customHeight="1">
      <c r="A47">
        <v>39</v>
      </c>
      <c r="B47" t="s">
        <v>1059</v>
      </c>
      <c r="C47" t="s">
        <v>1050</v>
      </c>
      <c r="D47" t="s">
        <v>1055</v>
      </c>
      <c r="E47" t="s">
        <v>1127</v>
      </c>
      <c r="F47">
        <f>IF('SBL Quotes'!AN70&gt;25%,"EXCEPTION",IF('SBL Quotes'!AN70&gt;15%,"DISCUSS",""))</f>
      </c>
    </row>
    <row r="48" ht="15" customHeight="1">
      <c r="A48">
        <v>40</v>
      </c>
      <c r="B48" t="s">
        <v>1059</v>
      </c>
      <c r="C48" t="s">
        <v>1050</v>
      </c>
      <c r="D48" t="s">
        <v>1055</v>
      </c>
      <c r="E48" t="s">
        <v>1128</v>
      </c>
      <c r="F48">
        <f>IF('SBL Quotes'!AN71&gt;25%,"EXCEPTION",IF('SBL Quotes'!AN71&gt;15%,"DISCUSS",""))</f>
      </c>
    </row>
    <row r="49" ht="36" customHeight="1">
      <c r="A49">
        <v>41</v>
      </c>
      <c r="B49" t="s">
        <v>1054</v>
      </c>
      <c r="C49" t="s">
        <v>1050</v>
      </c>
      <c r="D49" t="s">
        <v>1055</v>
      </c>
      <c r="E49" t="s">
        <v>1129</v>
      </c>
    </row>
    <row r="50" ht="15" customHeight="1">
      <c r="A50">
        <v>42</v>
      </c>
      <c r="B50" t="s">
        <v>1059</v>
      </c>
      <c r="C50" t="s">
        <v>1050</v>
      </c>
      <c r="D50" t="s">
        <v>1055</v>
      </c>
      <c r="E50" t="s">
        <v>1130</v>
      </c>
      <c r="F50">
        <f>IF('SBL Quotes'!AN74&gt;25%,"EXCEPTION",IF('SBL Quotes'!AN74&gt;15%,"DISCUSS",""))</f>
      </c>
    </row>
    <row r="51" ht="15" customHeight="1">
      <c r="A51" t="s">
        <v>1131</v>
      </c>
    </row>
    <row r="52" ht="15" customHeight="1">
      <c r="A52">
        <v>43</v>
      </c>
      <c r="B52" t="s">
        <v>1054</v>
      </c>
      <c r="C52" t="s">
        <v>1050</v>
      </c>
      <c r="D52" t="s">
        <v>1132</v>
      </c>
      <c r="E52" t="s">
        <v>1133</v>
      </c>
      <c r="F52">
        <f>IF(AND('SBL Quotes'!AN41="Yes",'SBL Quotes'!AN42="No"),"EXCEPTION","")</f>
      </c>
    </row>
    <row r="53" ht="15" customHeight="1">
      <c r="A53" t="s">
        <v>1134</v>
      </c>
    </row>
    <row r="54" ht="15" customHeight="1">
      <c r="A54">
        <v>44</v>
      </c>
      <c r="B54" t="s">
        <v>1054</v>
      </c>
      <c r="C54" t="s">
        <v>1050</v>
      </c>
      <c r="D54" t="s">
        <v>1101</v>
      </c>
      <c r="E54" t="s">
        <v>1135</v>
      </c>
      <c r="F54" t="s">
        <v>1119</v>
      </c>
    </row>
    <row r="55" ht="15" customHeight="1">
      <c r="A55">
        <v>45</v>
      </c>
      <c r="B55" t="s">
        <v>1054</v>
      </c>
      <c r="C55" t="s">
        <v>1050</v>
      </c>
      <c r="D55" t="s">
        <v>1136</v>
      </c>
      <c r="E55" t="s">
        <v>1137</v>
      </c>
      <c r="F55">
        <f>IF(AND(OR('SBL Quotes'!B22="Small",'SBL Quotes'!B22="Very Small"),'SBL Quotes'!B28="Yes"),"EXCEPTION","")</f>
      </c>
    </row>
    <row r="56" ht="15" customHeight="1">
      <c r="A56">
        <v>46</v>
      </c>
      <c r="B56" t="s">
        <v>1054</v>
      </c>
      <c r="C56" t="s">
        <v>1050</v>
      </c>
      <c r="D56" t="s">
        <v>1136</v>
      </c>
      <c r="E56" t="s">
        <v>1138</v>
      </c>
      <c r="F56">
        <f>IF(AND('SBL Quotes'!B28="Yes",'SBL Quotes'!AN79="No"),"EXCEPTION","")</f>
      </c>
    </row>
    <row r="57" ht="15" customHeight="1">
      <c r="A57">
        <v>47</v>
      </c>
      <c r="B57" t="s">
        <v>1054</v>
      </c>
      <c r="C57" t="s">
        <v>1050</v>
      </c>
      <c r="D57" t="s">
        <v>1055</v>
      </c>
      <c r="E57" t="s">
        <v>1139</v>
      </c>
      <c r="F57">
        <f>IF('SBL Quotes'!AN76&gt;5%,"EXCEPTION",IF('SBL Quotes'!AN76&gt;0%,"DISCUSS",""))</f>
      </c>
    </row>
    <row r="58" ht="15" customHeight="1">
      <c r="A58">
        <v>48</v>
      </c>
      <c r="B58" t="s">
        <v>1054</v>
      </c>
      <c r="C58" t="s">
        <v>1050</v>
      </c>
      <c r="D58" t="s">
        <v>1140</v>
      </c>
      <c r="E58" t="s">
        <v>1141</v>
      </c>
    </row>
    <row r="59" ht="15" customHeight="1">
      <c r="A59">
        <v>49</v>
      </c>
      <c r="B59" t="s">
        <v>1054</v>
      </c>
      <c r="C59" t="s">
        <v>1050</v>
      </c>
      <c r="D59" t="s">
        <v>1142</v>
      </c>
      <c r="E59" t="s">
        <v>1143</v>
      </c>
      <c r="F59" t="s">
        <v>1119</v>
      </c>
    </row>
    <row r="60" ht="24" customHeight="1">
      <c r="A60">
        <v>50</v>
      </c>
      <c r="B60" t="s">
        <v>1054</v>
      </c>
      <c r="C60" t="s">
        <v>1050</v>
      </c>
      <c r="D60" t="s">
        <v>1144</v>
      </c>
      <c r="E60" t="s">
        <v>1145</v>
      </c>
      <c r="F60" t="e">
        <f>IF(AND(number_units&gt;=50,RentRestrictions="Yes"),"EXCEPTION",IF(AND(number_units&lt;50,OR('SBL Quotes'!AN81="Yes",'SBL Quotes'!AN82="Yes",'SBL Quotes'!AN83="Yes")),"EXCEPTION",""))</f>
        <v>#NAME?</v>
      </c>
    </row>
    <row r="61" ht="15" customHeight="1">
      <c r="A61" t="s">
        <v>1146</v>
      </c>
    </row>
    <row r="62" ht="15" customHeight="1">
      <c r="A62">
        <v>51</v>
      </c>
      <c r="B62" t="s">
        <v>1054</v>
      </c>
      <c r="C62" t="s">
        <v>1050</v>
      </c>
      <c r="D62" t="s">
        <v>1147</v>
      </c>
      <c r="E62" t="s">
        <v>1148</v>
      </c>
      <c r="F62">
        <f>IF('SBL Quotes'!AK72="Yes","DISCUSS","")</f>
      </c>
    </row>
    <row r="63" ht="36" customHeight="1">
      <c r="A63">
        <v>52</v>
      </c>
      <c r="B63" t="s">
        <v>1054</v>
      </c>
      <c r="C63" t="s">
        <v>1050</v>
      </c>
      <c r="D63" t="s">
        <v>1074</v>
      </c>
      <c r="E63" t="s">
        <v>1149</v>
      </c>
      <c r="F63" t="s">
        <v>1119</v>
      </c>
    </row>
    <row r="64" ht="15" customHeight="1">
      <c r="A64" t="s">
        <v>1150</v>
      </c>
    </row>
    <row r="65" ht="24" customHeight="1">
      <c r="A65">
        <v>53</v>
      </c>
      <c r="B65" t="s">
        <v>1059</v>
      </c>
      <c r="C65" t="s">
        <v>1050</v>
      </c>
      <c r="D65" t="s">
        <v>1151</v>
      </c>
      <c r="E65" t="s">
        <v>1152</v>
      </c>
      <c r="F65" t="s">
        <v>1119</v>
      </c>
    </row>
    <row r="66" ht="15" customHeight="1">
      <c r="A66">
        <v>54</v>
      </c>
      <c r="B66" t="s">
        <v>1054</v>
      </c>
      <c r="C66" t="s">
        <v>1050</v>
      </c>
      <c r="D66" t="s">
        <v>1153</v>
      </c>
      <c r="E66" t="s">
        <v>1154</v>
      </c>
    </row>
    <row r="67" ht="15" customHeight="1">
      <c r="A67">
        <v>55</v>
      </c>
      <c r="B67" t="s">
        <v>1054</v>
      </c>
      <c r="C67" t="s">
        <v>1050</v>
      </c>
      <c r="D67" t="s">
        <v>1155</v>
      </c>
      <c r="E67" t="s">
        <v>1156</v>
      </c>
      <c r="F67">
        <f>IF('SBL Quotes'!AK84="Yes","EXCEPTION","")</f>
      </c>
    </row>
    <row r="69" ht="21" customHeight="1">
      <c r="D69" t="s">
        <v>1157</v>
      </c>
    </row>
    <row r="70" ht="15" customHeight="1">
      <c r="D70" t="s">
        <v>1158</v>
      </c>
    </row>
    <row r="71" ht="15" customHeight="1">
      <c r="D71" t="s">
        <v>1159</v>
      </c>
      <c r="F71" t="s">
        <v>1046</v>
      </c>
      <c r="G71" t="s">
        <v>1160</v>
      </c>
    </row>
    <row r="72" ht="15" customHeight="1">
      <c r="D72" t="s">
        <v>1161</v>
      </c>
    </row>
    <row r="73" ht="15" customHeight="1">
      <c r="D73" t="s">
        <v>1048</v>
      </c>
    </row>
    <row r="74" ht="15" customHeight="1">
      <c r="D74">
        <v>1</v>
      </c>
      <c r="E74" t="s">
        <v>1162</v>
      </c>
    </row>
    <row r="75" ht="15" customHeight="1">
      <c r="D75">
        <v>2</v>
      </c>
      <c r="E75" t="s">
        <v>1163</v>
      </c>
    </row>
    <row r="76" ht="15" customHeight="1">
      <c r="D76">
        <v>3</v>
      </c>
      <c r="E76" t="s">
        <v>1164</v>
      </c>
    </row>
    <row r="77" ht="24" customHeight="1">
      <c r="D77">
        <v>4</v>
      </c>
      <c r="E77" t="s">
        <v>1165</v>
      </c>
    </row>
    <row r="78" ht="15" customHeight="1">
      <c r="D78" t="s">
        <v>1082</v>
      </c>
    </row>
    <row r="79" ht="15" customHeight="1">
      <c r="D79">
        <v>5</v>
      </c>
      <c r="E79" t="s">
        <v>1166</v>
      </c>
    </row>
    <row r="80" ht="24" customHeight="1">
      <c r="D80">
        <v>6</v>
      </c>
      <c r="E80" t="s">
        <v>1167</v>
      </c>
    </row>
    <row r="81" ht="15" customHeight="1">
      <c r="D81" t="s">
        <v>1104</v>
      </c>
    </row>
    <row r="82" ht="48" customHeight="1">
      <c r="D82">
        <v>7</v>
      </c>
      <c r="E82" t="s">
        <v>1168</v>
      </c>
    </row>
    <row r="83" ht="15" customHeight="1">
      <c r="E83" t="s">
        <v>1169</v>
      </c>
    </row>
    <row r="84" ht="15" customHeight="1">
      <c r="E84" t="s">
        <v>1170</v>
      </c>
    </row>
    <row r="85" ht="15" customHeight="1">
      <c r="D85">
        <v>8</v>
      </c>
      <c r="E85" t="s">
        <v>1171</v>
      </c>
    </row>
    <row r="86" ht="15" customHeight="1">
      <c r="D86">
        <v>9</v>
      </c>
      <c r="E86" t="s">
        <v>1172</v>
      </c>
    </row>
    <row r="87" ht="24" customHeight="1">
      <c r="D87">
        <v>10</v>
      </c>
      <c r="E87" t="s">
        <v>1173</v>
      </c>
    </row>
    <row r="88" ht="15" customHeight="1">
      <c r="D88" t="s">
        <v>1107</v>
      </c>
    </row>
    <row r="89" ht="15" customHeight="1">
      <c r="D89">
        <v>11</v>
      </c>
      <c r="E89" t="s">
        <v>1174</v>
      </c>
    </row>
    <row r="90" ht="15" customHeight="1">
      <c r="D90">
        <v>12</v>
      </c>
      <c r="E90" t="s">
        <v>1175</v>
      </c>
    </row>
    <row r="91" ht="15" customHeight="1">
      <c r="D91">
        <v>13</v>
      </c>
      <c r="E91" t="s">
        <v>1176</v>
      </c>
    </row>
    <row r="92" ht="15" customHeight="1">
      <c r="D92">
        <v>14</v>
      </c>
      <c r="E92" t="s">
        <v>1177</v>
      </c>
    </row>
    <row r="93" ht="15" customHeight="1">
      <c r="D93" t="s">
        <v>1124</v>
      </c>
    </row>
    <row r="94" ht="15" customHeight="1">
      <c r="D94">
        <v>15</v>
      </c>
      <c r="E94" t="s">
        <v>1178</v>
      </c>
    </row>
    <row r="95" ht="15" customHeight="1">
      <c r="D95">
        <v>16</v>
      </c>
      <c r="E95" t="s">
        <v>1179</v>
      </c>
    </row>
    <row r="96" ht="15" customHeight="1">
      <c r="D96" t="s">
        <v>1131</v>
      </c>
    </row>
    <row r="97" ht="15" customHeight="1">
      <c r="D97">
        <v>17</v>
      </c>
      <c r="E97" t="s">
        <v>1180</v>
      </c>
    </row>
    <row r="98" ht="15" customHeight="1">
      <c r="D98" t="s">
        <v>1134</v>
      </c>
    </row>
    <row r="99" ht="15" customHeight="1">
      <c r="D99">
        <v>18</v>
      </c>
      <c r="E99" t="s">
        <v>1181</v>
      </c>
    </row>
    <row r="100" ht="15" customHeight="1">
      <c r="D100">
        <v>19</v>
      </c>
      <c r="E100" t="s">
        <v>1182</v>
      </c>
    </row>
    <row r="101" ht="15" customHeight="1">
      <c r="D101" t="s">
        <v>1146</v>
      </c>
    </row>
    <row r="102" ht="15" customHeight="1">
      <c r="D102">
        <v>20</v>
      </c>
      <c r="E102" t="s">
        <v>1183</v>
      </c>
    </row>
    <row r="103" ht="15" customHeight="1">
      <c r="D103">
        <v>21</v>
      </c>
      <c r="E103" t="s">
        <v>1184</v>
      </c>
    </row>
    <row r="104" ht="15" customHeight="1">
      <c r="D104">
        <v>22</v>
      </c>
      <c r="E104" t="s">
        <v>1185</v>
      </c>
    </row>
    <row r="105" ht="15" customHeight="1">
      <c r="D105">
        <v>23</v>
      </c>
      <c r="E105" t="s">
        <v>1186</v>
      </c>
    </row>
    <row r="106" ht="15" customHeight="1">
      <c r="D106" t="s">
        <v>1150</v>
      </c>
    </row>
    <row r="107" ht="15" customHeight="1">
      <c r="D107">
        <v>24</v>
      </c>
      <c r="E107" t="s">
        <v>1187</v>
      </c>
    </row>
    <row r="108" ht="15" customHeight="1">
      <c r="D108">
        <v>25</v>
      </c>
      <c r="E108" t="s">
        <v>1188</v>
      </c>
    </row>
    <row r="109" ht="15" customHeight="1">
      <c r="D109">
        <v>26</v>
      </c>
      <c r="E109" t="s">
        <v>1189</v>
      </c>
    </row>
    <row r="111" ht="15" customHeight="1">
      <c r="D111" t="s">
        <v>1190</v>
      </c>
    </row>
    <row r="112" ht="15" customHeight="1">
      <c r="D112">
        <v>1</v>
      </c>
      <c r="E112" t="s">
        <v>1191</v>
      </c>
    </row>
    <row r="113" ht="15" customHeight="1">
      <c r="D113">
        <v>2</v>
      </c>
      <c r="E113" t="s">
        <v>1192</v>
      </c>
    </row>
    <row r="114" ht="15" customHeight="1">
      <c r="D114">
        <v>3</v>
      </c>
      <c r="E114" t="s">
        <v>1193</v>
      </c>
    </row>
    <row r="115" ht="15" customHeight="1">
      <c r="D115">
        <v>4</v>
      </c>
      <c r="E115" t="s">
        <v>1194</v>
      </c>
    </row>
    <row r="116" ht="15" customHeight="1">
      <c r="D116">
        <v>5</v>
      </c>
      <c r="E116" t="s">
        <v>1195</v>
      </c>
    </row>
    <row r="118" ht="60" customHeight="1">
      <c r="E118" t="s">
        <v>1196</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3D8BDC3-BCE2-E8A1-9685-40599814A4AD}" mc:Ignorable="x14ac xr xr2 xr3">
  <dimension ref="A1:CN117"/>
  <sheetViews>
    <sheetView topLeftCell="K1" zoomScale="80" workbookViewId="0">
      <selection activeCell="A3" sqref="A3"/>
    </sheetView>
  </sheetViews>
  <sheetFormatPr defaultRowHeight="15" defaultColWidth="9.140625" customHeight="1"/>
  <cols>
    <col min="1" max="1" width="25.140625" customWidth="1"/>
    <col min="2" max="2" width="29.7109375" customWidth="1"/>
    <col min="3" max="10" width="9.8515625" customWidth="1"/>
    <col min="11" max="11" width="3.00390625" customWidth="1"/>
    <col min="12" max="12" width="22.7109375" customWidth="1"/>
    <col min="21" max="21" width="3.00390625" customWidth="1"/>
    <col min="22" max="22" width="16.7109375" customWidth="1"/>
    <col min="23" max="23" width="7.57421875" customWidth="1"/>
    <col min="24" max="30" width="7.7109375" customWidth="1"/>
    <col min="31" max="31" width="3.28125" customWidth="1"/>
    <col min="32" max="32" width="3.00390625" customWidth="1"/>
    <col min="33" max="33" width="32.57421875" customWidth="1"/>
    <col min="34" max="41" width="9.57421875" customWidth="1"/>
    <col min="42" max="42" width="36.140625" customWidth="1"/>
    <col min="43" max="44" width="22.57421875" customWidth="1"/>
    <col min="45" max="45" width="19.57421875" customWidth="1"/>
    <col min="46" max="46" width="15.8515625" customWidth="1"/>
    <col min="47" max="47" width="14.8515625" customWidth="1"/>
    <col min="48" max="48" width="4.8515625" customWidth="1"/>
  </cols>
  <sheetData>
    <row r="1" ht="15" customHeight="1">
      <c r="A1" t="s">
        <v>1197</v>
      </c>
      <c r="L1" t="s">
        <v>1198</v>
      </c>
      <c r="V1" t="s">
        <v>1199</v>
      </c>
      <c r="AG1" t="s">
        <v>1200</v>
      </c>
      <c r="AP1" t="str">
        <f>IF('SBL Quotes'!B33="MAH","MAH","Conventional")</f>
        <v>Conventional</v>
      </c>
    </row>
    <row r="2" ht="15" customHeight="1">
      <c r="B2" t="s">
        <v>1201</v>
      </c>
      <c r="C2" t="s">
        <v>1202</v>
      </c>
      <c r="AG2" t="str">
        <f>IF($AP$1="MAH","Requires Manual Lookup",V5)</f>
        <v>Pass</v>
      </c>
      <c r="AH2" t="str">
        <f t="shared" si="0" ref="AH2:AO2">IF($AP$1="Conventional",IF(OR(W5=Pass,W5=Fail),"PD: "&amp;W5,"NA"),"? - MAH")</f>
        <v>NA</v>
      </c>
      <c r="AI2" t="str">
        <f t="shared" si="0"/>
        <v>NA</v>
      </c>
      <c r="AJ2" t="str">
        <f t="shared" si="0"/>
        <v>NA</v>
      </c>
      <c r="AK2" t="str">
        <f t="shared" si="0"/>
        <v>NA</v>
      </c>
      <c r="AL2" t="str">
        <f t="shared" si="0"/>
        <v>NA</v>
      </c>
      <c r="AM2" t="str">
        <f t="shared" si="0"/>
        <v>NA</v>
      </c>
      <c r="AN2" t="str">
        <f t="shared" si="0"/>
        <v>NA</v>
      </c>
      <c r="AO2" t="str">
        <f t="shared" si="0"/>
        <v>NA</v>
      </c>
    </row>
    <row r="3" ht="15" customHeight="1">
      <c r="B3" t="s">
        <v>1204</v>
      </c>
      <c r="C3" t="str">
        <f>IF(Loan_Option_Accepted&lt;=C4,"Selected","-")</f>
        <v>-</v>
      </c>
      <c r="D3" t="str">
        <f t="shared" si="1" ref="D3:J3">IF(Loan_Option_Accepted=D4,"Selected","-")</f>
        <v>-</v>
      </c>
      <c r="E3" t="str">
        <f t="shared" si="1"/>
        <v>-</v>
      </c>
      <c r="F3" t="str">
        <f t="shared" si="1"/>
        <v>-</v>
      </c>
      <c r="G3" t="str">
        <f t="shared" si="1"/>
        <v>-</v>
      </c>
      <c r="H3" t="str">
        <f t="shared" si="1"/>
        <v>-</v>
      </c>
      <c r="I3" t="str">
        <f t="shared" si="1"/>
        <v>-</v>
      </c>
      <c r="J3" t="str">
        <f t="shared" si="1"/>
        <v>-</v>
      </c>
      <c r="M3" t="str">
        <f t="shared" si="2" ref="M3:T3">C3</f>
        <v>-</v>
      </c>
      <c r="N3" t="str">
        <f t="shared" si="2"/>
        <v>-</v>
      </c>
      <c r="O3" t="str">
        <f t="shared" si="2"/>
        <v>-</v>
      </c>
      <c r="P3" t="str">
        <f t="shared" si="2"/>
        <v>-</v>
      </c>
      <c r="Q3" t="str">
        <f t="shared" si="2"/>
        <v>-</v>
      </c>
      <c r="R3" t="str">
        <f t="shared" si="2"/>
        <v>-</v>
      </c>
      <c r="S3" t="str">
        <f t="shared" si="2"/>
        <v>-</v>
      </c>
      <c r="T3" t="str">
        <f t="shared" si="2"/>
        <v>-</v>
      </c>
      <c r="V3" t="s">
        <v>1205</v>
      </c>
      <c r="W3" t="str">
        <f t="shared" si="3" ref="W3:AD3">C3</f>
        <v>-</v>
      </c>
      <c r="X3" t="str">
        <f t="shared" si="3"/>
        <v>-</v>
      </c>
      <c r="Y3" t="str">
        <f t="shared" si="3"/>
        <v>-</v>
      </c>
      <c r="Z3" t="str">
        <f t="shared" si="3"/>
        <v>-</v>
      </c>
      <c r="AA3" t="str">
        <f t="shared" si="3"/>
        <v>-</v>
      </c>
      <c r="AB3" t="str">
        <f t="shared" si="3"/>
        <v>-</v>
      </c>
      <c r="AC3" t="str">
        <f t="shared" si="3"/>
        <v>-</v>
      </c>
      <c r="AD3" t="str">
        <f t="shared" si="3"/>
        <v>-</v>
      </c>
      <c r="AH3" t="str">
        <f t="shared" si="4" ref="AH3:AO105">W3</f>
        <v>-</v>
      </c>
      <c r="AI3" t="str">
        <f t="shared" si="4"/>
        <v>-</v>
      </c>
      <c r="AJ3" t="str">
        <f t="shared" si="4"/>
        <v>-</v>
      </c>
      <c r="AK3" t="str">
        <f t="shared" si="4"/>
        <v>-</v>
      </c>
      <c r="AL3" t="str">
        <f t="shared" si="4"/>
        <v>-</v>
      </c>
      <c r="AM3" t="str">
        <f t="shared" si="4"/>
        <v>-</v>
      </c>
      <c r="AN3" t="str">
        <f t="shared" si="4"/>
        <v>-</v>
      </c>
      <c r="AO3" t="str">
        <f t="shared" si="4"/>
        <v>-</v>
      </c>
      <c r="AP3" t="s">
        <v>1206</v>
      </c>
    </row>
    <row r="4" ht="32.25" customHeight="1">
      <c r="C4">
        <v>1</v>
      </c>
      <c r="D4">
        <v>2</v>
      </c>
      <c r="E4">
        <v>3</v>
      </c>
      <c r="F4">
        <v>4</v>
      </c>
      <c r="G4">
        <v>5</v>
      </c>
      <c r="H4">
        <v>6</v>
      </c>
      <c r="I4">
        <v>7</v>
      </c>
      <c r="J4">
        <v>8</v>
      </c>
      <c r="L4" t="s">
        <v>1207</v>
      </c>
      <c r="M4" t="s">
        <v>539</v>
      </c>
      <c r="N4" t="s">
        <v>540</v>
      </c>
      <c r="O4" t="s">
        <v>541</v>
      </c>
      <c r="P4" t="s">
        <v>542</v>
      </c>
      <c r="Q4" t="s">
        <v>543</v>
      </c>
      <c r="R4" t="s">
        <v>544</v>
      </c>
      <c r="S4" t="s">
        <v>545</v>
      </c>
      <c r="T4" t="s">
        <v>546</v>
      </c>
      <c r="V4" t="s">
        <v>1207</v>
      </c>
      <c r="W4" t="s">
        <v>539</v>
      </c>
      <c r="X4" t="s">
        <v>540</v>
      </c>
      <c r="Y4" t="s">
        <v>541</v>
      </c>
      <c r="Z4" t="s">
        <v>542</v>
      </c>
      <c r="AA4" t="s">
        <v>543</v>
      </c>
      <c r="AB4" t="s">
        <v>544</v>
      </c>
      <c r="AC4" t="s">
        <v>545</v>
      </c>
      <c r="AD4" t="s">
        <v>546</v>
      </c>
      <c r="AG4" t="s">
        <v>1208</v>
      </c>
      <c r="AH4" t="s">
        <v>539</v>
      </c>
      <c r="AI4" t="s">
        <v>540</v>
      </c>
      <c r="AJ4" t="s">
        <v>541</v>
      </c>
      <c r="AK4" t="s">
        <v>542</v>
      </c>
      <c r="AL4" t="s">
        <v>543</v>
      </c>
      <c r="AM4" t="s">
        <v>544</v>
      </c>
      <c r="AN4" t="s">
        <v>545</v>
      </c>
      <c r="AO4" t="s">
        <v>546</v>
      </c>
    </row>
    <row r="5" ht="15.75" customHeight="1">
      <c r="A5" t="s">
        <v>1209</v>
      </c>
      <c r="B5">
        <f>_xlfn.IFERROR(LoanAmount,0)</f>
        <v>0</v>
      </c>
      <c r="C5">
        <f>'SBL Quotes'!R30</f>
        <v>0</v>
      </c>
      <c r="D5">
        <f>'SBL Quotes'!S30</f>
        <v>0</v>
      </c>
      <c r="E5">
        <f>'SBL Quotes'!T30</f>
        <v>0</v>
      </c>
      <c r="F5">
        <f>'SBL Quotes'!U30</f>
        <v>0</v>
      </c>
      <c r="G5">
        <f>'SBL Quotes'!V30</f>
        <v>0</v>
      </c>
      <c r="H5">
        <f>'SBL Quotes'!W30</f>
        <v>0</v>
      </c>
      <c r="I5">
        <f>'SBL Quotes'!X30</f>
        <v>0</v>
      </c>
      <c r="J5">
        <f>'SBL Quotes'!Y30</f>
        <v>0</v>
      </c>
      <c r="V5" t="str">
        <f>IF(COUNTIF(V6:V70,"=Fail")=0,Pass,IF(B5&gt;0,Fail,"NA"))</f>
        <v>Pass</v>
      </c>
      <c r="W5" t="str">
        <f t="shared" si="5" ref="W5:AD5">IF(C5=0,"NA",IF(COUNTIF(W6:W70,"=Fail")=0,Pass,Fail))</f>
        <v>NA</v>
      </c>
      <c r="X5" t="str">
        <f t="shared" si="5"/>
        <v>NA</v>
      </c>
      <c r="Y5" t="str">
        <f t="shared" si="5"/>
        <v>NA</v>
      </c>
      <c r="Z5" t="str">
        <f t="shared" si="5"/>
        <v>NA</v>
      </c>
      <c r="AA5" t="str">
        <f t="shared" si="5"/>
        <v>NA</v>
      </c>
      <c r="AB5" t="str">
        <f t="shared" si="5"/>
        <v>NA</v>
      </c>
      <c r="AC5" t="str">
        <f t="shared" si="5"/>
        <v>NA</v>
      </c>
      <c r="AD5" t="str">
        <f t="shared" si="5"/>
        <v>NA</v>
      </c>
      <c r="AG5" t="s">
        <v>1210</v>
      </c>
    </row>
    <row r="6" ht="15.75" customHeight="1">
      <c r="A6" t="s">
        <v>1211</v>
      </c>
      <c r="B6" t="b">
        <f>'SBL Quotes'!B33="MAH"</f>
        <v>0</v>
      </c>
      <c r="AG6" t="s">
        <v>1212</v>
      </c>
    </row>
    <row r="7" ht="15" customHeight="1">
      <c r="A7" t="s">
        <v>1213</v>
      </c>
      <c r="B7" t="str">
        <f>Interest_Rate_Type</f>
        <v>Fixed</v>
      </c>
      <c r="C7" t="str">
        <f>IF(ISERROR(FIND("Fixed",'SBL Quotes'!R26)),"Variable","Fixed")</f>
        <v>Fixed</v>
      </c>
      <c r="D7" t="str">
        <f>IF(ISERROR(FIND("Fixed",'SBL Quotes'!S26)),"Variable","Fixed")</f>
        <v>Fixed</v>
      </c>
      <c r="E7" t="str">
        <f>IF(ISERROR(FIND("Fixed",'SBL Quotes'!T26)),"Variable","Fixed")</f>
        <v>Fixed</v>
      </c>
      <c r="F7" t="str">
        <f>IF(ISERROR(FIND("Fixed",'SBL Quotes'!U26)),"Variable","Fixed")</f>
        <v>Fixed</v>
      </c>
      <c r="G7" t="str">
        <f>IF(ISERROR(FIND("Fixed",'SBL Quotes'!V26)),"Variable","Fixed")</f>
        <v>Fixed</v>
      </c>
      <c r="H7" t="str">
        <f>IF(ISERROR(FIND("Fixed",'SBL Quotes'!W26)),"Variable","Fixed")</f>
        <v>Fixed</v>
      </c>
      <c r="I7" t="str">
        <f>IF(ISERROR(FIND("Fixed",'SBL Quotes'!X26)),"Variable","Fixed")</f>
        <v>Fixed</v>
      </c>
      <c r="J7" t="str">
        <f>IF(ISERROR(FIND("Fixed",'SBL Quotes'!Y26)),"Variable","Fixed")</f>
        <v>Variable</v>
      </c>
      <c r="L7" t="s">
        <v>384</v>
      </c>
      <c r="M7" t="s">
        <v>507</v>
      </c>
      <c r="N7" t="s">
        <v>507</v>
      </c>
      <c r="O7" t="s">
        <v>507</v>
      </c>
      <c r="P7" t="s">
        <v>507</v>
      </c>
      <c r="Q7" t="s">
        <v>507</v>
      </c>
      <c r="R7" t="s">
        <v>507</v>
      </c>
      <c r="S7" t="s">
        <v>507</v>
      </c>
      <c r="T7" t="s">
        <v>507</v>
      </c>
      <c r="V7" t="str">
        <f t="shared" si="6" ref="V7:AD7">IF(B7=$L7,Pass,Fail)</f>
        <v>Pass</v>
      </c>
      <c r="W7" t="str">
        <f t="shared" si="6"/>
        <v>Pass</v>
      </c>
      <c r="X7" t="str">
        <f t="shared" si="6"/>
        <v>Pass</v>
      </c>
      <c r="Y7" t="str">
        <f t="shared" si="6"/>
        <v>Pass</v>
      </c>
      <c r="Z7" t="str">
        <f t="shared" si="6"/>
        <v>Pass</v>
      </c>
      <c r="AA7" t="str">
        <f t="shared" si="6"/>
        <v>Pass</v>
      </c>
      <c r="AB7" t="str">
        <f t="shared" si="6"/>
        <v>Pass</v>
      </c>
      <c r="AC7" t="str">
        <f t="shared" si="6"/>
        <v>Pass</v>
      </c>
      <c r="AD7" t="str">
        <f t="shared" si="6"/>
        <v>Fail</v>
      </c>
      <c r="AG7" t="s">
        <v>1216</v>
      </c>
      <c r="AH7" t="str">
        <f t="shared" si="4"/>
        <v>Pass</v>
      </c>
      <c r="AI7" t="str">
        <f t="shared" si="4"/>
        <v>Pass</v>
      </c>
      <c r="AJ7" t="str">
        <f t="shared" si="4"/>
        <v>Pass</v>
      </c>
      <c r="AK7" t="str">
        <f t="shared" si="4"/>
        <v>Pass</v>
      </c>
      <c r="AL7" t="str">
        <f t="shared" si="4"/>
        <v>Pass</v>
      </c>
      <c r="AM7" t="str">
        <f t="shared" si="4"/>
        <v>Pass</v>
      </c>
      <c r="AN7" t="str">
        <f t="shared" si="4"/>
        <v>Pass</v>
      </c>
      <c r="AO7" t="str">
        <f t="shared" si="4"/>
        <v>Fail</v>
      </c>
      <c r="AP7" t="s">
        <v>1217</v>
      </c>
    </row>
    <row r="8" ht="15.75" customHeight="1">
      <c r="A8" t="s">
        <v>204</v>
      </c>
      <c r="B8" t="e">
        <f>Requested_Tier</f>
        <v>#NAME?</v>
      </c>
      <c r="C8">
        <f>'SBL Quotes'!R39</f>
        <v>2</v>
      </c>
      <c r="D8">
        <f>'SBL Quotes'!S39</f>
        <v>2</v>
      </c>
      <c r="E8">
        <f>'SBL Quotes'!T39</f>
        <v>2</v>
      </c>
      <c r="F8">
        <f>'SBL Quotes'!U39</f>
        <v>3</v>
      </c>
      <c r="G8">
        <f>'SBL Quotes'!V39</f>
        <v>4</v>
      </c>
      <c r="H8">
        <f>'SBL Quotes'!W39</f>
        <v>3</v>
      </c>
      <c r="I8">
        <f>'SBL Quotes'!X39</f>
        <v>4</v>
      </c>
      <c r="J8">
        <f>'SBL Quotes'!Y39</f>
        <v>2</v>
      </c>
    </row>
    <row r="9" ht="15" customHeight="1">
      <c r="A9" t="s">
        <v>1218</v>
      </c>
      <c r="B9">
        <f>SblQuotes_FannieMktTier</f>
        <v>0</v>
      </c>
      <c r="L9">
        <f>_xlfn.LET(_xlpm.IsPriorityBorrower,B13,_xlpm.IsStrongMktOrEligibleMSA,B14,_xlpm.LTV,B11,_xlpm.MaxLTV,65%,IF(AND(_xlpm.IsStrongMktOrEligibleMSA,_xlpm.LTV&lt;=_xlpm.MaxLTV),AR9,IF(OR(_xlpm.IsStrongMktOrEligibleMSA,_xlpm.IsPriorityBorrower),AR10,AR11)))</f>
        <v>9000000</v>
      </c>
      <c r="M9" t="s">
        <v>507</v>
      </c>
      <c r="N9" t="s">
        <v>507</v>
      </c>
      <c r="O9" t="s">
        <v>507</v>
      </c>
      <c r="P9" t="s">
        <v>507</v>
      </c>
      <c r="Q9" t="s">
        <v>507</v>
      </c>
      <c r="R9" t="s">
        <v>507</v>
      </c>
      <c r="S9" t="s">
        <v>507</v>
      </c>
      <c r="T9" t="s">
        <v>507</v>
      </c>
      <c r="V9" t="str">
        <f t="shared" si="7" ref="V9:AD9">IF(B5&lt;$AR$11,Pass,Fail)</f>
        <v>Pass</v>
      </c>
      <c r="W9" t="str">
        <f t="shared" si="7"/>
        <v>Pass</v>
      </c>
      <c r="X9" t="str">
        <f t="shared" si="7"/>
        <v>Pass</v>
      </c>
      <c r="Y9" t="str">
        <f t="shared" si="7"/>
        <v>Pass</v>
      </c>
      <c r="Z9" t="str">
        <f t="shared" si="7"/>
        <v>Pass</v>
      </c>
      <c r="AA9" t="str">
        <f t="shared" si="7"/>
        <v>Pass</v>
      </c>
      <c r="AB9" t="str">
        <f t="shared" si="7"/>
        <v>Pass</v>
      </c>
      <c r="AC9" t="str">
        <f t="shared" si="7"/>
        <v>Pass</v>
      </c>
      <c r="AD9" t="str">
        <f t="shared" si="7"/>
        <v>Pass</v>
      </c>
      <c r="AG9" t="s">
        <v>1219</v>
      </c>
      <c r="AH9" t="str">
        <f t="shared" si="4"/>
        <v>Pass</v>
      </c>
      <c r="AI9" t="str">
        <f t="shared" si="4"/>
        <v>Pass</v>
      </c>
      <c r="AJ9" t="str">
        <f t="shared" si="4"/>
        <v>Pass</v>
      </c>
      <c r="AK9" t="str">
        <f t="shared" si="4"/>
        <v>Pass</v>
      </c>
      <c r="AL9" t="str">
        <f t="shared" si="4"/>
        <v>Pass</v>
      </c>
      <c r="AM9" t="str">
        <f t="shared" si="4"/>
        <v>Pass</v>
      </c>
      <c r="AN9" t="str">
        <f t="shared" si="4"/>
        <v>Pass</v>
      </c>
      <c r="AO9" t="str">
        <f t="shared" si="4"/>
        <v>Pass</v>
      </c>
      <c r="AP9" t="s">
        <v>1220</v>
      </c>
      <c r="AQ9" t="s">
        <v>1221</v>
      </c>
      <c r="AR9">
        <f>AR11</f>
        <v>9000000</v>
      </c>
    </row>
    <row r="10" ht="15" customHeight="1">
      <c r="A10" t="s">
        <v>680</v>
      </c>
      <c r="B10">
        <f>MSA_DataPageTab</f>
      </c>
      <c r="AG10" t="str">
        <f t="shared" si="25" ref="AG10:AG107">"Loan Amt: "&amp;TEXT($B$5,"$0,000")</f>
        <v>Loan Amt: $0,000</v>
      </c>
      <c r="AQ10" t="s">
        <v>1223</v>
      </c>
      <c r="AR10">
        <f>AR11</f>
        <v>9000000</v>
      </c>
    </row>
    <row r="11" ht="15.75" customHeight="1">
      <c r="A11" t="s">
        <v>760</v>
      </c>
      <c r="B11">
        <f>LTV</f>
        <v>0</v>
      </c>
      <c r="C11">
        <f>_xlfn.LET(_xlpm.LTV,'SBL Quotes'!R16,IF(LEN(_xlpm.LTV)&gt;0,_xlpm.LTV,0))</f>
        <v>0</v>
      </c>
      <c r="D11">
        <f>_xlfn.LET(_xlpm.LTV,'SBL Quotes'!S16,IF(LEN(_xlpm.LTV)&gt;0,_xlpm.LTV,0))</f>
        <v>0</v>
      </c>
      <c r="E11">
        <f>_xlfn.LET(_xlpm.LTV,'SBL Quotes'!T16,IF(LEN(_xlpm.LTV)&gt;0,_xlpm.LTV,0))</f>
        <v>0</v>
      </c>
      <c r="F11">
        <f>_xlfn.LET(_xlpm.LTV,'SBL Quotes'!U16,IF(LEN(_xlpm.LTV)&gt;0,_xlpm.LTV,0))</f>
        <v>0</v>
      </c>
      <c r="G11">
        <f>_xlfn.LET(_xlpm.LTV,'SBL Quotes'!V16,IF(LEN(_xlpm.LTV)&gt;0,_xlpm.LTV,0))</f>
        <v>0</v>
      </c>
      <c r="H11">
        <f>_xlfn.LET(_xlpm.LTV,'SBL Quotes'!W16,IF(LEN(_xlpm.LTV)&gt;0,_xlpm.LTV,0))</f>
        <v>0</v>
      </c>
      <c r="I11">
        <f>_xlfn.LET(_xlpm.LTV,'SBL Quotes'!X16,IF(LEN(_xlpm.LTV)&gt;0,_xlpm.LTV,0))</f>
        <v>0</v>
      </c>
      <c r="J11">
        <f>_xlfn.LET(_xlpm.LTV,'SBL Quotes'!Y16,IF(LEN(_xlpm.LTV)&gt;0,_xlpm.LTV,0))</f>
        <v>0</v>
      </c>
      <c r="AP11" t="s">
        <v>1224</v>
      </c>
      <c r="AR11">
        <v>9000000</v>
      </c>
    </row>
    <row r="12" ht="15" customHeight="1">
      <c r="A12" t="s">
        <v>1225</v>
      </c>
      <c r="B12">
        <f>Actual_UW_DSCR</f>
        <v>0</v>
      </c>
      <c r="C12">
        <f>_xlfn.LET(_xlpm.DSCR,'SBL Quotes'!R15,IF(LEN(_xlpm.DSCR)&gt;0,_xlpm.DSCR,0))</f>
        <v>0</v>
      </c>
      <c r="D12">
        <f>_xlfn.LET(_xlpm.DSCR,'SBL Quotes'!S15,IF(LEN(_xlpm.DSCR)&gt;0,_xlpm.DSCR,0))</f>
        <v>0</v>
      </c>
      <c r="E12">
        <f>_xlfn.LET(_xlpm.DSCR,'SBL Quotes'!T15,IF(LEN(_xlpm.DSCR)&gt;0,_xlpm.DSCR,0))</f>
        <v>0</v>
      </c>
      <c r="F12">
        <f>_xlfn.LET(_xlpm.DSCR,'SBL Quotes'!U15,IF(LEN(_xlpm.DSCR)&gt;0,_xlpm.DSCR,0))</f>
        <v>0</v>
      </c>
      <c r="G12">
        <f>_xlfn.LET(_xlpm.DSCR,'SBL Quotes'!V15,IF(LEN(_xlpm.DSCR)&gt;0,_xlpm.DSCR,0))</f>
        <v>0</v>
      </c>
      <c r="H12">
        <f>_xlfn.LET(_xlpm.DSCR,'SBL Quotes'!W15,IF(LEN(_xlpm.DSCR)&gt;0,_xlpm.DSCR,0))</f>
        <v>0</v>
      </c>
      <c r="I12">
        <f>_xlfn.LET(_xlpm.DSCR,'SBL Quotes'!X15,IF(LEN(_xlpm.DSCR)&gt;0,_xlpm.DSCR,0))</f>
        <v>0</v>
      </c>
      <c r="J12">
        <f>_xlfn.LET(_xlpm.DSCR,'SBL Quotes'!Y15,IF(LEN(_xlpm.DSCR)&gt;0,_xlpm.DSCR,0))</f>
        <v>0</v>
      </c>
      <c r="L12">
        <f t="shared" si="8" ref="L12:T12">_xlfn.LET(_xlpm.LTV,B11,_xlpm.MaxLTV,65%,IF(_xlpm.LTV&gt;_xlpm.MaxLTV,$AQ13,$AQ14))</f>
        <v>0.07</v>
      </c>
      <c r="M12">
        <f t="shared" si="8"/>
        <v>0.07</v>
      </c>
      <c r="N12">
        <f t="shared" si="8"/>
        <v>0.07</v>
      </c>
      <c r="O12">
        <f t="shared" si="8"/>
        <v>0.07</v>
      </c>
      <c r="P12">
        <f t="shared" si="8"/>
        <v>0.07</v>
      </c>
      <c r="Q12">
        <f t="shared" si="8"/>
        <v>0.07</v>
      </c>
      <c r="R12">
        <f t="shared" si="8"/>
        <v>0.07</v>
      </c>
      <c r="S12">
        <f t="shared" si="8"/>
        <v>0.07</v>
      </c>
      <c r="T12">
        <f t="shared" si="8"/>
        <v>0.07</v>
      </c>
      <c r="V12" t="e">
        <f>IF(B15="N/A","NA",IF(B15&gt;=L12,Pass,Fail))</f>
        <v>#NAME?</v>
      </c>
      <c r="W12" t="str">
        <f t="shared" si="9" ref="W12:AD12">IF(OR(C5=0,C15="N/A"),"NA",IF(C15&gt;=M12,Pass,Fail))</f>
        <v>NA</v>
      </c>
      <c r="X12" t="str">
        <f t="shared" si="9"/>
        <v>NA</v>
      </c>
      <c r="Y12" t="str">
        <f t="shared" si="9"/>
        <v>NA</v>
      </c>
      <c r="Z12" t="str">
        <f t="shared" si="9"/>
        <v>NA</v>
      </c>
      <c r="AA12" t="str">
        <f t="shared" si="9"/>
        <v>NA</v>
      </c>
      <c r="AB12" t="str">
        <f t="shared" si="9"/>
        <v>NA</v>
      </c>
      <c r="AC12" t="str">
        <f t="shared" si="9"/>
        <v>NA</v>
      </c>
      <c r="AD12" t="str">
        <f t="shared" si="9"/>
        <v>NA</v>
      </c>
      <c r="AG12" t="s">
        <v>1226</v>
      </c>
      <c r="AH12" t="str">
        <f t="shared" si="4"/>
        <v>NA</v>
      </c>
      <c r="AI12" t="str">
        <f t="shared" si="4"/>
        <v>NA</v>
      </c>
      <c r="AJ12" t="str">
        <f t="shared" si="4"/>
        <v>NA</v>
      </c>
      <c r="AK12" t="str">
        <f t="shared" si="4"/>
        <v>NA</v>
      </c>
      <c r="AL12" t="str">
        <f t="shared" si="4"/>
        <v>NA</v>
      </c>
      <c r="AM12" t="str">
        <f t="shared" si="4"/>
        <v>NA</v>
      </c>
      <c r="AN12" t="str">
        <f t="shared" si="4"/>
        <v>NA</v>
      </c>
      <c r="AO12" t="str">
        <f t="shared" si="4"/>
        <v>NA</v>
      </c>
    </row>
    <row r="13" ht="15" customHeight="1">
      <c r="A13" t="s">
        <v>1227</v>
      </c>
      <c r="B13" t="b">
        <f>BorrowerPriority="Priority Borrower"</f>
        <v>0</v>
      </c>
      <c r="C13" t="b">
        <f t="shared" si="10" ref="C13:J36">$B13</f>
        <v>0</v>
      </c>
      <c r="D13" t="b">
        <f t="shared" si="10"/>
        <v>0</v>
      </c>
      <c r="E13" t="b">
        <f t="shared" si="10"/>
        <v>0</v>
      </c>
      <c r="F13" t="b">
        <f t="shared" si="10"/>
        <v>0</v>
      </c>
      <c r="G13" t="b">
        <f t="shared" si="10"/>
        <v>0</v>
      </c>
      <c r="H13" t="b">
        <f t="shared" si="10"/>
        <v>0</v>
      </c>
      <c r="I13" t="b">
        <f t="shared" si="10"/>
        <v>0</v>
      </c>
      <c r="J13" t="b">
        <f t="shared" si="10"/>
        <v>0</v>
      </c>
      <c r="AG13" t="e">
        <f>"Base Exit Rate: "&amp;TEXT(B15,"0.00%")</f>
        <v>#NAME?</v>
      </c>
      <c r="AP13" t="s">
        <v>1228</v>
      </c>
      <c r="AQ13">
        <v>0.075</v>
      </c>
    </row>
    <row r="14" ht="15.75" customHeight="1">
      <c r="A14" t="s">
        <v>1229</v>
      </c>
      <c r="B14" t="b">
        <f>OR(B9="Strong",B9="Eligible")</f>
        <v>0</v>
      </c>
      <c r="C14" t="b">
        <f t="shared" si="10"/>
        <v>0</v>
      </c>
      <c r="D14" t="b">
        <f t="shared" si="10"/>
        <v>0</v>
      </c>
      <c r="E14" t="b">
        <f t="shared" si="10"/>
        <v>0</v>
      </c>
      <c r="F14" t="b">
        <f t="shared" si="10"/>
        <v>0</v>
      </c>
      <c r="G14" t="b">
        <f t="shared" si="10"/>
        <v>0</v>
      </c>
      <c r="H14" t="b">
        <f t="shared" si="10"/>
        <v>0</v>
      </c>
      <c r="I14" t="b">
        <f t="shared" si="10"/>
        <v>0</v>
      </c>
      <c r="J14" t="b">
        <f t="shared" si="10"/>
        <v>0</v>
      </c>
      <c r="AG14" t="str">
        <f t="shared" si="13" ref="AG14:AG108">"LTV: "&amp;TEXT($B$11,"0.00%")</f>
        <v>LTV: 0.00%</v>
      </c>
      <c r="AP14" t="s">
        <v>1231</v>
      </c>
      <c r="AQ14">
        <v>0.07</v>
      </c>
    </row>
    <row r="15" ht="15" customHeight="1">
      <c r="A15" t="s">
        <v>1232</v>
      </c>
      <c r="B15" t="e">
        <f>Exit_Rate_Standard</f>
        <v>#NAME?</v>
      </c>
      <c r="C15">
        <f>_xlfn.LET(_xlpm.baseExitRate,'SBL Quotes'!R93,IF(LEN(_xlpm.baseExitRate)&gt;0,_xlpm.baseExitRate,0))</f>
        <v>0</v>
      </c>
      <c r="D15">
        <f>_xlfn.LET(_xlpm.baseExitRate,'SBL Quotes'!S93,IF(LEN(_xlpm.baseExitRate)&gt;0,_xlpm.baseExitRate,0))</f>
        <v>0</v>
      </c>
      <c r="E15">
        <f>_xlfn.LET(_xlpm.baseExitRate,'SBL Quotes'!T93,IF(LEN(_xlpm.baseExitRate)&gt;0,_xlpm.baseExitRate,0))</f>
        <v>0</v>
      </c>
      <c r="F15">
        <f>_xlfn.LET(_xlpm.baseExitRate,'SBL Quotes'!U93,IF(LEN(_xlpm.baseExitRate)&gt;0,_xlpm.baseExitRate,0))</f>
        <v>0</v>
      </c>
      <c r="G15">
        <f>_xlfn.LET(_xlpm.baseExitRate,'SBL Quotes'!V93,IF(LEN(_xlpm.baseExitRate)&gt;0,_xlpm.baseExitRate,0))</f>
        <v>0</v>
      </c>
      <c r="H15">
        <f>_xlfn.LET(_xlpm.baseExitRate,'SBL Quotes'!W93,IF(LEN(_xlpm.baseExitRate)&gt;0,_xlpm.baseExitRate,0))</f>
        <v>0</v>
      </c>
      <c r="I15">
        <f>_xlfn.LET(_xlpm.baseExitRate,'SBL Quotes'!X93,IF(LEN(_xlpm.baseExitRate)&gt;0,_xlpm.baseExitRate,0))</f>
        <v>0</v>
      </c>
      <c r="J15">
        <f>_xlfn.LET(_xlpm.baseExitRate,'SBL Quotes'!Y93,IF(LEN(_xlpm.baseExitRate)&gt;0,_xlpm.baseExitRate,0))</f>
        <v>0</v>
      </c>
      <c r="V15" t="str">
        <f t="shared" si="11" ref="V15:AD15">IF($B17,IF(AND(B12&gt;=$L17,B11&lt;=$L18),Pass,Fail),"NA")</f>
        <v>NA</v>
      </c>
      <c r="W15" t="str">
        <f t="shared" si="11"/>
        <v>NA</v>
      </c>
      <c r="X15" t="str">
        <f t="shared" si="11"/>
        <v>NA</v>
      </c>
      <c r="Y15" t="str">
        <f t="shared" si="11"/>
        <v>NA</v>
      </c>
      <c r="Z15" t="str">
        <f t="shared" si="11"/>
        <v>NA</v>
      </c>
      <c r="AA15" t="str">
        <f t="shared" si="11"/>
        <v>NA</v>
      </c>
      <c r="AB15" t="str">
        <f t="shared" si="11"/>
        <v>NA</v>
      </c>
      <c r="AC15" t="str">
        <f t="shared" si="11"/>
        <v>NA</v>
      </c>
      <c r="AD15" t="str">
        <f t="shared" si="11"/>
        <v>NA</v>
      </c>
      <c r="AG15" t="s">
        <v>1233</v>
      </c>
      <c r="AH15" t="str">
        <f t="shared" si="4"/>
        <v>NA</v>
      </c>
      <c r="AI15" t="str">
        <f t="shared" si="4"/>
        <v>NA</v>
      </c>
      <c r="AJ15" t="str">
        <f t="shared" si="4"/>
        <v>NA</v>
      </c>
      <c r="AK15" t="str">
        <f t="shared" si="4"/>
        <v>NA</v>
      </c>
      <c r="AL15" t="str">
        <f t="shared" si="4"/>
        <v>NA</v>
      </c>
      <c r="AM15" t="str">
        <f t="shared" si="4"/>
        <v>NA</v>
      </c>
      <c r="AN15" t="str">
        <f t="shared" si="4"/>
        <v>NA</v>
      </c>
      <c r="AO15" t="str">
        <f t="shared" si="4"/>
        <v>NA</v>
      </c>
      <c r="AP15" t="s">
        <v>1234</v>
      </c>
      <c r="AQ15" t="s">
        <v>1235</v>
      </c>
    </row>
    <row r="16" ht="15" customHeight="1">
      <c r="AQ16" t="s">
        <v>1236</v>
      </c>
    </row>
    <row r="17" ht="15" customHeight="1">
      <c r="A17" t="s">
        <v>1237</v>
      </c>
      <c r="B17" t="b">
        <f>OR($B$10=AQ15,$B$10=AQ16)</f>
        <v>0</v>
      </c>
      <c r="C17" t="b">
        <f t="shared" si="10"/>
        <v>0</v>
      </c>
      <c r="D17" t="b">
        <f t="shared" si="10"/>
        <v>0</v>
      </c>
      <c r="E17" t="b">
        <f t="shared" si="10"/>
        <v>0</v>
      </c>
      <c r="F17" t="b">
        <f t="shared" si="10"/>
        <v>0</v>
      </c>
      <c r="G17" t="b">
        <f t="shared" si="10"/>
        <v>0</v>
      </c>
      <c r="H17" t="b">
        <f t="shared" si="10"/>
        <v>0</v>
      </c>
      <c r="I17" t="b">
        <f t="shared" si="10"/>
        <v>0</v>
      </c>
      <c r="J17" t="b">
        <f t="shared" si="10"/>
        <v>0</v>
      </c>
      <c r="L17">
        <f t="shared" si="12" ref="L17:L18">AR18</f>
        <v>1.3</v>
      </c>
      <c r="M17" t="s">
        <v>507</v>
      </c>
      <c r="N17" t="s">
        <v>507</v>
      </c>
      <c r="O17" t="s">
        <v>507</v>
      </c>
      <c r="P17" t="s">
        <v>507</v>
      </c>
      <c r="Q17" t="s">
        <v>507</v>
      </c>
      <c r="R17" t="s">
        <v>507</v>
      </c>
      <c r="S17" t="s">
        <v>507</v>
      </c>
      <c r="T17" t="s">
        <v>507</v>
      </c>
      <c r="AP17" t="s">
        <v>1238</v>
      </c>
    </row>
    <row r="18" ht="15" customHeight="1">
      <c r="L18">
        <f t="shared" si="12"/>
        <v>0.7</v>
      </c>
      <c r="M18" t="s">
        <v>507</v>
      </c>
      <c r="N18" t="s">
        <v>507</v>
      </c>
      <c r="O18" t="s">
        <v>507</v>
      </c>
      <c r="P18" t="s">
        <v>507</v>
      </c>
      <c r="Q18" t="s">
        <v>507</v>
      </c>
      <c r="R18" t="s">
        <v>507</v>
      </c>
      <c r="S18" t="s">
        <v>507</v>
      </c>
      <c r="T18" t="s">
        <v>507</v>
      </c>
      <c r="AG18" t="str">
        <f>"DSCR: "&amp;TEXT(B12,"0.000")</f>
        <v>DSCR: 0.000</v>
      </c>
      <c r="AP18" t="s">
        <v>1240</v>
      </c>
      <c r="AQ18" t="s">
        <v>1241</v>
      </c>
      <c r="AR18">
        <v>1.3</v>
      </c>
    </row>
    <row r="19" ht="15.75" customHeight="1">
      <c r="A19" t="s">
        <v>1242</v>
      </c>
      <c r="B19" t="e">
        <f t="shared" si="22" ref="B19:B108">Term</f>
        <v>#NAME?</v>
      </c>
      <c r="C19">
        <f>'SBL Quotes'!R98</f>
        <v>10</v>
      </c>
      <c r="D19">
        <f>'SBL Quotes'!S98</f>
        <v>12</v>
      </c>
      <c r="E19">
        <f>'SBL Quotes'!T98</f>
        <v>15</v>
      </c>
      <c r="F19">
        <f>'SBL Quotes'!U98</f>
        <v>10</v>
      </c>
      <c r="G19">
        <f>'SBL Quotes'!V98</f>
        <v>10</v>
      </c>
      <c r="H19">
        <f>'SBL Quotes'!W98</f>
        <v>5</v>
      </c>
      <c r="I19">
        <f>'SBL Quotes'!X98</f>
        <v>5</v>
      </c>
      <c r="J19">
        <f>'SBL Quotes'!Y98</f>
        <v>10</v>
      </c>
      <c r="AG19" t="str">
        <f t="shared" si="13"/>
        <v>LTV: 0.00%</v>
      </c>
      <c r="AP19" t="s">
        <v>760</v>
      </c>
      <c r="AQ19" t="s">
        <v>1243</v>
      </c>
      <c r="AR19">
        <v>0.7</v>
      </c>
    </row>
    <row r="20" ht="15" customHeight="1">
      <c r="A20" t="s">
        <v>1244</v>
      </c>
      <c r="B20" t="e">
        <f>InterestOnly</f>
        <v>#NAME?</v>
      </c>
      <c r="C20">
        <f>_xlfn.LET(_xlpm.requested_yrs_of_io,'SBL Quotes'!R43,IF(LEN(_xlpm.requested_yrs_of_io)&gt;0,_xlpm.requested_yrs_of_io,0))</f>
        <v>0</v>
      </c>
      <c r="D20">
        <f>_xlfn.LET(_xlpm.requested_yrs_of_io,'SBL Quotes'!S43,IF(LEN(_xlpm.requested_yrs_of_io)&gt;0,_xlpm.requested_yrs_of_io,0))</f>
        <v>0</v>
      </c>
      <c r="E20">
        <f>_xlfn.LET(_xlpm.requested_yrs_of_io,'SBL Quotes'!T43,IF(LEN(_xlpm.requested_yrs_of_io)&gt;0,_xlpm.requested_yrs_of_io,0))</f>
        <v>0</v>
      </c>
      <c r="F20">
        <f>_xlfn.LET(_xlpm.requested_yrs_of_io,'SBL Quotes'!U43,IF(LEN(_xlpm.requested_yrs_of_io)&gt;0,_xlpm.requested_yrs_of_io,0))</f>
        <v>5</v>
      </c>
      <c r="G20">
        <f>_xlfn.LET(_xlpm.requested_yrs_of_io,'SBL Quotes'!V43,IF(LEN(_xlpm.requested_yrs_of_io)&gt;0,_xlpm.requested_yrs_of_io,0))</f>
        <v>10</v>
      </c>
      <c r="H20">
        <f>_xlfn.LET(_xlpm.requested_yrs_of_io,'SBL Quotes'!W43,IF(LEN(_xlpm.requested_yrs_of_io)&gt;0,_xlpm.requested_yrs_of_io,0))</f>
        <v>2</v>
      </c>
      <c r="I20">
        <f>_xlfn.LET(_xlpm.requested_yrs_of_io,'SBL Quotes'!X43,IF(LEN(_xlpm.requested_yrs_of_io)&gt;0,_xlpm.requested_yrs_of_io,0))</f>
        <v>5</v>
      </c>
      <c r="J20">
        <f>_xlfn.LET(_xlpm.requested_yrs_of_io,'SBL Quotes'!Y43,IF(LEN(_xlpm.requested_yrs_of_io)&gt;0,_xlpm.requested_yrs_of_io,0))</f>
        <v>0</v>
      </c>
      <c r="L20" t="e">
        <f t="shared" si="14" ref="L20:T20">IF(B8=4,$AS$24,0)+IF(B8=3,$AS$23,0)+IF(AND(B8=2,B11&lt;=$AQ$22),$AS$22,0)+IF(AND(B8=2,B11&gt;$AQ$21),$AS$21,0)</f>
        <v>#NAME?</v>
      </c>
      <c r="M20" t="e">
        <f t="shared" si="14"/>
        <v>#NAME?</v>
      </c>
      <c r="N20" t="e">
        <f t="shared" si="14"/>
        <v>#NAME?</v>
      </c>
      <c r="O20" t="e">
        <f t="shared" si="14"/>
        <v>#NAME?</v>
      </c>
      <c r="P20" t="e">
        <f t="shared" si="14"/>
        <v>#NAME?</v>
      </c>
      <c r="Q20" t="e">
        <f t="shared" si="14"/>
        <v>#NAME?</v>
      </c>
      <c r="R20" t="e">
        <f t="shared" si="14"/>
        <v>#NAME?</v>
      </c>
      <c r="S20" t="e">
        <f t="shared" si="14"/>
        <v>#NAME?</v>
      </c>
      <c r="T20" t="e">
        <f t="shared" si="14"/>
        <v>#NAME?</v>
      </c>
      <c r="V20" t="e">
        <f t="shared" si="15" ref="V20:AD20">IF(B20=0,"NA",IF(B20&lt;=L20,Pass,Fail))</f>
        <v>#NAME?</v>
      </c>
      <c r="W20" t="str">
        <f t="shared" si="15"/>
        <v>NA</v>
      </c>
      <c r="X20" t="str">
        <f t="shared" si="15"/>
        <v>NA</v>
      </c>
      <c r="Y20" t="str">
        <f t="shared" si="15"/>
        <v>NA</v>
      </c>
      <c r="Z20" t="e">
        <f t="shared" si="15"/>
        <v>#NAME?</v>
      </c>
      <c r="AA20" t="e">
        <f t="shared" si="15"/>
        <v>#NAME?</v>
      </c>
      <c r="AB20" t="e">
        <f t="shared" si="15"/>
        <v>#NAME?</v>
      </c>
      <c r="AC20" t="e">
        <f t="shared" si="15"/>
        <v>#NAME?</v>
      </c>
      <c r="AD20" t="str">
        <f t="shared" si="15"/>
        <v>NA</v>
      </c>
      <c r="AG20" t="s">
        <v>228</v>
      </c>
      <c r="AH20" t="str">
        <f t="shared" si="4"/>
        <v>NA</v>
      </c>
      <c r="AI20" t="str">
        <f t="shared" si="4"/>
        <v>NA</v>
      </c>
      <c r="AJ20" t="str">
        <f t="shared" si="4"/>
        <v>NA</v>
      </c>
      <c r="AK20" t="e">
        <f t="shared" si="4"/>
        <v>#NAME?</v>
      </c>
      <c r="AL20" t="e">
        <f t="shared" si="4"/>
        <v>#NAME?</v>
      </c>
      <c r="AM20" t="e">
        <f t="shared" si="4"/>
        <v>#NAME?</v>
      </c>
      <c r="AN20" t="e">
        <f t="shared" si="4"/>
        <v>#NAME?</v>
      </c>
      <c r="AO20" t="str">
        <f t="shared" si="4"/>
        <v>NA</v>
      </c>
      <c r="AQ20" t="s">
        <v>760</v>
      </c>
      <c r="AR20" t="s">
        <v>1245</v>
      </c>
      <c r="AS20" t="e">
        <f>"Max IO: "&amp;IF(B20=0,"",IF($B$8&gt;2,"Full-term","Half-term (round up)")&amp;", max of 15yrs"&amp;IF(AND($B$8=2,$B$11&gt;65%)," and at least 5 yrs Amort",""))</f>
        <v>#NAME?</v>
      </c>
    </row>
    <row r="21" ht="15" customHeight="1">
      <c r="A21" t="s">
        <v>1246</v>
      </c>
      <c r="B21" t="e">
        <f>GR_InterestOnly</f>
        <v>#NAME?</v>
      </c>
      <c r="C21">
        <f>_xlfn.LET(_xlpm.max_yrs_io_per_guide,'SBL Quotes'!R44,IF(LEN(_xlpm.max_yrs_io_per_guide)&gt;0,_xlpm.max_yrs_io_per_guide,0))</f>
        <v>0</v>
      </c>
      <c r="D21">
        <f>_xlfn.LET(_xlpm.max_yrs_io_per_guide,'SBL Quotes'!S44,IF(LEN(_xlpm.max_yrs_io_per_guide)&gt;0,_xlpm.max_yrs_io_per_guide,0))</f>
        <v>0</v>
      </c>
      <c r="E21">
        <f>_xlfn.LET(_xlpm.max_yrs_io_per_guide,'SBL Quotes'!T44,IF(LEN(_xlpm.max_yrs_io_per_guide)&gt;0,_xlpm.max_yrs_io_per_guide,0))</f>
        <v>0</v>
      </c>
      <c r="F21">
        <f>_xlfn.LET(_xlpm.max_yrs_io_per_guide,'SBL Quotes'!U44,IF(LEN(_xlpm.max_yrs_io_per_guide)&gt;0,_xlpm.max_yrs_io_per_guide,0))</f>
        <v>5</v>
      </c>
      <c r="G21">
        <f>_xlfn.LET(_xlpm.max_yrs_io_per_guide,'SBL Quotes'!V44,IF(LEN(_xlpm.max_yrs_io_per_guide)&gt;0,_xlpm.max_yrs_io_per_guide,0))</f>
        <v>10</v>
      </c>
      <c r="H21">
        <f>_xlfn.LET(_xlpm.max_yrs_io_per_guide,'SBL Quotes'!W44,IF(LEN(_xlpm.max_yrs_io_per_guide)&gt;0,_xlpm.max_yrs_io_per_guide,0))</f>
        <v>2</v>
      </c>
      <c r="I21">
        <f>_xlfn.LET(_xlpm.max_yrs_io_per_guide,'SBL Quotes'!X44,IF(LEN(_xlpm.max_yrs_io_per_guide)&gt;0,_xlpm.max_yrs_io_per_guide,0))</f>
        <v>5</v>
      </c>
      <c r="J21">
        <f>_xlfn.LET(_xlpm.max_yrs_io_per_guide,'SBL Quotes'!Y44,IF(LEN(_xlpm.max_yrs_io_per_guide)&gt;0,_xlpm.max_yrs_io_per_guide,0))</f>
        <v>0</v>
      </c>
      <c r="AG21" t="e">
        <f>"Tier: "&amp;$B$8</f>
        <v>#NAME?</v>
      </c>
      <c r="AP21" t="s">
        <v>1247</v>
      </c>
      <c r="AQ21">
        <v>0.65</v>
      </c>
      <c r="AR21">
        <v>5</v>
      </c>
      <c r="AS21" t="e">
        <f>MIN(ROUNDUP($B$19/2,0),15,MAX($B$19-5,0))</f>
        <v>#NAME?</v>
      </c>
    </row>
    <row r="22" ht="15" customHeight="1">
      <c r="AG22" t="str">
        <f t="shared" si="13"/>
        <v>LTV: 0.00%</v>
      </c>
      <c r="AQ22">
        <f>AQ21</f>
        <v>0.65</v>
      </c>
      <c r="AS22" t="e">
        <f>MIN(ROUNDUP($B$19/2,0),15)</f>
        <v>#NAME?</v>
      </c>
    </row>
    <row r="23" ht="15" customHeight="1">
      <c r="AG23" t="e">
        <f>"Requested Yrs of IO: "&amp;$B$20</f>
        <v>#NAME?</v>
      </c>
      <c r="AP23" t="s">
        <v>873</v>
      </c>
      <c r="AS23" t="e">
        <f t="shared" si="16" ref="AS23:AS24">MIN($B$19,15)</f>
        <v>#NAME?</v>
      </c>
    </row>
    <row r="24" ht="15.75" customHeight="1">
      <c r="AP24" t="s">
        <v>867</v>
      </c>
      <c r="AS24" t="e">
        <f t="shared" si="16"/>
        <v>#NAME?</v>
      </c>
    </row>
    <row r="25" ht="15" customHeight="1">
      <c r="L25">
        <f>AQ26</f>
        <v>0.9</v>
      </c>
      <c r="M25" t="s">
        <v>507</v>
      </c>
      <c r="N25" t="s">
        <v>507</v>
      </c>
      <c r="O25" t="s">
        <v>507</v>
      </c>
      <c r="P25" t="s">
        <v>507</v>
      </c>
      <c r="Q25" t="s">
        <v>507</v>
      </c>
      <c r="R25" t="s">
        <v>507</v>
      </c>
      <c r="S25" t="s">
        <v>507</v>
      </c>
      <c r="T25" t="s">
        <v>507</v>
      </c>
      <c r="V25" t="str">
        <f>IF(AND(B26&gt;=$L25,IF($L26="Not Applicable",TRUE,B27&gt;=$L26)),Pass,Fail)</f>
        <v>Pass</v>
      </c>
      <c r="W25" t="str">
        <f t="shared" si="17" ref="W25:AD25">IF(C5=0,"NA",IF(AND(C26&gt;=$L25,IF($L26="Not Applicable",TRUE,C27&gt;=$L26)),Pass,Fail))</f>
        <v>NA</v>
      </c>
      <c r="X25" t="str">
        <f t="shared" si="17"/>
        <v>NA</v>
      </c>
      <c r="Y25" t="str">
        <f t="shared" si="17"/>
        <v>NA</v>
      </c>
      <c r="Z25" t="str">
        <f t="shared" si="17"/>
        <v>NA</v>
      </c>
      <c r="AA25" t="str">
        <f t="shared" si="17"/>
        <v>NA</v>
      </c>
      <c r="AB25" t="str">
        <f t="shared" si="17"/>
        <v>NA</v>
      </c>
      <c r="AC25" t="str">
        <f t="shared" si="17"/>
        <v>NA</v>
      </c>
      <c r="AD25" t="str">
        <f t="shared" si="17"/>
        <v>NA</v>
      </c>
      <c r="AG25" t="s">
        <v>1248</v>
      </c>
      <c r="AH25" t="str">
        <f t="shared" si="4"/>
        <v>NA</v>
      </c>
      <c r="AI25" t="str">
        <f t="shared" si="4"/>
        <v>NA</v>
      </c>
      <c r="AJ25" t="str">
        <f t="shared" si="4"/>
        <v>NA</v>
      </c>
      <c r="AK25" t="str">
        <f t="shared" si="4"/>
        <v>NA</v>
      </c>
      <c r="AL25" t="str">
        <f t="shared" si="4"/>
        <v>NA</v>
      </c>
      <c r="AM25" t="str">
        <f t="shared" si="4"/>
        <v>NA</v>
      </c>
      <c r="AN25" t="str">
        <f t="shared" si="4"/>
        <v>NA</v>
      </c>
      <c r="AO25" t="str">
        <f t="shared" si="4"/>
        <v>NA</v>
      </c>
      <c r="AQ25" t="s">
        <v>1249</v>
      </c>
      <c r="AR25" t="s">
        <v>1250</v>
      </c>
    </row>
    <row r="26" ht="15" customHeight="1">
      <c r="A26" t="s">
        <v>1251</v>
      </c>
      <c r="B26">
        <f>'Rent Roll'!D137</f>
        <v>0.9504950495049505</v>
      </c>
      <c r="C26">
        <f t="shared" si="10"/>
        <v>0.9504950495049505</v>
      </c>
      <c r="D26">
        <f t="shared" si="10"/>
        <v>0.9504950495049505</v>
      </c>
      <c r="E26">
        <f t="shared" si="10"/>
        <v>0.9504950495049505</v>
      </c>
      <c r="F26">
        <f t="shared" si="10"/>
        <v>0.9504950495049505</v>
      </c>
      <c r="G26">
        <f t="shared" si="10"/>
        <v>0.9504950495049505</v>
      </c>
      <c r="H26">
        <f t="shared" si="10"/>
        <v>0.9504950495049505</v>
      </c>
      <c r="I26">
        <f t="shared" si="10"/>
        <v>0.9504950495049505</v>
      </c>
      <c r="J26">
        <f t="shared" si="10"/>
        <v>0.9504950495049505</v>
      </c>
      <c r="L26" t="str">
        <f>AR26</f>
        <v>Not Applicable</v>
      </c>
      <c r="M26" t="s">
        <v>507</v>
      </c>
      <c r="N26" t="s">
        <v>507</v>
      </c>
      <c r="O26" t="s">
        <v>507</v>
      </c>
      <c r="P26" t="s">
        <v>507</v>
      </c>
      <c r="Q26" t="s">
        <v>507</v>
      </c>
      <c r="R26" t="s">
        <v>507</v>
      </c>
      <c r="S26" t="s">
        <v>507</v>
      </c>
      <c r="T26" t="s">
        <v>507</v>
      </c>
      <c r="AG26" t="str">
        <f>"Phys Occ: "&amp;TEXT(B26,"0.00%")</f>
        <v>Phys Occ: 95.05%</v>
      </c>
      <c r="AP26" t="s">
        <v>1254</v>
      </c>
      <c r="AQ26">
        <v>0.9</v>
      </c>
      <c r="AR26" t="s">
        <v>1252</v>
      </c>
    </row>
    <row r="27" ht="15.75" customHeight="1">
      <c r="A27" t="s">
        <v>1255</v>
      </c>
      <c r="B27">
        <f>'Rent Roll'!D138</f>
        <v>0.8517956031813334</v>
      </c>
      <c r="C27">
        <f t="shared" si="10"/>
        <v>0.8517956031813334</v>
      </c>
      <c r="D27">
        <f t="shared" si="10"/>
        <v>0.8517956031813334</v>
      </c>
      <c r="E27">
        <f t="shared" si="10"/>
        <v>0.8517956031813334</v>
      </c>
      <c r="F27">
        <f t="shared" si="10"/>
        <v>0.8517956031813334</v>
      </c>
      <c r="G27">
        <f t="shared" si="10"/>
        <v>0.8517956031813334</v>
      </c>
      <c r="H27">
        <f t="shared" si="10"/>
        <v>0.8517956031813334</v>
      </c>
      <c r="I27">
        <f t="shared" si="10"/>
        <v>0.8517956031813334</v>
      </c>
      <c r="J27">
        <f t="shared" si="10"/>
        <v>0.8517956031813334</v>
      </c>
    </row>
    <row r="28" ht="15" customHeight="1">
      <c r="L28">
        <f t="shared" si="18" ref="L28:T28">IF(B30,IF(B31,$AR29,$AR33),$AR28)</f>
        <v>0.8</v>
      </c>
      <c r="M28">
        <f t="shared" si="18"/>
        <v>0.8</v>
      </c>
      <c r="N28">
        <f t="shared" si="18"/>
        <v>0.8</v>
      </c>
      <c r="O28">
        <f t="shared" si="18"/>
        <v>0.8</v>
      </c>
      <c r="P28">
        <f t="shared" si="18"/>
        <v>0.8</v>
      </c>
      <c r="Q28">
        <f t="shared" si="18"/>
        <v>0.8</v>
      </c>
      <c r="R28">
        <f t="shared" si="18"/>
        <v>0.8</v>
      </c>
      <c r="S28">
        <f t="shared" si="18"/>
        <v>0.8</v>
      </c>
      <c r="T28">
        <f t="shared" si="18"/>
        <v>0.8</v>
      </c>
      <c r="V28" t="str">
        <f>IF(B11&lt;=L28,Pass,Fail)</f>
        <v>Pass</v>
      </c>
      <c r="W28" t="str">
        <f t="shared" si="19" ref="W28:AD28">IF(C5=0,"NA",IF(C11&lt;=M28,Pass,Fail))</f>
        <v>NA</v>
      </c>
      <c r="X28" t="str">
        <f t="shared" si="19"/>
        <v>NA</v>
      </c>
      <c r="Y28" t="str">
        <f t="shared" si="19"/>
        <v>NA</v>
      </c>
      <c r="Z28" t="str">
        <f t="shared" si="19"/>
        <v>NA</v>
      </c>
      <c r="AA28" t="str">
        <f t="shared" si="19"/>
        <v>NA</v>
      </c>
      <c r="AB28" t="str">
        <f t="shared" si="19"/>
        <v>NA</v>
      </c>
      <c r="AC28" t="str">
        <f t="shared" si="19"/>
        <v>NA</v>
      </c>
      <c r="AD28" t="str">
        <f t="shared" si="19"/>
        <v>NA</v>
      </c>
      <c r="AG28" t="s">
        <v>760</v>
      </c>
      <c r="AH28" t="str">
        <f t="shared" si="4"/>
        <v>NA</v>
      </c>
      <c r="AI28" t="str">
        <f t="shared" si="4"/>
        <v>NA</v>
      </c>
      <c r="AJ28" t="str">
        <f t="shared" si="4"/>
        <v>NA</v>
      </c>
      <c r="AK28" t="str">
        <f t="shared" si="4"/>
        <v>NA</v>
      </c>
      <c r="AL28" t="str">
        <f t="shared" si="4"/>
        <v>NA</v>
      </c>
      <c r="AM28" t="str">
        <f t="shared" si="4"/>
        <v>NA</v>
      </c>
      <c r="AN28" t="str">
        <f t="shared" si="4"/>
        <v>NA</v>
      </c>
      <c r="AO28" t="str">
        <f t="shared" si="4"/>
        <v>NA</v>
      </c>
      <c r="AP28" t="s">
        <v>1224</v>
      </c>
      <c r="AR28">
        <v>0.8</v>
      </c>
    </row>
    <row r="29" ht="15" customHeight="1">
      <c r="A29" t="s">
        <v>1256</v>
      </c>
      <c r="B29">
        <f>_xlfn.IFERROR('Data Page'!AO35,0)</f>
        <v>0</v>
      </c>
      <c r="AG29" t="str">
        <f t="shared" si="13"/>
        <v>LTV: 0.00%</v>
      </c>
      <c r="AP29" t="s">
        <v>1257</v>
      </c>
      <c r="AQ29" t="s">
        <v>1258</v>
      </c>
      <c r="AR29">
        <v>0.8</v>
      </c>
    </row>
    <row r="30" ht="15" customHeight="1">
      <c r="A30" t="s">
        <v>1259</v>
      </c>
      <c r="B30" t="b">
        <f>IsCashOutRefinance="Yes"</f>
        <v>0</v>
      </c>
      <c r="C30" t="b">
        <f t="shared" si="10"/>
        <v>0</v>
      </c>
      <c r="D30" t="b">
        <f t="shared" si="10"/>
        <v>0</v>
      </c>
      <c r="E30" t="b">
        <f t="shared" si="10"/>
        <v>0</v>
      </c>
      <c r="F30" t="b">
        <f t="shared" si="10"/>
        <v>0</v>
      </c>
      <c r="G30" t="b">
        <f t="shared" si="10"/>
        <v>0</v>
      </c>
      <c r="H30" t="b">
        <f t="shared" si="10"/>
        <v>0</v>
      </c>
      <c r="I30" t="b">
        <f t="shared" si="10"/>
        <v>0</v>
      </c>
      <c r="J30" t="b">
        <f t="shared" si="10"/>
        <v>0</v>
      </c>
      <c r="AG30" t="str">
        <f>IF(B30,"Cash-out","not Cash-out")</f>
        <v>not Cash-out</v>
      </c>
      <c r="AP30" t="s">
        <v>1261</v>
      </c>
      <c r="AQ30" t="s">
        <v>1262</v>
      </c>
    </row>
    <row r="31" ht="15" customHeight="1">
      <c r="A31" t="s">
        <v>1263</v>
      </c>
      <c r="B31" t="b">
        <f>OR($B$9="Strong",$B$10=AQ30,$B$10=AQ31,$B$10=AQ32)</f>
        <v>0</v>
      </c>
      <c r="C31" t="b">
        <f t="shared" si="10"/>
        <v>0</v>
      </c>
      <c r="D31" t="b">
        <f t="shared" si="10"/>
        <v>0</v>
      </c>
      <c r="E31" t="b">
        <f t="shared" si="10"/>
        <v>0</v>
      </c>
      <c r="F31" t="b">
        <f t="shared" si="10"/>
        <v>0</v>
      </c>
      <c r="G31" t="b">
        <f t="shared" si="10"/>
        <v>0</v>
      </c>
      <c r="H31" t="b">
        <f t="shared" si="10"/>
        <v>0</v>
      </c>
      <c r="I31" t="b">
        <f t="shared" si="10"/>
        <v>0</v>
      </c>
      <c r="J31" t="b">
        <f t="shared" si="10"/>
        <v>0</v>
      </c>
      <c r="AQ31" t="s">
        <v>1264</v>
      </c>
    </row>
    <row r="32" ht="15" customHeight="1">
      <c r="AQ32" t="s">
        <v>1265</v>
      </c>
    </row>
    <row r="33" ht="15.75" customHeight="1">
      <c r="AP33" t="s">
        <v>1266</v>
      </c>
      <c r="AR33">
        <v>0.75</v>
      </c>
    </row>
    <row r="34" ht="15" customHeight="1">
      <c r="A34" t="s">
        <v>1267</v>
      </c>
      <c r="B34">
        <f>RentRollTotalUnits</f>
        <v>101</v>
      </c>
      <c r="C34">
        <f t="shared" si="10"/>
        <v>101</v>
      </c>
      <c r="D34">
        <f t="shared" si="10"/>
        <v>101</v>
      </c>
      <c r="E34">
        <f t="shared" si="10"/>
        <v>101</v>
      </c>
      <c r="F34">
        <f t="shared" si="10"/>
        <v>101</v>
      </c>
      <c r="G34">
        <f t="shared" si="10"/>
        <v>101</v>
      </c>
      <c r="H34">
        <f t="shared" si="10"/>
        <v>101</v>
      </c>
      <c r="I34">
        <f t="shared" si="10"/>
        <v>101</v>
      </c>
      <c r="J34">
        <f t="shared" si="10"/>
        <v>101</v>
      </c>
      <c r="L34" t="e">
        <f t="shared" si="20" ref="L34:T34">_xlfn.LET(_xlpm.Is5_50,B35,_xlpm.IsStrongOrLA,B36,_xlpm.loan_size_is_ok,B5&lt;=$L$9,_xlpm.LoanTermInMos,B37*12,_xlpm._LTV,B11,_xlpm.MaxLTV,$AS37,_xlpm.requested_yrs_io,B20,_xlpm.max_yrs_io,B21,IF(AND(_xlpm.Is5_50,_xlpm.IsStrongOrLA,_xlpm.loan_size_is_ok,_xlpm.LoanTermInMos&gt;=$AR37,_xlpm._LTV&lt;=_xlpm.MaxLTV,_xlpm.requested_yrs_io&lt;=_xlpm.max_yrs_io),$AU37,$AU40))</f>
        <v>#NAME?</v>
      </c>
      <c r="M34">
        <f t="shared" si="20"/>
        <v>1.25</v>
      </c>
      <c r="N34">
        <f t="shared" si="20"/>
        <v>1.25</v>
      </c>
      <c r="O34">
        <f t="shared" si="20"/>
        <v>1.25</v>
      </c>
      <c r="P34">
        <f t="shared" si="20"/>
        <v>1.25</v>
      </c>
      <c r="Q34">
        <f t="shared" si="20"/>
        <v>1.25</v>
      </c>
      <c r="R34">
        <f t="shared" si="20"/>
        <v>1.25</v>
      </c>
      <c r="S34">
        <f t="shared" si="20"/>
        <v>1.25</v>
      </c>
      <c r="T34">
        <f t="shared" si="20"/>
        <v>1.25</v>
      </c>
      <c r="V34" t="e">
        <f>IF(B12&gt;=L34,Pass,Fail)</f>
        <v>#NAME?</v>
      </c>
      <c r="W34" t="str">
        <f t="shared" si="21" ref="W34:AD34">IF(C5=0,"NA",IF(C12&gt;=M34,Pass,Fail))</f>
        <v>NA</v>
      </c>
      <c r="X34" t="str">
        <f t="shared" si="21"/>
        <v>NA</v>
      </c>
      <c r="Y34" t="str">
        <f t="shared" si="21"/>
        <v>NA</v>
      </c>
      <c r="Z34" t="str">
        <f t="shared" si="21"/>
        <v>NA</v>
      </c>
      <c r="AA34" t="str">
        <f t="shared" si="21"/>
        <v>NA</v>
      </c>
      <c r="AB34" t="str">
        <f t="shared" si="21"/>
        <v>NA</v>
      </c>
      <c r="AC34" t="str">
        <f t="shared" si="21"/>
        <v>NA</v>
      </c>
      <c r="AD34" t="str">
        <f t="shared" si="21"/>
        <v>NA</v>
      </c>
      <c r="AG34" t="s">
        <v>1268</v>
      </c>
      <c r="AH34" t="str">
        <f t="shared" si="4"/>
        <v>NA</v>
      </c>
      <c r="AI34" t="str">
        <f t="shared" si="4"/>
        <v>NA</v>
      </c>
      <c r="AJ34" t="str">
        <f t="shared" si="4"/>
        <v>NA</v>
      </c>
      <c r="AK34" t="str">
        <f t="shared" si="4"/>
        <v>NA</v>
      </c>
      <c r="AL34" t="str">
        <f t="shared" si="4"/>
        <v>NA</v>
      </c>
      <c r="AM34" t="str">
        <f t="shared" si="4"/>
        <v>NA</v>
      </c>
      <c r="AN34" t="str">
        <f t="shared" si="4"/>
        <v>NA</v>
      </c>
      <c r="AO34" t="str">
        <f t="shared" si="4"/>
        <v>NA</v>
      </c>
      <c r="AU34" t="s">
        <v>1269</v>
      </c>
    </row>
    <row r="35" ht="15" customHeight="1">
      <c r="A35" t="s">
        <v>1270</v>
      </c>
      <c r="B35" t="b">
        <f>AND(B34&gt;=5,B34&lt;=50)</f>
        <v>0</v>
      </c>
      <c r="C35" t="b">
        <f t="shared" si="10"/>
        <v>0</v>
      </c>
      <c r="D35" t="b">
        <f t="shared" si="10"/>
        <v>0</v>
      </c>
      <c r="E35" t="b">
        <f t="shared" si="10"/>
        <v>0</v>
      </c>
      <c r="F35" t="b">
        <f t="shared" si="10"/>
        <v>0</v>
      </c>
      <c r="G35" t="b">
        <f t="shared" si="10"/>
        <v>0</v>
      </c>
      <c r="H35" t="b">
        <f t="shared" si="10"/>
        <v>0</v>
      </c>
      <c r="I35" t="b">
        <f t="shared" si="10"/>
        <v>0</v>
      </c>
      <c r="J35" t="b">
        <f t="shared" si="10"/>
        <v>0</v>
      </c>
      <c r="AG35" t="str">
        <f t="shared" si="13"/>
        <v>LTV: 0.00%</v>
      </c>
    </row>
    <row r="36" ht="15" customHeight="1">
      <c r="A36" t="s">
        <v>1271</v>
      </c>
      <c r="B36" t="b">
        <f>OR($B$9="Strong",$B$10=AP39)</f>
        <v>0</v>
      </c>
      <c r="C36" t="b">
        <f t="shared" si="10"/>
        <v>0</v>
      </c>
      <c r="D36" t="b">
        <f t="shared" si="10"/>
        <v>0</v>
      </c>
      <c r="E36" t="b">
        <f t="shared" si="10"/>
        <v>0</v>
      </c>
      <c r="F36" t="b">
        <f t="shared" si="10"/>
        <v>0</v>
      </c>
      <c r="G36" t="b">
        <f t="shared" si="10"/>
        <v>0</v>
      </c>
      <c r="H36" t="b">
        <f t="shared" si="10"/>
        <v>0</v>
      </c>
      <c r="I36" t="b">
        <f t="shared" si="10"/>
        <v>0</v>
      </c>
      <c r="J36" t="b">
        <f t="shared" si="10"/>
        <v>0</v>
      </c>
      <c r="AG36" t="e">
        <f>"Loan Term: "&amp;B37*12&amp;" mos"</f>
        <v>#NAME?</v>
      </c>
      <c r="AP36" t="s">
        <v>1272</v>
      </c>
      <c r="AQ36" t="s">
        <v>572</v>
      </c>
      <c r="AR36" t="s">
        <v>1273</v>
      </c>
      <c r="AS36" t="s">
        <v>932</v>
      </c>
      <c r="AT36" t="s">
        <v>228</v>
      </c>
    </row>
    <row r="37" ht="15" customHeight="1">
      <c r="A37" t="s">
        <v>1242</v>
      </c>
      <c r="B37" t="e">
        <f t="shared" si="22"/>
        <v>#NAME?</v>
      </c>
      <c r="C37">
        <f>'SBL Quotes'!R98</f>
        <v>10</v>
      </c>
      <c r="D37">
        <f>'SBL Quotes'!S98</f>
        <v>12</v>
      </c>
      <c r="E37">
        <f>'SBL Quotes'!T98</f>
        <v>15</v>
      </c>
      <c r="F37">
        <f>'SBL Quotes'!U98</f>
        <v>10</v>
      </c>
      <c r="G37">
        <f>'SBL Quotes'!V98</f>
        <v>10</v>
      </c>
      <c r="H37">
        <f>'SBL Quotes'!W98</f>
        <v>5</v>
      </c>
      <c r="I37">
        <f>'SBL Quotes'!X98</f>
        <v>5</v>
      </c>
      <c r="J37">
        <f>'SBL Quotes'!Y98</f>
        <v>10</v>
      </c>
      <c r="AG37" t="str">
        <f>"Units: "&amp;B34</f>
        <v>Units: 101</v>
      </c>
      <c r="AP37" t="s">
        <v>1275</v>
      </c>
      <c r="AQ37" t="s">
        <v>1276</v>
      </c>
      <c r="AR37">
        <v>120</v>
      </c>
      <c r="AS37">
        <v>0.7</v>
      </c>
      <c r="AT37" t="s">
        <v>1277</v>
      </c>
      <c r="AU37">
        <v>1.2</v>
      </c>
    </row>
    <row r="38" ht="15" customHeight="1">
      <c r="AG38" t="e">
        <f>"Requested IO: "&amp;B20&amp;" yrs ("&amp;B21&amp;" yrs Max)"</f>
        <v>#NAME?</v>
      </c>
      <c r="AP38" t="s">
        <v>1278</v>
      </c>
    </row>
    <row r="39" ht="15" customHeight="1">
      <c r="AG39" t="str">
        <f>"DSCR: "&amp;TEXT(B12,"0.000")</f>
        <v>DSCR: 0.000</v>
      </c>
      <c r="AP39" t="s">
        <v>1264</v>
      </c>
    </row>
    <row r="40" ht="15.75" customHeight="1">
      <c r="AP40" t="s">
        <v>1279</v>
      </c>
      <c r="AU40">
        <v>1.25</v>
      </c>
    </row>
    <row r="41" ht="15" customHeight="1">
      <c r="AG41" t="s">
        <v>1280</v>
      </c>
    </row>
    <row r="42" ht="15" customHeight="1">
      <c r="AP42" t="s">
        <v>1281</v>
      </c>
    </row>
    <row r="43" ht="15" customHeight="1">
      <c r="AP43" t="s">
        <v>1282</v>
      </c>
    </row>
    <row r="44" ht="15" customHeight="1">
      <c r="AP44" t="s">
        <v>1283</v>
      </c>
    </row>
    <row r="45" ht="15" customHeight="1">
      <c r="AP45" t="s">
        <v>1284</v>
      </c>
    </row>
    <row r="46" ht="15" customHeight="1">
      <c r="AP46" t="s">
        <v>1285</v>
      </c>
    </row>
    <row r="47" ht="15" customHeight="1">
      <c r="AP47" t="s">
        <v>1286</v>
      </c>
    </row>
    <row r="48" ht="15" customHeight="1">
      <c r="AP48" t="s">
        <v>1287</v>
      </c>
    </row>
    <row r="49" ht="15" customHeight="1">
      <c r="AP49" t="s">
        <v>1288</v>
      </c>
    </row>
    <row r="50" ht="15" customHeight="1">
      <c r="AP50" t="s">
        <v>1289</v>
      </c>
    </row>
    <row r="51" ht="15" customHeight="1">
      <c r="AP51" t="s">
        <v>1290</v>
      </c>
    </row>
    <row r="52" ht="15.75" customHeight="1">
      <c r="AP52" t="s">
        <v>1291</v>
      </c>
    </row>
    <row r="53" ht="15" customHeight="1">
      <c r="AG53" t="s">
        <v>1292</v>
      </c>
    </row>
    <row r="54" ht="15" customHeight="1">
      <c r="AP54" t="s">
        <v>1293</v>
      </c>
    </row>
    <row r="55" ht="15" customHeight="1">
      <c r="AP55" t="s">
        <v>1294</v>
      </c>
    </row>
    <row r="56" ht="15" customHeight="1">
      <c r="AP56" t="s">
        <v>1295</v>
      </c>
    </row>
    <row r="57" ht="15" customHeight="1">
      <c r="AP57" t="s">
        <v>1296</v>
      </c>
    </row>
    <row r="58" ht="15" customHeight="1">
      <c r="AP58" t="s">
        <v>1297</v>
      </c>
    </row>
    <row r="59" ht="15" customHeight="1">
      <c r="AP59" t="s">
        <v>1298</v>
      </c>
    </row>
    <row r="60" ht="15" customHeight="1">
      <c r="AP60" t="s">
        <v>1299</v>
      </c>
    </row>
    <row r="61" ht="15" customHeight="1">
      <c r="AP61" t="s">
        <v>1300</v>
      </c>
    </row>
    <row r="62" ht="15" customHeight="1">
      <c r="AP62" t="s">
        <v>1301</v>
      </c>
    </row>
    <row r="64" ht="15" customHeight="1">
      <c r="AP64" t="s">
        <v>1302</v>
      </c>
    </row>
    <row r="65" ht="15" customHeight="1">
      <c r="AP65" t="s">
        <v>1303</v>
      </c>
    </row>
    <row r="66" ht="15.75" customHeight="1">
      <c r="AP66" t="s">
        <v>1304</v>
      </c>
    </row>
    <row r="67" ht="15" customHeight="1">
      <c r="AG67" t="s">
        <v>1305</v>
      </c>
    </row>
    <row r="68" ht="15" customHeight="1">
      <c r="AG68" t="s">
        <v>1306</v>
      </c>
      <c r="AP68" t="s">
        <v>1307</v>
      </c>
    </row>
    <row r="69" ht="15.75" customHeight="1"/>
    <row r="105" ht="15" customHeight="1">
      <c r="A105" t="s">
        <v>1308</v>
      </c>
      <c r="B105" t="b">
        <f>_xlfn.IFERROR(FIND("Variable: SARM",B7)&gt;0,FALSE)</f>
        <v>0</v>
      </c>
      <c r="C105" t="b">
        <f>_xlfn.IFERROR(FIND("Variable: SARM",'SBL Quotes'!R26)&gt;0,FALSE)</f>
        <v>0</v>
      </c>
      <c r="D105" t="b">
        <f>_xlfn.IFERROR(FIND("Variable: SARM",'SBL Quotes'!S26)&gt;0,FALSE)</f>
        <v>0</v>
      </c>
      <c r="E105" t="b">
        <f>_xlfn.IFERROR(FIND("Variable: SARM",'SBL Quotes'!T26)&gt;0,FALSE)</f>
        <v>0</v>
      </c>
      <c r="F105" t="b">
        <f>_xlfn.IFERROR(FIND("Variable: SARM",'SBL Quotes'!U26)&gt;0,FALSE)</f>
        <v>0</v>
      </c>
      <c r="G105" t="b">
        <f>_xlfn.IFERROR(FIND("Variable: SARM",'SBL Quotes'!V26)&gt;0,FALSE)</f>
        <v>0</v>
      </c>
      <c r="H105" t="b">
        <f>_xlfn.IFERROR(FIND("Variable: SARM",'SBL Quotes'!W26)&gt;0,FALSE)</f>
        <v>0</v>
      </c>
      <c r="I105" t="b">
        <f>_xlfn.IFERROR(FIND("Variable: SARM",'SBL Quotes'!X26)&gt;0,FALSE)</f>
        <v>0</v>
      </c>
      <c r="J105" t="b">
        <f>_xlfn.IFERROR(FIND("Variable: SARM",'SBL Quotes'!Y26)&gt;0,FALSE)</f>
        <v>0</v>
      </c>
      <c r="V105" t="str">
        <f>IF($B$105,IF(AP105&lt;&gt;"-",AP105,IF(COUNTIF(AE106:AE116,"=Fail")=0,Pass,Fail)),"NA")</f>
        <v>NA</v>
      </c>
      <c r="W105" t="str">
        <f t="shared" si="23" ref="W105:AD105">IF(AND(C5&gt;0,$B$105),IF(AQ105&lt;&gt;"-",AQ105,IF(COUNTIF(AF106:AF116,"=Fail")=0,Pass,Fail)),"NA")</f>
        <v>NA</v>
      </c>
      <c r="X105" t="str">
        <f t="shared" si="23"/>
        <v>NA</v>
      </c>
      <c r="Y105" t="str">
        <f t="shared" si="23"/>
        <v>NA</v>
      </c>
      <c r="Z105" t="str">
        <f t="shared" si="23"/>
        <v>NA</v>
      </c>
      <c r="AA105" t="str">
        <f t="shared" si="23"/>
        <v>NA</v>
      </c>
      <c r="AB105" t="str">
        <f t="shared" si="23"/>
        <v>NA</v>
      </c>
      <c r="AC105" t="str">
        <f t="shared" si="23"/>
        <v>NA</v>
      </c>
      <c r="AD105" t="str">
        <f t="shared" si="23"/>
        <v>NA</v>
      </c>
      <c r="AG105" t="s">
        <v>1309</v>
      </c>
      <c r="AH105" t="str">
        <f t="shared" si="4"/>
        <v>NA</v>
      </c>
      <c r="AI105" t="str">
        <f t="shared" si="4"/>
        <v>NA</v>
      </c>
      <c r="AJ105" t="str">
        <f t="shared" si="4"/>
        <v>NA</v>
      </c>
      <c r="AK105" t="str">
        <f t="shared" si="4"/>
        <v>NA</v>
      </c>
      <c r="AL105" t="str">
        <f t="shared" si="4"/>
        <v>NA</v>
      </c>
      <c r="AM105" t="str">
        <f t="shared" si="4"/>
        <v>NA</v>
      </c>
      <c r="AN105" t="str">
        <f t="shared" si="4"/>
        <v>NA</v>
      </c>
      <c r="AO105" t="str">
        <f t="shared" si="4"/>
        <v>NA</v>
      </c>
      <c r="AP105" t="s">
        <v>260</v>
      </c>
      <c r="AQ105" t="s">
        <v>1310</v>
      </c>
    </row>
    <row r="106" ht="15" customHeight="1">
      <c r="A106" t="s">
        <v>1311</v>
      </c>
      <c r="B106" t="b">
        <f>BorrowerPriority="Repeat Borrower"</f>
        <v>0</v>
      </c>
      <c r="C106" t="b">
        <f t="shared" si="24" ref="C106:J106">B106</f>
        <v>0</v>
      </c>
      <c r="D106" t="b">
        <f t="shared" si="24"/>
        <v>0</v>
      </c>
      <c r="E106" t="b">
        <f t="shared" si="24"/>
        <v>0</v>
      </c>
      <c r="F106" t="b">
        <f t="shared" si="24"/>
        <v>0</v>
      </c>
      <c r="G106" t="b">
        <f t="shared" si="24"/>
        <v>0</v>
      </c>
      <c r="H106" t="b">
        <f t="shared" si="24"/>
        <v>0</v>
      </c>
      <c r="I106" t="b">
        <f t="shared" si="24"/>
        <v>0</v>
      </c>
      <c r="J106" t="b">
        <f t="shared" si="24"/>
        <v>0</v>
      </c>
      <c r="L106" t="str">
        <f>IF($B$13,"Priority",IF($B$106,"Repeat","All Others"))</f>
        <v>All Others</v>
      </c>
      <c r="M106" t="s">
        <v>507</v>
      </c>
      <c r="N106" t="s">
        <v>507</v>
      </c>
      <c r="O106" t="s">
        <v>507</v>
      </c>
      <c r="P106" t="s">
        <v>507</v>
      </c>
      <c r="Q106" t="s">
        <v>507</v>
      </c>
      <c r="R106" t="s">
        <v>507</v>
      </c>
      <c r="S106" t="s">
        <v>507</v>
      </c>
      <c r="T106" t="s">
        <v>507</v>
      </c>
      <c r="AG106">
        <f>BorrowerPriority</f>
      </c>
      <c r="AP106" t="s">
        <v>1313</v>
      </c>
      <c r="AQ106" t="s">
        <v>1314</v>
      </c>
      <c r="AR106" t="s">
        <v>1315</v>
      </c>
      <c r="AS106" t="s">
        <v>1312</v>
      </c>
    </row>
    <row r="107" ht="15" customHeight="1">
      <c r="L107">
        <f>IF(L106="Priority",$AQ107,IF(L$106="Repeat",$AR107,$AS107))</f>
        <v>25000000</v>
      </c>
      <c r="M107" t="s">
        <v>507</v>
      </c>
      <c r="N107" t="s">
        <v>507</v>
      </c>
      <c r="O107" t="s">
        <v>507</v>
      </c>
      <c r="P107" t="s">
        <v>507</v>
      </c>
      <c r="Q107" t="s">
        <v>507</v>
      </c>
      <c r="R107" t="s">
        <v>507</v>
      </c>
      <c r="S107" t="s">
        <v>507</v>
      </c>
      <c r="T107" t="s">
        <v>507</v>
      </c>
      <c r="AG107" t="str">
        <f t="shared" si="25"/>
        <v>Loan Amt: $0,000</v>
      </c>
      <c r="AP107" t="s">
        <v>1316</v>
      </c>
      <c r="AQ107">
        <v>10000000</v>
      </c>
      <c r="AR107">
        <v>15000000</v>
      </c>
      <c r="AS107">
        <v>25000000</v>
      </c>
    </row>
    <row r="108" ht="15" customHeight="1">
      <c r="A108" t="s">
        <v>211</v>
      </c>
      <c r="B108" t="e">
        <f t="shared" si="22"/>
        <v>#NAME?</v>
      </c>
      <c r="C108">
        <f t="shared" si="26" ref="C108:J108">C37</f>
        <v>10</v>
      </c>
      <c r="D108">
        <f t="shared" si="26"/>
        <v>12</v>
      </c>
      <c r="E108">
        <f t="shared" si="26"/>
        <v>15</v>
      </c>
      <c r="F108">
        <f t="shared" si="26"/>
        <v>10</v>
      </c>
      <c r="G108">
        <f t="shared" si="26"/>
        <v>10</v>
      </c>
      <c r="H108">
        <f t="shared" si="26"/>
        <v>5</v>
      </c>
      <c r="I108">
        <f t="shared" si="26"/>
        <v>5</v>
      </c>
      <c r="J108">
        <f t="shared" si="26"/>
        <v>10</v>
      </c>
      <c r="L108">
        <f>IF(L$106="Priority",AQ108,IF(L$106="Repeat",AR108,AS108))</f>
        <v>0.7</v>
      </c>
      <c r="AG108" t="str">
        <f t="shared" si="13"/>
        <v>LTV: 0.00%</v>
      </c>
      <c r="AP108" t="s">
        <v>1317</v>
      </c>
      <c r="AQ108">
        <v>0.75</v>
      </c>
      <c r="AR108">
        <v>0.75</v>
      </c>
      <c r="AS108">
        <v>0.7</v>
      </c>
    </row>
    <row r="109" ht="15" customHeight="1">
      <c r="A109" t="s">
        <v>1318</v>
      </c>
      <c r="B109" t="e">
        <f>AND(Term&gt;0,InterestOnly=Term)</f>
        <v>#NAME?</v>
      </c>
      <c r="C109" t="b">
        <f>'SBL Quotes'!R43='SBL Quotes'!R98</f>
        <v>0</v>
      </c>
      <c r="D109" t="b">
        <f>'SBL Quotes'!S43='SBL Quotes'!S98</f>
        <v>0</v>
      </c>
      <c r="E109" t="b">
        <f>'SBL Quotes'!T43='SBL Quotes'!T98</f>
        <v>0</v>
      </c>
      <c r="F109" t="b">
        <f>'SBL Quotes'!U43='SBL Quotes'!U98</f>
        <v>0</v>
      </c>
      <c r="G109" t="b">
        <f>'SBL Quotes'!V43='SBL Quotes'!V98</f>
        <v>1</v>
      </c>
      <c r="H109" t="b">
        <f>'SBL Quotes'!W43='SBL Quotes'!W98</f>
        <v>0</v>
      </c>
      <c r="I109" t="b">
        <f>'SBL Quotes'!X43='SBL Quotes'!X98</f>
        <v>1</v>
      </c>
      <c r="J109" t="b">
        <f>'SBL Quotes'!Y43='SBL Quotes'!Y98</f>
        <v>0</v>
      </c>
      <c r="L109">
        <f t="shared" si="27" ref="L109:L112">AQ109</f>
        <v>0.0475</v>
      </c>
      <c r="AG109" t="str">
        <f>"Strike Rate: "&amp;TEXT($B$110,"0.000%")</f>
        <v>Strike Rate: =IFERROR(IF(B38,'SARM Sizing'!F38,'SARM Sizing'!F37),0)</v>
      </c>
      <c r="AP109" t="s">
        <v>1320</v>
      </c>
      <c r="AQ109">
        <v>0.0475</v>
      </c>
    </row>
    <row r="110" ht="15" customHeight="1">
      <c r="A110" t="s">
        <v>1321</v>
      </c>
      <c r="B110" t="s">
        <v>1322</v>
      </c>
    </row>
    <row r="111" ht="15" customHeight="1">
      <c r="A111" t="s">
        <v>1323</v>
      </c>
      <c r="B111" t="s">
        <v>1324</v>
      </c>
      <c r="L111">
        <f t="shared" si="27"/>
        <v>0.02</v>
      </c>
      <c r="AG111" t="str">
        <f>"Rate Spread: "&amp;TEXT($B$111,"0.000%")</f>
        <v>Rate Spread: ='SARM Sizing'!F36</v>
      </c>
      <c r="AP111" t="s">
        <v>1326</v>
      </c>
      <c r="AQ111">
        <v>0.02</v>
      </c>
    </row>
    <row r="112" ht="15" customHeight="1">
      <c r="A112" t="s">
        <v>1327</v>
      </c>
      <c r="B112" t="str">
        <f>LEFT(B113,1)</f>
        <v>=</v>
      </c>
      <c r="L112">
        <f t="shared" si="27"/>
        <v>3</v>
      </c>
      <c r="AG112" t="e">
        <f>"Term: "&amp;Term&amp;" years"</f>
        <v>#NAME?</v>
      </c>
      <c r="AP112" t="s">
        <v>1329</v>
      </c>
      <c r="AQ112">
        <v>3</v>
      </c>
    </row>
    <row r="113" ht="15" customHeight="1">
      <c r="A113" t="s">
        <v>1330</v>
      </c>
      <c r="B113" t="s">
        <v>1331</v>
      </c>
      <c r="L113" t="e">
        <f>IF(Term=10,AQ114,IF(Term=7,AR114,IF(Term=5,AS114,"Fail")))</f>
        <v>#NAME?</v>
      </c>
      <c r="AG113" t="str">
        <f>"Selected on SARMS wks: "</f>
        <v>Selected on SARMS wks: </v>
      </c>
      <c r="AP113" t="s">
        <v>1333</v>
      </c>
      <c r="AQ113">
        <v>5</v>
      </c>
      <c r="AR113">
        <v>7</v>
      </c>
      <c r="AS113">
        <v>10</v>
      </c>
    </row>
    <row r="114" ht="15" customHeight="1">
      <c r="AG114" t="str">
        <f>$B$113</f>
        <v>='SARM Sizing'!O6</v>
      </c>
      <c r="AQ114" t="s">
        <v>1334</v>
      </c>
      <c r="AR114" t="s">
        <v>1335</v>
      </c>
      <c r="AS114" t="s">
        <v>1336</v>
      </c>
    </row>
    <row r="115" ht="15" customHeight="1">
      <c r="L115" t="e">
        <f>IF($B$109,"IO Basis","Amort Basis")</f>
        <v>#NAME?</v>
      </c>
      <c r="AG115" t="e">
        <f>IF($B$109,"Is Full Term IO","Not Full Term IO")</f>
        <v>#NAME?</v>
      </c>
      <c r="AP115" t="s">
        <v>1337</v>
      </c>
      <c r="AQ115" t="s">
        <v>1338</v>
      </c>
      <c r="AR115" t="s">
        <v>1312</v>
      </c>
    </row>
    <row r="116" ht="15" customHeight="1">
      <c r="AQ116" t="s">
        <v>1339</v>
      </c>
      <c r="AR116" t="s">
        <v>1340</v>
      </c>
    </row>
    <row r="117" ht="15.75" customHeight="1">
      <c r="AP117" t="s">
        <v>1341</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84BDF9F-5878-3691-6656-4AFE9FD3F405}" mc:Ignorable="x14ac xr xr2 xr3">
  <sheetPr>
    <tabColor theme="8" tint="-0.5"/>
    <pageSetUpPr fitToPage="1"/>
  </sheetPr>
  <dimension ref="A1:BF91"/>
  <sheetViews>
    <sheetView topLeftCell="A7" workbookViewId="0">
      <selection activeCell="G23" sqref="G23"/>
    </sheetView>
  </sheetViews>
  <sheetFormatPr defaultRowHeight="15" defaultColWidth="0" customHeight="1"/>
  <cols>
    <col min="1" max="1" width="3.140625" customWidth="1"/>
    <col min="2" max="2" width="50.7109375" customWidth="1"/>
    <col min="3" max="3" width="14.140625" customWidth="1"/>
    <col min="4" max="4" width="13.57421875" customWidth="1"/>
    <col min="5" max="5" width="2.7109375" customWidth="1"/>
    <col min="6" max="13" width="18.28125" customWidth="1"/>
    <col min="14" max="14" width="2.57421875" customWidth="1"/>
    <col min="15" max="15" width="31.00390625" hidden="1" customWidth="1"/>
    <col min="16" max="47" width="12.00390625" hidden="1" customWidth="1"/>
    <col min="48" max="48" width="3.57421875" hidden="1" customWidth="1"/>
    <col min="49" max="49" width="34.28125" hidden="1" customWidth="1"/>
    <col min="50" max="51" width="11.7109375" hidden="1" customWidth="1"/>
    <col min="52" max="52" width="19.7109375" hidden="1" customWidth="1"/>
    <col min="53" max="58" width="11.140625" hidden="1" customWidth="1"/>
  </cols>
  <sheetData>
    <row r="2" ht="15" customHeight="1">
      <c r="B2" t="str">
        <f>property_name</f>
        <v>XXXX</v>
      </c>
      <c r="C2" t="str">
        <f>"Built: "&amp;'SBL Quotes'!$B$14</f>
        <v>Built: XXXX</v>
      </c>
      <c r="L2" s="2" t="s">
        <v>1343</v>
      </c>
    </row>
    <row r="3" ht="15" customHeight="1">
      <c r="B3" t="str">
        <f>SblQuotes_CityState</f>
        <v>City, XX</v>
      </c>
      <c r="C3">
        <f>number_units</f>
        <v>101</v>
      </c>
      <c r="L3" s="2" t="s">
        <v>1071</v>
      </c>
    </row>
    <row r="4" ht="15" customHeight="1">
      <c r="L4" s="2" t="s">
        <v>1344</v>
      </c>
    </row>
    <row r="5" ht="15" customHeight="1">
      <c r="B5" t="s">
        <v>1345</v>
      </c>
      <c r="C5" s="1">
        <f>EOMONTH(TODAY()+32,1)+1</f>
        <v>45261</v>
      </c>
      <c r="F5" t="s">
        <v>1346</v>
      </c>
      <c r="L5" t="str">
        <f>HYPERLINK("https://maps.google.com/maps?q="&amp;Address_DataPageTab,"Google Maps")</f>
        <v>Google Maps</v>
      </c>
    </row>
    <row r="6" ht="15" customHeight="1">
      <c r="F6">
        <f>'DUS Gateway Data'!B3</f>
        <v>0</v>
      </c>
    </row>
    <row r="7" ht="15" customHeight="1">
      <c r="B7" t="s">
        <v>1348</v>
      </c>
      <c r="F7" t="s">
        <v>1349</v>
      </c>
    </row>
    <row r="8" ht="15" customHeight="1">
      <c r="B8" t="s">
        <v>1350</v>
      </c>
      <c r="F8">
        <v>1</v>
      </c>
      <c r="G8">
        <v>2</v>
      </c>
      <c r="H8">
        <v>3</v>
      </c>
      <c r="I8">
        <v>4</v>
      </c>
      <c r="J8">
        <v>5</v>
      </c>
      <c r="K8">
        <v>6</v>
      </c>
      <c r="L8">
        <v>7</v>
      </c>
      <c r="M8">
        <v>8</v>
      </c>
    </row>
    <row r="9" ht="15" customHeight="1">
      <c r="B9" t="s">
        <v>1351</v>
      </c>
      <c r="F9">
        <f t="array" ref="F9">_xlfn.TEXTJOIN("",TRUE,_xlfn.IFERROR(MID('SBL Quotes'!R8,ROW(INDIRECT("1:100")),1)+0,""))+0</f>
        <v>10</v>
      </c>
      <c r="G9">
        <f t="array" ref="G9">_xlfn.TEXTJOIN("",TRUE,_xlfn.IFERROR(MID('SBL Quotes'!S8,ROW(INDIRECT("1:100")),1)+0,""))+0</f>
        <v>12</v>
      </c>
      <c r="H9">
        <f t="array" ref="H9">_xlfn.TEXTJOIN("",TRUE,_xlfn.IFERROR(MID('SBL Quotes'!T8,ROW(INDIRECT("1:100")),1)+0,""))+0</f>
        <v>15</v>
      </c>
      <c r="I9">
        <f t="array" ref="I9">_xlfn.TEXTJOIN("",TRUE,_xlfn.IFERROR(MID('SBL Quotes'!U8,ROW(INDIRECT("1:100")),1)+0,""))+0</f>
        <v>10</v>
      </c>
      <c r="J9">
        <f t="array" ref="J9">_xlfn.TEXTJOIN("",TRUE,_xlfn.IFERROR(MID('SBL Quotes'!V8,ROW(INDIRECT("1:100")),1)+0,""))+0</f>
        <v>10</v>
      </c>
      <c r="K9">
        <f t="array" ref="K9">_xlfn.TEXTJOIN("",TRUE,_xlfn.IFERROR(MID('SBL Quotes'!W8,ROW(INDIRECT("1:100")),1)+0,""))+0</f>
        <v>5</v>
      </c>
      <c r="L9">
        <f t="array" ref="L9">_xlfn.TEXTJOIN("",TRUE,_xlfn.IFERROR(MID('SBL Quotes'!X8,ROW(INDIRECT("1:100")),1)+0,""))+0</f>
        <v>5</v>
      </c>
      <c r="M9">
        <f t="array" ref="M9">_xlfn.TEXTJOIN("",TRUE,_xlfn.IFERROR(MID('SBL Quotes'!Y8,ROW(INDIRECT("1:100")),1)+0,""))+0</f>
        <v>1010</v>
      </c>
    </row>
    <row r="10" ht="15" customHeight="1">
      <c r="B10" t="s">
        <v>572</v>
      </c>
      <c r="F10">
        <f>'SBL Quotes'!R7</f>
        <v>0</v>
      </c>
      <c r="G10">
        <f>'SBL Quotes'!S7</f>
        <v>0</v>
      </c>
      <c r="H10">
        <f>'SBL Quotes'!T7</f>
        <v>0</v>
      </c>
      <c r="I10">
        <f>'SBL Quotes'!U7</f>
        <v>0</v>
      </c>
      <c r="J10">
        <f>'SBL Quotes'!V7</f>
        <v>0</v>
      </c>
      <c r="K10">
        <f>'SBL Quotes'!W7</f>
        <v>0</v>
      </c>
      <c r="L10">
        <f>'SBL Quotes'!X7</f>
        <v>0</v>
      </c>
      <c r="M10">
        <f>'SBL Quotes'!Y7</f>
        <v>0</v>
      </c>
    </row>
    <row r="11" ht="15" customHeight="1">
      <c r="B11" t="s">
        <v>1352</v>
      </c>
      <c r="F11" t="str">
        <f>IF(RIGHT('SBL Quotes'!R26,5)="Fixed","Fixed Rate","Variable Rate")</f>
        <v>Fixed Rate</v>
      </c>
      <c r="G11" t="str">
        <f>IF(RIGHT('SBL Quotes'!S26,5)="Fixed","Fixed Rate","Variable Rate")</f>
        <v>Fixed Rate</v>
      </c>
      <c r="H11" t="str">
        <f>IF(RIGHT('SBL Quotes'!T26,5)="Fixed","Fixed Rate","Variable Rate")</f>
        <v>Fixed Rate</v>
      </c>
      <c r="I11" t="str">
        <f>IF(RIGHT('SBL Quotes'!U26,5)="Fixed","Fixed Rate","Variable Rate")</f>
        <v>Fixed Rate</v>
      </c>
      <c r="J11" t="str">
        <f>IF(RIGHT('SBL Quotes'!V26,5)="Fixed","Fixed Rate","Variable Rate")</f>
        <v>Fixed Rate</v>
      </c>
      <c r="K11" t="str">
        <f>IF(RIGHT('SBL Quotes'!W26,5)="Fixed","Fixed Rate","Variable Rate")</f>
        <v>Fixed Rate</v>
      </c>
      <c r="L11" t="str">
        <f>IF(RIGHT('SBL Quotes'!X26,5)="Fixed","Fixed Rate","Variable Rate")</f>
        <v>Fixed Rate</v>
      </c>
      <c r="M11" t="str">
        <f>IF(RIGHT('SBL Quotes'!Y26,5)="Fixed","Fixed Rate","Variable Rate")</f>
        <v>Variable Rate</v>
      </c>
    </row>
    <row r="12" ht="15" customHeight="1">
      <c r="B12" t="s">
        <v>1354</v>
      </c>
      <c r="F12" t="str">
        <f>'SBL Quotes'!R$38</f>
        <v>Yield Maintenance</v>
      </c>
      <c r="G12" t="str">
        <f>'SBL Quotes'!S$38</f>
        <v>Yield Maintenance</v>
      </c>
      <c r="H12" t="str">
        <f>'SBL Quotes'!T$38</f>
        <v>Yield Maintenance</v>
      </c>
      <c r="I12" t="str">
        <f>'SBL Quotes'!U$38</f>
        <v>Yield Maintenance</v>
      </c>
      <c r="J12" t="str">
        <f>'SBL Quotes'!V$38</f>
        <v>Yield Maintenance</v>
      </c>
      <c r="K12" t="str">
        <f>'SBL Quotes'!W$38</f>
        <v>Yield Maintenance</v>
      </c>
      <c r="L12" t="str">
        <f>'SBL Quotes'!X$38</f>
        <v>Yield Maintenance</v>
      </c>
      <c r="M12" t="str">
        <f>'SBL Quotes'!Y$38</f>
        <v>Yield Maintenance</v>
      </c>
    </row>
    <row r="13" ht="15" customHeight="1">
      <c r="B13" t="s">
        <v>1355</v>
      </c>
      <c r="F13">
        <f>('FNM Loan Terms'!F$9*12)-6</f>
        <v>114</v>
      </c>
      <c r="G13">
        <f>('FNM Loan Terms'!G$9*12)-6</f>
        <v>138</v>
      </c>
      <c r="H13">
        <f>('FNM Loan Terms'!H$9*12)-6</f>
        <v>174</v>
      </c>
      <c r="I13">
        <f>('FNM Loan Terms'!I$9*12)-6</f>
        <v>114</v>
      </c>
      <c r="J13">
        <f>('FNM Loan Terms'!J$9*12)-6</f>
        <v>114</v>
      </c>
      <c r="K13">
        <f>('FNM Loan Terms'!K$9*12)-6</f>
        <v>54</v>
      </c>
      <c r="L13">
        <f>('FNM Loan Terms'!L$9*12)-6</f>
        <v>54</v>
      </c>
      <c r="M13">
        <f>('FNM Loan Terms'!M$9*12)-6</f>
        <v>12114</v>
      </c>
    </row>
    <row r="14" ht="15" customHeight="1">
      <c r="B14" t="s">
        <v>1356</v>
      </c>
      <c r="F14">
        <f>'SBL Quotes'!B44</f>
        <v>-1720952.21</v>
      </c>
      <c r="G14">
        <f t="shared" si="0" ref="G14:M15">$F14</f>
        <v>-1720952.21</v>
      </c>
      <c r="H14">
        <f t="shared" si="0"/>
        <v>-1720952.21</v>
      </c>
      <c r="I14">
        <f t="shared" si="0"/>
        <v>-1720952.21</v>
      </c>
      <c r="J14">
        <f t="shared" si="0"/>
        <v>-1720952.21</v>
      </c>
      <c r="K14">
        <f t="shared" si="0"/>
        <v>-1720952.21</v>
      </c>
      <c r="L14">
        <f t="shared" si="0"/>
        <v>-1720952.21</v>
      </c>
      <c r="M14">
        <f t="shared" si="0"/>
        <v>-1720952.21</v>
      </c>
    </row>
    <row r="15" ht="15" customHeight="1">
      <c r="B15" t="s">
        <v>1357</v>
      </c>
      <c r="F15">
        <f>'SBL Quotes'!B45</f>
        <v>-34419044.199999996</v>
      </c>
      <c r="G15">
        <f t="shared" si="0"/>
        <v>-34419044.199999996</v>
      </c>
      <c r="H15">
        <f t="shared" si="0"/>
        <v>-34419044.199999996</v>
      </c>
      <c r="I15">
        <f t="shared" si="0"/>
        <v>-34419044.199999996</v>
      </c>
      <c r="J15">
        <f t="shared" si="0"/>
        <v>-34419044.199999996</v>
      </c>
      <c r="K15">
        <f t="shared" si="0"/>
        <v>-34419044.199999996</v>
      </c>
      <c r="L15">
        <f t="shared" si="0"/>
        <v>-34419044.199999996</v>
      </c>
      <c r="M15">
        <f t="shared" si="0"/>
        <v>-34419044.199999996</v>
      </c>
    </row>
    <row r="16" ht="15" customHeight="1">
      <c r="B16" t="s">
        <v>1358</v>
      </c>
      <c r="F16">
        <v>0</v>
      </c>
      <c r="G16">
        <v>0</v>
      </c>
      <c r="H16">
        <v>0</v>
      </c>
      <c r="I16">
        <v>0</v>
      </c>
      <c r="J16">
        <v>0</v>
      </c>
      <c r="K16">
        <v>0</v>
      </c>
      <c r="L16">
        <v>0</v>
      </c>
      <c r="M16">
        <v>0</v>
      </c>
    </row>
    <row r="17" ht="15" customHeight="1">
      <c r="B17" t="s">
        <v>1359</v>
      </c>
      <c r="F17">
        <f>'SBL Quotes'!AK33</f>
        <v>0</v>
      </c>
      <c r="G17">
        <f t="shared" si="1" ref="G17:M19">$F$17</f>
        <v>0</v>
      </c>
      <c r="H17">
        <f t="shared" si="1"/>
        <v>0</v>
      </c>
      <c r="I17">
        <f t="shared" si="1"/>
        <v>0</v>
      </c>
      <c r="J17">
        <f t="shared" si="1"/>
        <v>0</v>
      </c>
      <c r="K17">
        <f t="shared" si="1"/>
        <v>0</v>
      </c>
      <c r="L17">
        <f t="shared" si="1"/>
        <v>0</v>
      </c>
      <c r="M17">
        <f t="shared" si="1"/>
        <v>0</v>
      </c>
    </row>
    <row r="18" ht="15" customHeight="1">
      <c r="B18" t="s">
        <v>1360</v>
      </c>
      <c r="F18">
        <f t="shared" si="2" ref="F18:M18">F15+SUM(F16:F17)</f>
        <v>-34419044.199999996</v>
      </c>
      <c r="G18">
        <f t="shared" si="2"/>
        <v>-34419044.199999996</v>
      </c>
      <c r="H18">
        <f t="shared" si="2"/>
        <v>-34419044.199999996</v>
      </c>
      <c r="I18">
        <f t="shared" si="2"/>
        <v>-34419044.199999996</v>
      </c>
      <c r="J18">
        <f t="shared" si="2"/>
        <v>-34419044.199999996</v>
      </c>
      <c r="K18">
        <f t="shared" si="2"/>
        <v>-34419044.199999996</v>
      </c>
      <c r="L18">
        <f t="shared" si="2"/>
        <v>-34419044.199999996</v>
      </c>
      <c r="M18">
        <f t="shared" si="2"/>
        <v>-34419044.199999996</v>
      </c>
    </row>
    <row r="19" ht="15" customHeight="1">
      <c r="B19" t="str">
        <f>IF('SBL Quotes'!AN32="Supplemental","Existing UPB to Remain (Supplemental)","Existing Debt to be Paid Off")</f>
        <v>Existing Debt to be Paid Off</v>
      </c>
      <c r="F19">
        <f>IF('SBL Quotes'!$AJ$30="If Refinance",'SBL Quotes'!AK32,0)</f>
        <v>0</v>
      </c>
      <c r="G19">
        <f t="shared" si="1"/>
        <v>0</v>
      </c>
      <c r="H19">
        <f t="shared" si="1"/>
        <v>0</v>
      </c>
      <c r="I19">
        <f t="shared" si="1"/>
        <v>0</v>
      </c>
      <c r="J19">
        <f t="shared" si="1"/>
        <v>0</v>
      </c>
      <c r="K19">
        <f t="shared" si="1"/>
        <v>0</v>
      </c>
      <c r="L19">
        <f t="shared" si="1"/>
        <v>0</v>
      </c>
      <c r="M19">
        <f t="shared" si="1"/>
        <v>0</v>
      </c>
    </row>
    <row r="20" ht="15" customHeight="1">
      <c r="B20" t="s">
        <v>1256</v>
      </c>
      <c r="F20">
        <f t="shared" si="3" ref="F20:M20">F10-F19</f>
        <v>0</v>
      </c>
      <c r="G20">
        <f t="shared" si="3"/>
        <v>0</v>
      </c>
      <c r="H20">
        <f t="shared" si="3"/>
        <v>0</v>
      </c>
      <c r="I20">
        <f t="shared" si="3"/>
        <v>0</v>
      </c>
      <c r="J20">
        <f t="shared" si="3"/>
        <v>0</v>
      </c>
      <c r="K20">
        <f t="shared" si="3"/>
        <v>0</v>
      </c>
      <c r="L20">
        <f t="shared" si="3"/>
        <v>0</v>
      </c>
      <c r="M20">
        <f t="shared" si="3"/>
        <v>0</v>
      </c>
    </row>
    <row r="21" ht="15" customHeight="1">
      <c r="B21" t="s">
        <v>1362</v>
      </c>
      <c r="F21" cm="1">
        <f t="array" ref="F21">_xlfn.TEXTJOIN("",TRUE,_xlfn.IFERROR(MID('SBL Quotes'!R$10,ROW(INDIRECT("1:100")),1)+0,""))+0</f>
        <v>0</v>
      </c>
      <c r="G21" cm="1">
        <f t="array" ref="G21">_xlfn.TEXTJOIN("",TRUE,_xlfn.IFERROR(MID('SBL Quotes'!S$10,ROW(INDIRECT("1:100")),1)+0,""))+0</f>
        <v>0</v>
      </c>
      <c r="H21" cm="1">
        <f t="array" ref="H21">_xlfn.TEXTJOIN("",TRUE,_xlfn.IFERROR(MID('SBL Quotes'!T$10,ROW(INDIRECT("1:100")),1)+0,""))+0</f>
        <v>0</v>
      </c>
      <c r="I21" cm="1">
        <f t="array" ref="I21">_xlfn.TEXTJOIN("",TRUE,_xlfn.IFERROR(MID('SBL Quotes'!U$10,ROW(INDIRECT("1:100")),1)+0,""))+0</f>
        <v>5</v>
      </c>
      <c r="J21" cm="1">
        <f t="array" ref="J21">_xlfn.TEXTJOIN("",TRUE,_xlfn.IFERROR(MID('SBL Quotes'!V$10,ROW(INDIRECT("1:100")),1)+0,""))+0</f>
        <v>10</v>
      </c>
      <c r="K21" cm="1">
        <f t="array" ref="K21">_xlfn.TEXTJOIN("",TRUE,_xlfn.IFERROR(MID('SBL Quotes'!W$10,ROW(INDIRECT("1:100")),1)+0,""))+0</f>
        <v>2</v>
      </c>
      <c r="L21" cm="1">
        <f t="array" ref="L21">_xlfn.TEXTJOIN("",TRUE,_xlfn.IFERROR(MID('SBL Quotes'!X$10,ROW(INDIRECT("1:100")),1)+0,""))+0</f>
        <v>5</v>
      </c>
      <c r="M21" cm="1">
        <f t="array" ref="M21">_xlfn.TEXTJOIN("",TRUE,_xlfn.IFERROR(MID('SBL Quotes'!Y$10,ROW(INDIRECT("1:100")),1)+0,""))+0</f>
        <v>0</v>
      </c>
    </row>
    <row r="22" ht="15" customHeight="1">
      <c r="B22" t="s">
        <v>1363</v>
      </c>
      <c r="F22">
        <f>'SBL Quotes'!R$50</f>
        <v>0.043144</v>
      </c>
      <c r="G22">
        <f>'SBL Quotes'!S$50</f>
        <v>0.043144</v>
      </c>
      <c r="H22">
        <f>'SBL Quotes'!T$50</f>
        <v>0.043144</v>
      </c>
      <c r="I22">
        <f>'SBL Quotes'!U$50</f>
        <v>0.043144</v>
      </c>
      <c r="J22">
        <f>'SBL Quotes'!V$50</f>
        <v>0.043144</v>
      </c>
      <c r="K22">
        <f>'SBL Quotes'!W$50</f>
        <v>0.044509</v>
      </c>
      <c r="L22">
        <f>'SBL Quotes'!X$50</f>
        <v>0.044509</v>
      </c>
      <c r="M22">
        <f>'SBL Quotes'!Y$50</f>
        <v>0.043144</v>
      </c>
    </row>
    <row r="23" ht="15" customHeight="1">
      <c r="B23" t="s">
        <v>453</v>
      </c>
      <c r="F23">
        <f>('SBL Quotes'!R$51+'SBL Quotes'!R$54+'SBL Quotes'!R$56+'SBL Quotes'!R$58+'SBL Quotes'!R$64)/0.0001</f>
        <v>86</v>
      </c>
      <c r="G23">
        <f>('SBL Quotes'!S$51+'SBL Quotes'!S$54+'SBL Quotes'!S$56+'SBL Quotes'!S$58+'SBL Quotes'!S$64)/0.0001</f>
        <v>97.99999999999999</v>
      </c>
      <c r="H23">
        <f>('SBL Quotes'!T$51+'SBL Quotes'!T$54+'SBL Quotes'!T$56+'SBL Quotes'!T$58+'SBL Quotes'!T$64)/0.0001</f>
        <v>116</v>
      </c>
      <c r="I23">
        <f>('SBL Quotes'!U$51+'SBL Quotes'!U$54+'SBL Quotes'!U$56+'SBL Quotes'!U$58+'SBL Quotes'!U$64)/0.0001</f>
        <v>86.22579999999999</v>
      </c>
      <c r="J23">
        <f>('SBL Quotes'!V$51+'SBL Quotes'!V$54+'SBL Quotes'!V$56+'SBL Quotes'!V$58+'SBL Quotes'!V$64)/0.0001</f>
        <v>85.9735</v>
      </c>
      <c r="K23">
        <f>('SBL Quotes'!W$51+'SBL Quotes'!W$54+'SBL Quotes'!W$56+'SBL Quotes'!W$58+'SBL Quotes'!W$64)/0.0001</f>
        <v>92.13279999999999</v>
      </c>
      <c r="L23">
        <f>('SBL Quotes'!X$51+'SBL Quotes'!X$54+'SBL Quotes'!X$56+'SBL Quotes'!X$58+'SBL Quotes'!X$64)/0.0001</f>
        <v>91.6373</v>
      </c>
      <c r="M23">
        <f>('SBL Quotes'!Y$51+'SBL Quotes'!Y$54+'SBL Quotes'!Y$56+'SBL Quotes'!Y$58+'SBL Quotes'!Y$64)/0.0001</f>
        <v>86</v>
      </c>
    </row>
    <row r="24" ht="15" customHeight="1">
      <c r="B24" t="s">
        <v>458</v>
      </c>
      <c r="D24">
        <v>0.6</v>
      </c>
      <c r="F24">
        <f>_xlfn.LET(_xlpm.fnm_credit_fees,'SBL Quotes'!R$52,_xlpm.affordability_adjustment,'SBL Quotes'!R$57,_xlpm.small_loan_le_2million_adjustment,'SBL Quotes'!R$63,_xlpm.g_and_s_adjustment,'SBL Quotes'!R$65,_xlpm.prepay_adjustment,'SBL Quotes'!R$55,_xlpm.ltv_adjustment,'SBL Quotes'!R$60,(_xlpm.fnm_credit_fees+_xlpm.affordability_adjustment+_xlpm.small_loan_le_2million_adjustment+_xlpm.g_and_s_adjustment+_xlpm.ltv_adjustment)/0.0001*$D$24+_xlpm.prepay_adjustment)</f>
        <v>115.19999999999997</v>
      </c>
      <c r="G24">
        <f>_xlfn.LET(_xlpm.fnm_credit_fees,'SBL Quotes'!S$52,_xlpm.affordability_adjustment,'SBL Quotes'!S$57,_xlpm.small_loan_le_2million_adjustment,'SBL Quotes'!S$63,_xlpm.g_and_s_adjustment,'SBL Quotes'!S$65,_xlpm.prepay_adjustment,'SBL Quotes'!S$55,_xlpm.ltv_adjustment,'SBL Quotes'!S$60,(_xlpm.fnm_credit_fees+_xlpm.affordability_adjustment+_xlpm.small_loan_le_2million_adjustment+_xlpm.g_and_s_adjustment+_xlpm.ltv_adjustment)/0.0001*$D$24+_xlpm.prepay_adjustment)</f>
        <v>115.19999999999997</v>
      </c>
      <c r="H24">
        <f>_xlfn.LET(_xlpm.fnm_credit_fees,'SBL Quotes'!T$52,_xlpm.affordability_adjustment,'SBL Quotes'!T$57,_xlpm.small_loan_le_2million_adjustment,'SBL Quotes'!T$63,_xlpm.g_and_s_adjustment,'SBL Quotes'!T$65,_xlpm.prepay_adjustment,'SBL Quotes'!T$55,_xlpm.ltv_adjustment,'SBL Quotes'!T$60,(_xlpm.fnm_credit_fees+_xlpm.affordability_adjustment+_xlpm.small_loan_le_2million_adjustment+_xlpm.g_and_s_adjustment+_xlpm.ltv_adjustment)/0.0001*$D$24+_xlpm.prepay_adjustment)</f>
        <v>115.19999999999997</v>
      </c>
      <c r="I24">
        <f>_xlfn.LET(_xlpm.fnm_credit_fees,'SBL Quotes'!U$52,_xlpm.affordability_adjustment,'SBL Quotes'!U$57,_xlpm.small_loan_le_2million_adjustment,'SBL Quotes'!U$63,_xlpm.g_and_s_adjustment,'SBL Quotes'!U$65,_xlpm.prepay_adjustment,'SBL Quotes'!U$55,_xlpm.ltv_adjustment,'SBL Quotes'!U$60,(_xlpm.fnm_credit_fees+_xlpm.affordability_adjustment+_xlpm.small_loan_le_2million_adjustment+_xlpm.g_and_s_adjustment+_xlpm.ltv_adjustment)/0.0001*$D$24+_xlpm.prepay_adjustment)</f>
        <v>103.2</v>
      </c>
      <c r="J24">
        <f>_xlfn.LET(_xlpm.fnm_credit_fees,'SBL Quotes'!V$52,_xlpm.affordability_adjustment,'SBL Quotes'!V$57,_xlpm.small_loan_le_2million_adjustment,'SBL Quotes'!V$63,_xlpm.g_and_s_adjustment,'SBL Quotes'!V$65,_xlpm.prepay_adjustment,'SBL Quotes'!V$55,_xlpm.ltv_adjustment,'SBL Quotes'!V$60,(_xlpm.fnm_credit_fees+_xlpm.affordability_adjustment+_xlpm.small_loan_le_2million_adjustment+_xlpm.g_and_s_adjustment+_xlpm.ltv_adjustment)/0.0001*$D$24+_xlpm.prepay_adjustment)</f>
        <v>91.2</v>
      </c>
      <c r="K24">
        <f>_xlfn.LET(_xlpm.fnm_credit_fees,'SBL Quotes'!W$52,_xlpm.affordability_adjustment,'SBL Quotes'!W$57,_xlpm.small_loan_le_2million_adjustment,'SBL Quotes'!W$63,_xlpm.g_and_s_adjustment,'SBL Quotes'!W$65,_xlpm.prepay_adjustment,'SBL Quotes'!W$55,_xlpm.ltv_adjustment,'SBL Quotes'!W$60,(_xlpm.fnm_credit_fees+_xlpm.affordability_adjustment+_xlpm.small_loan_le_2million_adjustment+_xlpm.g_and_s_adjustment+_xlpm.ltv_adjustment)/0.0001*$D$24+_xlpm.prepay_adjustment)</f>
        <v>107.99999999999999</v>
      </c>
      <c r="L24">
        <f>_xlfn.LET(_xlpm.fnm_credit_fees,'SBL Quotes'!X$52,_xlpm.affordability_adjustment,'SBL Quotes'!X$57,_xlpm.small_loan_le_2million_adjustment,'SBL Quotes'!X$63,_xlpm.g_and_s_adjustment,'SBL Quotes'!X$65,_xlpm.prepay_adjustment,'SBL Quotes'!X$55,_xlpm.ltv_adjustment,'SBL Quotes'!X$60,(_xlpm.fnm_credit_fees+_xlpm.affordability_adjustment+_xlpm.small_loan_le_2million_adjustment+_xlpm.g_and_s_adjustment+_xlpm.ltv_adjustment)/0.0001*$D$24+_xlpm.prepay_adjustment)</f>
        <v>96</v>
      </c>
      <c r="M24">
        <f>_xlfn.LET(_xlpm.fnm_credit_fees,'SBL Quotes'!Y$52,_xlpm.affordability_adjustment,'SBL Quotes'!Y$57,_xlpm.small_loan_le_2million_adjustment,'SBL Quotes'!Y$63,_xlpm.g_and_s_adjustment,'SBL Quotes'!Y$65,_xlpm.prepay_adjustment,'SBL Quotes'!Y$55,_xlpm.ltv_adjustment,'SBL Quotes'!Y$60,(_xlpm.fnm_credit_fees+_xlpm.affordability_adjustment+_xlpm.small_loan_le_2million_adjustment+_xlpm.g_and_s_adjustment+_xlpm.ltv_adjustment)/0.0001*$D$24+_xlpm.prepay_adjustment)</f>
        <v>115.19999999999997</v>
      </c>
    </row>
    <row r="25" ht="15" customHeight="1">
      <c r="B25" t="s">
        <v>461</v>
      </c>
      <c r="D25">
        <f>100%-D24</f>
        <v>0.4</v>
      </c>
      <c r="F25">
        <f>_xlfn.LET(_xlpm.fnm_credit_fees,'SBL Quotes'!R$52,_xlpm.affordability_adjustment,'SBL Quotes'!R$57,_xlpm.small_loan_le_2million_adjustment,'SBL Quotes'!R$63,_xlpm.g_and_s_adjustment,'SBL Quotes'!R$65,_xlpm.ltv_adjustment,'SBL Quotes'!R$60,(_xlpm.fnm_credit_fees+_xlpm.affordability_adjustment+_xlpm.small_loan_le_2million_adjustment+_xlpm.g_and_s_adjustment+_xlpm.ltv_adjustment)/0.0001*$D25)</f>
        <v>76.8</v>
      </c>
      <c r="G25">
        <f>_xlfn.LET(_xlpm.fnm_credit_fees,'SBL Quotes'!S$52,_xlpm.affordability_adjustment,'SBL Quotes'!S$57,_xlpm.small_loan_le_2million_adjustment,'SBL Quotes'!S$63,_xlpm.g_and_s_adjustment,'SBL Quotes'!S$65,_xlpm.ltv_adjustment,'SBL Quotes'!S$60,(_xlpm.fnm_credit_fees+_xlpm.affordability_adjustment+_xlpm.small_loan_le_2million_adjustment+_xlpm.g_and_s_adjustment+_xlpm.ltv_adjustment)/0.0001*$D25)</f>
        <v>76.8</v>
      </c>
      <c r="H25">
        <f>_xlfn.LET(_xlpm.fnm_credit_fees,'SBL Quotes'!T$52,_xlpm.affordability_adjustment,'SBL Quotes'!T$57,_xlpm.small_loan_le_2million_adjustment,'SBL Quotes'!T$63,_xlpm.g_and_s_adjustment,'SBL Quotes'!T$65,_xlpm.ltv_adjustment,'SBL Quotes'!T$60,(_xlpm.fnm_credit_fees+_xlpm.affordability_adjustment+_xlpm.small_loan_le_2million_adjustment+_xlpm.g_and_s_adjustment+_xlpm.ltv_adjustment)/0.0001*$D25)</f>
        <v>76.8</v>
      </c>
      <c r="I25">
        <f>_xlfn.LET(_xlpm.fnm_credit_fees,'SBL Quotes'!U$52,_xlpm.affordability_adjustment,'SBL Quotes'!U$57,_xlpm.small_loan_le_2million_adjustment,'SBL Quotes'!U$63,_xlpm.g_and_s_adjustment,'SBL Quotes'!U$65,_xlpm.ltv_adjustment,'SBL Quotes'!U$60,(_xlpm.fnm_credit_fees+_xlpm.affordability_adjustment+_xlpm.small_loan_le_2million_adjustment+_xlpm.g_and_s_adjustment+_xlpm.ltv_adjustment)/0.0001*$D25)</f>
        <v>68.8</v>
      </c>
      <c r="J25">
        <f>_xlfn.LET(_xlpm.fnm_credit_fees,'SBL Quotes'!V$52,_xlpm.affordability_adjustment,'SBL Quotes'!V$57,_xlpm.small_loan_le_2million_adjustment,'SBL Quotes'!V$63,_xlpm.g_and_s_adjustment,'SBL Quotes'!V$65,_xlpm.ltv_adjustment,'SBL Quotes'!V$60,(_xlpm.fnm_credit_fees+_xlpm.affordability_adjustment+_xlpm.small_loan_le_2million_adjustment+_xlpm.g_and_s_adjustment+_xlpm.ltv_adjustment)/0.0001*$D25)</f>
        <v>60.800000000000004</v>
      </c>
      <c r="K25">
        <f>_xlfn.LET(_xlpm.fnm_credit_fees,'SBL Quotes'!W$52,_xlpm.affordability_adjustment,'SBL Quotes'!W$57,_xlpm.small_loan_le_2million_adjustment,'SBL Quotes'!W$63,_xlpm.g_and_s_adjustment,'SBL Quotes'!W$65,_xlpm.ltv_adjustment,'SBL Quotes'!W$60,(_xlpm.fnm_credit_fees+_xlpm.affordability_adjustment+_xlpm.small_loan_le_2million_adjustment+_xlpm.g_and_s_adjustment+_xlpm.ltv_adjustment)/0.0001*$D25)</f>
        <v>71.99999999999999</v>
      </c>
      <c r="L25">
        <f>_xlfn.LET(_xlpm.fnm_credit_fees,'SBL Quotes'!X$52,_xlpm.affordability_adjustment,'SBL Quotes'!X$57,_xlpm.small_loan_le_2million_adjustment,'SBL Quotes'!X$63,_xlpm.g_and_s_adjustment,'SBL Quotes'!X$65,_xlpm.ltv_adjustment,'SBL Quotes'!X$60,(_xlpm.fnm_credit_fees+_xlpm.affordability_adjustment+_xlpm.small_loan_le_2million_adjustment+_xlpm.g_and_s_adjustment+_xlpm.ltv_adjustment)/0.0001*$D25)</f>
        <v>64</v>
      </c>
      <c r="M25">
        <f>_xlfn.LET(_xlpm.fnm_credit_fees,'SBL Quotes'!Y$52,_xlpm.affordability_adjustment,'SBL Quotes'!Y$57,_xlpm.small_loan_le_2million_adjustment,'SBL Quotes'!Y$63,_xlpm.g_and_s_adjustment,'SBL Quotes'!Y$65,_xlpm.ltv_adjustment,'SBL Quotes'!Y$60,(_xlpm.fnm_credit_fees+_xlpm.affordability_adjustment+_xlpm.small_loan_le_2million_adjustment+_xlpm.g_and_s_adjustment+_xlpm.ltv_adjustment)/0.0001*$D25)</f>
        <v>76.8</v>
      </c>
    </row>
    <row r="26" ht="15" customHeight="1">
      <c r="B26" t="s">
        <v>465</v>
      </c>
      <c r="F26">
        <f>'SBL Quotes'!R$66/0.0001</f>
        <v>0</v>
      </c>
      <c r="G26">
        <f>'SBL Quotes'!S$66/0.0001</f>
        <v>0</v>
      </c>
      <c r="H26">
        <f>'SBL Quotes'!T$66/0.0001</f>
        <v>0</v>
      </c>
      <c r="I26">
        <f>'SBL Quotes'!U$66/0.0001</f>
        <v>0</v>
      </c>
      <c r="J26">
        <f>'SBL Quotes'!V$66/0.0001</f>
        <v>0</v>
      </c>
      <c r="K26">
        <f>'SBL Quotes'!W$66/0.0001</f>
        <v>0</v>
      </c>
      <c r="L26">
        <f>'SBL Quotes'!X$66/0.0001</f>
        <v>0</v>
      </c>
      <c r="M26">
        <f>'SBL Quotes'!Y$66/0.0001</f>
        <v>0</v>
      </c>
    </row>
    <row r="27" ht="15" customHeight="1">
      <c r="B27" t="s">
        <v>1364</v>
      </c>
      <c r="F27">
        <f t="shared" si="4" ref="F27:M27">SUM(F23:F26)</f>
        <v>278</v>
      </c>
      <c r="G27">
        <f t="shared" si="4"/>
        <v>289.99999999999994</v>
      </c>
      <c r="H27">
        <f t="shared" si="4"/>
        <v>308</v>
      </c>
      <c r="I27">
        <f t="shared" si="4"/>
        <v>258.2258</v>
      </c>
      <c r="J27">
        <f t="shared" si="4"/>
        <v>237.9735</v>
      </c>
      <c r="K27">
        <f t="shared" si="4"/>
        <v>272.1328</v>
      </c>
      <c r="L27">
        <f t="shared" si="4"/>
        <v>251.63729999999998</v>
      </c>
      <c r="M27">
        <f t="shared" si="4"/>
        <v>278</v>
      </c>
    </row>
    <row r="28" ht="15" customHeight="1">
      <c r="B28" t="s">
        <v>255</v>
      </c>
      <c r="F28">
        <f t="shared" si="5" ref="F28:M28">F22+(F27*0.0001)</f>
        <v>0.07094400000000001</v>
      </c>
      <c r="G28">
        <f t="shared" si="5"/>
        <v>0.072144</v>
      </c>
      <c r="H28">
        <f t="shared" si="5"/>
        <v>0.07394400000000001</v>
      </c>
      <c r="I28">
        <f t="shared" si="5"/>
        <v>0.06896658</v>
      </c>
      <c r="J28">
        <f t="shared" si="5"/>
        <v>0.06694135000000001</v>
      </c>
      <c r="K28">
        <f t="shared" si="5"/>
        <v>0.07172228</v>
      </c>
      <c r="L28">
        <f t="shared" si="5"/>
        <v>0.06967273</v>
      </c>
      <c r="M28">
        <f t="shared" si="5"/>
        <v>0.07094400000000001</v>
      </c>
    </row>
    <row r="29" ht="15" customHeight="1">
      <c r="B29" t="s">
        <v>1365</v>
      </c>
      <c r="F29">
        <f>PMT(F28/12,'SBL Quotes'!R46*12,-F10,0)</f>
        <v>0</v>
      </c>
      <c r="G29">
        <f>PMT(G28/12,'SBL Quotes'!S46*12,-G10,0)</f>
        <v>0</v>
      </c>
      <c r="H29">
        <f>PMT(H28/12,'SBL Quotes'!T46*12,-H10,0)</f>
        <v>0</v>
      </c>
      <c r="I29">
        <f>PMT(I28/12,'SBL Quotes'!U46*12,-I10,0)</f>
        <v>0</v>
      </c>
      <c r="J29">
        <f>PMT(J28/12,'SBL Quotes'!V46*12,-J10,0)</f>
        <v>0</v>
      </c>
      <c r="K29">
        <f>PMT(K28/12,'SBL Quotes'!W46*12,-K10,0)</f>
        <v>0</v>
      </c>
      <c r="L29">
        <f>PMT(L28/12,'SBL Quotes'!X46*12,-L10,0)</f>
        <v>0</v>
      </c>
      <c r="M29">
        <f>PMT(M28/12,'SBL Quotes'!Y46*12,-M10,0)</f>
        <v>0</v>
      </c>
    </row>
    <row r="30" ht="15" customHeight="1">
      <c r="B30" t="s">
        <v>392</v>
      </c>
      <c r="F30" t="str">
        <f>'SBL Quotes'!R$47</f>
        <v>Standard</v>
      </c>
      <c r="G30" t="str">
        <f>'SBL Quotes'!S$47</f>
        <v>Standard</v>
      </c>
      <c r="H30" t="str">
        <f>'SBL Quotes'!T$47</f>
        <v>Standard</v>
      </c>
      <c r="I30" t="str">
        <f>'SBL Quotes'!U$47</f>
        <v>Standard</v>
      </c>
      <c r="J30" t="str">
        <f>'SBL Quotes'!V$47</f>
        <v>Standard</v>
      </c>
      <c r="K30" t="str">
        <f>'SBL Quotes'!W$47</f>
        <v>Standard</v>
      </c>
      <c r="L30" t="str">
        <f>'SBL Quotes'!X$47</f>
        <v>Standard</v>
      </c>
      <c r="M30" t="str">
        <f>'SBL Quotes'!Y$47</f>
        <v>Standard</v>
      </c>
    </row>
    <row r="31" ht="15" customHeight="1">
      <c r="B31" t="s">
        <v>1366</v>
      </c>
      <c r="F31">
        <f>'SBL Quotes'!R$76</f>
        <v>-17081723.51155998</v>
      </c>
      <c r="G31">
        <f>'SBL Quotes'!S$76</f>
        <v>-16877955.580361508</v>
      </c>
      <c r="H31">
        <f>'SBL Quotes'!T$76</f>
        <v>-16579553.352712335</v>
      </c>
      <c r="I31">
        <f>'SBL Quotes'!U$76</f>
        <v>-16135387.568689754</v>
      </c>
      <c r="J31">
        <f>'SBL Quotes'!V$76</f>
        <v>-14347323.995971369</v>
      </c>
      <c r="K31">
        <f>'SBL Quotes'!W$76</f>
        <v>-15693629.013439042</v>
      </c>
      <c r="L31">
        <f>'SBL Quotes'!X$76</f>
        <v>-13953170.44231928</v>
      </c>
      <c r="M31">
        <f>'SBL Quotes'!Y$76</f>
        <v>-17081723.51155998</v>
      </c>
    </row>
    <row r="32" ht="15" customHeight="1">
      <c r="B32" t="s">
        <v>1367</v>
      </c>
      <c r="F32">
        <f>'SBL Quotes'!R$78</f>
        <v>-21372117.369187858</v>
      </c>
      <c r="G32">
        <f>'SBL Quotes'!S$78</f>
      </c>
      <c r="H32">
        <f>'SBL Quotes'!T$78</f>
      </c>
      <c r="I32">
        <f>'SBL Quotes'!U$78</f>
      </c>
      <c r="J32">
        <f>'SBL Quotes'!V$78</f>
      </c>
      <c r="K32">
        <f>'SBL Quotes'!W$78</f>
      </c>
      <c r="L32">
        <f>'SBL Quotes'!X$78</f>
      </c>
      <c r="M32">
        <f>'SBL Quotes'!Y$78</f>
        <v>-21372117.369187858</v>
      </c>
    </row>
    <row r="33" ht="15" customHeight="1">
      <c r="B33" t="s">
        <v>1368</v>
      </c>
      <c r="F33">
        <f>'SBL Quotes'!R$77</f>
        <v>-27535235.36</v>
      </c>
      <c r="G33">
        <f>'SBL Quotes'!S$77</f>
        <v>-27535235.36</v>
      </c>
      <c r="H33">
        <f>'SBL Quotes'!T$77</f>
        <v>-27535235.36</v>
      </c>
      <c r="I33">
        <f>'SBL Quotes'!U$77</f>
        <v>-22372378.729999997</v>
      </c>
      <c r="J33">
        <f>'SBL Quotes'!V$77</f>
        <v>-18930474.31</v>
      </c>
      <c r="K33">
        <f>'SBL Quotes'!W$77</f>
        <v>-22372378.729999997</v>
      </c>
      <c r="L33">
        <f>'SBL Quotes'!X$77</f>
        <v>-18930474.31</v>
      </c>
      <c r="M33">
        <f>'SBL Quotes'!Y$77</f>
        <v>-27535235.36</v>
      </c>
    </row>
    <row r="34" ht="15" customHeight="1">
      <c r="B34" t="s">
        <v>1369</v>
      </c>
      <c r="F34">
        <f t="shared" si="6" ref="F34:M34">F18*F35</f>
        <v>-27535235.36</v>
      </c>
      <c r="G34">
        <f t="shared" si="6"/>
        <v>-27535235.36</v>
      </c>
      <c r="H34">
        <f t="shared" si="6"/>
        <v>-27535235.36</v>
      </c>
      <c r="I34">
        <f t="shared" si="6"/>
        <v>-22372378.729999997</v>
      </c>
      <c r="J34">
        <f t="shared" si="6"/>
        <v>-18930474.31</v>
      </c>
      <c r="K34">
        <f t="shared" si="6"/>
        <v>-22372378.729999997</v>
      </c>
      <c r="L34">
        <f t="shared" si="6"/>
        <v>-18930474.31</v>
      </c>
      <c r="M34">
        <f t="shared" si="6"/>
        <v>-27535235.36</v>
      </c>
    </row>
    <row r="35" ht="15" customHeight="1">
      <c r="B35" t="s">
        <v>932</v>
      </c>
      <c r="F35">
        <f>'SBL Quotes'!R$74</f>
        <v>0.8</v>
      </c>
      <c r="G35">
        <f>'SBL Quotes'!S$74</f>
        <v>0.8</v>
      </c>
      <c r="H35">
        <f>'SBL Quotes'!T$74</f>
        <v>0.8</v>
      </c>
      <c r="I35">
        <f>'SBL Quotes'!U$74</f>
        <v>0.65</v>
      </c>
      <c r="J35">
        <f>'SBL Quotes'!V$74</f>
        <v>0.55</v>
      </c>
      <c r="K35">
        <f>'SBL Quotes'!W$74</f>
        <v>0.65</v>
      </c>
      <c r="L35">
        <f>'SBL Quotes'!X$74</f>
        <v>0.55</v>
      </c>
      <c r="M35">
        <f>'SBL Quotes'!Y$74</f>
        <v>0.8</v>
      </c>
    </row>
    <row r="36" ht="15" customHeight="1">
      <c r="B36" t="s">
        <v>1370</v>
      </c>
      <c r="F36">
        <f t="shared" si="7" ref="F36:M36">_xlfn.IFERROR(F10/F15,0)</f>
        <v>0</v>
      </c>
      <c r="G36">
        <f t="shared" si="7"/>
        <v>0</v>
      </c>
      <c r="H36">
        <f t="shared" si="7"/>
        <v>0</v>
      </c>
      <c r="I36">
        <f t="shared" si="7"/>
        <v>0</v>
      </c>
      <c r="J36">
        <f t="shared" si="7"/>
        <v>0</v>
      </c>
      <c r="K36">
        <f t="shared" si="7"/>
        <v>0</v>
      </c>
      <c r="L36">
        <f t="shared" si="7"/>
        <v>0</v>
      </c>
      <c r="M36">
        <f t="shared" si="7"/>
        <v>0</v>
      </c>
    </row>
    <row r="37" ht="15" customHeight="1">
      <c r="B37" t="s">
        <v>1371</v>
      </c>
      <c r="F37">
        <f t="shared" si="8" ref="F37:M37">_xlfn.IFERROR(F10/F18,0)</f>
        <v>0</v>
      </c>
      <c r="G37">
        <f t="shared" si="8"/>
        <v>0</v>
      </c>
      <c r="H37">
        <f t="shared" si="8"/>
        <v>0</v>
      </c>
      <c r="I37">
        <f t="shared" si="8"/>
        <v>0</v>
      </c>
      <c r="J37">
        <f t="shared" si="8"/>
        <v>0</v>
      </c>
      <c r="K37">
        <f t="shared" si="8"/>
        <v>0</v>
      </c>
      <c r="L37">
        <f t="shared" si="8"/>
        <v>0</v>
      </c>
      <c r="M37">
        <f t="shared" si="8"/>
        <v>0</v>
      </c>
    </row>
    <row r="38" ht="15" customHeight="1">
      <c r="B38" t="s">
        <v>1372</v>
      </c>
      <c r="F38">
        <f>'SBL Quotes'!R$72</f>
        <v>1.25</v>
      </c>
      <c r="G38">
        <f>'SBL Quotes'!S$72</f>
        <v>1.25</v>
      </c>
      <c r="H38">
        <f>'SBL Quotes'!T$72</f>
        <v>1.25</v>
      </c>
      <c r="I38">
        <f>'SBL Quotes'!U$72</f>
        <v>1.35</v>
      </c>
      <c r="J38">
        <f>'SBL Quotes'!V$72</f>
        <v>1.55</v>
      </c>
      <c r="K38">
        <f>'SBL Quotes'!W$72</f>
        <v>1.35</v>
      </c>
      <c r="L38">
        <f>'SBL Quotes'!X$72</f>
        <v>1.55</v>
      </c>
      <c r="M38">
        <f>'SBL Quotes'!Y$72</f>
        <v>1.25</v>
      </c>
    </row>
    <row r="39" ht="15" customHeight="1">
      <c r="B39" t="s">
        <v>1373</v>
      </c>
      <c r="F39">
        <f t="shared" si="9" ref="F39:M39">_xlfn.IFERROR((F$14/(PMT(F$28/12,360,-F$10)*12)),0)</f>
        <v>0</v>
      </c>
      <c r="G39">
        <f t="shared" si="9"/>
        <v>0</v>
      </c>
      <c r="H39">
        <f t="shared" si="9"/>
        <v>0</v>
      </c>
      <c r="I39">
        <f t="shared" si="9"/>
        <v>0</v>
      </c>
      <c r="J39">
        <f t="shared" si="9"/>
        <v>0</v>
      </c>
      <c r="K39">
        <f t="shared" si="9"/>
        <v>0</v>
      </c>
      <c r="L39">
        <f t="shared" si="9"/>
        <v>0</v>
      </c>
      <c r="M39">
        <f t="shared" si="9"/>
        <v>0</v>
      </c>
    </row>
    <row r="40" ht="15" customHeight="1">
      <c r="B40" t="str">
        <f>"Floor Rate/Max Rate (Strike = "&amp;_xlfn.IFERROR(ROUND(100*(F40-(F27*0.0001)-0.001),2)&amp;"%)","N/A)")</f>
        <v>Floor Rate/Max Rate (Strike = 2.12%)</v>
      </c>
      <c r="F40">
        <f>IF(ISNUMBER('SBL Quotes'!R$79),'SBL Quotes'!R$79,'SBL Quotes'!R$68)</f>
        <v>0.05</v>
      </c>
      <c r="G40">
        <f>IF(ISNUMBER('SBL Quotes'!S$79),'SBL Quotes'!S$79,'SBL Quotes'!S$68)</f>
        <v>0.072144</v>
      </c>
      <c r="H40">
        <f>IF(ISNUMBER('SBL Quotes'!T$79),'SBL Quotes'!T$79,'SBL Quotes'!T$68)</f>
        <v>0.07394400000000001</v>
      </c>
      <c r="I40">
        <f>IF(ISNUMBER('SBL Quotes'!U$79),'SBL Quotes'!U$79,'SBL Quotes'!U$68)</f>
        <v>0.06896658000000001</v>
      </c>
      <c r="J40">
        <f>IF(ISNUMBER('SBL Quotes'!V$79),'SBL Quotes'!V$79,'SBL Quotes'!V$68)</f>
        <v>0.06694135000000001</v>
      </c>
      <c r="K40">
        <f>IF(ISNUMBER('SBL Quotes'!W$79),'SBL Quotes'!W$79,'SBL Quotes'!W$68)</f>
        <v>0.07172228</v>
      </c>
      <c r="L40">
        <f>IF(ISNUMBER('SBL Quotes'!X$79),'SBL Quotes'!X$79,'SBL Quotes'!X$68)</f>
        <v>0.06967273</v>
      </c>
      <c r="M40">
        <f>IF(ISNUMBER('SBL Quotes'!Y$79),'SBL Quotes'!Y$79,'SBL Quotes'!Y$68)</f>
        <v>0.05</v>
      </c>
    </row>
    <row r="41" ht="15" customHeight="1">
      <c r="B41" t="s">
        <v>1375</v>
      </c>
      <c r="F41">
        <f>IF(SBL_DelegatedLevel="Performance Differentiation",1.1,'SBL Quotes'!R$73)</f>
        <v>1.25</v>
      </c>
      <c r="G41">
        <f>IF(SBL_DelegatedLevel="Performance Differentiation",1.1,'SBL Quotes'!S$73)</f>
        <v>1.25</v>
      </c>
      <c r="H41">
        <f>IF(SBL_DelegatedLevel="Performance Differentiation",1.1,'SBL Quotes'!T$73)</f>
        <v>1.25</v>
      </c>
      <c r="I41">
        <f>IF(SBL_DelegatedLevel="Performance Differentiation",1.1,'SBL Quotes'!U$73)</f>
        <v>1.35</v>
      </c>
      <c r="J41">
        <f>IF(SBL_DelegatedLevel="Performance Differentiation",1.1,'SBL Quotes'!V$73)</f>
        <v>1.55</v>
      </c>
      <c r="K41">
        <f>IF(SBL_DelegatedLevel="Performance Differentiation",1.1,'SBL Quotes'!W$73)</f>
        <v>1.35</v>
      </c>
      <c r="L41">
        <f>IF(SBL_DelegatedLevel="Performance Differentiation",1.1,'SBL Quotes'!X$73)</f>
        <v>1.55</v>
      </c>
      <c r="M41">
        <f>IF(SBL_DelegatedLevel="Performance Differentiation",1.1,'SBL Quotes'!Y$73)</f>
        <v>1.25</v>
      </c>
    </row>
    <row r="42" ht="15" customHeight="1">
      <c r="B42" t="s">
        <v>1376</v>
      </c>
      <c r="F42">
        <f t="shared" si="10" ref="F42:M42">IF(F11="Fixed Rate",_xlfn.IFERROR((F$14/(PMT(F$40/12,360,-F$10)*12)),0),_xlfn.IFERROR((F$14/(F10*F40)),0))</f>
        <v>0</v>
      </c>
      <c r="G42">
        <f t="shared" si="10"/>
        <v>0</v>
      </c>
      <c r="H42">
        <f t="shared" si="10"/>
        <v>0</v>
      </c>
      <c r="I42">
        <f t="shared" si="10"/>
        <v>0</v>
      </c>
      <c r="J42">
        <f t="shared" si="10"/>
        <v>0</v>
      </c>
      <c r="K42">
        <f t="shared" si="10"/>
        <v>0</v>
      </c>
      <c r="L42">
        <f t="shared" si="10"/>
        <v>0</v>
      </c>
      <c r="M42">
        <f t="shared" si="10"/>
        <v>0</v>
      </c>
    </row>
    <row r="43" ht="15" customHeight="1">
      <c r="B43" t="s">
        <v>1377</v>
      </c>
      <c r="F43" t="str">
        <f>"Tier "&amp;'SBL Quotes'!R$39</f>
        <v>Tier 2</v>
      </c>
      <c r="G43" t="str">
        <f>"Tier "&amp;'SBL Quotes'!S$39</f>
        <v>Tier 2</v>
      </c>
      <c r="H43" t="str">
        <f>"Tier "&amp;'SBL Quotes'!T$39</f>
        <v>Tier 2</v>
      </c>
      <c r="I43" t="str">
        <f>"Tier "&amp;'SBL Quotes'!U$39</f>
        <v>Tier 3</v>
      </c>
      <c r="J43" t="str">
        <f>"Tier "&amp;'SBL Quotes'!V$39</f>
        <v>Tier 4</v>
      </c>
      <c r="K43" t="str">
        <f>"Tier "&amp;'SBL Quotes'!W$39</f>
        <v>Tier 3</v>
      </c>
      <c r="L43" t="str">
        <f>"Tier "&amp;'SBL Quotes'!X$39</f>
        <v>Tier 4</v>
      </c>
      <c r="M43" t="str">
        <f>"Tier "&amp;'SBL Quotes'!Y$39</f>
        <v>Tier 2</v>
      </c>
    </row>
    <row r="44" ht="15" customHeight="1">
      <c r="B44" t="s">
        <v>1378</v>
      </c>
      <c r="F44">
        <f>'SBL Quotes'!R$72</f>
        <v>1.25</v>
      </c>
      <c r="G44">
        <f>'SBL Quotes'!S$72</f>
        <v>1.25</v>
      </c>
      <c r="H44">
        <f>'SBL Quotes'!T$72</f>
        <v>1.25</v>
      </c>
      <c r="I44">
        <f>'SBL Quotes'!U$72</f>
        <v>1.35</v>
      </c>
      <c r="J44">
        <f>'SBL Quotes'!V$72</f>
        <v>1.55</v>
      </c>
      <c r="K44">
        <f>'SBL Quotes'!W$72</f>
        <v>1.35</v>
      </c>
      <c r="L44">
        <f>'SBL Quotes'!X$72</f>
        <v>1.55</v>
      </c>
      <c r="M44">
        <f>'SBL Quotes'!Y$72</f>
        <v>1.25</v>
      </c>
    </row>
    <row r="45" ht="15" customHeight="1">
      <c r="B45" t="s">
        <v>1379</v>
      </c>
      <c r="F45">
        <f>'SBL Quotes'!R$74</f>
        <v>0.8</v>
      </c>
      <c r="G45">
        <f>'SBL Quotes'!S$74</f>
        <v>0.8</v>
      </c>
      <c r="H45">
        <f>'SBL Quotes'!T$74</f>
        <v>0.8</v>
      </c>
      <c r="I45">
        <f>'SBL Quotes'!U$74</f>
        <v>0.65</v>
      </c>
      <c r="J45">
        <f>'SBL Quotes'!V$74</f>
        <v>0.55</v>
      </c>
      <c r="K45">
        <f>'SBL Quotes'!W$74</f>
        <v>0.65</v>
      </c>
      <c r="L45">
        <f>'SBL Quotes'!X$74</f>
        <v>0.55</v>
      </c>
      <c r="M45">
        <f>'SBL Quotes'!Y$74</f>
        <v>0.8</v>
      </c>
    </row>
    <row r="46" ht="15" customHeight="1">
      <c r="B46" t="s">
        <v>1380</v>
      </c>
    </row>
    <row r="47" ht="15" customHeight="1">
      <c r="B47" t="s">
        <v>1381</v>
      </c>
      <c r="F47">
        <f>'SBL Quotes'!R86</f>
        <v>-2277314.0883136215</v>
      </c>
      <c r="G47">
        <f>'SBL Quotes'!S86</f>
        <v>-2408656.340927534</v>
      </c>
      <c r="H47">
        <f>'SBL Quotes'!T86</f>
        <v>-2620065.277827656</v>
      </c>
      <c r="I47">
        <f>'SBL Quotes'!U86</f>
        <v>-2277314.0883136215</v>
      </c>
      <c r="J47">
        <f>'SBL Quotes'!V86</f>
        <v>-2277314.0883136215</v>
      </c>
      <c r="K47">
        <f>'SBL Quotes'!W86</f>
        <v>-1979569.6748393609</v>
      </c>
      <c r="L47">
        <f>'SBL Quotes'!X86</f>
        <v>-1979569.6748393609</v>
      </c>
      <c r="M47">
        <f>'SBL Quotes'!Y86</f>
        <v>-2277314.0883136215</v>
      </c>
    </row>
    <row r="48" ht="15" customHeight="1">
      <c r="B48" t="s">
        <v>1382</v>
      </c>
      <c r="F48" t="e">
        <f>'SBL Quotes'!R87</f>
        <v>#NAME?</v>
      </c>
      <c r="G48" t="e">
        <f>'SBL Quotes'!S87</f>
        <v>#NAME?</v>
      </c>
      <c r="H48" t="e">
        <f>'SBL Quotes'!T87</f>
        <v>#NAME?</v>
      </c>
      <c r="I48" t="e">
        <f>'SBL Quotes'!U87</f>
        <v>#NAME?</v>
      </c>
      <c r="J48">
        <f>'SBL Quotes'!V87</f>
        <v>0</v>
      </c>
      <c r="K48" t="e">
        <f>'SBL Quotes'!W87</f>
        <v>#NAME?</v>
      </c>
      <c r="L48">
        <f>'SBL Quotes'!X87</f>
        <v>0</v>
      </c>
      <c r="M48" t="e">
        <f>'SBL Quotes'!Y87</f>
        <v>#NAME?</v>
      </c>
    </row>
    <row r="49" ht="15" customHeight="1">
      <c r="B49" t="s">
        <v>982</v>
      </c>
      <c r="F49">
        <f>'SBL Quotes'!R88</f>
        <v>-32533058.404480305</v>
      </c>
      <c r="G49">
        <f>'SBL Quotes'!S88</f>
        <v>-34409376.29896477</v>
      </c>
      <c r="H49">
        <f>'SBL Quotes'!T88</f>
        <v>-37429503.96896651</v>
      </c>
      <c r="I49">
        <f>'SBL Quotes'!U88</f>
        <v>-32533058.404480305</v>
      </c>
      <c r="J49">
        <f>'SBL Quotes'!V88</f>
        <v>-32533058.404480305</v>
      </c>
      <c r="K49">
        <f>'SBL Quotes'!W88</f>
        <v>-28279566.783419438</v>
      </c>
      <c r="L49">
        <f>'SBL Quotes'!X88</f>
        <v>-28279566.783419438</v>
      </c>
      <c r="M49">
        <f>'SBL Quotes'!Y88</f>
        <v>-32533058.404480305</v>
      </c>
    </row>
    <row r="50" ht="15" customHeight="1">
      <c r="B50" t="s">
        <v>985</v>
      </c>
      <c r="F50">
        <f>'SBL Quotes'!R89</f>
        <v>0.028407919214384413</v>
      </c>
      <c r="G50">
        <f>'SBL Quotes'!S89</f>
        <v>0.028412079667409208</v>
      </c>
      <c r="H50">
        <f>'SBL Quotes'!T89</f>
        <v>0.028417725546511872</v>
      </c>
      <c r="I50">
        <f>'SBL Quotes'!U89</f>
        <v>0.028407919214384413</v>
      </c>
      <c r="J50">
        <f>'SBL Quotes'!V89</f>
        <v>0.028407919214384413</v>
      </c>
      <c r="K50">
        <f>'SBL Quotes'!W89</f>
        <v>0.02839604169460341</v>
      </c>
      <c r="L50">
        <f>'SBL Quotes'!X89</f>
        <v>0.02839604169460341</v>
      </c>
      <c r="M50">
        <f>'SBL Quotes'!Y89</f>
        <v>0.028407919214384413</v>
      </c>
    </row>
    <row r="51" ht="15" customHeight="1">
      <c r="B51" t="s">
        <v>417</v>
      </c>
      <c r="F51">
        <f>'SBL Quotes'!R90</f>
        <v>0</v>
      </c>
      <c r="G51">
        <f>'SBL Quotes'!S90</f>
        <v>0</v>
      </c>
      <c r="H51">
        <f>'SBL Quotes'!T90</f>
        <v>0</v>
      </c>
      <c r="I51">
        <f>'SBL Quotes'!U90</f>
        <v>0</v>
      </c>
      <c r="J51">
        <f>'SBL Quotes'!V90</f>
        <v>0</v>
      </c>
      <c r="K51">
        <f>'SBL Quotes'!W90</f>
        <v>0</v>
      </c>
      <c r="L51">
        <f>'SBL Quotes'!X90</f>
        <v>0</v>
      </c>
      <c r="M51">
        <f>'SBL Quotes'!Y90</f>
        <v>0</v>
      </c>
    </row>
    <row r="52" ht="15" customHeight="1">
      <c r="B52" t="s">
        <v>988</v>
      </c>
      <c r="F52">
        <f>'SBL Quotes'!R91</f>
        <v>0</v>
      </c>
      <c r="G52">
        <f>'SBL Quotes'!S91</f>
        <v>0</v>
      </c>
      <c r="H52">
        <f>'SBL Quotes'!T91</f>
        <v>0</v>
      </c>
      <c r="I52">
        <f>'SBL Quotes'!U91</f>
        <v>0</v>
      </c>
      <c r="J52">
        <f>'SBL Quotes'!V91</f>
        <v>0</v>
      </c>
      <c r="K52">
        <f>'SBL Quotes'!W91</f>
        <v>0</v>
      </c>
      <c r="L52">
        <f>'SBL Quotes'!X91</f>
        <v>0</v>
      </c>
      <c r="M52">
        <f>'SBL Quotes'!Y91</f>
        <v>0</v>
      </c>
    </row>
    <row r="53" ht="15" customHeight="1">
      <c r="B53" t="s">
        <v>990</v>
      </c>
      <c r="F53">
        <f>'SBL Quotes'!R92</f>
        <v>0</v>
      </c>
      <c r="G53">
        <f>'SBL Quotes'!S92</f>
        <v>0</v>
      </c>
      <c r="H53">
        <f>'SBL Quotes'!T92</f>
        <v>0</v>
      </c>
      <c r="I53">
        <f>'SBL Quotes'!U92</f>
        <v>0</v>
      </c>
      <c r="J53">
        <f>'SBL Quotes'!V92</f>
        <v>0</v>
      </c>
      <c r="K53">
        <f>'SBL Quotes'!W92</f>
        <v>0</v>
      </c>
      <c r="L53">
        <f>'SBL Quotes'!X92</f>
        <v>0</v>
      </c>
      <c r="M53">
        <f>'SBL Quotes'!Y92</f>
        <v>0</v>
      </c>
    </row>
    <row r="54" ht="15" customHeight="1">
      <c r="B54" t="s">
        <v>993</v>
      </c>
      <c r="F54">
        <f>'SBL Quotes'!R93</f>
        <v>0</v>
      </c>
      <c r="G54">
        <f>'SBL Quotes'!S93</f>
        <v>0</v>
      </c>
      <c r="H54">
        <f>'SBL Quotes'!T93</f>
        <v>0</v>
      </c>
      <c r="I54">
        <f>'SBL Quotes'!U93</f>
        <v>0</v>
      </c>
      <c r="J54">
        <f>'SBL Quotes'!V93</f>
        <v>0</v>
      </c>
      <c r="K54">
        <f>'SBL Quotes'!W93</f>
        <v>0</v>
      </c>
      <c r="L54">
        <f>'SBL Quotes'!X93</f>
        <v>0</v>
      </c>
      <c r="M54">
        <f>'SBL Quotes'!Y93</f>
        <v>0</v>
      </c>
    </row>
    <row r="55" ht="15" customHeight="1">
      <c r="B55" t="s">
        <v>994</v>
      </c>
      <c r="F55">
        <f>'SBL Quotes'!R94</f>
        <v>0</v>
      </c>
      <c r="G55">
        <f>'SBL Quotes'!S94</f>
        <v>0</v>
      </c>
      <c r="H55">
        <f>'SBL Quotes'!T94</f>
        <v>0</v>
      </c>
      <c r="I55">
        <f>'SBL Quotes'!U94</f>
        <v>0</v>
      </c>
      <c r="J55">
        <f>'SBL Quotes'!V94</f>
        <v>0</v>
      </c>
      <c r="K55">
        <f>'SBL Quotes'!W94</f>
        <v>0</v>
      </c>
      <c r="L55">
        <f>'SBL Quotes'!X94</f>
        <v>0</v>
      </c>
      <c r="M55">
        <f>'SBL Quotes'!Y94</f>
        <v>0</v>
      </c>
    </row>
    <row r="56" ht="15" customHeight="1">
      <c r="B56" t="s">
        <v>995</v>
      </c>
      <c r="F56">
        <f>'SBL Quotes'!R95</f>
        <v>0</v>
      </c>
      <c r="G56">
        <f>'SBL Quotes'!S95</f>
        <v>0</v>
      </c>
      <c r="H56">
        <f>'SBL Quotes'!T95</f>
        <v>0</v>
      </c>
      <c r="I56">
        <f>'SBL Quotes'!U95</f>
        <v>0</v>
      </c>
      <c r="J56">
        <f>'SBL Quotes'!V95</f>
        <v>0</v>
      </c>
      <c r="K56">
        <f>'SBL Quotes'!W95</f>
        <v>0</v>
      </c>
      <c r="L56">
        <f>'SBL Quotes'!X95</f>
        <v>0</v>
      </c>
      <c r="M56">
        <f>'SBL Quotes'!Y95</f>
        <v>0</v>
      </c>
    </row>
    <row r="57" ht="15" customHeight="1">
      <c r="B57" t="s">
        <v>1383</v>
      </c>
    </row>
    <row r="58" ht="15" customHeight="1">
      <c r="B58" t="s">
        <v>1384</v>
      </c>
      <c r="F58">
        <f>INDEX('FNM Exit Strategy'!$D$73:$AH$73,1,F9+1)</f>
        <v>-2413186.968021325</v>
      </c>
      <c r="G58">
        <f>INDEX('FNM Exit Strategy'!$D$73:$AH$73,1,G9+1)</f>
        <v>-2586156.2168738237</v>
      </c>
      <c r="H58">
        <f>INDEX('FNM Exit Strategy'!$D$73:$AH$73,1,H9+1)</f>
        <v>-2867659.804901883</v>
      </c>
      <c r="I58">
        <f>INDEX('FNM Exit Strategy'!$D$73:$AH$73,1,I9+1)</f>
        <v>-2413186.968021325</v>
      </c>
      <c r="J58">
        <f>INDEX('FNM Exit Strategy'!$D$73:$AH$73,1,J9+1)</f>
        <v>-2413186.968021325</v>
      </c>
      <c r="K58">
        <f>INDEX('FNM Exit Strategy'!$D$73:$AH$73,1,K9+1)</f>
        <v>-2027131.8386105904</v>
      </c>
      <c r="L58">
        <f>INDEX('FNM Exit Strategy'!$D$73:$AH$73,1,L9+1)</f>
        <v>-2027131.8386105904</v>
      </c>
      <c r="M58" t="e">
        <f>INDEX('FNM Exit Strategy'!$D$73:$AH$73,1,M9+1)</f>
        <v>#REF!</v>
      </c>
    </row>
    <row r="59" ht="15" customHeight="1">
      <c r="B59" t="s">
        <v>1382</v>
      </c>
      <c r="F59" t="e">
        <f t="shared" si="11" ref="F59:M59">F48</f>
        <v>#NAME?</v>
      </c>
      <c r="G59" t="e">
        <f t="shared" si="11"/>
        <v>#NAME?</v>
      </c>
      <c r="H59" t="e">
        <f t="shared" si="11"/>
        <v>#NAME?</v>
      </c>
      <c r="I59" t="e">
        <f t="shared" si="11"/>
        <v>#NAME?</v>
      </c>
      <c r="J59">
        <f t="shared" si="11"/>
        <v>0</v>
      </c>
      <c r="K59" t="e">
        <f t="shared" si="11"/>
        <v>#NAME?</v>
      </c>
      <c r="L59">
        <f t="shared" si="11"/>
        <v>0</v>
      </c>
      <c r="M59" t="e">
        <f t="shared" si="11"/>
        <v>#NAME?</v>
      </c>
    </row>
    <row r="60" ht="15" customHeight="1">
      <c r="B60" t="s">
        <v>1385</v>
      </c>
      <c r="F60">
        <f>_xlfn.IFERROR(F58/'FNM Exit Strategy'!$AM$20,0)</f>
        <v>-34474099.54316178</v>
      </c>
      <c r="G60">
        <f>_xlfn.IFERROR(G58/'FNM Exit Strategy'!$AM$20,0)</f>
        <v>-36945088.81248319</v>
      </c>
      <c r="H60">
        <f>_xlfn.IFERROR(H58/'FNM Exit Strategy'!$AM$20,0)</f>
        <v>-40966568.641455464</v>
      </c>
      <c r="I60">
        <f>_xlfn.IFERROR(I58/'FNM Exit Strategy'!$AM$20,0)</f>
        <v>-34474099.54316178</v>
      </c>
      <c r="J60">
        <f>_xlfn.IFERROR(J58/'FNM Exit Strategy'!$AM$20,0)</f>
        <v>-34474099.54316178</v>
      </c>
      <c r="K60">
        <f>_xlfn.IFERROR(K58/'FNM Exit Strategy'!$AM$20,0)</f>
        <v>-28959026.265865576</v>
      </c>
      <c r="L60">
        <f>_xlfn.IFERROR(L58/'FNM Exit Strategy'!$AM$20,0)</f>
        <v>-28959026.265865576</v>
      </c>
      <c r="M60">
        <f>_xlfn.IFERROR(M58/'FNM Exit Strategy'!$AM$20,0)</f>
        <v>0</v>
      </c>
    </row>
    <row r="61" ht="15" customHeight="1">
      <c r="B61" t="s">
        <v>985</v>
      </c>
      <c r="F61">
        <f>_xlfn.IFERROR(RATE(F9,0,-'Fannie Historical Ops'!$AK$77,F58,1),0)</f>
        <v>0.03438500486914776</v>
      </c>
      <c r="G61">
        <f>_xlfn.IFERROR(RATE(G9,0,-'Fannie Historical Ops'!$AK$77,G58,1),0)</f>
        <v>0.0345238214186415</v>
      </c>
      <c r="H61">
        <f>_xlfn.IFERROR(RATE(H9,0,-'Fannie Historical Ops'!$AK$77,H58,1),0)</f>
        <v>0.03462727043242429</v>
      </c>
      <c r="I61">
        <f>_xlfn.IFERROR(RATE(I9,0,-'Fannie Historical Ops'!$AK$77,I58,1),0)</f>
        <v>0.03438500486914776</v>
      </c>
      <c r="J61">
        <f>_xlfn.IFERROR(RATE(J9,0,-'Fannie Historical Ops'!$AK$77,J58,1),0)</f>
        <v>0.03438500486914776</v>
      </c>
      <c r="K61">
        <f>_xlfn.IFERROR(RATE(K9,0,-'Fannie Historical Ops'!$AK$77,K58,1),0)</f>
        <v>0.03329097670738963</v>
      </c>
      <c r="L61">
        <f>_xlfn.IFERROR(RATE(L9,0,-'Fannie Historical Ops'!$AK$77,L58,1),0)</f>
        <v>0.03329097670738963</v>
      </c>
      <c r="M61">
        <f>_xlfn.IFERROR(RATE(M9,0,-'Fannie Historical Ops'!$AK$77,M58,1),0)</f>
        <v>0</v>
      </c>
    </row>
    <row r="62" ht="15" customHeight="1">
      <c r="B62" t="s">
        <v>417</v>
      </c>
      <c r="F62">
        <f t="shared" si="12" ref="F62:M62">_xlfn.IFERROR(F58/F59,0)</f>
        <v>0</v>
      </c>
      <c r="G62">
        <f t="shared" si="12"/>
        <v>0</v>
      </c>
      <c r="H62">
        <f t="shared" si="12"/>
        <v>0</v>
      </c>
      <c r="I62">
        <f t="shared" si="12"/>
        <v>0</v>
      </c>
      <c r="J62">
        <f t="shared" si="12"/>
        <v>0</v>
      </c>
      <c r="K62">
        <f t="shared" si="12"/>
        <v>0</v>
      </c>
      <c r="L62">
        <f t="shared" si="12"/>
        <v>0</v>
      </c>
      <c r="M62">
        <f t="shared" si="12"/>
        <v>0</v>
      </c>
    </row>
    <row r="63" ht="15" customHeight="1">
      <c r="B63" t="s">
        <v>988</v>
      </c>
      <c r="F63">
        <f>_xlfn.IFERROR(F59/(F58/'FNM Exit Strategy'!$AM$20),0)</f>
        <v>0</v>
      </c>
      <c r="G63">
        <f>_xlfn.IFERROR(G59/(G58/'FNM Exit Strategy'!$AM$20),0)</f>
        <v>0</v>
      </c>
      <c r="H63">
        <f>_xlfn.IFERROR(H59/(H58/'FNM Exit Strategy'!$AM$20),0)</f>
        <v>0</v>
      </c>
      <c r="I63">
        <f>_xlfn.IFERROR(I59/(I58/'FNM Exit Strategy'!$AM$20),0)</f>
        <v>0</v>
      </c>
      <c r="J63">
        <f>_xlfn.IFERROR(J59/(J58/'FNM Exit Strategy'!$AM$20),0)</f>
        <v>0</v>
      </c>
      <c r="K63">
        <f>_xlfn.IFERROR(K59/(K58/'FNM Exit Strategy'!$AM$20),0)</f>
        <v>0</v>
      </c>
      <c r="L63">
        <f>_xlfn.IFERROR(L59/(L58/'FNM Exit Strategy'!$AM$20),0)</f>
        <v>0</v>
      </c>
      <c r="M63">
        <f>_xlfn.IFERROR(M59/(M58/'FNM Exit Strategy'!$AM$20),0)</f>
        <v>0</v>
      </c>
    </row>
    <row r="64" ht="15" customHeight="1">
      <c r="B64" t="str">
        <f>"Cap Rate to Achieve "&amp;TEXT(D64,"0%")&amp;" LTV"</f>
        <v>Cap Rate to Achieve 80% LTV</v>
      </c>
      <c r="D64">
        <v>0.8</v>
      </c>
      <c r="F64">
        <f t="shared" si="13" ref="F64:M64">_xlfn.IFERROR(F58/(F59/$D$64),0)</f>
        <v>0</v>
      </c>
      <c r="G64">
        <f t="shared" si="13"/>
        <v>0</v>
      </c>
      <c r="H64">
        <f t="shared" si="13"/>
        <v>0</v>
      </c>
      <c r="I64">
        <f t="shared" si="13"/>
        <v>0</v>
      </c>
      <c r="J64">
        <f t="shared" si="13"/>
        <v>0</v>
      </c>
      <c r="K64">
        <f t="shared" si="13"/>
        <v>0</v>
      </c>
      <c r="L64">
        <f t="shared" si="13"/>
        <v>0</v>
      </c>
      <c r="M64">
        <f t="shared" si="13"/>
        <v>0</v>
      </c>
    </row>
    <row r="65" ht="15" customHeight="1">
      <c r="B65" t="s">
        <v>993</v>
      </c>
      <c r="C65">
        <v>360</v>
      </c>
      <c r="D65">
        <v>1.25</v>
      </c>
      <c r="F65">
        <f t="shared" si="14" ref="F65:M65">_xlfn.IFERROR(RATE($C$65,-F58/$D$65/12,F59)*12,0)</f>
        <v>0</v>
      </c>
      <c r="G65">
        <f t="shared" si="14"/>
        <v>0</v>
      </c>
      <c r="H65">
        <f t="shared" si="14"/>
        <v>0</v>
      </c>
      <c r="I65">
        <f t="shared" si="14"/>
        <v>0</v>
      </c>
      <c r="J65">
        <f t="shared" si="14"/>
        <v>0</v>
      </c>
      <c r="K65">
        <f t="shared" si="14"/>
        <v>0</v>
      </c>
      <c r="L65">
        <f t="shared" si="14"/>
        <v>0</v>
      </c>
      <c r="M65">
        <f t="shared" si="14"/>
        <v>0</v>
      </c>
    </row>
    <row r="66" ht="15" customHeight="1">
      <c r="B66" t="s">
        <v>994</v>
      </c>
      <c r="C66">
        <v>360</v>
      </c>
      <c r="D66">
        <v>0.075</v>
      </c>
      <c r="F66">
        <f t="shared" si="15" ref="F66:M66">_xlfn.IFERROR(F58/(F59*PMT($D$66/12,$C$66,-1)*12),0)</f>
        <v>0</v>
      </c>
      <c r="G66">
        <f t="shared" si="15"/>
        <v>0</v>
      </c>
      <c r="H66">
        <f t="shared" si="15"/>
        <v>0</v>
      </c>
      <c r="I66">
        <f t="shared" si="15"/>
        <v>0</v>
      </c>
      <c r="J66">
        <f t="shared" si="15"/>
        <v>0</v>
      </c>
      <c r="K66">
        <f t="shared" si="15"/>
        <v>0</v>
      </c>
      <c r="L66">
        <f t="shared" si="15"/>
        <v>0</v>
      </c>
      <c r="M66">
        <f t="shared" si="15"/>
        <v>0</v>
      </c>
    </row>
    <row r="67" ht="15" customHeight="1">
      <c r="B67" t="s">
        <v>995</v>
      </c>
      <c r="F67">
        <f>_xlfn.IFERROR(F59/(F58/'FNM Exit Strategy'!$AL$35),0)</f>
        <v>0</v>
      </c>
      <c r="G67">
        <f>_xlfn.IFERROR(G59/(G58/'FNM Exit Strategy'!$AL$35),0)</f>
        <v>0</v>
      </c>
      <c r="H67">
        <f>_xlfn.IFERROR(H59/(H58/'FNM Exit Strategy'!$AL$35),0)</f>
        <v>0</v>
      </c>
      <c r="I67">
        <f>_xlfn.IFERROR(I59/(I58/'FNM Exit Strategy'!$AL$35),0)</f>
        <v>0</v>
      </c>
      <c r="J67">
        <f>_xlfn.IFERROR(J59/(J58/'FNM Exit Strategy'!$AL$35),0)</f>
        <v>0</v>
      </c>
      <c r="K67">
        <f>_xlfn.IFERROR(K59/(K58/'FNM Exit Strategy'!$AL$35),0)</f>
        <v>0</v>
      </c>
      <c r="L67">
        <f>_xlfn.IFERROR(L59/(L58/'FNM Exit Strategy'!$AL$35),0)</f>
        <v>0</v>
      </c>
      <c r="M67">
        <f>_xlfn.IFERROR(M59/(M58/'FNM Exit Strategy'!$AL$35),0)</f>
        <v>0</v>
      </c>
    </row>
    <row r="82" ht="15.75" customHeight="1"/>
  </sheetData>
  <hyperlinks>
    <hyperlink ref="L2" r:id="rId1" display="Costar"/>
    <hyperlink ref="L3" r:id="rId2" display="Security Gauge"/>
    <hyperlink ref="L4" r:id="rId3" display="Axiometrics (if Students)"/>
  </hyperlinks>
  <printOptions/>
  <pageMargins left="0.25" right="0.25" top="0.75" bottom="0.75" header="0.3" footer="0.3"/>
  <pageSetup useFirstPageNumber="1" fitToHeight="1" fitToWidth="1" paperSize="1" firstPageNumber="1" scale="53" pageOrder="downThenOver" orientation="landscape"/>
  <headerFooter>
    <oddHeader>&amp;L&amp;C&amp;R</oddHeader>
    <oddFooter>&amp;L&amp;C&amp;R</oddFooter>
  </headerFooter>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A7BFAA-C3CB-44BA-E2D8-4DA3FED0FC74}" mc:Ignorable="x14ac xr xr2 xr3">
  <sheetPr>
    <tabColor theme="8" tint="-0.5"/>
  </sheetPr>
  <dimension ref="A1:AP98"/>
  <sheetViews>
    <sheetView topLeftCell="A1" zoomScale="90" workbookViewId="0">
      <selection activeCell="C9" sqref="C9"/>
    </sheetView>
  </sheetViews>
  <sheetFormatPr defaultRowHeight="15" defaultColWidth="16.57421875" customHeight="1"/>
  <cols>
    <col min="1" max="1" width="2.57421875" customWidth="1"/>
    <col min="2" max="2" width="35.8515625" customWidth="1"/>
    <col min="3" max="14" width="12.00390625" customWidth="1"/>
    <col min="15" max="34" width="12.00390625" hidden="1" customWidth="1"/>
    <col min="35" max="35" width="2.57421875" customWidth="1"/>
    <col min="36" max="36" width="3.57421875" customWidth="1"/>
    <col min="37" max="37" width="34.28125" customWidth="1"/>
    <col min="38" max="39" width="15.57421875" customWidth="1"/>
  </cols>
  <sheetData>
    <row r="1" ht="15" customHeight="1">
      <c r="B1" t="str">
        <f>property_name</f>
        <v>XXXX</v>
      </c>
      <c r="D1" t="str">
        <f>"Built: "&amp;'SBL Quotes'!$B$14</f>
        <v>Built: XXXX</v>
      </c>
    </row>
    <row r="2" ht="15" customHeight="1">
      <c r="B2" t="str">
        <f>SblQuotes_CityState&amp;" "&amp;ZipCode_DataPageTab</f>
        <v>City, XX XXXXX</v>
      </c>
      <c r="D2">
        <f>number_units</f>
        <v>101</v>
      </c>
    </row>
    <row r="4" ht="15" customHeight="1">
      <c r="B4" t="s">
        <v>1387</v>
      </c>
      <c r="C4" t="s">
        <v>451</v>
      </c>
    </row>
    <row r="5" ht="15.75" customHeight="1">
      <c r="B5" t="s">
        <v>1388</v>
      </c>
      <c r="C5" t="e">
        <f>Exit_LoanTerm+1</f>
        <v>#NAME?</v>
      </c>
      <c r="E5" t="str">
        <f>IF(COUNTBLANK(E7:I7)&gt;0,"↓ Requires DUS Gateway lookup ↓","-")</f>
        <v>↓ Requires DUS Gateway lookup ↓</v>
      </c>
    </row>
    <row r="6" ht="21.75" customHeight="1">
      <c r="B6" t="s">
        <v>1390</v>
      </c>
      <c r="C6" t="s">
        <v>1391</v>
      </c>
      <c r="D6">
        <v>1</v>
      </c>
      <c r="E6">
        <f t="shared" si="0" ref="E6:AH45">D6+1</f>
        <v>2</v>
      </c>
      <c r="F6">
        <f t="shared" si="0"/>
        <v>3</v>
      </c>
      <c r="G6">
        <f t="shared" si="0"/>
        <v>4</v>
      </c>
      <c r="H6">
        <f t="shared" si="0"/>
        <v>5</v>
      </c>
      <c r="I6">
        <f t="shared" si="0"/>
        <v>6</v>
      </c>
      <c r="J6">
        <f t="shared" si="0"/>
        <v>7</v>
      </c>
      <c r="K6">
        <f t="shared" si="0"/>
        <v>8</v>
      </c>
      <c r="L6">
        <f t="shared" si="0"/>
        <v>9</v>
      </c>
      <c r="M6">
        <f t="shared" si="0"/>
        <v>10</v>
      </c>
      <c r="N6">
        <f t="shared" si="0"/>
        <v>11</v>
      </c>
      <c r="O6">
        <f t="shared" si="0"/>
        <v>12</v>
      </c>
      <c r="P6">
        <f t="shared" si="0"/>
        <v>13</v>
      </c>
      <c r="Q6">
        <f t="shared" si="0"/>
        <v>14</v>
      </c>
      <c r="R6">
        <f t="shared" si="0"/>
        <v>15</v>
      </c>
      <c r="S6">
        <f t="shared" si="0"/>
        <v>16</v>
      </c>
      <c r="T6">
        <f t="shared" si="0"/>
        <v>17</v>
      </c>
      <c r="U6">
        <f t="shared" si="0"/>
        <v>18</v>
      </c>
      <c r="V6">
        <f t="shared" si="0"/>
        <v>19</v>
      </c>
      <c r="W6">
        <f t="shared" si="0"/>
        <v>20</v>
      </c>
      <c r="X6">
        <f t="shared" si="0"/>
        <v>21</v>
      </c>
      <c r="Y6">
        <f t="shared" si="0"/>
        <v>22</v>
      </c>
      <c r="Z6">
        <f t="shared" si="0"/>
        <v>23</v>
      </c>
      <c r="AA6">
        <f t="shared" si="0"/>
        <v>24</v>
      </c>
      <c r="AB6">
        <f t="shared" si="0"/>
        <v>25</v>
      </c>
      <c r="AC6">
        <f t="shared" si="0"/>
        <v>26</v>
      </c>
      <c r="AD6">
        <f t="shared" si="0"/>
        <v>27</v>
      </c>
      <c r="AE6">
        <f t="shared" si="0"/>
        <v>28</v>
      </c>
      <c r="AF6">
        <f t="shared" si="0"/>
        <v>29</v>
      </c>
      <c r="AG6">
        <f t="shared" si="0"/>
        <v>30</v>
      </c>
      <c r="AH6">
        <f t="shared" si="0"/>
        <v>31</v>
      </c>
      <c r="AK6" t="str">
        <f>"Proposed Transaction "&amp;IF('SBL Quotes'!AN34="3rd Supplemental","(4th Mortgage)",IF('SBL Quotes'!AN33="2nd Supplemental","(3rd Mortgage)",IF('SBL Quotes'!AN32="Supplemental","(2nd Mortgage)","(1st Mortgage)")))</f>
        <v>Proposed Transaction (1st Mortgage)</v>
      </c>
    </row>
    <row r="7" ht="15.75" customHeight="1">
      <c r="B7" t="s">
        <v>1393</v>
      </c>
      <c r="D7">
        <v>0</v>
      </c>
      <c r="J7">
        <f t="shared" si="1" ref="J7:AH7">I7</f>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c r="AK7" t="s">
        <v>1394</v>
      </c>
      <c r="AL7" t="e">
        <f>Term</f>
        <v>#NAME?</v>
      </c>
    </row>
    <row r="8" ht="15" customHeight="1">
      <c r="B8" t="s">
        <v>1395</v>
      </c>
      <c r="D8">
        <f>ROUND(SOps_UnderwrittenGPR*(1+D7),0)</f>
        <v>1556580</v>
      </c>
      <c r="E8">
        <f t="shared" si="2" ref="E8:AH8">ROUND(D8*(1+E7),0)</f>
        <v>1556580</v>
      </c>
      <c r="F8">
        <f t="shared" si="2"/>
        <v>1556580</v>
      </c>
      <c r="G8">
        <f t="shared" si="2"/>
        <v>1556580</v>
      </c>
      <c r="H8">
        <f t="shared" si="2"/>
        <v>1556580</v>
      </c>
      <c r="I8">
        <f t="shared" si="2"/>
        <v>1556580</v>
      </c>
      <c r="J8">
        <f t="shared" si="2"/>
        <v>1556580</v>
      </c>
      <c r="K8">
        <f t="shared" si="2"/>
        <v>1556580</v>
      </c>
      <c r="L8">
        <f t="shared" si="2"/>
        <v>1556580</v>
      </c>
      <c r="M8">
        <f t="shared" si="2"/>
        <v>1556580</v>
      </c>
      <c r="N8">
        <f t="shared" si="2"/>
        <v>1556580</v>
      </c>
      <c r="O8">
        <f t="shared" si="2"/>
        <v>1556580</v>
      </c>
      <c r="P8">
        <f t="shared" si="2"/>
        <v>1556580</v>
      </c>
      <c r="Q8">
        <f t="shared" si="2"/>
        <v>1556580</v>
      </c>
      <c r="R8">
        <f t="shared" si="2"/>
        <v>1556580</v>
      </c>
      <c r="S8">
        <f t="shared" si="2"/>
        <v>1556580</v>
      </c>
      <c r="T8">
        <f t="shared" si="2"/>
        <v>1556580</v>
      </c>
      <c r="U8">
        <f t="shared" si="2"/>
        <v>1556580</v>
      </c>
      <c r="V8">
        <f t="shared" si="2"/>
        <v>1556580</v>
      </c>
      <c r="W8">
        <f t="shared" si="2"/>
        <v>1556580</v>
      </c>
      <c r="X8">
        <f t="shared" si="2"/>
        <v>1556580</v>
      </c>
      <c r="Y8">
        <f t="shared" si="2"/>
        <v>1556580</v>
      </c>
      <c r="Z8">
        <f t="shared" si="2"/>
        <v>1556580</v>
      </c>
      <c r="AA8">
        <f t="shared" si="2"/>
        <v>1556580</v>
      </c>
      <c r="AB8">
        <f t="shared" si="2"/>
        <v>1556580</v>
      </c>
      <c r="AC8">
        <f t="shared" si="2"/>
        <v>1556580</v>
      </c>
      <c r="AD8">
        <f t="shared" si="2"/>
        <v>1556580</v>
      </c>
      <c r="AE8">
        <f t="shared" si="2"/>
        <v>1556580</v>
      </c>
      <c r="AF8">
        <f t="shared" si="2"/>
        <v>1556580</v>
      </c>
      <c r="AG8">
        <f t="shared" si="2"/>
        <v>1556580</v>
      </c>
      <c r="AH8">
        <f t="shared" si="2"/>
        <v>1556580</v>
      </c>
      <c r="AK8" t="s">
        <v>1396</v>
      </c>
      <c r="AL8" s="1">
        <f>DataPage_RefiClosingDate+1</f>
        <v>45262</v>
      </c>
    </row>
    <row r="9" ht="15" customHeight="1">
      <c r="B9" t="s">
        <v>1397</v>
      </c>
      <c r="C9">
        <f>'Summary OPS'!$AV10</f>
        <v>0.11960323272816045</v>
      </c>
      <c r="D9">
        <f t="shared" si="3" ref="D9:AH53">ROUND(D8*-$C9,0)</f>
        <v>-186172</v>
      </c>
      <c r="E9">
        <f t="shared" si="3"/>
        <v>-186172</v>
      </c>
      <c r="F9">
        <f t="shared" si="3"/>
        <v>-186172</v>
      </c>
      <c r="G9">
        <f t="shared" si="3"/>
        <v>-186172</v>
      </c>
      <c r="H9">
        <f t="shared" si="3"/>
        <v>-186172</v>
      </c>
      <c r="I9">
        <f t="shared" si="3"/>
        <v>-186172</v>
      </c>
      <c r="J9">
        <f t="shared" si="3"/>
        <v>-186172</v>
      </c>
      <c r="K9">
        <f t="shared" si="3"/>
        <v>-186172</v>
      </c>
      <c r="L9">
        <f t="shared" si="3"/>
        <v>-186172</v>
      </c>
      <c r="M9">
        <f t="shared" si="3"/>
        <v>-186172</v>
      </c>
      <c r="N9">
        <f t="shared" si="3"/>
        <v>-186172</v>
      </c>
      <c r="O9">
        <f t="shared" si="3"/>
        <v>-186172</v>
      </c>
      <c r="P9">
        <f t="shared" si="3"/>
        <v>-186172</v>
      </c>
      <c r="Q9">
        <f t="shared" si="3"/>
        <v>-186172</v>
      </c>
      <c r="R9">
        <f t="shared" si="3"/>
        <v>-186172</v>
      </c>
      <c r="S9">
        <f t="shared" si="3"/>
        <v>-186172</v>
      </c>
      <c r="T9">
        <f t="shared" si="3"/>
        <v>-186172</v>
      </c>
      <c r="U9">
        <f t="shared" si="3"/>
        <v>-186172</v>
      </c>
      <c r="V9">
        <f t="shared" si="3"/>
        <v>-186172</v>
      </c>
      <c r="W9">
        <f t="shared" si="3"/>
        <v>-186172</v>
      </c>
      <c r="X9">
        <f t="shared" si="3"/>
        <v>-186172</v>
      </c>
      <c r="Y9">
        <f t="shared" si="3"/>
        <v>-186172</v>
      </c>
      <c r="Z9">
        <f t="shared" si="3"/>
        <v>-186172</v>
      </c>
      <c r="AA9">
        <f t="shared" si="3"/>
        <v>-186172</v>
      </c>
      <c r="AB9">
        <f t="shared" si="3"/>
        <v>-186172</v>
      </c>
      <c r="AC9">
        <f t="shared" si="3"/>
        <v>-186172</v>
      </c>
      <c r="AD9">
        <f t="shared" si="3"/>
        <v>-186172</v>
      </c>
      <c r="AE9">
        <f t="shared" si="3"/>
        <v>-186172</v>
      </c>
      <c r="AF9">
        <f t="shared" si="3"/>
        <v>-186172</v>
      </c>
      <c r="AG9">
        <f t="shared" si="3"/>
        <v>-186172</v>
      </c>
      <c r="AH9">
        <f t="shared" si="3"/>
        <v>-186172</v>
      </c>
      <c r="AK9" t="s">
        <v>1398</v>
      </c>
      <c r="AL9" t="e">
        <f>InterestOnly</f>
        <v>#NAME?</v>
      </c>
    </row>
    <row r="10" ht="15.75" customHeight="1">
      <c r="B10" t="s">
        <v>1399</v>
      </c>
      <c r="C10">
        <f>'Summary OPS'!$AV11</f>
        <v>0.028601164090506108</v>
      </c>
      <c r="D10">
        <f t="shared" si="4" ref="D10:AH54">ROUND(D8*-$C10,0)</f>
        <v>-44520</v>
      </c>
      <c r="E10">
        <f t="shared" si="4"/>
        <v>-44520</v>
      </c>
      <c r="F10">
        <f t="shared" si="4"/>
        <v>-44520</v>
      </c>
      <c r="G10">
        <f t="shared" si="4"/>
        <v>-44520</v>
      </c>
      <c r="H10">
        <f t="shared" si="4"/>
        <v>-44520</v>
      </c>
      <c r="I10">
        <f t="shared" si="4"/>
        <v>-44520</v>
      </c>
      <c r="J10">
        <f t="shared" si="4"/>
        <v>-44520</v>
      </c>
      <c r="K10">
        <f t="shared" si="4"/>
        <v>-44520</v>
      </c>
      <c r="L10">
        <f t="shared" si="4"/>
        <v>-44520</v>
      </c>
      <c r="M10">
        <f t="shared" si="4"/>
        <v>-44520</v>
      </c>
      <c r="N10">
        <f t="shared" si="4"/>
        <v>-44520</v>
      </c>
      <c r="O10">
        <f t="shared" si="4"/>
        <v>-44520</v>
      </c>
      <c r="P10">
        <f t="shared" si="4"/>
        <v>-44520</v>
      </c>
      <c r="Q10">
        <f t="shared" si="4"/>
        <v>-44520</v>
      </c>
      <c r="R10">
        <f t="shared" si="4"/>
        <v>-44520</v>
      </c>
      <c r="S10">
        <f t="shared" si="4"/>
        <v>-44520</v>
      </c>
      <c r="T10">
        <f t="shared" si="4"/>
        <v>-44520</v>
      </c>
      <c r="U10">
        <f t="shared" si="4"/>
        <v>-44520</v>
      </c>
      <c r="V10">
        <f t="shared" si="4"/>
        <v>-44520</v>
      </c>
      <c r="W10">
        <f t="shared" si="4"/>
        <v>-44520</v>
      </c>
      <c r="X10">
        <f t="shared" si="4"/>
        <v>-44520</v>
      </c>
      <c r="Y10">
        <f t="shared" si="4"/>
        <v>-44520</v>
      </c>
      <c r="Z10">
        <f t="shared" si="4"/>
        <v>-44520</v>
      </c>
      <c r="AA10">
        <f t="shared" si="4"/>
        <v>-44520</v>
      </c>
      <c r="AB10">
        <f t="shared" si="4"/>
        <v>-44520</v>
      </c>
      <c r="AC10">
        <f t="shared" si="4"/>
        <v>-44520</v>
      </c>
      <c r="AD10">
        <f t="shared" si="4"/>
        <v>-44520</v>
      </c>
      <c r="AE10">
        <f t="shared" si="4"/>
        <v>-44520</v>
      </c>
      <c r="AF10">
        <f t="shared" si="4"/>
        <v>-44520</v>
      </c>
      <c r="AG10">
        <f t="shared" si="4"/>
        <v>-44520</v>
      </c>
      <c r="AH10">
        <f t="shared" si="4"/>
        <v>-44520</v>
      </c>
      <c r="AK10" t="s">
        <v>572</v>
      </c>
      <c r="AL10" t="e">
        <f>LoanAmount</f>
        <v>#NAME?</v>
      </c>
    </row>
    <row r="11" ht="15.75" customHeight="1">
      <c r="B11" t="s">
        <v>1400</v>
      </c>
      <c r="C11">
        <f>'Summary OPS'!$AV12</f>
        <v>0</v>
      </c>
      <c r="D11">
        <f t="shared" si="5" ref="D11:AH55">ROUND(D8*-$C11,0)</f>
        <v>0</v>
      </c>
      <c r="E11">
        <f t="shared" si="5"/>
        <v>0</v>
      </c>
      <c r="F11">
        <f t="shared" si="5"/>
        <v>0</v>
      </c>
      <c r="G11">
        <f t="shared" si="5"/>
        <v>0</v>
      </c>
      <c r="H11">
        <f t="shared" si="5"/>
        <v>0</v>
      </c>
      <c r="I11">
        <f t="shared" si="5"/>
        <v>0</v>
      </c>
      <c r="J11">
        <f t="shared" si="5"/>
        <v>0</v>
      </c>
      <c r="K11">
        <f t="shared" si="5"/>
        <v>0</v>
      </c>
      <c r="L11">
        <f t="shared" si="5"/>
        <v>0</v>
      </c>
      <c r="M11">
        <f t="shared" si="5"/>
        <v>0</v>
      </c>
      <c r="N11">
        <f t="shared" si="5"/>
        <v>0</v>
      </c>
      <c r="O11">
        <f t="shared" si="5"/>
        <v>0</v>
      </c>
      <c r="P11">
        <f t="shared" si="5"/>
        <v>0</v>
      </c>
      <c r="Q11">
        <f t="shared" si="5"/>
        <v>0</v>
      </c>
      <c r="R11">
        <f t="shared" si="5"/>
        <v>0</v>
      </c>
      <c r="S11">
        <f t="shared" si="5"/>
        <v>0</v>
      </c>
      <c r="T11">
        <f t="shared" si="5"/>
        <v>0</v>
      </c>
      <c r="U11">
        <f t="shared" si="5"/>
        <v>0</v>
      </c>
      <c r="V11">
        <f t="shared" si="5"/>
        <v>0</v>
      </c>
      <c r="W11">
        <f t="shared" si="5"/>
        <v>0</v>
      </c>
      <c r="X11">
        <f t="shared" si="5"/>
        <v>0</v>
      </c>
      <c r="Y11">
        <f t="shared" si="5"/>
        <v>0</v>
      </c>
      <c r="Z11">
        <f t="shared" si="5"/>
        <v>0</v>
      </c>
      <c r="AA11">
        <f t="shared" si="5"/>
        <v>0</v>
      </c>
      <c r="AB11">
        <f t="shared" si="5"/>
        <v>0</v>
      </c>
      <c r="AC11">
        <f t="shared" si="5"/>
        <v>0</v>
      </c>
      <c r="AD11">
        <f t="shared" si="5"/>
        <v>0</v>
      </c>
      <c r="AE11">
        <f t="shared" si="5"/>
        <v>0</v>
      </c>
      <c r="AF11">
        <f t="shared" si="5"/>
        <v>0</v>
      </c>
      <c r="AG11">
        <f t="shared" si="5"/>
        <v>0</v>
      </c>
      <c r="AH11">
        <f t="shared" si="5"/>
        <v>0</v>
      </c>
    </row>
    <row r="12" ht="15.75" customHeight="1">
      <c r="B12" t="s">
        <v>1401</v>
      </c>
      <c r="D12">
        <f t="shared" si="6" ref="D12:AH84">SUM(D8:D11)</f>
        <v>1325888</v>
      </c>
      <c r="E12">
        <f t="shared" si="6"/>
        <v>1325888</v>
      </c>
      <c r="F12">
        <f t="shared" si="6"/>
        <v>1325888</v>
      </c>
      <c r="G12">
        <f t="shared" si="6"/>
        <v>1325888</v>
      </c>
      <c r="H12">
        <f t="shared" si="6"/>
        <v>1325888</v>
      </c>
      <c r="I12">
        <f t="shared" si="6"/>
        <v>1325888</v>
      </c>
      <c r="J12">
        <f t="shared" si="6"/>
        <v>1325888</v>
      </c>
      <c r="K12">
        <f t="shared" si="6"/>
        <v>1325888</v>
      </c>
      <c r="L12">
        <f t="shared" si="6"/>
        <v>1325888</v>
      </c>
      <c r="M12">
        <f t="shared" si="6"/>
        <v>1325888</v>
      </c>
      <c r="N12">
        <f t="shared" si="6"/>
        <v>1325888</v>
      </c>
      <c r="O12">
        <f t="shared" si="6"/>
        <v>1325888</v>
      </c>
      <c r="P12">
        <f t="shared" si="6"/>
        <v>1325888</v>
      </c>
      <c r="Q12">
        <f t="shared" si="6"/>
        <v>1325888</v>
      </c>
      <c r="R12">
        <f t="shared" si="6"/>
        <v>1325888</v>
      </c>
      <c r="S12">
        <f t="shared" si="6"/>
        <v>1325888</v>
      </c>
      <c r="T12">
        <f t="shared" si="6"/>
        <v>1325888</v>
      </c>
      <c r="U12">
        <f t="shared" si="6"/>
        <v>1325888</v>
      </c>
      <c r="V12">
        <f t="shared" si="6"/>
        <v>1325888</v>
      </c>
      <c r="W12">
        <f t="shared" si="6"/>
        <v>1325888</v>
      </c>
      <c r="X12">
        <f t="shared" si="6"/>
        <v>1325888</v>
      </c>
      <c r="Y12">
        <f t="shared" si="6"/>
        <v>1325888</v>
      </c>
      <c r="Z12">
        <f t="shared" si="6"/>
        <v>1325888</v>
      </c>
      <c r="AA12">
        <f t="shared" si="6"/>
        <v>1325888</v>
      </c>
      <c r="AB12">
        <f t="shared" si="6"/>
        <v>1325888</v>
      </c>
      <c r="AC12">
        <f t="shared" si="6"/>
        <v>1325888</v>
      </c>
      <c r="AD12">
        <f t="shared" si="6"/>
        <v>1325888</v>
      </c>
      <c r="AE12">
        <f t="shared" si="6"/>
        <v>1325888</v>
      </c>
      <c r="AF12">
        <f t="shared" si="6"/>
        <v>1325888</v>
      </c>
      <c r="AG12">
        <f t="shared" si="6"/>
        <v>1325888</v>
      </c>
      <c r="AH12">
        <f t="shared" si="6"/>
        <v>1325888</v>
      </c>
      <c r="AK12" t="s">
        <v>1402</v>
      </c>
      <c r="AL12" t="s">
        <v>393</v>
      </c>
      <c r="AM12" t="s">
        <v>1403</v>
      </c>
    </row>
    <row r="13" ht="15" customHeight="1">
      <c r="B13" t="s">
        <v>1404</v>
      </c>
      <c r="D13">
        <f>ROUND('Summary OPS'!$AU$15*(1+D7),0)</f>
        <v>29692</v>
      </c>
      <c r="E13">
        <f t="shared" si="7" ref="E13:AH68">ROUND(D13*(1+E7),0)</f>
        <v>29692</v>
      </c>
      <c r="F13">
        <f t="shared" si="7"/>
        <v>29692</v>
      </c>
      <c r="G13">
        <f t="shared" si="7"/>
        <v>29692</v>
      </c>
      <c r="H13">
        <f t="shared" si="7"/>
        <v>29692</v>
      </c>
      <c r="I13">
        <f t="shared" si="7"/>
        <v>29692</v>
      </c>
      <c r="J13">
        <f t="shared" si="7"/>
        <v>29692</v>
      </c>
      <c r="K13">
        <f t="shared" si="7"/>
        <v>29692</v>
      </c>
      <c r="L13">
        <f t="shared" si="7"/>
        <v>29692</v>
      </c>
      <c r="M13">
        <f t="shared" si="7"/>
        <v>29692</v>
      </c>
      <c r="N13">
        <f t="shared" si="7"/>
        <v>29692</v>
      </c>
      <c r="O13">
        <f t="shared" si="7"/>
        <v>29692</v>
      </c>
      <c r="P13">
        <f t="shared" si="7"/>
        <v>29692</v>
      </c>
      <c r="Q13">
        <f t="shared" si="7"/>
        <v>29692</v>
      </c>
      <c r="R13">
        <f t="shared" si="7"/>
        <v>29692</v>
      </c>
      <c r="S13">
        <f t="shared" si="7"/>
        <v>29692</v>
      </c>
      <c r="T13">
        <f t="shared" si="7"/>
        <v>29692</v>
      </c>
      <c r="U13">
        <f t="shared" si="7"/>
        <v>29692</v>
      </c>
      <c r="V13">
        <f t="shared" si="7"/>
        <v>29692</v>
      </c>
      <c r="W13">
        <f t="shared" si="7"/>
        <v>29692</v>
      </c>
      <c r="X13">
        <f t="shared" si="7"/>
        <v>29692</v>
      </c>
      <c r="Y13">
        <f t="shared" si="7"/>
        <v>29692</v>
      </c>
      <c r="Z13">
        <f t="shared" si="7"/>
        <v>29692</v>
      </c>
      <c r="AA13">
        <f t="shared" si="7"/>
        <v>29692</v>
      </c>
      <c r="AB13">
        <f t="shared" si="7"/>
        <v>29692</v>
      </c>
      <c r="AC13">
        <f t="shared" si="7"/>
        <v>29692</v>
      </c>
      <c r="AD13">
        <f t="shared" si="7"/>
        <v>29692</v>
      </c>
      <c r="AE13">
        <f t="shared" si="7"/>
        <v>29692</v>
      </c>
      <c r="AF13">
        <f t="shared" si="7"/>
        <v>29692</v>
      </c>
      <c r="AG13">
        <f t="shared" si="7"/>
        <v>29692</v>
      </c>
      <c r="AH13">
        <f t="shared" si="7"/>
        <v>29692</v>
      </c>
      <c r="AK13" t="s">
        <v>1381</v>
      </c>
      <c r="AL13" t="e">
        <f>INDEX(D29:AH29,1,ROUNDDOWN(AL7+1,0))</f>
        <v>#NAME?</v>
      </c>
      <c r="AM13" t="e">
        <f>INDEX(D73:AH73,1,ROUNDDOWN(AL7+1,0))</f>
        <v>#NAME?</v>
      </c>
    </row>
    <row r="14" ht="15" customHeight="1">
      <c r="B14" t="s">
        <v>1405</v>
      </c>
      <c r="D14">
        <f>ROUND('Summary OPS'!$AU$16*(1+D7),0)</f>
        <v>0</v>
      </c>
      <c r="E14">
        <f t="shared" si="8" ref="E14:AH69">ROUND(D14*(1+E7),0)</f>
        <v>0</v>
      </c>
      <c r="F14">
        <f t="shared" si="8"/>
        <v>0</v>
      </c>
      <c r="G14">
        <f t="shared" si="8"/>
        <v>0</v>
      </c>
      <c r="H14">
        <f t="shared" si="8"/>
        <v>0</v>
      </c>
      <c r="I14">
        <f t="shared" si="8"/>
        <v>0</v>
      </c>
      <c r="J14">
        <f t="shared" si="8"/>
        <v>0</v>
      </c>
      <c r="K14">
        <f t="shared" si="8"/>
        <v>0</v>
      </c>
      <c r="L14">
        <f t="shared" si="8"/>
        <v>0</v>
      </c>
      <c r="M14">
        <f t="shared" si="8"/>
        <v>0</v>
      </c>
      <c r="N14">
        <f t="shared" si="8"/>
        <v>0</v>
      </c>
      <c r="O14">
        <f t="shared" si="8"/>
        <v>0</v>
      </c>
      <c r="P14">
        <f t="shared" si="8"/>
        <v>0</v>
      </c>
      <c r="Q14">
        <f t="shared" si="8"/>
        <v>0</v>
      </c>
      <c r="R14">
        <f t="shared" si="8"/>
        <v>0</v>
      </c>
      <c r="S14">
        <f t="shared" si="8"/>
        <v>0</v>
      </c>
      <c r="T14">
        <f t="shared" si="8"/>
        <v>0</v>
      </c>
      <c r="U14">
        <f t="shared" si="8"/>
        <v>0</v>
      </c>
      <c r="V14">
        <f t="shared" si="8"/>
        <v>0</v>
      </c>
      <c r="W14">
        <f t="shared" si="8"/>
        <v>0</v>
      </c>
      <c r="X14">
        <f t="shared" si="8"/>
        <v>0</v>
      </c>
      <c r="Y14">
        <f t="shared" si="8"/>
        <v>0</v>
      </c>
      <c r="Z14">
        <f t="shared" si="8"/>
        <v>0</v>
      </c>
      <c r="AA14">
        <f t="shared" si="8"/>
        <v>0</v>
      </c>
      <c r="AB14">
        <f t="shared" si="8"/>
        <v>0</v>
      </c>
      <c r="AC14">
        <f t="shared" si="8"/>
        <v>0</v>
      </c>
      <c r="AD14">
        <f t="shared" si="8"/>
        <v>0</v>
      </c>
      <c r="AE14">
        <f t="shared" si="8"/>
        <v>0</v>
      </c>
      <c r="AF14">
        <f t="shared" si="8"/>
        <v>0</v>
      </c>
      <c r="AG14">
        <f t="shared" si="8"/>
        <v>0</v>
      </c>
      <c r="AH14">
        <f t="shared" si="8"/>
        <v>0</v>
      </c>
      <c r="AK14" t="s">
        <v>1382</v>
      </c>
      <c r="AL14" t="e">
        <f>INDEX($D$39:$AH$39,1,ROUNDDOWN($AL$7,0))</f>
        <v>#NAME?</v>
      </c>
      <c r="AM14" t="e">
        <f>INDEX($D$84:$AH$84,1,ROUNDDOWN($AL$7,0))</f>
        <v>#NAME?</v>
      </c>
    </row>
    <row r="15" ht="15" customHeight="1">
      <c r="B15" t="s">
        <v>1406</v>
      </c>
      <c r="D15">
        <f>ROUND('Summary OPS'!$AU$17*(1+D7),0)</f>
        <v>0</v>
      </c>
      <c r="E15">
        <f t="shared" si="9" ref="E15:AH59">ROUND(D15*(1+E7),0)</f>
        <v>0</v>
      </c>
      <c r="F15">
        <f t="shared" si="9"/>
        <v>0</v>
      </c>
      <c r="G15">
        <f t="shared" si="9"/>
        <v>0</v>
      </c>
      <c r="H15">
        <f t="shared" si="9"/>
        <v>0</v>
      </c>
      <c r="I15">
        <f t="shared" si="9"/>
        <v>0</v>
      </c>
      <c r="J15">
        <f t="shared" si="9"/>
        <v>0</v>
      </c>
      <c r="K15">
        <f t="shared" si="9"/>
        <v>0</v>
      </c>
      <c r="L15">
        <f t="shared" si="9"/>
        <v>0</v>
      </c>
      <c r="M15">
        <f t="shared" si="9"/>
        <v>0</v>
      </c>
      <c r="N15">
        <f t="shared" si="9"/>
        <v>0</v>
      </c>
      <c r="O15">
        <f t="shared" si="9"/>
        <v>0</v>
      </c>
      <c r="P15">
        <f t="shared" si="9"/>
        <v>0</v>
      </c>
      <c r="Q15">
        <f t="shared" si="9"/>
        <v>0</v>
      </c>
      <c r="R15">
        <f t="shared" si="9"/>
        <v>0</v>
      </c>
      <c r="S15">
        <f t="shared" si="9"/>
        <v>0</v>
      </c>
      <c r="T15">
        <f t="shared" si="9"/>
        <v>0</v>
      </c>
      <c r="U15">
        <f t="shared" si="9"/>
        <v>0</v>
      </c>
      <c r="V15">
        <f t="shared" si="9"/>
        <v>0</v>
      </c>
      <c r="W15">
        <f t="shared" si="9"/>
        <v>0</v>
      </c>
      <c r="X15">
        <f t="shared" si="9"/>
        <v>0</v>
      </c>
      <c r="Y15">
        <f t="shared" si="9"/>
        <v>0</v>
      </c>
      <c r="Z15">
        <f t="shared" si="9"/>
        <v>0</v>
      </c>
      <c r="AA15">
        <f t="shared" si="9"/>
        <v>0</v>
      </c>
      <c r="AB15">
        <f t="shared" si="9"/>
        <v>0</v>
      </c>
      <c r="AC15">
        <f t="shared" si="9"/>
        <v>0</v>
      </c>
      <c r="AD15">
        <f t="shared" si="9"/>
        <v>0</v>
      </c>
      <c r="AE15">
        <f t="shared" si="9"/>
        <v>0</v>
      </c>
      <c r="AF15">
        <f t="shared" si="9"/>
        <v>0</v>
      </c>
      <c r="AG15">
        <f t="shared" si="9"/>
        <v>0</v>
      </c>
      <c r="AH15">
        <f t="shared" si="9"/>
        <v>0</v>
      </c>
      <c r="AK15" t="s">
        <v>985</v>
      </c>
      <c r="AL15">
        <f>_xlfn.IFERROR(RATE(Term,0,-'Fannie Historical Ops'!AK77,AL13,1),0)</f>
        <v>0</v>
      </c>
      <c r="AM15">
        <f>_xlfn.IFERROR(RATE(Term,0,-'Fannie Historical Ops'!AK77,AM13,1),0)</f>
        <v>0</v>
      </c>
    </row>
    <row r="16" ht="15.75" customHeight="1">
      <c r="B16" t="s">
        <v>1407</v>
      </c>
      <c r="D16">
        <f>ROUND(SUM('Summary OPS'!$AU$19:$AU$25)*(1+D7),0)</f>
        <v>-245742</v>
      </c>
      <c r="E16">
        <f t="shared" si="10" ref="E16:AH60">ROUND(D16*(1+E7),0)</f>
        <v>-245742</v>
      </c>
      <c r="F16">
        <f t="shared" si="10"/>
        <v>-245742</v>
      </c>
      <c r="G16">
        <f t="shared" si="10"/>
        <v>-245742</v>
      </c>
      <c r="H16">
        <f t="shared" si="10"/>
        <v>-245742</v>
      </c>
      <c r="I16">
        <f t="shared" si="10"/>
        <v>-245742</v>
      </c>
      <c r="J16">
        <f t="shared" si="10"/>
        <v>-245742</v>
      </c>
      <c r="K16">
        <f t="shared" si="10"/>
        <v>-245742</v>
      </c>
      <c r="L16">
        <f t="shared" si="10"/>
        <v>-245742</v>
      </c>
      <c r="M16">
        <f t="shared" si="10"/>
        <v>-245742</v>
      </c>
      <c r="N16">
        <f t="shared" si="10"/>
        <v>-245742</v>
      </c>
      <c r="O16">
        <f t="shared" si="10"/>
        <v>-245742</v>
      </c>
      <c r="P16">
        <f t="shared" si="10"/>
        <v>-245742</v>
      </c>
      <c r="Q16">
        <f t="shared" si="10"/>
        <v>-245742</v>
      </c>
      <c r="R16">
        <f t="shared" si="10"/>
        <v>-245742</v>
      </c>
      <c r="S16">
        <f t="shared" si="10"/>
        <v>-245742</v>
      </c>
      <c r="T16">
        <f t="shared" si="10"/>
        <v>-245742</v>
      </c>
      <c r="U16">
        <f t="shared" si="10"/>
        <v>-245742</v>
      </c>
      <c r="V16">
        <f t="shared" si="10"/>
        <v>-245742</v>
      </c>
      <c r="W16">
        <f t="shared" si="10"/>
        <v>-245742</v>
      </c>
      <c r="X16">
        <f t="shared" si="10"/>
        <v>-245742</v>
      </c>
      <c r="Y16">
        <f t="shared" si="10"/>
        <v>-245742</v>
      </c>
      <c r="Z16">
        <f t="shared" si="10"/>
        <v>-245742</v>
      </c>
      <c r="AA16">
        <f t="shared" si="10"/>
        <v>-245742</v>
      </c>
      <c r="AB16">
        <f t="shared" si="10"/>
        <v>-245742</v>
      </c>
      <c r="AC16">
        <f t="shared" si="10"/>
        <v>-245742</v>
      </c>
      <c r="AD16">
        <f t="shared" si="10"/>
        <v>-245742</v>
      </c>
      <c r="AE16">
        <f t="shared" si="10"/>
        <v>-245742</v>
      </c>
      <c r="AF16">
        <f t="shared" si="10"/>
        <v>-245742</v>
      </c>
      <c r="AG16">
        <f t="shared" si="10"/>
        <v>-245742</v>
      </c>
      <c r="AH16">
        <f t="shared" si="10"/>
        <v>-245742</v>
      </c>
      <c r="AK16" t="s">
        <v>1408</v>
      </c>
      <c r="AL16" t="e">
        <f>IF('SBL Quotes'!AN32="Supplemental",IF(FirstOrigLoan_IfSupp&lt;&gt;0,1-((PV(FirstRate_IfSupp/12,(FirstAmort_IfSupp-FirstRemTerm_IfSupp+FirstRemIO_IfSupp)*12,-(FirstDebtService_IfSupp/12))+PV(SecondRate_IfSupp/12,(SecondAmort_IfSupp-SecondRemTerm_IfSupp+SecondRemIO_IfSupp)*12,-(SecondDebtService_IfSupp/12))+PV(ThirdRate_IfSupp/12,(ThirdAmort_IfSupp-ThirdRemTerm_IfSupp+ThirdRemIO_IfSupp)*12,-(ThirdDebtService_IfSupp/12)))/(FirstOrigLoan_IfSupp+SecondOrigLoan_IfSupp+ThirdOrigLoan_IfSupp)),0),IF(AL10&lt;&gt;0,1-(PV(NoteRate/12,(Amort-AL7+AL9)*12,-(AL10*NoteConstant/12))/AL10),0))</f>
        <v>#NAME?</v>
      </c>
      <c r="AM16" t="e">
        <f>IF('SBL Quotes'!AN32="Supplemental",IF(FirstOrigLoan_IfSupp&lt;&gt;0,1-((PV(FirstRate_IfSupp/12,(FirstAmort_IfSupp-FirstRemTerm_IfSupp+FirstRemIO_IfSupp)*12,-(FirstDebtService_IfSupp/12))+PV(SecondRate_IfSupp/12,(SecondAmort_IfSupp-SecondRemTerm_IfSupp+SecondRemIO_IfSupp)*12,-(SecondDebtService_IfSupp/12))+PV(ThirdRate_IfSupp/12,(ThirdAmort_IfSupp-ThirdRemTerm_IfSupp+ThirdRemIO_IfSupp)*12,-(ThirdDebtService_IfSupp/12)))/(FirstOrigLoan_IfSupp+SecondOrigLoan_IfSupp+ThirdOrigLoan_IfSupp)),0),IF(AL10&lt;&gt;0,1-(PV(NoteRate/12,(Amort-AL7+AL9)*12,-(AL10*NoteConstant/12))/AL10),0))</f>
        <v>#NAME?</v>
      </c>
    </row>
    <row r="17" ht="15.75" customHeight="1">
      <c r="B17" t="s">
        <v>1409</v>
      </c>
      <c r="D17">
        <f t="shared" si="11" ref="D17:AH17">SUM(D12:D16)</f>
        <v>1109838</v>
      </c>
      <c r="E17">
        <f t="shared" si="11"/>
        <v>1109838</v>
      </c>
      <c r="F17">
        <f t="shared" si="11"/>
        <v>1109838</v>
      </c>
      <c r="G17">
        <f t="shared" si="11"/>
        <v>1109838</v>
      </c>
      <c r="H17">
        <f t="shared" si="11"/>
        <v>1109838</v>
      </c>
      <c r="I17">
        <f t="shared" si="11"/>
        <v>1109838</v>
      </c>
      <c r="J17">
        <f t="shared" si="11"/>
        <v>1109838</v>
      </c>
      <c r="K17">
        <f t="shared" si="11"/>
        <v>1109838</v>
      </c>
      <c r="L17">
        <f t="shared" si="11"/>
        <v>1109838</v>
      </c>
      <c r="M17">
        <f t="shared" si="11"/>
        <v>1109838</v>
      </c>
      <c r="N17">
        <f t="shared" si="11"/>
        <v>1109838</v>
      </c>
      <c r="O17">
        <f t="shared" si="11"/>
        <v>1109838</v>
      </c>
      <c r="P17">
        <f t="shared" si="11"/>
        <v>1109838</v>
      </c>
      <c r="Q17">
        <f t="shared" si="11"/>
        <v>1109838</v>
      </c>
      <c r="R17">
        <f t="shared" si="11"/>
        <v>1109838</v>
      </c>
      <c r="S17">
        <f t="shared" si="11"/>
        <v>1109838</v>
      </c>
      <c r="T17">
        <f t="shared" si="11"/>
        <v>1109838</v>
      </c>
      <c r="U17">
        <f t="shared" si="11"/>
        <v>1109838</v>
      </c>
      <c r="V17">
        <f t="shared" si="11"/>
        <v>1109838</v>
      </c>
      <c r="W17">
        <f t="shared" si="11"/>
        <v>1109838</v>
      </c>
      <c r="X17">
        <f t="shared" si="11"/>
        <v>1109838</v>
      </c>
      <c r="Y17">
        <f t="shared" si="11"/>
        <v>1109838</v>
      </c>
      <c r="Z17">
        <f t="shared" si="11"/>
        <v>1109838</v>
      </c>
      <c r="AA17">
        <f t="shared" si="11"/>
        <v>1109838</v>
      </c>
      <c r="AB17">
        <f t="shared" si="11"/>
        <v>1109838</v>
      </c>
      <c r="AC17">
        <f t="shared" si="11"/>
        <v>1109838</v>
      </c>
      <c r="AD17">
        <f t="shared" si="11"/>
        <v>1109838</v>
      </c>
      <c r="AE17">
        <f t="shared" si="11"/>
        <v>1109838</v>
      </c>
      <c r="AF17">
        <f t="shared" si="11"/>
        <v>1109838</v>
      </c>
      <c r="AG17">
        <f t="shared" si="11"/>
        <v>1109838</v>
      </c>
      <c r="AH17">
        <f t="shared" si="11"/>
        <v>1109838</v>
      </c>
      <c r="AK17" t="s">
        <v>417</v>
      </c>
      <c r="AL17">
        <f t="shared" si="12" ref="AL17:AM17">_xlfn.IFERROR(AL13/AL14,0)</f>
        <v>0</v>
      </c>
      <c r="AM17">
        <f t="shared" si="12"/>
        <v>0</v>
      </c>
    </row>
    <row r="18" ht="15.75" customHeight="1">
      <c r="B18" t="s">
        <v>1410</v>
      </c>
      <c r="C18" t="s">
        <v>1411</v>
      </c>
      <c r="E18">
        <v>0.03</v>
      </c>
      <c r="F18">
        <f t="shared" si="13" ref="F18:AM20">E18</f>
        <v>0.03</v>
      </c>
      <c r="G18">
        <f t="shared" si="13"/>
        <v>0.03</v>
      </c>
      <c r="H18">
        <f t="shared" si="13"/>
        <v>0.03</v>
      </c>
      <c r="I18">
        <f t="shared" si="13"/>
        <v>0.03</v>
      </c>
      <c r="J18">
        <f t="shared" si="13"/>
        <v>0.03</v>
      </c>
      <c r="K18">
        <f t="shared" si="13"/>
        <v>0.03</v>
      </c>
      <c r="L18">
        <f t="shared" si="13"/>
        <v>0.03</v>
      </c>
      <c r="M18">
        <f t="shared" si="13"/>
        <v>0.03</v>
      </c>
      <c r="N18">
        <f t="shared" si="13"/>
        <v>0.03</v>
      </c>
      <c r="O18">
        <f t="shared" si="13"/>
        <v>0.03</v>
      </c>
      <c r="P18">
        <f t="shared" si="13"/>
        <v>0.03</v>
      </c>
      <c r="Q18">
        <f t="shared" si="13"/>
        <v>0.03</v>
      </c>
      <c r="R18">
        <f t="shared" si="13"/>
        <v>0.03</v>
      </c>
      <c r="S18">
        <f t="shared" si="13"/>
        <v>0.03</v>
      </c>
      <c r="T18">
        <f t="shared" si="13"/>
        <v>0.03</v>
      </c>
      <c r="U18">
        <f t="shared" si="13"/>
        <v>0.03</v>
      </c>
      <c r="V18">
        <f t="shared" si="13"/>
        <v>0.03</v>
      </c>
      <c r="W18">
        <f t="shared" si="13"/>
        <v>0.03</v>
      </c>
      <c r="X18">
        <f t="shared" si="13"/>
        <v>0.03</v>
      </c>
      <c r="Y18">
        <f t="shared" si="13"/>
        <v>0.03</v>
      </c>
      <c r="Z18">
        <f t="shared" si="13"/>
        <v>0.03</v>
      </c>
      <c r="AA18">
        <f t="shared" si="13"/>
        <v>0.03</v>
      </c>
      <c r="AB18">
        <f t="shared" si="13"/>
        <v>0.03</v>
      </c>
      <c r="AC18">
        <f t="shared" si="13"/>
        <v>0.03</v>
      </c>
      <c r="AD18">
        <f t="shared" si="13"/>
        <v>0.03</v>
      </c>
      <c r="AE18">
        <f t="shared" si="13"/>
        <v>0.03</v>
      </c>
      <c r="AF18">
        <f t="shared" si="13"/>
        <v>0.03</v>
      </c>
      <c r="AG18">
        <f t="shared" si="13"/>
        <v>0.03</v>
      </c>
      <c r="AH18">
        <f t="shared" si="13"/>
        <v>0.03</v>
      </c>
    </row>
    <row r="19" ht="15.75" customHeight="1">
      <c r="B19" t="s">
        <v>1412</v>
      </c>
      <c r="C19">
        <f t="shared" si="37" ref="C19:C63">HOps_ManagementFee</f>
        <v>0.035</v>
      </c>
      <c r="D19">
        <f>'Summary OPS'!$AU$35</f>
        <v>38844.33</v>
      </c>
      <c r="E19">
        <f t="shared" si="14" ref="E19:AH63">ROUND(E17*$C19,0)</f>
        <v>38844</v>
      </c>
      <c r="F19">
        <f t="shared" si="14"/>
        <v>38844</v>
      </c>
      <c r="G19">
        <f t="shared" si="14"/>
        <v>38844</v>
      </c>
      <c r="H19">
        <f t="shared" si="14"/>
        <v>38844</v>
      </c>
      <c r="I19">
        <f t="shared" si="14"/>
        <v>38844</v>
      </c>
      <c r="J19">
        <f t="shared" si="14"/>
        <v>38844</v>
      </c>
      <c r="K19">
        <f t="shared" si="14"/>
        <v>38844</v>
      </c>
      <c r="L19">
        <f t="shared" si="14"/>
        <v>38844</v>
      </c>
      <c r="M19">
        <f t="shared" si="14"/>
        <v>38844</v>
      </c>
      <c r="N19">
        <f t="shared" si="14"/>
        <v>38844</v>
      </c>
      <c r="O19">
        <f t="shared" si="14"/>
        <v>38844</v>
      </c>
      <c r="P19">
        <f t="shared" si="14"/>
        <v>38844</v>
      </c>
      <c r="Q19">
        <f t="shared" si="14"/>
        <v>38844</v>
      </c>
      <c r="R19">
        <f t="shared" si="14"/>
        <v>38844</v>
      </c>
      <c r="S19">
        <f t="shared" si="14"/>
        <v>38844</v>
      </c>
      <c r="T19">
        <f t="shared" si="14"/>
        <v>38844</v>
      </c>
      <c r="U19">
        <f t="shared" si="14"/>
        <v>38844</v>
      </c>
      <c r="V19">
        <f t="shared" si="14"/>
        <v>38844</v>
      </c>
      <c r="W19">
        <f t="shared" si="14"/>
        <v>38844</v>
      </c>
      <c r="X19">
        <f t="shared" si="14"/>
        <v>38844</v>
      </c>
      <c r="Y19">
        <f t="shared" si="14"/>
        <v>38844</v>
      </c>
      <c r="Z19">
        <f t="shared" si="14"/>
        <v>38844</v>
      </c>
      <c r="AA19">
        <f t="shared" si="14"/>
        <v>38844</v>
      </c>
      <c r="AB19">
        <f t="shared" si="14"/>
        <v>38844</v>
      </c>
      <c r="AC19">
        <f t="shared" si="14"/>
        <v>38844</v>
      </c>
      <c r="AD19">
        <f t="shared" si="14"/>
        <v>38844</v>
      </c>
      <c r="AE19">
        <f t="shared" si="14"/>
        <v>38844</v>
      </c>
      <c r="AF19">
        <f t="shared" si="14"/>
        <v>38844</v>
      </c>
      <c r="AG19">
        <f t="shared" si="14"/>
        <v>38844</v>
      </c>
      <c r="AH19">
        <f t="shared" si="14"/>
        <v>38844</v>
      </c>
      <c r="AK19" t="str">
        <f>IF('SBL Quotes'!AN32="Supplemental",IF(ThirdCoterminous_IfSupp="Yes","Exit Analysis (Coterminous Supplemental)",IF(SecondCoterminous_IfSupp="Yes","Exit Analysis (Coterminous Supplemental)",IF(FirstCoterminous_IfSupp="Yes","Exit Analysis (Coterminous Supplemental)","Exit Analysis (Non-Coterminous Supplemental)"))),"Conventional")&amp;" Exit (term of loan)"</f>
        <v>Conventional Exit (term of loan)</v>
      </c>
      <c r="AL19" t="s">
        <v>393</v>
      </c>
      <c r="AM19" t="s">
        <v>1403</v>
      </c>
    </row>
    <row r="20" ht="15" customHeight="1">
      <c r="B20" t="s">
        <v>1414</v>
      </c>
      <c r="D20">
        <f>'Summary OPS'!$AU$36+'Summary OPS'!$AU$37+'Summary OPS'!$AU$38+'Summary OPS'!$AU$39+'Summary OPS'!$AU$40+'Summary OPS'!$AU$47+'Summary OPS'!$AU$48</f>
        <v>294976.55</v>
      </c>
      <c r="E20">
        <f t="shared" si="15" ref="E20:AH64">ROUND(D20*(1+E18),0)</f>
        <v>303826</v>
      </c>
      <c r="F20">
        <f t="shared" si="15"/>
        <v>312941</v>
      </c>
      <c r="G20">
        <f t="shared" si="15"/>
        <v>322329</v>
      </c>
      <c r="H20">
        <f t="shared" si="15"/>
        <v>331999</v>
      </c>
      <c r="I20">
        <f t="shared" si="15"/>
        <v>341959</v>
      </c>
      <c r="J20">
        <f t="shared" si="15"/>
        <v>352218</v>
      </c>
      <c r="K20">
        <f t="shared" si="15"/>
        <v>362785</v>
      </c>
      <c r="L20">
        <f t="shared" si="15"/>
        <v>373669</v>
      </c>
      <c r="M20">
        <f t="shared" si="15"/>
        <v>384879</v>
      </c>
      <c r="N20">
        <f t="shared" si="15"/>
        <v>396425</v>
      </c>
      <c r="O20">
        <f t="shared" si="15"/>
        <v>408318</v>
      </c>
      <c r="P20">
        <f t="shared" si="15"/>
        <v>420568</v>
      </c>
      <c r="Q20">
        <f t="shared" si="15"/>
        <v>433185</v>
      </c>
      <c r="R20">
        <f t="shared" si="15"/>
        <v>446181</v>
      </c>
      <c r="S20">
        <f t="shared" si="15"/>
        <v>459566</v>
      </c>
      <c r="T20">
        <f t="shared" si="15"/>
        <v>473353</v>
      </c>
      <c r="U20">
        <f t="shared" si="15"/>
        <v>487554</v>
      </c>
      <c r="V20">
        <f t="shared" si="15"/>
        <v>502181</v>
      </c>
      <c r="W20">
        <f t="shared" si="15"/>
        <v>517246</v>
      </c>
      <c r="X20">
        <f t="shared" si="15"/>
        <v>532763</v>
      </c>
      <c r="Y20">
        <f t="shared" si="15"/>
        <v>548746</v>
      </c>
      <c r="Z20">
        <f t="shared" si="15"/>
        <v>565208</v>
      </c>
      <c r="AA20">
        <f t="shared" si="15"/>
        <v>582164</v>
      </c>
      <c r="AB20">
        <f t="shared" si="15"/>
        <v>599629</v>
      </c>
      <c r="AC20">
        <f t="shared" si="15"/>
        <v>617618</v>
      </c>
      <c r="AD20">
        <f t="shared" si="15"/>
        <v>636147</v>
      </c>
      <c r="AE20">
        <f t="shared" si="15"/>
        <v>655231</v>
      </c>
      <c r="AF20">
        <f t="shared" si="15"/>
        <v>674888</v>
      </c>
      <c r="AG20">
        <f t="shared" si="15"/>
        <v>695135</v>
      </c>
      <c r="AH20">
        <f t="shared" si="15"/>
        <v>715989</v>
      </c>
      <c r="AK20" t="s">
        <v>1415</v>
      </c>
      <c r="AL20">
        <f>Appraised_Cap+0.02</f>
        <v>0.07</v>
      </c>
      <c r="AM20">
        <f t="shared" si="13"/>
        <v>0.07</v>
      </c>
    </row>
    <row r="21" ht="15" customHeight="1">
      <c r="B21" t="s">
        <v>1416</v>
      </c>
      <c r="D21">
        <f>'Summary OPS'!$AU$41</f>
        <v>492493.47</v>
      </c>
      <c r="E21">
        <f t="shared" si="16" ref="E21:AH65">ROUND(D21*(1+E18),0)</f>
        <v>507268</v>
      </c>
      <c r="F21">
        <f t="shared" si="16"/>
        <v>522486</v>
      </c>
      <c r="G21">
        <f t="shared" si="16"/>
        <v>538161</v>
      </c>
      <c r="H21">
        <f t="shared" si="16"/>
        <v>554306</v>
      </c>
      <c r="I21">
        <f t="shared" si="16"/>
        <v>570935</v>
      </c>
      <c r="J21">
        <f t="shared" si="16"/>
        <v>588063</v>
      </c>
      <c r="K21">
        <f t="shared" si="16"/>
        <v>605705</v>
      </c>
      <c r="L21">
        <f t="shared" si="16"/>
        <v>623876</v>
      </c>
      <c r="M21">
        <f t="shared" si="16"/>
        <v>642592</v>
      </c>
      <c r="N21">
        <f t="shared" si="16"/>
        <v>661870</v>
      </c>
      <c r="O21">
        <f t="shared" si="16"/>
        <v>681726</v>
      </c>
      <c r="P21">
        <f t="shared" si="16"/>
        <v>702178</v>
      </c>
      <c r="Q21">
        <f t="shared" si="16"/>
        <v>723243</v>
      </c>
      <c r="R21">
        <f t="shared" si="16"/>
        <v>744940</v>
      </c>
      <c r="S21">
        <f t="shared" si="16"/>
        <v>767288</v>
      </c>
      <c r="T21">
        <f t="shared" si="16"/>
        <v>790307</v>
      </c>
      <c r="U21">
        <f t="shared" si="16"/>
        <v>814016</v>
      </c>
      <c r="V21">
        <f t="shared" si="16"/>
        <v>838436</v>
      </c>
      <c r="W21">
        <f t="shared" si="16"/>
        <v>863589</v>
      </c>
      <c r="X21">
        <f t="shared" si="16"/>
        <v>889497</v>
      </c>
      <c r="Y21">
        <f t="shared" si="16"/>
        <v>916182</v>
      </c>
      <c r="Z21">
        <f t="shared" si="16"/>
        <v>943667</v>
      </c>
      <c r="AA21">
        <f t="shared" si="16"/>
        <v>971977</v>
      </c>
      <c r="AB21">
        <f t="shared" si="16"/>
        <v>1001136</v>
      </c>
      <c r="AC21">
        <f t="shared" si="16"/>
        <v>1031170</v>
      </c>
      <c r="AD21">
        <f t="shared" si="16"/>
        <v>1062105</v>
      </c>
      <c r="AE21">
        <f t="shared" si="16"/>
        <v>1093968</v>
      </c>
      <c r="AF21">
        <f t="shared" si="16"/>
        <v>1126787</v>
      </c>
      <c r="AG21">
        <f t="shared" si="16"/>
        <v>1160591</v>
      </c>
      <c r="AH21">
        <f t="shared" si="16"/>
        <v>1195409</v>
      </c>
      <c r="AK21" t="s">
        <v>988</v>
      </c>
      <c r="AL21">
        <f t="shared" si="17" ref="AL21:AM21">_xlfn.IFERROR(AL14/(AL13/AL20),0)</f>
        <v>0</v>
      </c>
      <c r="AM21">
        <f t="shared" si="17"/>
        <v>0</v>
      </c>
    </row>
    <row r="22" ht="15" customHeight="1">
      <c r="B22" t="s">
        <v>1417</v>
      </c>
      <c r="D22">
        <f>'Summary OPS'!$AU$42</f>
        <v>183091.77</v>
      </c>
      <c r="E22">
        <f t="shared" si="18" ref="E22:AH66">ROUND(D22*(1+E18),0)</f>
        <v>188585</v>
      </c>
      <c r="F22">
        <f t="shared" si="18"/>
        <v>194243</v>
      </c>
      <c r="G22">
        <f t="shared" si="18"/>
        <v>200070</v>
      </c>
      <c r="H22">
        <f t="shared" si="18"/>
        <v>206072</v>
      </c>
      <c r="I22">
        <f t="shared" si="18"/>
        <v>212254</v>
      </c>
      <c r="J22">
        <f t="shared" si="18"/>
        <v>218622</v>
      </c>
      <c r="K22">
        <f t="shared" si="18"/>
        <v>225181</v>
      </c>
      <c r="L22">
        <f t="shared" si="18"/>
        <v>231936</v>
      </c>
      <c r="M22">
        <f t="shared" si="18"/>
        <v>238894</v>
      </c>
      <c r="N22">
        <f t="shared" si="18"/>
        <v>246061</v>
      </c>
      <c r="O22">
        <f t="shared" si="18"/>
        <v>253443</v>
      </c>
      <c r="P22">
        <f t="shared" si="18"/>
        <v>261046</v>
      </c>
      <c r="Q22">
        <f t="shared" si="18"/>
        <v>268877</v>
      </c>
      <c r="R22">
        <f t="shared" si="18"/>
        <v>276943</v>
      </c>
      <c r="S22">
        <f t="shared" si="18"/>
        <v>285251</v>
      </c>
      <c r="T22">
        <f t="shared" si="18"/>
        <v>293809</v>
      </c>
      <c r="U22">
        <f t="shared" si="18"/>
        <v>302623</v>
      </c>
      <c r="V22">
        <f t="shared" si="18"/>
        <v>311702</v>
      </c>
      <c r="W22">
        <f t="shared" si="18"/>
        <v>321053</v>
      </c>
      <c r="X22">
        <f t="shared" si="18"/>
        <v>330685</v>
      </c>
      <c r="Y22">
        <f t="shared" si="18"/>
        <v>340606</v>
      </c>
      <c r="Z22">
        <f t="shared" si="18"/>
        <v>350824</v>
      </c>
      <c r="AA22">
        <f t="shared" si="18"/>
        <v>361349</v>
      </c>
      <c r="AB22">
        <f t="shared" si="18"/>
        <v>372189</v>
      </c>
      <c r="AC22">
        <f t="shared" si="18"/>
        <v>383355</v>
      </c>
      <c r="AD22">
        <f t="shared" si="18"/>
        <v>394856</v>
      </c>
      <c r="AE22">
        <f t="shared" si="18"/>
        <v>406702</v>
      </c>
      <c r="AF22">
        <f t="shared" si="18"/>
        <v>418903</v>
      </c>
      <c r="AG22">
        <f t="shared" si="18"/>
        <v>431470</v>
      </c>
      <c r="AH22">
        <f t="shared" si="18"/>
        <v>444414</v>
      </c>
      <c r="AK22" t="s">
        <v>1418</v>
      </c>
      <c r="AL22">
        <f>IF('SBL Quotes'!$AN$32="Dedicated Student",75%,80%)</f>
        <v>0.8</v>
      </c>
      <c r="AM22">
        <f>IF('SBL Quotes'!$AN$32="Dedicated Student",75%,80%)</f>
        <v>0.8</v>
      </c>
    </row>
    <row r="23" ht="15" customHeight="1">
      <c r="B23" t="s">
        <v>1419</v>
      </c>
      <c r="D23">
        <f>'Summary OPS'!$AU$43</f>
        <v>117599.22</v>
      </c>
      <c r="E23">
        <f t="shared" si="19" ref="E23:AH67">ROUND(D23*(1+E18),0)</f>
        <v>121127</v>
      </c>
      <c r="F23">
        <f t="shared" si="19"/>
        <v>124761</v>
      </c>
      <c r="G23">
        <f t="shared" si="19"/>
        <v>128504</v>
      </c>
      <c r="H23">
        <f t="shared" si="19"/>
        <v>132359</v>
      </c>
      <c r="I23">
        <f t="shared" si="19"/>
        <v>136330</v>
      </c>
      <c r="J23">
        <f t="shared" si="19"/>
        <v>140420</v>
      </c>
      <c r="K23">
        <f t="shared" si="19"/>
        <v>144633</v>
      </c>
      <c r="L23">
        <f t="shared" si="19"/>
        <v>148972</v>
      </c>
      <c r="M23">
        <f t="shared" si="19"/>
        <v>153441</v>
      </c>
      <c r="N23">
        <f t="shared" si="19"/>
        <v>158044</v>
      </c>
      <c r="O23">
        <f t="shared" si="19"/>
        <v>162785</v>
      </c>
      <c r="P23">
        <f t="shared" si="19"/>
        <v>167669</v>
      </c>
      <c r="Q23">
        <f t="shared" si="19"/>
        <v>172699</v>
      </c>
      <c r="R23">
        <f t="shared" si="19"/>
        <v>177880</v>
      </c>
      <c r="S23">
        <f t="shared" si="19"/>
        <v>183216</v>
      </c>
      <c r="T23">
        <f t="shared" si="19"/>
        <v>188712</v>
      </c>
      <c r="U23">
        <f t="shared" si="19"/>
        <v>194373</v>
      </c>
      <c r="V23">
        <f t="shared" si="19"/>
        <v>200204</v>
      </c>
      <c r="W23">
        <f t="shared" si="19"/>
        <v>206210</v>
      </c>
      <c r="X23">
        <f t="shared" si="19"/>
        <v>212396</v>
      </c>
      <c r="Y23">
        <f t="shared" si="19"/>
        <v>218768</v>
      </c>
      <c r="Z23">
        <f t="shared" si="19"/>
        <v>225331</v>
      </c>
      <c r="AA23">
        <f t="shared" si="19"/>
        <v>232091</v>
      </c>
      <c r="AB23">
        <f t="shared" si="19"/>
        <v>239054</v>
      </c>
      <c r="AC23">
        <f t="shared" si="19"/>
        <v>246226</v>
      </c>
      <c r="AD23">
        <f t="shared" si="19"/>
        <v>253613</v>
      </c>
      <c r="AE23">
        <f t="shared" si="19"/>
        <v>261221</v>
      </c>
      <c r="AF23">
        <f t="shared" si="19"/>
        <v>269058</v>
      </c>
      <c r="AG23">
        <f t="shared" si="19"/>
        <v>277130</v>
      </c>
      <c r="AH23">
        <f t="shared" si="19"/>
        <v>285444</v>
      </c>
      <c r="AK23" t="s">
        <v>1420</v>
      </c>
      <c r="AL23">
        <f t="shared" si="20" ref="AL23:AM23">_xlfn.IFERROR(AL13/(AL14/AL22),0)</f>
        <v>0</v>
      </c>
      <c r="AM23">
        <f t="shared" si="20"/>
        <v>0</v>
      </c>
    </row>
    <row r="24" ht="15" customHeight="1">
      <c r="B24" t="s">
        <v>1421</v>
      </c>
      <c r="D24">
        <f>'Summary OPS'!$AU$44</f>
        <v>395766.17</v>
      </c>
      <c r="E24">
        <f t="shared" si="7"/>
        <v>407639</v>
      </c>
      <c r="F24">
        <f t="shared" si="7"/>
        <v>419868</v>
      </c>
      <c r="G24">
        <f t="shared" si="7"/>
        <v>432464</v>
      </c>
      <c r="H24">
        <f t="shared" si="7"/>
        <v>445438</v>
      </c>
      <c r="I24">
        <f t="shared" si="7"/>
        <v>458801</v>
      </c>
      <c r="J24">
        <f t="shared" si="7"/>
        <v>472565</v>
      </c>
      <c r="K24">
        <f t="shared" si="7"/>
        <v>486742</v>
      </c>
      <c r="L24">
        <f t="shared" si="7"/>
        <v>501344</v>
      </c>
      <c r="M24">
        <f t="shared" si="7"/>
        <v>516384</v>
      </c>
      <c r="N24">
        <f t="shared" si="7"/>
        <v>531876</v>
      </c>
      <c r="O24">
        <f t="shared" si="7"/>
        <v>547832</v>
      </c>
      <c r="P24">
        <f t="shared" si="7"/>
        <v>564267</v>
      </c>
      <c r="Q24">
        <f t="shared" si="7"/>
        <v>581195</v>
      </c>
      <c r="R24">
        <f t="shared" si="7"/>
        <v>598631</v>
      </c>
      <c r="S24">
        <f t="shared" si="7"/>
        <v>616590</v>
      </c>
      <c r="T24">
        <f t="shared" si="7"/>
        <v>635088</v>
      </c>
      <c r="U24">
        <f t="shared" si="7"/>
        <v>654141</v>
      </c>
      <c r="V24">
        <f t="shared" si="7"/>
        <v>673765</v>
      </c>
      <c r="W24">
        <f t="shared" si="7"/>
        <v>693978</v>
      </c>
      <c r="X24">
        <f t="shared" si="7"/>
        <v>714797</v>
      </c>
      <c r="Y24">
        <f t="shared" si="7"/>
        <v>736241</v>
      </c>
      <c r="Z24">
        <f t="shared" si="7"/>
        <v>758328</v>
      </c>
      <c r="AA24">
        <f t="shared" si="7"/>
        <v>781078</v>
      </c>
      <c r="AB24">
        <f t="shared" si="7"/>
        <v>804510</v>
      </c>
      <c r="AC24">
        <f t="shared" si="7"/>
        <v>828645</v>
      </c>
      <c r="AD24">
        <f t="shared" si="7"/>
        <v>853504</v>
      </c>
      <c r="AE24">
        <f t="shared" si="7"/>
        <v>879109</v>
      </c>
      <c r="AF24">
        <f t="shared" si="7"/>
        <v>905482</v>
      </c>
      <c r="AG24">
        <f t="shared" si="7"/>
        <v>932646</v>
      </c>
      <c r="AH24">
        <f t="shared" si="7"/>
        <v>960625</v>
      </c>
      <c r="AK24" t="s">
        <v>1422</v>
      </c>
      <c r="AL24">
        <f>IF('SBL Quotes'!$AN$32="Dedicated Student",1.3,1.25)</f>
        <v>1.25</v>
      </c>
      <c r="AM24">
        <f>IF('SBL Quotes'!$AN$32="Dedicated Student",1.3,1.25)</f>
        <v>1.25</v>
      </c>
    </row>
    <row r="25" ht="15" customHeight="1">
      <c r="B25" t="s">
        <v>1151</v>
      </c>
      <c r="D25">
        <f>'Summary OPS'!$AU$45</f>
        <v>250385.79</v>
      </c>
      <c r="E25">
        <f t="shared" si="8"/>
        <v>257897</v>
      </c>
      <c r="F25">
        <f t="shared" si="8"/>
        <v>265634</v>
      </c>
      <c r="G25">
        <f t="shared" si="8"/>
        <v>273603</v>
      </c>
      <c r="H25">
        <f t="shared" si="8"/>
        <v>281811</v>
      </c>
      <c r="I25">
        <f t="shared" si="8"/>
        <v>290265</v>
      </c>
      <c r="J25">
        <f t="shared" si="8"/>
        <v>298973</v>
      </c>
      <c r="K25">
        <f t="shared" si="8"/>
        <v>307942</v>
      </c>
      <c r="L25">
        <f t="shared" si="8"/>
        <v>317180</v>
      </c>
      <c r="M25">
        <f t="shared" si="8"/>
        <v>326695</v>
      </c>
      <c r="N25">
        <f t="shared" si="8"/>
        <v>336496</v>
      </c>
      <c r="O25">
        <f t="shared" si="8"/>
        <v>346591</v>
      </c>
      <c r="P25">
        <f t="shared" si="8"/>
        <v>356989</v>
      </c>
      <c r="Q25">
        <f t="shared" si="8"/>
        <v>367699</v>
      </c>
      <c r="R25">
        <f t="shared" si="8"/>
        <v>378730</v>
      </c>
      <c r="S25">
        <f t="shared" si="8"/>
        <v>390092</v>
      </c>
      <c r="T25">
        <f t="shared" si="8"/>
        <v>401795</v>
      </c>
      <c r="U25">
        <f t="shared" si="8"/>
        <v>413849</v>
      </c>
      <c r="V25">
        <f t="shared" si="8"/>
        <v>426264</v>
      </c>
      <c r="W25">
        <f t="shared" si="8"/>
        <v>439052</v>
      </c>
      <c r="X25">
        <f t="shared" si="8"/>
        <v>452224</v>
      </c>
      <c r="Y25">
        <f t="shared" si="8"/>
        <v>465791</v>
      </c>
      <c r="Z25">
        <f t="shared" si="8"/>
        <v>479765</v>
      </c>
      <c r="AA25">
        <f t="shared" si="8"/>
        <v>494158</v>
      </c>
      <c r="AB25">
        <f t="shared" si="8"/>
        <v>508983</v>
      </c>
      <c r="AC25">
        <f t="shared" si="8"/>
        <v>524252</v>
      </c>
      <c r="AD25">
        <f t="shared" si="8"/>
        <v>539980</v>
      </c>
      <c r="AE25">
        <f t="shared" si="8"/>
        <v>556179</v>
      </c>
      <c r="AF25">
        <f t="shared" si="8"/>
        <v>572864</v>
      </c>
      <c r="AG25">
        <f t="shared" si="8"/>
        <v>590050</v>
      </c>
      <c r="AH25">
        <f t="shared" si="8"/>
        <v>607752</v>
      </c>
      <c r="AK25" t="s">
        <v>993</v>
      </c>
      <c r="AL25">
        <f t="shared" si="21" ref="AL25:AM25">_xlfn.IFERROR(RATE(AL26*12,-AL13/AL24/12,AL14)*12,0)</f>
        <v>0</v>
      </c>
      <c r="AM25">
        <f t="shared" si="21"/>
        <v>0</v>
      </c>
    </row>
    <row r="26" ht="15" customHeight="1">
      <c r="B26" t="s">
        <v>1423</v>
      </c>
      <c r="C26">
        <f t="shared" si="38" ref="C26:C70">IF(State_DataPageTab="CA",2%,3%)</f>
        <v>0.03</v>
      </c>
      <c r="D26">
        <f>'Fannie Historical Ops'!AK$33</f>
        <v>1036382.91</v>
      </c>
      <c r="E26">
        <f t="shared" si="22" ref="E26:AH26">ROUND(D26*(1+$C26),0)</f>
        <v>1067474</v>
      </c>
      <c r="F26">
        <f t="shared" si="22"/>
        <v>1099498</v>
      </c>
      <c r="G26">
        <f t="shared" si="22"/>
        <v>1132483</v>
      </c>
      <c r="H26">
        <f t="shared" si="22"/>
        <v>1166457</v>
      </c>
      <c r="I26">
        <f t="shared" si="22"/>
        <v>1201451</v>
      </c>
      <c r="J26">
        <f t="shared" si="22"/>
        <v>1237495</v>
      </c>
      <c r="K26">
        <f t="shared" si="22"/>
        <v>1274620</v>
      </c>
      <c r="L26">
        <f t="shared" si="22"/>
        <v>1312859</v>
      </c>
      <c r="M26">
        <f t="shared" si="22"/>
        <v>1352245</v>
      </c>
      <c r="N26">
        <f t="shared" si="22"/>
        <v>1392812</v>
      </c>
      <c r="O26">
        <f t="shared" si="22"/>
        <v>1434596</v>
      </c>
      <c r="P26">
        <f t="shared" si="22"/>
        <v>1477634</v>
      </c>
      <c r="Q26">
        <f t="shared" si="22"/>
        <v>1521963</v>
      </c>
      <c r="R26">
        <f t="shared" si="22"/>
        <v>1567622</v>
      </c>
      <c r="S26">
        <f t="shared" si="22"/>
        <v>1614651</v>
      </c>
      <c r="T26">
        <f t="shared" si="22"/>
        <v>1663091</v>
      </c>
      <c r="U26">
        <f t="shared" si="22"/>
        <v>1712984</v>
      </c>
      <c r="V26">
        <f t="shared" si="22"/>
        <v>1764374</v>
      </c>
      <c r="W26">
        <f t="shared" si="22"/>
        <v>1817305</v>
      </c>
      <c r="X26">
        <f t="shared" si="22"/>
        <v>1871824</v>
      </c>
      <c r="Y26">
        <f t="shared" si="22"/>
        <v>1927979</v>
      </c>
      <c r="Z26">
        <f t="shared" si="22"/>
        <v>1985818</v>
      </c>
      <c r="AA26">
        <f t="shared" si="22"/>
        <v>2045393</v>
      </c>
      <c r="AB26">
        <f t="shared" si="22"/>
        <v>2106755</v>
      </c>
      <c r="AC26">
        <f t="shared" si="22"/>
        <v>2169958</v>
      </c>
      <c r="AD26">
        <f t="shared" si="22"/>
        <v>2235057</v>
      </c>
      <c r="AE26">
        <f t="shared" si="22"/>
        <v>2302109</v>
      </c>
      <c r="AF26">
        <f t="shared" si="22"/>
        <v>2371172</v>
      </c>
      <c r="AG26">
        <f t="shared" si="22"/>
        <v>2442307</v>
      </c>
      <c r="AH26">
        <f t="shared" si="22"/>
        <v>2515576</v>
      </c>
      <c r="AK26" t="s">
        <v>1424</v>
      </c>
      <c r="AL26">
        <v>30</v>
      </c>
      <c r="AM26">
        <v>30</v>
      </c>
    </row>
    <row r="27" ht="15.75" customHeight="1">
      <c r="B27" t="s">
        <v>1425</v>
      </c>
      <c r="D27">
        <f>'Summary OPS'!$AU$51</f>
        <v>21250</v>
      </c>
      <c r="E27">
        <f t="shared" si="23" ref="E27:AH27">$D27</f>
        <v>21250</v>
      </c>
      <c r="F27">
        <f t="shared" si="23"/>
        <v>21250</v>
      </c>
      <c r="G27">
        <f t="shared" si="23"/>
        <v>21250</v>
      </c>
      <c r="H27">
        <f t="shared" si="23"/>
        <v>21250</v>
      </c>
      <c r="I27">
        <f t="shared" si="23"/>
        <v>21250</v>
      </c>
      <c r="J27">
        <f t="shared" si="23"/>
        <v>21250</v>
      </c>
      <c r="K27">
        <f t="shared" si="23"/>
        <v>21250</v>
      </c>
      <c r="L27">
        <f t="shared" si="23"/>
        <v>21250</v>
      </c>
      <c r="M27">
        <f t="shared" si="23"/>
        <v>21250</v>
      </c>
      <c r="N27">
        <f t="shared" si="23"/>
        <v>21250</v>
      </c>
      <c r="O27">
        <f t="shared" si="23"/>
        <v>21250</v>
      </c>
      <c r="P27">
        <f t="shared" si="23"/>
        <v>21250</v>
      </c>
      <c r="Q27">
        <f t="shared" si="23"/>
        <v>21250</v>
      </c>
      <c r="R27">
        <f t="shared" si="23"/>
        <v>21250</v>
      </c>
      <c r="S27">
        <f t="shared" si="23"/>
        <v>21250</v>
      </c>
      <c r="T27">
        <f t="shared" si="23"/>
        <v>21250</v>
      </c>
      <c r="U27">
        <f t="shared" si="23"/>
        <v>21250</v>
      </c>
      <c r="V27">
        <f t="shared" si="23"/>
        <v>21250</v>
      </c>
      <c r="W27">
        <f t="shared" si="23"/>
        <v>21250</v>
      </c>
      <c r="X27">
        <f t="shared" si="23"/>
        <v>21250</v>
      </c>
      <c r="Y27">
        <f t="shared" si="23"/>
        <v>21250</v>
      </c>
      <c r="Z27">
        <f t="shared" si="23"/>
        <v>21250</v>
      </c>
      <c r="AA27">
        <f t="shared" si="23"/>
        <v>21250</v>
      </c>
      <c r="AB27">
        <f t="shared" si="23"/>
        <v>21250</v>
      </c>
      <c r="AC27">
        <f t="shared" si="23"/>
        <v>21250</v>
      </c>
      <c r="AD27">
        <f t="shared" si="23"/>
        <v>21250</v>
      </c>
      <c r="AE27">
        <f t="shared" si="23"/>
        <v>21250</v>
      </c>
      <c r="AF27">
        <f t="shared" si="23"/>
        <v>21250</v>
      </c>
      <c r="AG27">
        <f t="shared" si="23"/>
        <v>21250</v>
      </c>
      <c r="AH27">
        <f t="shared" si="23"/>
        <v>21250</v>
      </c>
      <c r="AK27" t="s">
        <v>994</v>
      </c>
      <c r="AL27">
        <f t="shared" si="24" ref="AL27:AM27">_xlfn.IFERROR(AL13/(AL14*PMT(AL25/12,AL26*12,-1)*12),0)</f>
        <v>0</v>
      </c>
      <c r="AM27">
        <f t="shared" si="24"/>
        <v>0</v>
      </c>
    </row>
    <row r="28" ht="15.75" customHeight="1">
      <c r="B28" t="s">
        <v>1426</v>
      </c>
      <c r="D28">
        <f t="shared" si="25" ref="D28:AH72">SUM(D19:D27)</f>
        <v>2830790.21</v>
      </c>
      <c r="E28">
        <f t="shared" si="25"/>
        <v>2913910</v>
      </c>
      <c r="F28">
        <f t="shared" si="25"/>
        <v>2999525</v>
      </c>
      <c r="G28">
        <f t="shared" si="25"/>
        <v>3087708</v>
      </c>
      <c r="H28">
        <f t="shared" si="25"/>
        <v>3178536</v>
      </c>
      <c r="I28">
        <f t="shared" si="25"/>
        <v>3272089</v>
      </c>
      <c r="J28">
        <f t="shared" si="25"/>
        <v>3368450</v>
      </c>
      <c r="K28">
        <f t="shared" si="25"/>
        <v>3467702</v>
      </c>
      <c r="L28">
        <f t="shared" si="25"/>
        <v>3569930</v>
      </c>
      <c r="M28">
        <f t="shared" si="25"/>
        <v>3675224</v>
      </c>
      <c r="N28">
        <f t="shared" si="25"/>
        <v>3783678</v>
      </c>
      <c r="O28">
        <f t="shared" si="25"/>
        <v>3895385</v>
      </c>
      <c r="P28">
        <f t="shared" si="25"/>
        <v>4010445</v>
      </c>
      <c r="Q28">
        <f t="shared" si="25"/>
        <v>4128955</v>
      </c>
      <c r="R28">
        <f t="shared" si="25"/>
        <v>4251021</v>
      </c>
      <c r="S28">
        <f t="shared" si="25"/>
        <v>4376748</v>
      </c>
      <c r="T28">
        <f t="shared" si="25"/>
        <v>4506249</v>
      </c>
      <c r="U28">
        <f t="shared" si="25"/>
        <v>4639634</v>
      </c>
      <c r="V28">
        <f t="shared" si="25"/>
        <v>4777020</v>
      </c>
      <c r="W28">
        <f t="shared" si="25"/>
        <v>4918527</v>
      </c>
      <c r="X28">
        <f t="shared" si="25"/>
        <v>5064280</v>
      </c>
      <c r="Y28">
        <f t="shared" si="25"/>
        <v>5214407</v>
      </c>
      <c r="Z28">
        <f t="shared" si="25"/>
        <v>5369035</v>
      </c>
      <c r="AA28">
        <f t="shared" si="25"/>
        <v>5528304</v>
      </c>
      <c r="AB28">
        <f t="shared" si="25"/>
        <v>5692350</v>
      </c>
      <c r="AC28">
        <f t="shared" si="25"/>
        <v>5861318</v>
      </c>
      <c r="AD28">
        <f t="shared" si="25"/>
        <v>6035356</v>
      </c>
      <c r="AE28">
        <f t="shared" si="25"/>
        <v>6214613</v>
      </c>
      <c r="AF28">
        <f t="shared" si="25"/>
        <v>6399248</v>
      </c>
      <c r="AG28">
        <f t="shared" si="25"/>
        <v>6589423</v>
      </c>
      <c r="AH28">
        <f t="shared" si="25"/>
        <v>6785303</v>
      </c>
    </row>
    <row r="29" ht="15.75" customHeight="1">
      <c r="B29" t="s">
        <v>1427</v>
      </c>
      <c r="D29">
        <f t="shared" si="26" ref="D29:AH73">D17-D28</f>
        <v>-1720952.21</v>
      </c>
      <c r="E29">
        <f t="shared" si="26"/>
        <v>-1804072</v>
      </c>
      <c r="F29">
        <f t="shared" si="26"/>
        <v>-1889687</v>
      </c>
      <c r="G29">
        <f t="shared" si="26"/>
        <v>-1977870</v>
      </c>
      <c r="H29">
        <f t="shared" si="26"/>
        <v>-2068698</v>
      </c>
      <c r="I29">
        <f t="shared" si="26"/>
        <v>-2162251</v>
      </c>
      <c r="J29">
        <f t="shared" si="26"/>
        <v>-2258612</v>
      </c>
      <c r="K29">
        <f t="shared" si="26"/>
        <v>-2357864</v>
      </c>
      <c r="L29">
        <f t="shared" si="26"/>
        <v>-2460092</v>
      </c>
      <c r="M29">
        <f t="shared" si="26"/>
        <v>-2565386</v>
      </c>
      <c r="N29">
        <f t="shared" si="26"/>
        <v>-2673840</v>
      </c>
      <c r="O29">
        <f t="shared" si="26"/>
        <v>-2785547</v>
      </c>
      <c r="P29">
        <f t="shared" si="26"/>
        <v>-2900607</v>
      </c>
      <c r="Q29">
        <f t="shared" si="26"/>
        <v>-3019117</v>
      </c>
      <c r="R29">
        <f t="shared" si="26"/>
        <v>-3141183</v>
      </c>
      <c r="S29">
        <f t="shared" si="26"/>
        <v>-3266910</v>
      </c>
      <c r="T29">
        <f t="shared" si="26"/>
        <v>-3396411</v>
      </c>
      <c r="U29">
        <f t="shared" si="26"/>
        <v>-3529796</v>
      </c>
      <c r="V29">
        <f t="shared" si="26"/>
        <v>-3667182</v>
      </c>
      <c r="W29">
        <f t="shared" si="26"/>
        <v>-3808689</v>
      </c>
      <c r="X29">
        <f t="shared" si="26"/>
        <v>-3954442</v>
      </c>
      <c r="Y29">
        <f t="shared" si="26"/>
        <v>-4104569</v>
      </c>
      <c r="Z29">
        <f t="shared" si="26"/>
        <v>-4259197</v>
      </c>
      <c r="AA29">
        <f t="shared" si="26"/>
        <v>-4418466</v>
      </c>
      <c r="AB29">
        <f t="shared" si="26"/>
        <v>-4582512</v>
      </c>
      <c r="AC29">
        <f t="shared" si="26"/>
        <v>-4751480</v>
      </c>
      <c r="AD29">
        <f t="shared" si="26"/>
        <v>-4925518</v>
      </c>
      <c r="AE29">
        <f t="shared" si="26"/>
        <v>-5104775</v>
      </c>
      <c r="AF29">
        <f t="shared" si="26"/>
        <v>-5289410</v>
      </c>
      <c r="AG29">
        <f t="shared" si="26"/>
        <v>-5479585</v>
      </c>
      <c r="AH29">
        <f t="shared" si="26"/>
        <v>-5675465</v>
      </c>
      <c r="AK29" t="s">
        <v>1428</v>
      </c>
      <c r="AL29" t="s">
        <v>393</v>
      </c>
      <c r="AM29" t="s">
        <v>1403</v>
      </c>
    </row>
    <row r="30" ht="15" customHeight="1">
      <c r="B30" t="s">
        <v>1429</v>
      </c>
      <c r="D30" t="e">
        <f>IF('SBL Quotes'!$AN$35="Assumption",AmortizingDebtService,AmortizingDebtService+FirstDebtService_IfSupp+SecondDebtService_IfSupp+ThirdDebtService_IfSupp)</f>
        <v>#NAME?</v>
      </c>
      <c r="E30" t="e">
        <f t="shared" si="27" ref="E30:AM74">D30</f>
        <v>#NAME?</v>
      </c>
      <c r="F30" t="e">
        <f t="shared" si="27"/>
        <v>#NAME?</v>
      </c>
      <c r="G30" t="e">
        <f t="shared" si="27"/>
        <v>#NAME?</v>
      </c>
      <c r="H30" t="e">
        <f t="shared" si="27"/>
        <v>#NAME?</v>
      </c>
      <c r="I30" t="e">
        <f t="shared" si="27"/>
        <v>#NAME?</v>
      </c>
      <c r="J30" t="e">
        <f t="shared" si="27"/>
        <v>#NAME?</v>
      </c>
      <c r="K30" t="e">
        <f t="shared" si="27"/>
        <v>#NAME?</v>
      </c>
      <c r="L30" t="e">
        <f t="shared" si="27"/>
        <v>#NAME?</v>
      </c>
      <c r="M30" t="e">
        <f t="shared" si="27"/>
        <v>#NAME?</v>
      </c>
      <c r="N30" t="e">
        <f t="shared" si="27"/>
        <v>#NAME?</v>
      </c>
      <c r="O30" t="e">
        <f t="shared" si="27"/>
        <v>#NAME?</v>
      </c>
      <c r="P30" t="e">
        <f t="shared" si="27"/>
        <v>#NAME?</v>
      </c>
      <c r="Q30" t="e">
        <f t="shared" si="27"/>
        <v>#NAME?</v>
      </c>
      <c r="R30" t="e">
        <f t="shared" si="27"/>
        <v>#NAME?</v>
      </c>
      <c r="S30" t="e">
        <f t="shared" si="27"/>
        <v>#NAME?</v>
      </c>
      <c r="T30" t="e">
        <f t="shared" si="27"/>
        <v>#NAME?</v>
      </c>
      <c r="U30" t="e">
        <f t="shared" si="27"/>
        <v>#NAME?</v>
      </c>
      <c r="V30" t="e">
        <f t="shared" si="27"/>
        <v>#NAME?</v>
      </c>
      <c r="W30" t="e">
        <f t="shared" si="27"/>
        <v>#NAME?</v>
      </c>
      <c r="X30" t="e">
        <f t="shared" si="27"/>
        <v>#NAME?</v>
      </c>
      <c r="Y30" t="e">
        <f t="shared" si="27"/>
        <v>#NAME?</v>
      </c>
      <c r="Z30" t="e">
        <f t="shared" si="27"/>
        <v>#NAME?</v>
      </c>
      <c r="AA30" t="e">
        <f t="shared" si="27"/>
        <v>#NAME?</v>
      </c>
      <c r="AB30" t="e">
        <f t="shared" si="27"/>
        <v>#NAME?</v>
      </c>
      <c r="AC30" t="e">
        <f t="shared" si="27"/>
        <v>#NAME?</v>
      </c>
      <c r="AD30" t="e">
        <f t="shared" si="27"/>
        <v>#NAME?</v>
      </c>
      <c r="AE30" t="e">
        <f t="shared" si="27"/>
        <v>#NAME?</v>
      </c>
      <c r="AF30" t="e">
        <f t="shared" si="27"/>
        <v>#NAME?</v>
      </c>
      <c r="AG30" t="e">
        <f t="shared" si="27"/>
        <v>#NAME?</v>
      </c>
      <c r="AH30" t="e">
        <f t="shared" si="27"/>
        <v>#NAME?</v>
      </c>
      <c r="AK30" t="s">
        <v>1430</v>
      </c>
      <c r="AL30">
        <f>IF(Loan_Program_Accepted="Proprietary Capital",IF(Exit_LoanTerm=10,6%,5.5%),IF(Delegated_Level="Performance Differentiation",IF(MSA_Type="MSA (Pre-Review Market)",7.5%,IF('Data Page'!I7="MAH",IF(MSA_Type="MSA (Strong Market)",6.75%,7%),IF(MSA_Type="MSA (Strong Market)",6.5%,6.75%))),7.5%))</f>
        <v>0.075</v>
      </c>
      <c r="AM30">
        <f t="shared" si="27"/>
        <v>0.075</v>
      </c>
    </row>
    <row r="31" ht="15" customHeight="1">
      <c r="B31" t="s">
        <v>1225</v>
      </c>
      <c r="D31">
        <f t="shared" si="28" ref="D31:AH75">_xlfn.IFERROR(D29/D30,0)</f>
        <v>0</v>
      </c>
      <c r="E31">
        <f t="shared" si="28"/>
        <v>0</v>
      </c>
      <c r="F31">
        <f t="shared" si="28"/>
        <v>0</v>
      </c>
      <c r="G31">
        <f t="shared" si="28"/>
        <v>0</v>
      </c>
      <c r="H31">
        <f t="shared" si="28"/>
        <v>0</v>
      </c>
      <c r="I31">
        <f t="shared" si="28"/>
        <v>0</v>
      </c>
      <c r="J31">
        <f t="shared" si="28"/>
        <v>0</v>
      </c>
      <c r="K31">
        <f t="shared" si="28"/>
        <v>0</v>
      </c>
      <c r="L31">
        <f t="shared" si="28"/>
        <v>0</v>
      </c>
      <c r="M31">
        <f t="shared" si="28"/>
        <v>0</v>
      </c>
      <c r="N31">
        <f t="shared" si="28"/>
        <v>0</v>
      </c>
      <c r="O31">
        <f t="shared" si="28"/>
        <v>0</v>
      </c>
      <c r="P31">
        <f t="shared" si="28"/>
        <v>0</v>
      </c>
      <c r="Q31">
        <f t="shared" si="28"/>
        <v>0</v>
      </c>
      <c r="R31">
        <f t="shared" si="28"/>
        <v>0</v>
      </c>
      <c r="S31">
        <f t="shared" si="28"/>
        <v>0</v>
      </c>
      <c r="T31">
        <f t="shared" si="28"/>
        <v>0</v>
      </c>
      <c r="U31">
        <f t="shared" si="28"/>
        <v>0</v>
      </c>
      <c r="V31">
        <f t="shared" si="28"/>
        <v>0</v>
      </c>
      <c r="W31">
        <f t="shared" si="28"/>
        <v>0</v>
      </c>
      <c r="X31">
        <f t="shared" si="28"/>
        <v>0</v>
      </c>
      <c r="Y31">
        <f t="shared" si="28"/>
        <v>0</v>
      </c>
      <c r="Z31">
        <f t="shared" si="28"/>
        <v>0</v>
      </c>
      <c r="AA31">
        <f t="shared" si="28"/>
        <v>0</v>
      </c>
      <c r="AB31">
        <f t="shared" si="28"/>
        <v>0</v>
      </c>
      <c r="AC31">
        <f t="shared" si="28"/>
        <v>0</v>
      </c>
      <c r="AD31">
        <f t="shared" si="28"/>
        <v>0</v>
      </c>
      <c r="AE31">
        <f t="shared" si="28"/>
        <v>0</v>
      </c>
      <c r="AF31">
        <f t="shared" si="28"/>
        <v>0</v>
      </c>
      <c r="AG31">
        <f t="shared" si="28"/>
        <v>0</v>
      </c>
      <c r="AH31">
        <f t="shared" si="28"/>
        <v>0</v>
      </c>
      <c r="AK31" t="s">
        <v>1431</v>
      </c>
      <c r="AL31">
        <v>30</v>
      </c>
      <c r="AM31">
        <v>30</v>
      </c>
    </row>
    <row r="32" ht="15.75" customHeight="1">
      <c r="D32" t="str">
        <f>IF('SBL Quotes'!$AN$32="Supplemental",IF(D$45&gt;FirstRemTerm_IfSupp,D35,MAX(0,FirstTerm_IfSupp-FirstRemTerm_IfSupp+D$45-FirstIO_IfSupp)),"")</f>
        <v/>
      </c>
      <c r="E32" t="str">
        <f>IF('SBL Quotes'!$AN$32="Supplemental",IF(E$45&gt;FirstRemTerm_IfSupp,D32+E35-D35,MAX(0,FirstTerm_IfSupp-FirstRemTerm_IfSupp+E$45-FirstIO_IfSupp)),"")</f>
        <v/>
      </c>
      <c r="F32" t="str">
        <f>IF('SBL Quotes'!$AN$32="Supplemental",IF(F$45&gt;FirstRemTerm_IfSupp,E32+F35-E35,MAX(0,FirstTerm_IfSupp-FirstRemTerm_IfSupp+F$45-FirstIO_IfSupp)),"")</f>
        <v/>
      </c>
      <c r="G32" t="str">
        <f>IF('SBL Quotes'!$AN$32="Supplemental",IF(G$45&gt;FirstRemTerm_IfSupp,F32+G35-F35,MAX(0,FirstTerm_IfSupp-FirstRemTerm_IfSupp+G$45-FirstIO_IfSupp)),"")</f>
        <v/>
      </c>
      <c r="H32" t="str">
        <f>IF('SBL Quotes'!$AN$32="Supplemental",IF(H$45&gt;FirstRemTerm_IfSupp,G32+H35-G35,MAX(0,FirstTerm_IfSupp-FirstRemTerm_IfSupp+H$45-FirstIO_IfSupp)),"")</f>
        <v/>
      </c>
      <c r="I32" t="str">
        <f>IF('SBL Quotes'!$AN$32="Supplemental",IF(I$45&gt;FirstRemTerm_IfSupp,H32+I35-H35,MAX(0,FirstTerm_IfSupp-FirstRemTerm_IfSupp+I$45-FirstIO_IfSupp)),"")</f>
        <v/>
      </c>
      <c r="J32" t="str">
        <f>IF('SBL Quotes'!$AN$32="Supplemental",IF(J$45&gt;FirstRemTerm_IfSupp,I32+J35-I35,MAX(0,FirstTerm_IfSupp-FirstRemTerm_IfSupp+J$45-FirstIO_IfSupp)),"")</f>
        <v/>
      </c>
      <c r="K32" t="str">
        <f>IF('SBL Quotes'!$AN$32="Supplemental",IF(K$45&gt;FirstRemTerm_IfSupp,J32+K35-J35,MAX(0,FirstTerm_IfSupp-FirstRemTerm_IfSupp+K$45-FirstIO_IfSupp)),"")</f>
        <v/>
      </c>
      <c r="L32" t="str">
        <f>IF('SBL Quotes'!$AN$32="Supplemental",IF(L$45&gt;FirstRemTerm_IfSupp,K32+L35-K35,MAX(0,FirstTerm_IfSupp-FirstRemTerm_IfSupp+L$45-FirstIO_IfSupp)),"")</f>
        <v/>
      </c>
      <c r="M32" t="str">
        <f>IF('SBL Quotes'!$AN$32="Supplemental",IF(M$45&gt;FirstRemTerm_IfSupp,L32+M35-L35,MAX(0,FirstTerm_IfSupp-FirstRemTerm_IfSupp+M$45-FirstIO_IfSupp)),"")</f>
        <v/>
      </c>
      <c r="N32" t="str">
        <f>IF('SBL Quotes'!$AN$32="Supplemental",IF(N$45&gt;FirstRemTerm_IfSupp,M32+N35-M35,MAX(0,FirstTerm_IfSupp-FirstRemTerm_IfSupp+N$45-FirstIO_IfSupp)),"")</f>
        <v/>
      </c>
      <c r="O32" t="str">
        <f>IF('SBL Quotes'!$AN$32="Supplemental",IF(O$45&gt;FirstRemTerm_IfSupp,N32+O35-N35,MAX(0,FirstTerm_IfSupp-FirstRemTerm_IfSupp+O$45-FirstIO_IfSupp)),"")</f>
        <v/>
      </c>
      <c r="P32" t="str">
        <f>IF('SBL Quotes'!$AN$32="Supplemental",IF(P$45&gt;FirstRemTerm_IfSupp,O32+P35-O35,MAX(0,FirstTerm_IfSupp-FirstRemTerm_IfSupp+P$45-FirstIO_IfSupp)),"")</f>
        <v/>
      </c>
      <c r="Q32" t="str">
        <f>IF('SBL Quotes'!$AN$32="Supplemental",IF(Q$45&gt;FirstRemTerm_IfSupp,P32+Q35-P35,MAX(0,FirstTerm_IfSupp-FirstRemTerm_IfSupp+Q$45-FirstIO_IfSupp)),"")</f>
        <v/>
      </c>
      <c r="R32" t="str">
        <f>IF('SBL Quotes'!$AN$32="Supplemental",IF(R$45&gt;FirstRemTerm_IfSupp,Q32+R35-Q35,MAX(0,FirstTerm_IfSupp-FirstRemTerm_IfSupp+R$45-FirstIO_IfSupp)),"")</f>
        <v/>
      </c>
      <c r="S32" t="str">
        <f>IF('SBL Quotes'!$AN$32="Supplemental",IF(S$45&gt;FirstRemTerm_IfSupp,R32+S35-R35,MAX(0,FirstTerm_IfSupp-FirstRemTerm_IfSupp+S$45-FirstIO_IfSupp)),"")</f>
        <v/>
      </c>
      <c r="T32" t="str">
        <f>IF('SBL Quotes'!$AN$32="Supplemental",IF(T$45&gt;FirstRemTerm_IfSupp,S32+T35-S35,MAX(0,FirstTerm_IfSupp-FirstRemTerm_IfSupp+T$45-FirstIO_IfSupp)),"")</f>
        <v/>
      </c>
      <c r="U32" t="str">
        <f>IF('SBL Quotes'!$AN$32="Supplemental",IF(U$45&gt;FirstRemTerm_IfSupp,T32+U35-T35,MAX(0,FirstTerm_IfSupp-FirstRemTerm_IfSupp+U$45-FirstIO_IfSupp)),"")</f>
        <v/>
      </c>
      <c r="V32" t="str">
        <f>IF('SBL Quotes'!$AN$32="Supplemental",IF(V$45&gt;FirstRemTerm_IfSupp,U32+V35-U35,MAX(0,FirstTerm_IfSupp-FirstRemTerm_IfSupp+V$45-FirstIO_IfSupp)),"")</f>
        <v/>
      </c>
      <c r="W32" t="str">
        <f>IF('SBL Quotes'!$AN$32="Supplemental",IF(W$45&gt;FirstRemTerm_IfSupp,V32+W35-V35,MAX(0,FirstTerm_IfSupp-FirstRemTerm_IfSupp+W$45-FirstIO_IfSupp)),"")</f>
        <v/>
      </c>
      <c r="X32" t="str">
        <f>IF('SBL Quotes'!$AN$32="Supplemental",IF(X$45&gt;FirstRemTerm_IfSupp,W32+X35-W35,MAX(0,FirstTerm_IfSupp-FirstRemTerm_IfSupp+X$45-FirstIO_IfSupp)),"")</f>
        <v/>
      </c>
      <c r="Y32" t="str">
        <f>IF('SBL Quotes'!$AN$32="Supplemental",IF(Y$45&gt;FirstRemTerm_IfSupp,X32+Y35-X35,MAX(0,FirstTerm_IfSupp-FirstRemTerm_IfSupp+Y$45-FirstIO_IfSupp)),"")</f>
        <v/>
      </c>
      <c r="Z32" t="str">
        <f>IF('SBL Quotes'!$AN$32="Supplemental",IF(Z$45&gt;FirstRemTerm_IfSupp,Y32+Z35-Y35,MAX(0,FirstTerm_IfSupp-FirstRemTerm_IfSupp+Z$45-FirstIO_IfSupp)),"")</f>
        <v/>
      </c>
      <c r="AA32" t="str">
        <f>IF('SBL Quotes'!$AN$32="Supplemental",IF(AA$45&gt;FirstRemTerm_IfSupp,Z32+AA35-Z35,MAX(0,FirstTerm_IfSupp-FirstRemTerm_IfSupp+AA$45-FirstIO_IfSupp)),"")</f>
        <v/>
      </c>
      <c r="AB32" t="str">
        <f>IF('SBL Quotes'!$AN$32="Supplemental",IF(AB$45&gt;FirstRemTerm_IfSupp,AA32+AB35-AA35,MAX(0,FirstTerm_IfSupp-FirstRemTerm_IfSupp+AB$45-FirstIO_IfSupp)),"")</f>
        <v/>
      </c>
      <c r="AC32" t="str">
        <f>IF('SBL Quotes'!$AN$32="Supplemental",IF(AC$45&gt;FirstRemTerm_IfSupp,AB32+AC35-AB35,MAX(0,FirstTerm_IfSupp-FirstRemTerm_IfSupp+AC$45-FirstIO_IfSupp)),"")</f>
        <v/>
      </c>
      <c r="AD32" t="str">
        <f>IF('SBL Quotes'!$AN$32="Supplemental",IF(AD$45&gt;FirstRemTerm_IfSupp,AC32+AD35-AC35,MAX(0,FirstTerm_IfSupp-FirstRemTerm_IfSupp+AD$45-FirstIO_IfSupp)),"")</f>
        <v/>
      </c>
      <c r="AE32" t="str">
        <f>IF('SBL Quotes'!$AN$32="Supplemental",IF(AE$45&gt;FirstRemTerm_IfSupp,AD32+AE35-AD35,MAX(0,FirstTerm_IfSupp-FirstRemTerm_IfSupp+AE$45-FirstIO_IfSupp)),"")</f>
        <v/>
      </c>
      <c r="AF32" t="str">
        <f>IF('SBL Quotes'!$AN$32="Supplemental",IF(AF$45&gt;FirstRemTerm_IfSupp,AE32+AF35-AE35,MAX(0,FirstTerm_IfSupp-FirstRemTerm_IfSupp+AF$45-FirstIO_IfSupp)),"")</f>
        <v/>
      </c>
      <c r="AG32" t="str">
        <f>IF('SBL Quotes'!$AN$32="Supplemental",IF(AG$45&gt;FirstRemTerm_IfSupp,AF32+AG35-AF35,MAX(0,FirstTerm_IfSupp-FirstRemTerm_IfSupp+AG$45-FirstIO_IfSupp)),"")</f>
        <v/>
      </c>
      <c r="AH32" t="str">
        <f>IF('SBL Quotes'!$AN$32="Supplemental",IF(AH$45&gt;FirstRemTerm_IfSupp,AG32+AH35-AG35,MAX(0,FirstTerm_IfSupp-FirstRemTerm_IfSupp+AH$45-FirstIO_IfSupp)),"")</f>
        <v/>
      </c>
      <c r="AK32" t="s">
        <v>1432</v>
      </c>
      <c r="AL32">
        <f t="shared" si="29" ref="AL32:AM32">_xlfn.IFERROR(AL13/(AL14*PMT(AL30/12,AL31*12,-1)*12),0)</f>
        <v>0</v>
      </c>
      <c r="AM32">
        <f t="shared" si="29"/>
        <v>0</v>
      </c>
    </row>
    <row r="33" ht="15.75" customHeight="1">
      <c r="D33" t="str">
        <f>IF('SBL Quotes'!$AN$33="2nd Supplemental",IF(D$45&gt;SecondRemTerm_IfSupp,D35,MAX(0,SecondTerm_IfSupp-SecondRemTerm_IfSupp+D$45-SecondIO_IfSupp)),"")</f>
        <v/>
      </c>
      <c r="E33" t="str">
        <f>IF('SBL Quotes'!$AN$33="2nd Supplemental",IF(E$45&gt;SecondRemTerm_IfSupp,D33+E35-D35,MAX(0,SecondTerm_IfSupp-SecondRemTerm_IfSupp+E$45-SecondIO_IfSupp)),"")</f>
        <v/>
      </c>
      <c r="F33" t="str">
        <f>IF('SBL Quotes'!$AN$33="2nd Supplemental",IF(F$45&gt;SecondRemTerm_IfSupp,E33+F35-E35,MAX(0,SecondTerm_IfSupp-SecondRemTerm_IfSupp+F$45-SecondIO_IfSupp)),"")</f>
        <v/>
      </c>
      <c r="G33" t="str">
        <f>IF('SBL Quotes'!$AN$33="2nd Supplemental",IF(G$45&gt;SecondRemTerm_IfSupp,F33+G35-F35,MAX(0,SecondTerm_IfSupp-SecondRemTerm_IfSupp+G$45-SecondIO_IfSupp)),"")</f>
        <v/>
      </c>
      <c r="H33" t="str">
        <f>IF('SBL Quotes'!$AN$33="2nd Supplemental",IF(H$45&gt;SecondRemTerm_IfSupp,G33+H35-G35,MAX(0,SecondTerm_IfSupp-SecondRemTerm_IfSupp+H$45-SecondIO_IfSupp)),"")</f>
        <v/>
      </c>
      <c r="I33" t="str">
        <f>IF('SBL Quotes'!$AN$33="2nd Supplemental",IF(I$45&gt;SecondRemTerm_IfSupp,H33+I35-H35,MAX(0,SecondTerm_IfSupp-SecondRemTerm_IfSupp+I$45-SecondIO_IfSupp)),"")</f>
        <v/>
      </c>
      <c r="J33" t="str">
        <f>IF('SBL Quotes'!$AN$33="2nd Supplemental",IF(J$45&gt;SecondRemTerm_IfSupp,I33+J35-I35,MAX(0,SecondTerm_IfSupp-SecondRemTerm_IfSupp+J$45-SecondIO_IfSupp)),"")</f>
        <v/>
      </c>
      <c r="K33" t="str">
        <f>IF('SBL Quotes'!$AN$33="2nd Supplemental",IF(K$45&gt;SecondRemTerm_IfSupp,J33+K35-J35,MAX(0,SecondTerm_IfSupp-SecondRemTerm_IfSupp+K$45-SecondIO_IfSupp)),"")</f>
        <v/>
      </c>
      <c r="L33" t="str">
        <f>IF('SBL Quotes'!$AN$33="2nd Supplemental",IF(L$45&gt;SecondRemTerm_IfSupp,K33+L35-K35,MAX(0,SecondTerm_IfSupp-SecondRemTerm_IfSupp+L$45-SecondIO_IfSupp)),"")</f>
        <v/>
      </c>
      <c r="M33" t="str">
        <f>IF('SBL Quotes'!$AN$33="2nd Supplemental",IF(M$45&gt;SecondRemTerm_IfSupp,L33+M35-L35,MAX(0,SecondTerm_IfSupp-SecondRemTerm_IfSupp+M$45-SecondIO_IfSupp)),"")</f>
        <v/>
      </c>
      <c r="N33" t="str">
        <f>IF('SBL Quotes'!$AN$33="2nd Supplemental",IF(N$45&gt;SecondRemTerm_IfSupp,M33+N35-M35,MAX(0,SecondTerm_IfSupp-SecondRemTerm_IfSupp+N$45-SecondIO_IfSupp)),"")</f>
        <v/>
      </c>
      <c r="O33" t="str">
        <f>IF('SBL Quotes'!$AN$33="2nd Supplemental",IF(O$45&gt;SecondRemTerm_IfSupp,N33+O35-N35,MAX(0,SecondTerm_IfSupp-SecondRemTerm_IfSupp+O$45-SecondIO_IfSupp)),"")</f>
        <v/>
      </c>
      <c r="P33" t="str">
        <f>IF('SBL Quotes'!$AN$33="2nd Supplemental",IF(P$45&gt;SecondRemTerm_IfSupp,O33+P35-O35,MAX(0,SecondTerm_IfSupp-SecondRemTerm_IfSupp+P$45-SecondIO_IfSupp)),"")</f>
        <v/>
      </c>
      <c r="Q33" t="str">
        <f>IF('SBL Quotes'!$AN$33="2nd Supplemental",IF(Q$45&gt;SecondRemTerm_IfSupp,P33+Q35-P35,MAX(0,SecondTerm_IfSupp-SecondRemTerm_IfSupp+Q$45-SecondIO_IfSupp)),"")</f>
        <v/>
      </c>
      <c r="R33" t="str">
        <f>IF('SBL Quotes'!$AN$33="2nd Supplemental",IF(R$45&gt;SecondRemTerm_IfSupp,Q33+R35-Q35,MAX(0,SecondTerm_IfSupp-SecondRemTerm_IfSupp+R$45-SecondIO_IfSupp)),"")</f>
        <v/>
      </c>
      <c r="S33" t="str">
        <f>IF('SBL Quotes'!$AN$33="2nd Supplemental",IF(S$45&gt;SecondRemTerm_IfSupp,R33+S35-R35,MAX(0,SecondTerm_IfSupp-SecondRemTerm_IfSupp+S$45-SecondIO_IfSupp)),"")</f>
        <v/>
      </c>
      <c r="T33" t="str">
        <f>IF('SBL Quotes'!$AN$33="2nd Supplemental",IF(T$45&gt;SecondRemTerm_IfSupp,S33+T35-S35,MAX(0,SecondTerm_IfSupp-SecondRemTerm_IfSupp+T$45-SecondIO_IfSupp)),"")</f>
        <v/>
      </c>
      <c r="U33" t="str">
        <f>IF('SBL Quotes'!$AN$33="2nd Supplemental",IF(U$45&gt;SecondRemTerm_IfSupp,T33+U35-T35,MAX(0,SecondTerm_IfSupp-SecondRemTerm_IfSupp+U$45-SecondIO_IfSupp)),"")</f>
        <v/>
      </c>
      <c r="V33" t="str">
        <f>IF('SBL Quotes'!$AN$33="2nd Supplemental",IF(V$45&gt;SecondRemTerm_IfSupp,U33+V35-U35,MAX(0,SecondTerm_IfSupp-SecondRemTerm_IfSupp+V$45-SecondIO_IfSupp)),"")</f>
        <v/>
      </c>
      <c r="W33" t="str">
        <f>IF('SBL Quotes'!$AN$33="2nd Supplemental",IF(W$45&gt;SecondRemTerm_IfSupp,V33+W35-V35,MAX(0,SecondTerm_IfSupp-SecondRemTerm_IfSupp+W$45-SecondIO_IfSupp)),"")</f>
        <v/>
      </c>
      <c r="X33" t="str">
        <f>IF('SBL Quotes'!$AN$33="2nd Supplemental",IF(X$45&gt;SecondRemTerm_IfSupp,W33+X35-W35,MAX(0,SecondTerm_IfSupp-SecondRemTerm_IfSupp+X$45-SecondIO_IfSupp)),"")</f>
        <v/>
      </c>
      <c r="Y33" t="str">
        <f>IF('SBL Quotes'!$AN$33="2nd Supplemental",IF(Y$45&gt;SecondRemTerm_IfSupp,X33+Y35-X35,MAX(0,SecondTerm_IfSupp-SecondRemTerm_IfSupp+Y$45-SecondIO_IfSupp)),"")</f>
        <v/>
      </c>
      <c r="Z33" t="str">
        <f>IF('SBL Quotes'!$AN$33="2nd Supplemental",IF(Z$45&gt;SecondRemTerm_IfSupp,Y33+Z35-Y35,MAX(0,SecondTerm_IfSupp-SecondRemTerm_IfSupp+Z$45-SecondIO_IfSupp)),"")</f>
        <v/>
      </c>
      <c r="AA33" t="str">
        <f>IF('SBL Quotes'!$AN$33="2nd Supplemental",IF(AA$45&gt;SecondRemTerm_IfSupp,Z33+AA35-Z35,MAX(0,SecondTerm_IfSupp-SecondRemTerm_IfSupp+AA$45-SecondIO_IfSupp)),"")</f>
        <v/>
      </c>
      <c r="AB33" t="str">
        <f>IF('SBL Quotes'!$AN$33="2nd Supplemental",IF(AB$45&gt;SecondRemTerm_IfSupp,AA33+AB35-AA35,MAX(0,SecondTerm_IfSupp-SecondRemTerm_IfSupp+AB$45-SecondIO_IfSupp)),"")</f>
        <v/>
      </c>
      <c r="AC33" t="str">
        <f>IF('SBL Quotes'!$AN$33="2nd Supplemental",IF(AC$45&gt;SecondRemTerm_IfSupp,AB33+AC35-AB35,MAX(0,SecondTerm_IfSupp-SecondRemTerm_IfSupp+AC$45-SecondIO_IfSupp)),"")</f>
        <v/>
      </c>
      <c r="AD33" t="str">
        <f>IF('SBL Quotes'!$AN$33="2nd Supplemental",IF(AD$45&gt;SecondRemTerm_IfSupp,AC33+AD35-AC35,MAX(0,SecondTerm_IfSupp-SecondRemTerm_IfSupp+AD$45-SecondIO_IfSupp)),"")</f>
        <v/>
      </c>
      <c r="AE33" t="str">
        <f>IF('SBL Quotes'!$AN$33="2nd Supplemental",IF(AE$45&gt;SecondRemTerm_IfSupp,AD33+AE35-AD35,MAX(0,SecondTerm_IfSupp-SecondRemTerm_IfSupp+AE$45-SecondIO_IfSupp)),"")</f>
        <v/>
      </c>
      <c r="AF33" t="str">
        <f>IF('SBL Quotes'!$AN$33="2nd Supplemental",IF(AF$45&gt;SecondRemTerm_IfSupp,AE33+AF35-AE35,MAX(0,SecondTerm_IfSupp-SecondRemTerm_IfSupp+AF$45-SecondIO_IfSupp)),"")</f>
        <v/>
      </c>
      <c r="AG33" t="str">
        <f>IF('SBL Quotes'!$AN$33="2nd Supplemental",IF(AG$45&gt;SecondRemTerm_IfSupp,AF33+AG35-AF35,MAX(0,SecondTerm_IfSupp-SecondRemTerm_IfSupp+AG$45-SecondIO_IfSupp)),"")</f>
        <v/>
      </c>
      <c r="AH33" t="str">
        <f>IF('SBL Quotes'!$AN$33="2nd Supplemental",IF(AH$45&gt;SecondRemTerm_IfSupp,AG33+AH35-AG35,MAX(0,SecondTerm_IfSupp-SecondRemTerm_IfSupp+AH$45-SecondIO_IfSupp)),"")</f>
        <v/>
      </c>
    </row>
    <row r="34" ht="15.75" customHeight="1">
      <c r="D34" t="str">
        <f>IF('SBL Quotes'!$AN$34="3rd Supplemental",IF(D$45&gt;ThirdRemTerm_IfSupp,D35,MAX(0,ThirdTerm_IfSupp-ThirdRemTerm_IfSupp+D$45-ThirdIO_IfSupp)),"")</f>
        <v/>
      </c>
      <c r="E34" t="str">
        <f>IF('SBL Quotes'!$AN$34="3rd Supplemental",IF(E$45&gt;ThirdRemTerm_IfSupp,D34+E35-D35,MAX(0,ThirdTerm_IfSupp-ThirdRemTerm_IfSupp+E$45-ThirdIO_IfSupp)),"")</f>
        <v/>
      </c>
      <c r="F34" t="str">
        <f>IF('SBL Quotes'!$AN$34="3rd Supplemental",IF(F$45&gt;ThirdRemTerm_IfSupp,E34+F35-E35,MAX(0,ThirdTerm_IfSupp-ThirdRemTerm_IfSupp+F$45-ThirdIO_IfSupp)),"")</f>
        <v/>
      </c>
      <c r="G34" t="str">
        <f>IF('SBL Quotes'!$AN$34="3rd Supplemental",IF(G$45&gt;ThirdRemTerm_IfSupp,F34+G35-F35,MAX(0,ThirdTerm_IfSupp-ThirdRemTerm_IfSupp+G$45-ThirdIO_IfSupp)),"")</f>
        <v/>
      </c>
      <c r="H34" t="str">
        <f>IF('SBL Quotes'!$AN$34="3rd Supplemental",IF(H$45&gt;ThirdRemTerm_IfSupp,G34+H35-G35,MAX(0,ThirdTerm_IfSupp-ThirdRemTerm_IfSupp+H$45-ThirdIO_IfSupp)),"")</f>
        <v/>
      </c>
      <c r="I34" t="str">
        <f>IF('SBL Quotes'!$AN$34="3rd Supplemental",IF(I$45&gt;ThirdRemTerm_IfSupp,H34+I35-H35,MAX(0,ThirdTerm_IfSupp-ThirdRemTerm_IfSupp+I$45-ThirdIO_IfSupp)),"")</f>
        <v/>
      </c>
      <c r="J34" t="str">
        <f>IF('SBL Quotes'!$AN$34="3rd Supplemental",IF(J$45&gt;ThirdRemTerm_IfSupp,I34+J35-I35,MAX(0,ThirdTerm_IfSupp-ThirdRemTerm_IfSupp+J$45-ThirdIO_IfSupp)),"")</f>
        <v/>
      </c>
      <c r="K34" t="str">
        <f>IF('SBL Quotes'!$AN$34="3rd Supplemental",IF(K$45&gt;ThirdRemTerm_IfSupp,J34+K35-J35,MAX(0,ThirdTerm_IfSupp-ThirdRemTerm_IfSupp+K$45-ThirdIO_IfSupp)),"")</f>
        <v/>
      </c>
      <c r="L34" t="str">
        <f>IF('SBL Quotes'!$AN$34="3rd Supplemental",IF(L$45&gt;ThirdRemTerm_IfSupp,K34+L35-K35,MAX(0,ThirdTerm_IfSupp-ThirdRemTerm_IfSupp+L$45-ThirdIO_IfSupp)),"")</f>
        <v/>
      </c>
      <c r="M34" t="str">
        <f>IF('SBL Quotes'!$AN$34="3rd Supplemental",IF(M$45&gt;ThirdRemTerm_IfSupp,L34+M35-L35,MAX(0,ThirdTerm_IfSupp-ThirdRemTerm_IfSupp+M$45-ThirdIO_IfSupp)),"")</f>
        <v/>
      </c>
      <c r="N34" t="str">
        <f>IF('SBL Quotes'!$AN$34="3rd Supplemental",IF(N$45&gt;ThirdRemTerm_IfSupp,M34+N35-M35,MAX(0,ThirdTerm_IfSupp-ThirdRemTerm_IfSupp+N$45-ThirdIO_IfSupp)),"")</f>
        <v/>
      </c>
      <c r="O34" t="str">
        <f>IF('SBL Quotes'!$AN$34="3rd Supplemental",IF(O$45&gt;ThirdRemTerm_IfSupp,N34+O35-N35,MAX(0,ThirdTerm_IfSupp-ThirdRemTerm_IfSupp+O$45-ThirdIO_IfSupp)),"")</f>
        <v/>
      </c>
      <c r="P34" t="str">
        <f>IF('SBL Quotes'!$AN$34="3rd Supplemental",IF(P$45&gt;ThirdRemTerm_IfSupp,O34+P35-O35,MAX(0,ThirdTerm_IfSupp-ThirdRemTerm_IfSupp+P$45-ThirdIO_IfSupp)),"")</f>
        <v/>
      </c>
      <c r="Q34" t="str">
        <f>IF('SBL Quotes'!$AN$34="3rd Supplemental",IF(Q$45&gt;ThirdRemTerm_IfSupp,P34+Q35-P35,MAX(0,ThirdTerm_IfSupp-ThirdRemTerm_IfSupp+Q$45-ThirdIO_IfSupp)),"")</f>
        <v/>
      </c>
      <c r="R34" t="str">
        <f>IF('SBL Quotes'!$AN$34="3rd Supplemental",IF(R$45&gt;ThirdRemTerm_IfSupp,Q34+R35-Q35,MAX(0,ThirdTerm_IfSupp-ThirdRemTerm_IfSupp+R$45-ThirdIO_IfSupp)),"")</f>
        <v/>
      </c>
      <c r="S34" t="str">
        <f>IF('SBL Quotes'!$AN$34="3rd Supplemental",IF(S$45&gt;ThirdRemTerm_IfSupp,R34+S35-R35,MAX(0,ThirdTerm_IfSupp-ThirdRemTerm_IfSupp+S$45-ThirdIO_IfSupp)),"")</f>
        <v/>
      </c>
      <c r="T34" t="str">
        <f>IF('SBL Quotes'!$AN$34="3rd Supplemental",IF(T$45&gt;ThirdRemTerm_IfSupp,S34+T35-S35,MAX(0,ThirdTerm_IfSupp-ThirdRemTerm_IfSupp+T$45-ThirdIO_IfSupp)),"")</f>
        <v/>
      </c>
      <c r="U34" t="str">
        <f>IF('SBL Quotes'!$AN$34="3rd Supplemental",IF(U$45&gt;ThirdRemTerm_IfSupp,T34+U35-T35,MAX(0,ThirdTerm_IfSupp-ThirdRemTerm_IfSupp+U$45-ThirdIO_IfSupp)),"")</f>
        <v/>
      </c>
      <c r="V34" t="str">
        <f>IF('SBL Quotes'!$AN$34="3rd Supplemental",IF(V$45&gt;ThirdRemTerm_IfSupp,U34+V35-U35,MAX(0,ThirdTerm_IfSupp-ThirdRemTerm_IfSupp+V$45-ThirdIO_IfSupp)),"")</f>
        <v/>
      </c>
      <c r="W34" t="str">
        <f>IF('SBL Quotes'!$AN$34="3rd Supplemental",IF(W$45&gt;ThirdRemTerm_IfSupp,V34+W35-V35,MAX(0,ThirdTerm_IfSupp-ThirdRemTerm_IfSupp+W$45-ThirdIO_IfSupp)),"")</f>
        <v/>
      </c>
      <c r="X34" t="str">
        <f>IF('SBL Quotes'!$AN$34="3rd Supplemental",IF(X$45&gt;ThirdRemTerm_IfSupp,W34+X35-W35,MAX(0,ThirdTerm_IfSupp-ThirdRemTerm_IfSupp+X$45-ThirdIO_IfSupp)),"")</f>
        <v/>
      </c>
      <c r="Y34" t="str">
        <f>IF('SBL Quotes'!$AN$34="3rd Supplemental",IF(Y$45&gt;ThirdRemTerm_IfSupp,X34+Y35-X35,MAX(0,ThirdTerm_IfSupp-ThirdRemTerm_IfSupp+Y$45-ThirdIO_IfSupp)),"")</f>
        <v/>
      </c>
      <c r="Z34" t="str">
        <f>IF('SBL Quotes'!$AN$34="3rd Supplemental",IF(Z$45&gt;ThirdRemTerm_IfSupp,Y34+Z35-Y35,MAX(0,ThirdTerm_IfSupp-ThirdRemTerm_IfSupp+Z$45-ThirdIO_IfSupp)),"")</f>
        <v/>
      </c>
      <c r="AA34" t="str">
        <f>IF('SBL Quotes'!$AN$34="3rd Supplemental",IF(AA$45&gt;ThirdRemTerm_IfSupp,Z34+AA35-Z35,MAX(0,ThirdTerm_IfSupp-ThirdRemTerm_IfSupp+AA$45-ThirdIO_IfSupp)),"")</f>
        <v/>
      </c>
      <c r="AB34" t="str">
        <f>IF('SBL Quotes'!$AN$34="3rd Supplemental",IF(AB$45&gt;ThirdRemTerm_IfSupp,AA34+AB35-AA35,MAX(0,ThirdTerm_IfSupp-ThirdRemTerm_IfSupp+AB$45-ThirdIO_IfSupp)),"")</f>
        <v/>
      </c>
      <c r="AC34" t="str">
        <f>IF('SBL Quotes'!$AN$34="3rd Supplemental",IF(AC$45&gt;ThirdRemTerm_IfSupp,AB34+AC35-AB35,MAX(0,ThirdTerm_IfSupp-ThirdRemTerm_IfSupp+AC$45-ThirdIO_IfSupp)),"")</f>
        <v/>
      </c>
      <c r="AD34" t="str">
        <f>IF('SBL Quotes'!$AN$34="3rd Supplemental",IF(AD$45&gt;ThirdRemTerm_IfSupp,AC34+AD35-AC35,MAX(0,ThirdTerm_IfSupp-ThirdRemTerm_IfSupp+AD$45-ThirdIO_IfSupp)),"")</f>
        <v/>
      </c>
      <c r="AE34" t="str">
        <f>IF('SBL Quotes'!$AN$34="3rd Supplemental",IF(AE$45&gt;ThirdRemTerm_IfSupp,AD34+AE35-AD35,MAX(0,ThirdTerm_IfSupp-ThirdRemTerm_IfSupp+AE$45-ThirdIO_IfSupp)),"")</f>
        <v/>
      </c>
      <c r="AF34" t="str">
        <f>IF('SBL Quotes'!$AN$34="3rd Supplemental",IF(AF$45&gt;ThirdRemTerm_IfSupp,AE34+AF35-AE35,MAX(0,ThirdTerm_IfSupp-ThirdRemTerm_IfSupp+AF$45-ThirdIO_IfSupp)),"")</f>
        <v/>
      </c>
      <c r="AG34" t="str">
        <f>IF('SBL Quotes'!$AN$34="3rd Supplemental",IF(AG$45&gt;ThirdRemTerm_IfSupp,AF34+AG35-AF35,MAX(0,ThirdTerm_IfSupp-ThirdRemTerm_IfSupp+AG$45-ThirdIO_IfSupp)),"")</f>
        <v/>
      </c>
      <c r="AH34" t="str">
        <f>IF('SBL Quotes'!$AN$34="3rd Supplemental",IF(AH$45&gt;ThirdRemTerm_IfSupp,AG34+AH35-AG35,MAX(0,ThirdTerm_IfSupp-ThirdRemTerm_IfSupp+AH$45-ThirdIO_IfSupp)),"")</f>
        <v/>
      </c>
      <c r="AK34" t="s">
        <v>1433</v>
      </c>
      <c r="AL34" t="s">
        <v>393</v>
      </c>
    </row>
    <row r="35" ht="15" customHeight="1">
      <c r="B35" t="s">
        <v>1434</v>
      </c>
      <c r="D35" t="e">
        <f>IF(AND($AL$9=$AL$7,D$6&lt;=$AL$7),0,IF(0&lt;$AL$7-$AL$9,MIN(MAX(0,D$6-$AL$9),$AL$7-$AL$9),1))</f>
        <v>#NAME?</v>
      </c>
      <c r="E35" t="e">
        <f t="shared" si="30" ref="E35:AH35">IF(AND($AL$9=$AL$7,E$6&lt;=$AL$7),0,IF(D35&lt;$AL$7-$AL$9,MIN(MAX(0,E$6-$AL$9),$AL$7-$AL$9),D35+1))</f>
        <v>#NAME?</v>
      </c>
      <c r="F35" t="e">
        <f t="shared" si="30"/>
        <v>#NAME?</v>
      </c>
      <c r="G35" t="e">
        <f t="shared" si="30"/>
        <v>#NAME?</v>
      </c>
      <c r="H35" t="e">
        <f t="shared" si="30"/>
        <v>#NAME?</v>
      </c>
      <c r="I35" t="e">
        <f t="shared" si="30"/>
        <v>#NAME?</v>
      </c>
      <c r="J35" t="e">
        <f t="shared" si="30"/>
        <v>#NAME?</v>
      </c>
      <c r="K35" t="e">
        <f t="shared" si="30"/>
        <v>#NAME?</v>
      </c>
      <c r="L35" t="e">
        <f t="shared" si="30"/>
        <v>#NAME?</v>
      </c>
      <c r="M35" t="e">
        <f t="shared" si="30"/>
        <v>#NAME?</v>
      </c>
      <c r="N35" t="e">
        <f t="shared" si="30"/>
        <v>#NAME?</v>
      </c>
      <c r="O35" t="e">
        <f t="shared" si="30"/>
        <v>#NAME?</v>
      </c>
      <c r="P35" t="e">
        <f t="shared" si="30"/>
        <v>#NAME?</v>
      </c>
      <c r="Q35" t="e">
        <f t="shared" si="30"/>
        <v>#NAME?</v>
      </c>
      <c r="R35" t="e">
        <f t="shared" si="30"/>
        <v>#NAME?</v>
      </c>
      <c r="S35" t="e">
        <f t="shared" si="30"/>
        <v>#NAME?</v>
      </c>
      <c r="T35" t="e">
        <f t="shared" si="30"/>
        <v>#NAME?</v>
      </c>
      <c r="U35" t="e">
        <f t="shared" si="30"/>
        <v>#NAME?</v>
      </c>
      <c r="V35" t="e">
        <f t="shared" si="30"/>
        <v>#NAME?</v>
      </c>
      <c r="W35" t="e">
        <f t="shared" si="30"/>
        <v>#NAME?</v>
      </c>
      <c r="X35" t="e">
        <f t="shared" si="30"/>
        <v>#NAME?</v>
      </c>
      <c r="Y35" t="e">
        <f t="shared" si="30"/>
        <v>#NAME?</v>
      </c>
      <c r="Z35" t="e">
        <f t="shared" si="30"/>
        <v>#NAME?</v>
      </c>
      <c r="AA35" t="e">
        <f t="shared" si="30"/>
        <v>#NAME?</v>
      </c>
      <c r="AB35" t="e">
        <f t="shared" si="30"/>
        <v>#NAME?</v>
      </c>
      <c r="AC35" t="e">
        <f t="shared" si="30"/>
        <v>#NAME?</v>
      </c>
      <c r="AD35" t="e">
        <f t="shared" si="30"/>
        <v>#NAME?</v>
      </c>
      <c r="AE35" t="e">
        <f t="shared" si="30"/>
        <v>#NAME?</v>
      </c>
      <c r="AF35" t="e">
        <f t="shared" si="30"/>
        <v>#NAME?</v>
      </c>
      <c r="AG35" t="e">
        <f t="shared" si="30"/>
        <v>#NAME?</v>
      </c>
      <c r="AH35" t="e">
        <f t="shared" si="30"/>
        <v>#NAME?</v>
      </c>
      <c r="AK35" t="s">
        <v>1435</v>
      </c>
      <c r="AL35">
        <f>_xlfn.IFERROR((SOps_UnderwrittenNCF/Appraised_Value)+0.02,0.02)</f>
        <v>0.07</v>
      </c>
    </row>
    <row r="36" ht="15.75" customHeight="1">
      <c r="D36" t="str">
        <f>IF('SBL Quotes'!$AN$32="Supplemental",MAX(PV((FirstRate_IfSupp)/12,(FirstAmort_IfSupp-D32)*12,-(FirstDebtService_IfSupp/12)),0),"")</f>
        <v/>
      </c>
      <c r="E36" t="str">
        <f>IF('SBL Quotes'!$AN$32="Supplemental",MAX(PV((FirstRate_IfSupp)/12,(FirstAmort_IfSupp-E32)*12,-(FirstDebtService_IfSupp/12)),0),"")</f>
        <v/>
      </c>
      <c r="F36" t="str">
        <f>IF('SBL Quotes'!$AN$32="Supplemental",MAX(PV((FirstRate_IfSupp)/12,(FirstAmort_IfSupp-F32)*12,-(FirstDebtService_IfSupp/12)),0),"")</f>
        <v/>
      </c>
      <c r="G36" t="str">
        <f>IF('SBL Quotes'!$AN$32="Supplemental",MAX(PV((FirstRate_IfSupp)/12,(FirstAmort_IfSupp-G32)*12,-(FirstDebtService_IfSupp/12)),0),"")</f>
        <v/>
      </c>
      <c r="H36" t="str">
        <f>IF('SBL Quotes'!$AN$32="Supplemental",MAX(PV((FirstRate_IfSupp)/12,(FirstAmort_IfSupp-H32)*12,-(FirstDebtService_IfSupp/12)),0),"")</f>
        <v/>
      </c>
      <c r="I36" t="str">
        <f>IF('SBL Quotes'!$AN$32="Supplemental",MAX(PV((FirstRate_IfSupp)/12,(FirstAmort_IfSupp-I32)*12,-(FirstDebtService_IfSupp/12)),0),"")</f>
        <v/>
      </c>
      <c r="J36" t="str">
        <f>IF('SBL Quotes'!$AN$32="Supplemental",MAX(PV((FirstRate_IfSupp)/12,(FirstAmort_IfSupp-J32)*12,-(FirstDebtService_IfSupp/12)),0),"")</f>
        <v/>
      </c>
      <c r="K36" t="str">
        <f>IF('SBL Quotes'!$AN$32="Supplemental",MAX(PV((FirstRate_IfSupp)/12,(FirstAmort_IfSupp-K32)*12,-(FirstDebtService_IfSupp/12)),0),"")</f>
        <v/>
      </c>
      <c r="L36" t="str">
        <f>IF('SBL Quotes'!$AN$32="Supplemental",MAX(PV((FirstRate_IfSupp)/12,(FirstAmort_IfSupp-L32)*12,-(FirstDebtService_IfSupp/12)),0),"")</f>
        <v/>
      </c>
      <c r="M36" t="str">
        <f>IF('SBL Quotes'!$AN$32="Supplemental",MAX(PV((FirstRate_IfSupp)/12,(FirstAmort_IfSupp-M32)*12,-(FirstDebtService_IfSupp/12)),0),"")</f>
        <v/>
      </c>
      <c r="N36" t="str">
        <f>IF('SBL Quotes'!$AN$32="Supplemental",MAX(PV((FirstRate_IfSupp)/12,(FirstAmort_IfSupp-N32)*12,-(FirstDebtService_IfSupp/12)),0),"")</f>
        <v/>
      </c>
      <c r="O36" t="str">
        <f>IF('SBL Quotes'!$AN$32="Supplemental",MAX(PV((FirstRate_IfSupp)/12,(FirstAmort_IfSupp-O32)*12,-(FirstDebtService_IfSupp/12)),0),"")</f>
        <v/>
      </c>
      <c r="P36" t="str">
        <f>IF('SBL Quotes'!$AN$32="Supplemental",MAX(PV((FirstRate_IfSupp)/12,(FirstAmort_IfSupp-P32)*12,-(FirstDebtService_IfSupp/12)),0),"")</f>
        <v/>
      </c>
      <c r="Q36" t="str">
        <f>IF('SBL Quotes'!$AN$32="Supplemental",MAX(PV((FirstRate_IfSupp)/12,(FirstAmort_IfSupp-Q32)*12,-(FirstDebtService_IfSupp/12)),0),"")</f>
        <v/>
      </c>
      <c r="R36" t="str">
        <f>IF('SBL Quotes'!$AN$32="Supplemental",MAX(PV((FirstRate_IfSupp)/12,(FirstAmort_IfSupp-R32)*12,-(FirstDebtService_IfSupp/12)),0),"")</f>
        <v/>
      </c>
      <c r="S36" t="str">
        <f>IF('SBL Quotes'!$AN$32="Supplemental",MAX(PV((FirstRate_IfSupp)/12,(FirstAmort_IfSupp-S32)*12,-(FirstDebtService_IfSupp/12)),0),"")</f>
        <v/>
      </c>
      <c r="T36" t="str">
        <f>IF('SBL Quotes'!$AN$32="Supplemental",MAX(PV((FirstRate_IfSupp)/12,(FirstAmort_IfSupp-T32)*12,-(FirstDebtService_IfSupp/12)),0),"")</f>
        <v/>
      </c>
      <c r="U36" t="str">
        <f>IF('SBL Quotes'!$AN$32="Supplemental",MAX(PV((FirstRate_IfSupp)/12,(FirstAmort_IfSupp-U32)*12,-(FirstDebtService_IfSupp/12)),0),"")</f>
        <v/>
      </c>
      <c r="V36" t="str">
        <f>IF('SBL Quotes'!$AN$32="Supplemental",MAX(PV((FirstRate_IfSupp)/12,(FirstAmort_IfSupp-V32)*12,-(FirstDebtService_IfSupp/12)),0),"")</f>
        <v/>
      </c>
      <c r="W36" t="str">
        <f>IF('SBL Quotes'!$AN$32="Supplemental",MAX(PV((FirstRate_IfSupp)/12,(FirstAmort_IfSupp-W32)*12,-(FirstDebtService_IfSupp/12)),0),"")</f>
        <v/>
      </c>
      <c r="X36" t="str">
        <f>IF('SBL Quotes'!$AN$32="Supplemental",MAX(PV((FirstRate_IfSupp)/12,(FirstAmort_IfSupp-X32)*12,-(FirstDebtService_IfSupp/12)),0),"")</f>
        <v/>
      </c>
      <c r="Y36" t="str">
        <f>IF('SBL Quotes'!$AN$32="Supplemental",MAX(PV((FirstRate_IfSupp)/12,(FirstAmort_IfSupp-Y32)*12,-(FirstDebtService_IfSupp/12)),0),"")</f>
        <v/>
      </c>
      <c r="Z36" t="str">
        <f>IF('SBL Quotes'!$AN$32="Supplemental",MAX(PV((FirstRate_IfSupp)/12,(FirstAmort_IfSupp-Z32)*12,-(FirstDebtService_IfSupp/12)),0),"")</f>
        <v/>
      </c>
      <c r="AA36" t="str">
        <f>IF('SBL Quotes'!$AN$32="Supplemental",MAX(PV((FirstRate_IfSupp)/12,(FirstAmort_IfSupp-AA32)*12,-(FirstDebtService_IfSupp/12)),0),"")</f>
        <v/>
      </c>
      <c r="AB36" t="str">
        <f>IF('SBL Quotes'!$AN$32="Supplemental",MAX(PV((FirstRate_IfSupp)/12,(FirstAmort_IfSupp-AB32)*12,-(FirstDebtService_IfSupp/12)),0),"")</f>
        <v/>
      </c>
      <c r="AC36" t="str">
        <f>IF('SBL Quotes'!$AN$32="Supplemental",MAX(PV((FirstRate_IfSupp)/12,(FirstAmort_IfSupp-AC32)*12,-(FirstDebtService_IfSupp/12)),0),"")</f>
        <v/>
      </c>
      <c r="AD36" t="str">
        <f>IF('SBL Quotes'!$AN$32="Supplemental",MAX(PV((FirstRate_IfSupp)/12,(FirstAmort_IfSupp-AD32)*12,-(FirstDebtService_IfSupp/12)),0),"")</f>
        <v/>
      </c>
      <c r="AE36" t="str">
        <f>IF('SBL Quotes'!$AN$32="Supplemental",MAX(PV((FirstRate_IfSupp)/12,(FirstAmort_IfSupp-AE32)*12,-(FirstDebtService_IfSupp/12)),0),"")</f>
        <v/>
      </c>
      <c r="AF36" t="str">
        <f>IF('SBL Quotes'!$AN$32="Supplemental",MAX(PV((FirstRate_IfSupp)/12,(FirstAmort_IfSupp-AF32)*12,-(FirstDebtService_IfSupp/12)),0),"")</f>
        <v/>
      </c>
      <c r="AG36" t="str">
        <f>IF('SBL Quotes'!$AN$32="Supplemental",MAX(PV((FirstRate_IfSupp)/12,(FirstAmort_IfSupp-AG32)*12,-(FirstDebtService_IfSupp/12)),0),"")</f>
        <v/>
      </c>
      <c r="AH36" t="str">
        <f>IF('SBL Quotes'!$AN$32="Supplemental",MAX(PV((FirstRate_IfSupp)/12,(FirstAmort_IfSupp-AH32)*12,-(FirstDebtService_IfSupp/12)),0),"")</f>
        <v/>
      </c>
      <c r="AK36" t="s">
        <v>995</v>
      </c>
      <c r="AL36">
        <f>_xlfn.IFERROR(AL14/(AL13/AL35),0)</f>
        <v>0</v>
      </c>
    </row>
    <row r="37" ht="15" customHeight="1">
      <c r="D37" t="str">
        <f>IF('SBL Quotes'!$AN$33="2nd Supplemental",MAX(0,PV((SecondRate_IfSupp)/12,(SecondAmort_IfSupp-D33)*12,-(SecondDebtService_IfSupp/12))),"")</f>
        <v/>
      </c>
      <c r="E37" t="str">
        <f>IF('SBL Quotes'!$AN$33="2nd Supplemental",MAX(0,PV((SecondRate_IfSupp)/12,(SecondAmort_IfSupp-E33)*12,-(SecondDebtService_IfSupp/12))),"")</f>
        <v/>
      </c>
      <c r="F37" t="str">
        <f>IF('SBL Quotes'!$AN$33="2nd Supplemental",MAX(0,PV((SecondRate_IfSupp)/12,(SecondAmort_IfSupp-F33)*12,-(SecondDebtService_IfSupp/12))),"")</f>
        <v/>
      </c>
      <c r="G37" t="str">
        <f>IF('SBL Quotes'!$AN$33="2nd Supplemental",MAX(0,PV((SecondRate_IfSupp)/12,(SecondAmort_IfSupp-G33)*12,-(SecondDebtService_IfSupp/12))),"")</f>
        <v/>
      </c>
      <c r="H37" t="str">
        <f>IF('SBL Quotes'!$AN$33="2nd Supplemental",MAX(0,PV((SecondRate_IfSupp)/12,(SecondAmort_IfSupp-H33)*12,-(SecondDebtService_IfSupp/12))),"")</f>
        <v/>
      </c>
      <c r="I37" t="str">
        <f>IF('SBL Quotes'!$AN$33="2nd Supplemental",MAX(0,PV((SecondRate_IfSupp)/12,(SecondAmort_IfSupp-I33)*12,-(SecondDebtService_IfSupp/12))),"")</f>
        <v/>
      </c>
      <c r="J37" t="str">
        <f>IF('SBL Quotes'!$AN$33="2nd Supplemental",MAX(0,PV((SecondRate_IfSupp)/12,(SecondAmort_IfSupp-J33)*12,-(SecondDebtService_IfSupp/12))),"")</f>
        <v/>
      </c>
      <c r="K37" t="str">
        <f>IF('SBL Quotes'!$AN$33="2nd Supplemental",MAX(0,PV((SecondRate_IfSupp)/12,(SecondAmort_IfSupp-K33)*12,-(SecondDebtService_IfSupp/12))),"")</f>
        <v/>
      </c>
      <c r="L37" t="str">
        <f>IF('SBL Quotes'!$AN$33="2nd Supplemental",MAX(0,PV((SecondRate_IfSupp)/12,(SecondAmort_IfSupp-L33)*12,-(SecondDebtService_IfSupp/12))),"")</f>
        <v/>
      </c>
      <c r="M37" t="str">
        <f>IF('SBL Quotes'!$AN$33="2nd Supplemental",MAX(0,PV((SecondRate_IfSupp)/12,(SecondAmort_IfSupp-M33)*12,-(SecondDebtService_IfSupp/12))),"")</f>
        <v/>
      </c>
      <c r="N37" t="str">
        <f>IF('SBL Quotes'!$AN$33="2nd Supplemental",MAX(0,PV((SecondRate_IfSupp)/12,(SecondAmort_IfSupp-N33)*12,-(SecondDebtService_IfSupp/12))),"")</f>
        <v/>
      </c>
      <c r="O37" t="str">
        <f>IF('SBL Quotes'!$AN$33="2nd Supplemental",MAX(0,PV((SecondRate_IfSupp)/12,(SecondAmort_IfSupp-O33)*12,-(SecondDebtService_IfSupp/12))),"")</f>
        <v/>
      </c>
      <c r="P37" t="str">
        <f>IF('SBL Quotes'!$AN$33="2nd Supplemental",MAX(0,PV((SecondRate_IfSupp)/12,(SecondAmort_IfSupp-P33)*12,-(SecondDebtService_IfSupp/12))),"")</f>
        <v/>
      </c>
      <c r="Q37" t="str">
        <f>IF('SBL Quotes'!$AN$33="2nd Supplemental",MAX(0,PV((SecondRate_IfSupp)/12,(SecondAmort_IfSupp-Q33)*12,-(SecondDebtService_IfSupp/12))),"")</f>
        <v/>
      </c>
      <c r="R37" t="str">
        <f>IF('SBL Quotes'!$AN$33="2nd Supplemental",MAX(0,PV((SecondRate_IfSupp)/12,(SecondAmort_IfSupp-R33)*12,-(SecondDebtService_IfSupp/12))),"")</f>
        <v/>
      </c>
      <c r="S37" t="str">
        <f>IF('SBL Quotes'!$AN$33="2nd Supplemental",MAX(0,PV((SecondRate_IfSupp)/12,(SecondAmort_IfSupp-S33)*12,-(SecondDebtService_IfSupp/12))),"")</f>
        <v/>
      </c>
      <c r="T37" t="str">
        <f>IF('SBL Quotes'!$AN$33="2nd Supplemental",MAX(0,PV((SecondRate_IfSupp)/12,(SecondAmort_IfSupp-T33)*12,-(SecondDebtService_IfSupp/12))),"")</f>
        <v/>
      </c>
      <c r="U37" t="str">
        <f>IF('SBL Quotes'!$AN$33="2nd Supplemental",MAX(0,PV((SecondRate_IfSupp)/12,(SecondAmort_IfSupp-U33)*12,-(SecondDebtService_IfSupp/12))),"")</f>
        <v/>
      </c>
      <c r="V37" t="str">
        <f>IF('SBL Quotes'!$AN$33="2nd Supplemental",MAX(0,PV((SecondRate_IfSupp)/12,(SecondAmort_IfSupp-V33)*12,-(SecondDebtService_IfSupp/12))),"")</f>
        <v/>
      </c>
      <c r="W37" t="str">
        <f>IF('SBL Quotes'!$AN$33="2nd Supplemental",MAX(0,PV((SecondRate_IfSupp)/12,(SecondAmort_IfSupp-W33)*12,-(SecondDebtService_IfSupp/12))),"")</f>
        <v/>
      </c>
      <c r="X37" t="str">
        <f>IF('SBL Quotes'!$AN$33="2nd Supplemental",MAX(0,PV((SecondRate_IfSupp)/12,(SecondAmort_IfSupp-X33)*12,-(SecondDebtService_IfSupp/12))),"")</f>
        <v/>
      </c>
      <c r="Y37" t="str">
        <f>IF('SBL Quotes'!$AN$33="2nd Supplemental",MAX(0,PV((SecondRate_IfSupp)/12,(SecondAmort_IfSupp-Y33)*12,-(SecondDebtService_IfSupp/12))),"")</f>
        <v/>
      </c>
      <c r="Z37" t="str">
        <f>IF('SBL Quotes'!$AN$33="2nd Supplemental",MAX(0,PV((SecondRate_IfSupp)/12,(SecondAmort_IfSupp-Z33)*12,-(SecondDebtService_IfSupp/12))),"")</f>
        <v/>
      </c>
      <c r="AA37" t="str">
        <f>IF('SBL Quotes'!$AN$33="2nd Supplemental",MAX(0,PV((SecondRate_IfSupp)/12,(SecondAmort_IfSupp-AA33)*12,-(SecondDebtService_IfSupp/12))),"")</f>
        <v/>
      </c>
      <c r="AB37" t="str">
        <f>IF('SBL Quotes'!$AN$33="2nd Supplemental",MAX(0,PV((SecondRate_IfSupp)/12,(SecondAmort_IfSupp-AB33)*12,-(SecondDebtService_IfSupp/12))),"")</f>
        <v/>
      </c>
      <c r="AC37" t="str">
        <f>IF('SBL Quotes'!$AN$33="2nd Supplemental",MAX(0,PV((SecondRate_IfSupp)/12,(SecondAmort_IfSupp-AC33)*12,-(SecondDebtService_IfSupp/12))),"")</f>
        <v/>
      </c>
      <c r="AD37" t="str">
        <f>IF('SBL Quotes'!$AN$33="2nd Supplemental",MAX(0,PV((SecondRate_IfSupp)/12,(SecondAmort_IfSupp-AD33)*12,-(SecondDebtService_IfSupp/12))),"")</f>
        <v/>
      </c>
      <c r="AE37" t="str">
        <f>IF('SBL Quotes'!$AN$33="2nd Supplemental",MAX(0,PV((SecondRate_IfSupp)/12,(SecondAmort_IfSupp-AE33)*12,-(SecondDebtService_IfSupp/12))),"")</f>
        <v/>
      </c>
      <c r="AF37" t="str">
        <f>IF('SBL Quotes'!$AN$33="2nd Supplemental",MAX(0,PV((SecondRate_IfSupp)/12,(SecondAmort_IfSupp-AF33)*12,-(SecondDebtService_IfSupp/12))),"")</f>
        <v/>
      </c>
      <c r="AG37" t="str">
        <f>IF('SBL Quotes'!$AN$33="2nd Supplemental",MAX(0,PV((SecondRate_IfSupp)/12,(SecondAmort_IfSupp-AG33)*12,-(SecondDebtService_IfSupp/12))),"")</f>
        <v/>
      </c>
      <c r="AH37" t="str">
        <f>IF('SBL Quotes'!$AN$33="2nd Supplemental",MAX(0,PV((SecondRate_IfSupp)/12,(SecondAmort_IfSupp-AH33)*12,-(SecondDebtService_IfSupp/12))),"")</f>
        <v/>
      </c>
    </row>
    <row r="38" ht="15" customHeight="1">
      <c r="D38" t="str">
        <f>IF('SBL Quotes'!$AN$34="3rd Supplemental",MAX(0,PV((ThirdRate_IfSupp)/12,(ThirdAmort_IfSupp-D34)*12,-(ThirdDebtService_IfSupp/12))),"")</f>
        <v/>
      </c>
      <c r="E38" t="str">
        <f>IF('SBL Quotes'!$AN$34="3rd Supplemental",MAX(0,PV((ThirdRate_IfSupp)/12,(ThirdAmort_IfSupp-E34)*12,-(ThirdDebtService_IfSupp/12))),"")</f>
        <v/>
      </c>
      <c r="F38" t="str">
        <f>IF('SBL Quotes'!$AN$34="3rd Supplemental",MAX(0,PV((ThirdRate_IfSupp)/12,(ThirdAmort_IfSupp-F34)*12,-(ThirdDebtService_IfSupp/12))),"")</f>
        <v/>
      </c>
      <c r="G38" t="str">
        <f>IF('SBL Quotes'!$AN$34="3rd Supplemental",MAX(0,PV((ThirdRate_IfSupp)/12,(ThirdAmort_IfSupp-G34)*12,-(ThirdDebtService_IfSupp/12))),"")</f>
        <v/>
      </c>
      <c r="H38" t="str">
        <f>IF('SBL Quotes'!$AN$34="3rd Supplemental",MAX(0,PV((ThirdRate_IfSupp)/12,(ThirdAmort_IfSupp-H34)*12,-(ThirdDebtService_IfSupp/12))),"")</f>
        <v/>
      </c>
      <c r="I38" t="str">
        <f>IF('SBL Quotes'!$AN$34="3rd Supplemental",MAX(0,PV((ThirdRate_IfSupp)/12,(ThirdAmort_IfSupp-I34)*12,-(ThirdDebtService_IfSupp/12))),"")</f>
        <v/>
      </c>
      <c r="J38" t="str">
        <f>IF('SBL Quotes'!$AN$34="3rd Supplemental",MAX(0,PV((ThirdRate_IfSupp)/12,(ThirdAmort_IfSupp-J34)*12,-(ThirdDebtService_IfSupp/12))),"")</f>
        <v/>
      </c>
      <c r="K38" t="str">
        <f>IF('SBL Quotes'!$AN$34="3rd Supplemental",MAX(0,PV((ThirdRate_IfSupp)/12,(ThirdAmort_IfSupp-K34)*12,-(ThirdDebtService_IfSupp/12))),"")</f>
        <v/>
      </c>
      <c r="L38" t="str">
        <f>IF('SBL Quotes'!$AN$34="3rd Supplemental",MAX(0,PV((ThirdRate_IfSupp)/12,(ThirdAmort_IfSupp-L34)*12,-(ThirdDebtService_IfSupp/12))),"")</f>
        <v/>
      </c>
      <c r="M38" t="str">
        <f>IF('SBL Quotes'!$AN$34="3rd Supplemental",MAX(0,PV((ThirdRate_IfSupp)/12,(ThirdAmort_IfSupp-M34)*12,-(ThirdDebtService_IfSupp/12))),"")</f>
        <v/>
      </c>
      <c r="N38" t="str">
        <f>IF('SBL Quotes'!$AN$34="3rd Supplemental",MAX(0,PV((ThirdRate_IfSupp)/12,(ThirdAmort_IfSupp-N34)*12,-(ThirdDebtService_IfSupp/12))),"")</f>
        <v/>
      </c>
      <c r="O38" t="str">
        <f>IF('SBL Quotes'!$AN$34="3rd Supplemental",MAX(0,PV((ThirdRate_IfSupp)/12,(ThirdAmort_IfSupp-O34)*12,-(ThirdDebtService_IfSupp/12))),"")</f>
        <v/>
      </c>
      <c r="P38" t="str">
        <f>IF('SBL Quotes'!$AN$34="3rd Supplemental",MAX(0,PV((ThirdRate_IfSupp)/12,(ThirdAmort_IfSupp-P34)*12,-(ThirdDebtService_IfSupp/12))),"")</f>
        <v/>
      </c>
      <c r="Q38" t="str">
        <f>IF('SBL Quotes'!$AN$34="3rd Supplemental",MAX(0,PV((ThirdRate_IfSupp)/12,(ThirdAmort_IfSupp-Q34)*12,-(ThirdDebtService_IfSupp/12))),"")</f>
        <v/>
      </c>
      <c r="R38" t="str">
        <f>IF('SBL Quotes'!$AN$34="3rd Supplemental",MAX(0,PV((ThirdRate_IfSupp)/12,(ThirdAmort_IfSupp-R34)*12,-(ThirdDebtService_IfSupp/12))),"")</f>
        <v/>
      </c>
      <c r="S38" t="str">
        <f>IF('SBL Quotes'!$AN$34="3rd Supplemental",MAX(0,PV((ThirdRate_IfSupp)/12,(ThirdAmort_IfSupp-S34)*12,-(ThirdDebtService_IfSupp/12))),"")</f>
        <v/>
      </c>
      <c r="T38" t="str">
        <f>IF('SBL Quotes'!$AN$34="3rd Supplemental",MAX(0,PV((ThirdRate_IfSupp)/12,(ThirdAmort_IfSupp-T34)*12,-(ThirdDebtService_IfSupp/12))),"")</f>
        <v/>
      </c>
      <c r="U38" t="str">
        <f>IF('SBL Quotes'!$AN$34="3rd Supplemental",MAX(0,PV((ThirdRate_IfSupp)/12,(ThirdAmort_IfSupp-U34)*12,-(ThirdDebtService_IfSupp/12))),"")</f>
        <v/>
      </c>
      <c r="V38" t="str">
        <f>IF('SBL Quotes'!$AN$34="3rd Supplemental",MAX(0,PV((ThirdRate_IfSupp)/12,(ThirdAmort_IfSupp-V34)*12,-(ThirdDebtService_IfSupp/12))),"")</f>
        <v/>
      </c>
      <c r="W38" t="str">
        <f>IF('SBL Quotes'!$AN$34="3rd Supplemental",MAX(0,PV((ThirdRate_IfSupp)/12,(ThirdAmort_IfSupp-W34)*12,-(ThirdDebtService_IfSupp/12))),"")</f>
        <v/>
      </c>
      <c r="X38" t="str">
        <f>IF('SBL Quotes'!$AN$34="3rd Supplemental",MAX(0,PV((ThirdRate_IfSupp)/12,(ThirdAmort_IfSupp-X34)*12,-(ThirdDebtService_IfSupp/12))),"")</f>
        <v/>
      </c>
      <c r="Y38" t="str">
        <f>IF('SBL Quotes'!$AN$34="3rd Supplemental",MAX(0,PV((ThirdRate_IfSupp)/12,(ThirdAmort_IfSupp-Y34)*12,-(ThirdDebtService_IfSupp/12))),"")</f>
        <v/>
      </c>
      <c r="Z38" t="str">
        <f>IF('SBL Quotes'!$AN$34="3rd Supplemental",MAX(0,PV((ThirdRate_IfSupp)/12,(ThirdAmort_IfSupp-Z34)*12,-(ThirdDebtService_IfSupp/12))),"")</f>
        <v/>
      </c>
      <c r="AA38" t="str">
        <f>IF('SBL Quotes'!$AN$34="3rd Supplemental",MAX(0,PV((ThirdRate_IfSupp)/12,(ThirdAmort_IfSupp-AA34)*12,-(ThirdDebtService_IfSupp/12))),"")</f>
        <v/>
      </c>
      <c r="AB38" t="str">
        <f>IF('SBL Quotes'!$AN$34="3rd Supplemental",MAX(0,PV((ThirdRate_IfSupp)/12,(ThirdAmort_IfSupp-AB34)*12,-(ThirdDebtService_IfSupp/12))),"")</f>
        <v/>
      </c>
      <c r="AC38" t="str">
        <f>IF('SBL Quotes'!$AN$34="3rd Supplemental",MAX(0,PV((ThirdRate_IfSupp)/12,(ThirdAmort_IfSupp-AC34)*12,-(ThirdDebtService_IfSupp/12))),"")</f>
        <v/>
      </c>
      <c r="AD38" t="str">
        <f>IF('SBL Quotes'!$AN$34="3rd Supplemental",MAX(0,PV((ThirdRate_IfSupp)/12,(ThirdAmort_IfSupp-AD34)*12,-(ThirdDebtService_IfSupp/12))),"")</f>
        <v/>
      </c>
      <c r="AE38" t="str">
        <f>IF('SBL Quotes'!$AN$34="3rd Supplemental",MAX(0,PV((ThirdRate_IfSupp)/12,(ThirdAmort_IfSupp-AE34)*12,-(ThirdDebtService_IfSupp/12))),"")</f>
        <v/>
      </c>
      <c r="AF38" t="str">
        <f>IF('SBL Quotes'!$AN$34="3rd Supplemental",MAX(0,PV((ThirdRate_IfSupp)/12,(ThirdAmort_IfSupp-AF34)*12,-(ThirdDebtService_IfSupp/12))),"")</f>
        <v/>
      </c>
      <c r="AG38" t="str">
        <f>IF('SBL Quotes'!$AN$34="3rd Supplemental",MAX(0,PV((ThirdRate_IfSupp)/12,(ThirdAmort_IfSupp-AG34)*12,-(ThirdDebtService_IfSupp/12))),"")</f>
        <v/>
      </c>
      <c r="AH38" t="str">
        <f>IF('SBL Quotes'!$AN$34="3rd Supplemental",MAX(0,PV((ThirdRate_IfSupp)/12,(ThirdAmort_IfSupp-AH34)*12,-(ThirdDebtService_IfSupp/12))),"")</f>
        <v/>
      </c>
    </row>
    <row r="39" ht="15" customHeight="1">
      <c r="B39" t="s">
        <v>1436</v>
      </c>
      <c r="D39" t="e">
        <f>MAX(0,IF(D$35=0,Exit_LoanAmount,ACTUAL360UPB(NoteRate,Exit_LoanAmount,Exit_LoanStartDate,D$35*12,Amort*12)))</f>
        <v>#NAME?</v>
      </c>
      <c r="E39" t="e">
        <f t="shared" si="31" ref="E39:AH39">IF(D39=0,0,MAX(0,IF(E$35=0,Exit_LoanAmount,ACTUAL360UPB(NoteRate,Exit_LoanAmount,Exit_LoanStartDate,E$35*12,Amort*12))))</f>
        <v>#NAME?</v>
      </c>
      <c r="F39" t="e">
        <f t="shared" si="31"/>
        <v>#NAME?</v>
      </c>
      <c r="G39" t="e">
        <f t="shared" si="31"/>
        <v>#NAME?</v>
      </c>
      <c r="H39" t="e">
        <f t="shared" si="31"/>
        <v>#NAME?</v>
      </c>
      <c r="I39" t="e">
        <f t="shared" si="31"/>
        <v>#NAME?</v>
      </c>
      <c r="J39" t="e">
        <f t="shared" si="31"/>
        <v>#NAME?</v>
      </c>
      <c r="K39" t="e">
        <f t="shared" si="31"/>
        <v>#NAME?</v>
      </c>
      <c r="L39" t="e">
        <f t="shared" si="31"/>
        <v>#NAME?</v>
      </c>
      <c r="M39" t="e">
        <f t="shared" si="31"/>
        <v>#NAME?</v>
      </c>
      <c r="N39" t="e">
        <f t="shared" si="31"/>
        <v>#NAME?</v>
      </c>
      <c r="O39" t="e">
        <f t="shared" si="31"/>
        <v>#NAME?</v>
      </c>
      <c r="P39" t="e">
        <f t="shared" si="31"/>
        <v>#NAME?</v>
      </c>
      <c r="Q39" t="e">
        <f t="shared" si="31"/>
        <v>#NAME?</v>
      </c>
      <c r="R39" t="e">
        <f t="shared" si="31"/>
        <v>#NAME?</v>
      </c>
      <c r="S39" t="e">
        <f t="shared" si="31"/>
        <v>#NAME?</v>
      </c>
      <c r="T39" t="e">
        <f t="shared" si="31"/>
        <v>#NAME?</v>
      </c>
      <c r="U39" t="e">
        <f t="shared" si="31"/>
        <v>#NAME?</v>
      </c>
      <c r="V39" t="e">
        <f t="shared" si="31"/>
        <v>#NAME?</v>
      </c>
      <c r="W39" t="e">
        <f t="shared" si="31"/>
        <v>#NAME?</v>
      </c>
      <c r="X39" t="e">
        <f t="shared" si="31"/>
        <v>#NAME?</v>
      </c>
      <c r="Y39" t="e">
        <f t="shared" si="31"/>
        <v>#NAME?</v>
      </c>
      <c r="Z39" t="e">
        <f t="shared" si="31"/>
        <v>#NAME?</v>
      </c>
      <c r="AA39" t="e">
        <f t="shared" si="31"/>
        <v>#NAME?</v>
      </c>
      <c r="AB39" t="e">
        <f t="shared" si="31"/>
        <v>#NAME?</v>
      </c>
      <c r="AC39" t="e">
        <f t="shared" si="31"/>
        <v>#NAME?</v>
      </c>
      <c r="AD39" t="e">
        <f t="shared" si="31"/>
        <v>#NAME?</v>
      </c>
      <c r="AE39" t="e">
        <f t="shared" si="31"/>
        <v>#NAME?</v>
      </c>
      <c r="AF39" t="e">
        <f t="shared" si="31"/>
        <v>#NAME?</v>
      </c>
      <c r="AG39" t="e">
        <f t="shared" si="31"/>
        <v>#NAME?</v>
      </c>
      <c r="AH39" t="e">
        <f t="shared" si="31"/>
        <v>#NAME?</v>
      </c>
    </row>
    <row r="40" ht="15" customHeight="1">
      <c r="B40" t="s">
        <v>1437</v>
      </c>
      <c r="D40" t="e">
        <f t="shared" si="6"/>
        <v>#NAME?</v>
      </c>
      <c r="E40" t="e">
        <f t="shared" si="6"/>
        <v>#NAME?</v>
      </c>
      <c r="F40" t="e">
        <f t="shared" si="6"/>
        <v>#NAME?</v>
      </c>
      <c r="G40" t="e">
        <f t="shared" si="6"/>
        <v>#NAME?</v>
      </c>
      <c r="H40" t="e">
        <f t="shared" si="6"/>
        <v>#NAME?</v>
      </c>
      <c r="I40" t="e">
        <f t="shared" si="6"/>
        <v>#NAME?</v>
      </c>
      <c r="J40" t="e">
        <f t="shared" si="6"/>
        <v>#NAME?</v>
      </c>
      <c r="K40" t="e">
        <f t="shared" si="6"/>
        <v>#NAME?</v>
      </c>
      <c r="L40" t="e">
        <f t="shared" si="6"/>
        <v>#NAME?</v>
      </c>
      <c r="M40" t="e">
        <f t="shared" si="6"/>
        <v>#NAME?</v>
      </c>
      <c r="N40" t="e">
        <f t="shared" si="6"/>
        <v>#NAME?</v>
      </c>
      <c r="O40" t="e">
        <f t="shared" si="6"/>
        <v>#NAME?</v>
      </c>
      <c r="P40" t="e">
        <f t="shared" si="6"/>
        <v>#NAME?</v>
      </c>
      <c r="Q40" t="e">
        <f t="shared" si="6"/>
        <v>#NAME?</v>
      </c>
      <c r="R40" t="e">
        <f t="shared" si="6"/>
        <v>#NAME?</v>
      </c>
      <c r="S40" t="e">
        <f t="shared" si="6"/>
        <v>#NAME?</v>
      </c>
      <c r="T40" t="e">
        <f t="shared" si="6"/>
        <v>#NAME?</v>
      </c>
      <c r="U40" t="e">
        <f t="shared" si="6"/>
        <v>#NAME?</v>
      </c>
      <c r="V40" t="e">
        <f t="shared" si="6"/>
        <v>#NAME?</v>
      </c>
      <c r="W40" t="e">
        <f t="shared" si="6"/>
        <v>#NAME?</v>
      </c>
      <c r="X40" t="e">
        <f t="shared" si="6"/>
        <v>#NAME?</v>
      </c>
      <c r="Y40" t="e">
        <f t="shared" si="6"/>
        <v>#NAME?</v>
      </c>
      <c r="Z40" t="e">
        <f t="shared" si="6"/>
        <v>#NAME?</v>
      </c>
      <c r="AA40" t="e">
        <f t="shared" si="6"/>
        <v>#NAME?</v>
      </c>
      <c r="AB40" t="e">
        <f t="shared" si="6"/>
        <v>#NAME?</v>
      </c>
      <c r="AC40" t="e">
        <f t="shared" si="6"/>
        <v>#NAME?</v>
      </c>
      <c r="AD40" t="e">
        <f t="shared" si="6"/>
        <v>#NAME?</v>
      </c>
      <c r="AE40" t="e">
        <f t="shared" si="6"/>
        <v>#NAME?</v>
      </c>
      <c r="AF40" t="e">
        <f t="shared" si="6"/>
        <v>#NAME?</v>
      </c>
      <c r="AG40" t="e">
        <f t="shared" si="6"/>
        <v>#NAME?</v>
      </c>
      <c r="AH40" t="e">
        <f t="shared" si="6"/>
        <v>#NAME?</v>
      </c>
    </row>
    <row r="41" ht="15" customHeight="1">
      <c r="B41" t="s">
        <v>1438</v>
      </c>
      <c r="D41">
        <f t="shared" si="32" ref="D41:AH41">_xlfn.IFERROR(IF(D29&gt;0,D29/(D40*PMT($AL$25/12,$AL$26*12,-1)*12),0),0)</f>
        <v>0</v>
      </c>
      <c r="E41">
        <f t="shared" si="32"/>
        <v>0</v>
      </c>
      <c r="F41">
        <f t="shared" si="32"/>
        <v>0</v>
      </c>
      <c r="G41">
        <f t="shared" si="32"/>
        <v>0</v>
      </c>
      <c r="H41">
        <f t="shared" si="32"/>
        <v>0</v>
      </c>
      <c r="I41">
        <f t="shared" si="32"/>
        <v>0</v>
      </c>
      <c r="J41">
        <f t="shared" si="32"/>
        <v>0</v>
      </c>
      <c r="K41">
        <f t="shared" si="32"/>
        <v>0</v>
      </c>
      <c r="L41">
        <f t="shared" si="32"/>
        <v>0</v>
      </c>
      <c r="M41">
        <f t="shared" si="32"/>
        <v>0</v>
      </c>
      <c r="N41">
        <f t="shared" si="32"/>
        <v>0</v>
      </c>
      <c r="O41">
        <f t="shared" si="32"/>
        <v>0</v>
      </c>
      <c r="P41">
        <f t="shared" si="32"/>
        <v>0</v>
      </c>
      <c r="Q41">
        <f t="shared" si="32"/>
        <v>0</v>
      </c>
      <c r="R41">
        <f t="shared" si="32"/>
        <v>0</v>
      </c>
      <c r="S41">
        <f t="shared" si="32"/>
        <v>0</v>
      </c>
      <c r="T41">
        <f t="shared" si="32"/>
        <v>0</v>
      </c>
      <c r="U41">
        <f t="shared" si="32"/>
        <v>0</v>
      </c>
      <c r="V41">
        <f t="shared" si="32"/>
        <v>0</v>
      </c>
      <c r="W41">
        <f t="shared" si="32"/>
        <v>0</v>
      </c>
      <c r="X41">
        <f t="shared" si="32"/>
        <v>0</v>
      </c>
      <c r="Y41">
        <f t="shared" si="32"/>
        <v>0</v>
      </c>
      <c r="Z41">
        <f t="shared" si="32"/>
        <v>0</v>
      </c>
      <c r="AA41">
        <f t="shared" si="32"/>
        <v>0</v>
      </c>
      <c r="AB41">
        <f t="shared" si="32"/>
        <v>0</v>
      </c>
      <c r="AC41">
        <f t="shared" si="32"/>
        <v>0</v>
      </c>
      <c r="AD41">
        <f t="shared" si="32"/>
        <v>0</v>
      </c>
      <c r="AE41">
        <f t="shared" si="32"/>
        <v>0</v>
      </c>
      <c r="AF41">
        <f t="shared" si="32"/>
        <v>0</v>
      </c>
      <c r="AG41">
        <f t="shared" si="32"/>
        <v>0</v>
      </c>
      <c r="AH41">
        <f t="shared" si="32"/>
        <v>0</v>
      </c>
    </row>
    <row r="42" ht="15" customHeight="1">
      <c r="B42">
        <f>AM20</f>
        <v>0.07</v>
      </c>
      <c r="D42">
        <f t="shared" si="33" ref="D42:AH42">IF(D29&gt;0,D29/$B42,0)</f>
        <v>0</v>
      </c>
      <c r="E42">
        <f t="shared" si="33"/>
        <v>0</v>
      </c>
      <c r="F42">
        <f t="shared" si="33"/>
        <v>0</v>
      </c>
      <c r="G42">
        <f t="shared" si="33"/>
        <v>0</v>
      </c>
      <c r="H42">
        <f t="shared" si="33"/>
        <v>0</v>
      </c>
      <c r="I42">
        <f t="shared" si="33"/>
        <v>0</v>
      </c>
      <c r="J42">
        <f t="shared" si="33"/>
        <v>0</v>
      </c>
      <c r="K42">
        <f t="shared" si="33"/>
        <v>0</v>
      </c>
      <c r="L42">
        <f t="shared" si="33"/>
        <v>0</v>
      </c>
      <c r="M42">
        <f t="shared" si="33"/>
        <v>0</v>
      </c>
      <c r="N42">
        <f t="shared" si="33"/>
        <v>0</v>
      </c>
      <c r="O42">
        <f t="shared" si="33"/>
        <v>0</v>
      </c>
      <c r="P42">
        <f t="shared" si="33"/>
        <v>0</v>
      </c>
      <c r="Q42">
        <f t="shared" si="33"/>
        <v>0</v>
      </c>
      <c r="R42">
        <f t="shared" si="33"/>
        <v>0</v>
      </c>
      <c r="S42">
        <f t="shared" si="33"/>
        <v>0</v>
      </c>
      <c r="T42">
        <f t="shared" si="33"/>
        <v>0</v>
      </c>
      <c r="U42">
        <f t="shared" si="33"/>
        <v>0</v>
      </c>
      <c r="V42">
        <f t="shared" si="33"/>
        <v>0</v>
      </c>
      <c r="W42">
        <f t="shared" si="33"/>
        <v>0</v>
      </c>
      <c r="X42">
        <f t="shared" si="33"/>
        <v>0</v>
      </c>
      <c r="Y42">
        <f t="shared" si="33"/>
        <v>0</v>
      </c>
      <c r="Z42">
        <f t="shared" si="33"/>
        <v>0</v>
      </c>
      <c r="AA42">
        <f t="shared" si="33"/>
        <v>0</v>
      </c>
      <c r="AB42">
        <f t="shared" si="33"/>
        <v>0</v>
      </c>
      <c r="AC42">
        <f t="shared" si="33"/>
        <v>0</v>
      </c>
      <c r="AD42">
        <f t="shared" si="33"/>
        <v>0</v>
      </c>
      <c r="AE42">
        <f t="shared" si="33"/>
        <v>0</v>
      </c>
      <c r="AF42">
        <f t="shared" si="33"/>
        <v>0</v>
      </c>
      <c r="AG42">
        <f t="shared" si="33"/>
        <v>0</v>
      </c>
      <c r="AH42">
        <f t="shared" si="33"/>
        <v>0</v>
      </c>
    </row>
    <row r="43" ht="15" customHeight="1">
      <c r="B43" t="s">
        <v>1439</v>
      </c>
      <c r="D43">
        <f t="shared" si="34" ref="D43:AH87">_xlfn.IFERROR(D40/D42,0)</f>
        <v>0</v>
      </c>
      <c r="E43">
        <f t="shared" si="34"/>
        <v>0</v>
      </c>
      <c r="F43">
        <f t="shared" si="34"/>
        <v>0</v>
      </c>
      <c r="G43">
        <f t="shared" si="34"/>
        <v>0</v>
      </c>
      <c r="H43">
        <f t="shared" si="34"/>
        <v>0</v>
      </c>
      <c r="I43">
        <f t="shared" si="34"/>
        <v>0</v>
      </c>
      <c r="J43">
        <f t="shared" si="34"/>
        <v>0</v>
      </c>
      <c r="K43">
        <f t="shared" si="34"/>
        <v>0</v>
      </c>
      <c r="L43">
        <f t="shared" si="34"/>
        <v>0</v>
      </c>
      <c r="M43">
        <f t="shared" si="34"/>
        <v>0</v>
      </c>
      <c r="N43">
        <f t="shared" si="34"/>
        <v>0</v>
      </c>
      <c r="O43">
        <f t="shared" si="34"/>
        <v>0</v>
      </c>
      <c r="P43">
        <f t="shared" si="34"/>
        <v>0</v>
      </c>
      <c r="Q43">
        <f t="shared" si="34"/>
        <v>0</v>
      </c>
      <c r="R43">
        <f t="shared" si="34"/>
        <v>0</v>
      </c>
      <c r="S43">
        <f t="shared" si="34"/>
        <v>0</v>
      </c>
      <c r="T43">
        <f t="shared" si="34"/>
        <v>0</v>
      </c>
      <c r="U43">
        <f t="shared" si="34"/>
        <v>0</v>
      </c>
      <c r="V43">
        <f t="shared" si="34"/>
        <v>0</v>
      </c>
      <c r="W43">
        <f t="shared" si="34"/>
        <v>0</v>
      </c>
      <c r="X43">
        <f t="shared" si="34"/>
        <v>0</v>
      </c>
      <c r="Y43">
        <f t="shared" si="34"/>
        <v>0</v>
      </c>
      <c r="Z43">
        <f t="shared" si="34"/>
        <v>0</v>
      </c>
      <c r="AA43">
        <f t="shared" si="34"/>
        <v>0</v>
      </c>
      <c r="AB43">
        <f t="shared" si="34"/>
        <v>0</v>
      </c>
      <c r="AC43">
        <f t="shared" si="34"/>
        <v>0</v>
      </c>
      <c r="AD43">
        <f t="shared" si="34"/>
        <v>0</v>
      </c>
      <c r="AE43">
        <f t="shared" si="34"/>
        <v>0</v>
      </c>
      <c r="AF43">
        <f t="shared" si="34"/>
        <v>0</v>
      </c>
      <c r="AG43">
        <f t="shared" si="34"/>
        <v>0</v>
      </c>
      <c r="AH43">
        <f t="shared" si="34"/>
        <v>0</v>
      </c>
    </row>
    <row r="45" ht="21" customHeight="1">
      <c r="B45" t="s">
        <v>1440</v>
      </c>
      <c r="C45" t="s">
        <v>1391</v>
      </c>
      <c r="D45">
        <v>1</v>
      </c>
      <c r="E45">
        <f t="shared" si="0"/>
        <v>2</v>
      </c>
      <c r="F45">
        <f t="shared" si="0"/>
        <v>3</v>
      </c>
      <c r="G45">
        <f t="shared" si="0"/>
        <v>4</v>
      </c>
      <c r="H45">
        <f t="shared" si="0"/>
        <v>5</v>
      </c>
      <c r="I45">
        <f t="shared" si="0"/>
        <v>6</v>
      </c>
      <c r="J45">
        <f t="shared" si="0"/>
        <v>7</v>
      </c>
      <c r="K45">
        <f t="shared" si="0"/>
        <v>8</v>
      </c>
      <c r="L45">
        <f t="shared" si="0"/>
        <v>9</v>
      </c>
      <c r="M45">
        <f t="shared" si="0"/>
        <v>10</v>
      </c>
      <c r="N45">
        <f t="shared" si="0"/>
        <v>11</v>
      </c>
      <c r="O45">
        <f t="shared" si="0"/>
        <v>12</v>
      </c>
      <c r="P45">
        <f t="shared" si="0"/>
        <v>13</v>
      </c>
      <c r="Q45">
        <f t="shared" si="0"/>
        <v>14</v>
      </c>
      <c r="R45">
        <f t="shared" si="0"/>
        <v>15</v>
      </c>
      <c r="S45">
        <f t="shared" si="0"/>
        <v>16</v>
      </c>
      <c r="T45">
        <f t="shared" si="0"/>
        <v>17</v>
      </c>
      <c r="U45">
        <f t="shared" si="0"/>
        <v>18</v>
      </c>
      <c r="V45">
        <f t="shared" si="0"/>
        <v>19</v>
      </c>
      <c r="W45">
        <f t="shared" si="0"/>
        <v>20</v>
      </c>
      <c r="X45">
        <f t="shared" si="0"/>
        <v>21</v>
      </c>
      <c r="Y45">
        <f t="shared" si="0"/>
        <v>22</v>
      </c>
      <c r="Z45">
        <f t="shared" si="0"/>
        <v>23</v>
      </c>
      <c r="AA45">
        <f t="shared" si="0"/>
        <v>24</v>
      </c>
      <c r="AB45">
        <f t="shared" si="0"/>
        <v>25</v>
      </c>
      <c r="AC45">
        <f t="shared" si="0"/>
        <v>26</v>
      </c>
      <c r="AD45">
        <f t="shared" si="0"/>
        <v>27</v>
      </c>
      <c r="AE45">
        <f t="shared" si="0"/>
        <v>28</v>
      </c>
      <c r="AF45">
        <f t="shared" si="0"/>
        <v>29</v>
      </c>
      <c r="AG45">
        <f t="shared" si="0"/>
        <v>30</v>
      </c>
      <c r="AH45">
        <f t="shared" si="0"/>
        <v>31</v>
      </c>
    </row>
    <row r="47" ht="15" customHeight="1">
      <c r="B47" t="s">
        <v>1441</v>
      </c>
      <c r="C47">
        <v>0</v>
      </c>
    </row>
    <row r="48" ht="15" customHeight="1">
      <c r="B48" t="s">
        <v>191</v>
      </c>
      <c r="C48">
        <v>1</v>
      </c>
    </row>
    <row r="49" ht="15" customHeight="1">
      <c r="B49" t="s">
        <v>1442</v>
      </c>
      <c r="C49">
        <v>0</v>
      </c>
    </row>
    <row r="50" ht="15.75" customHeight="1"/>
    <row r="51" ht="15.75" customHeight="1">
      <c r="B51" t="s">
        <v>1443</v>
      </c>
      <c r="C51" t="s">
        <v>1411</v>
      </c>
      <c r="D51">
        <v>0.02</v>
      </c>
      <c r="E51">
        <f t="shared" si="27"/>
        <v>0.02</v>
      </c>
      <c r="F51">
        <f t="shared" si="27"/>
        <v>0.02</v>
      </c>
      <c r="G51">
        <f t="shared" si="27"/>
        <v>0.02</v>
      </c>
      <c r="H51">
        <f t="shared" si="27"/>
        <v>0.02</v>
      </c>
      <c r="I51">
        <f t="shared" si="27"/>
        <v>0.02</v>
      </c>
      <c r="J51">
        <f t="shared" si="27"/>
        <v>0.02</v>
      </c>
      <c r="K51">
        <f t="shared" si="27"/>
        <v>0.02</v>
      </c>
      <c r="L51">
        <f t="shared" si="27"/>
        <v>0.02</v>
      </c>
      <c r="M51">
        <f t="shared" si="27"/>
        <v>0.02</v>
      </c>
      <c r="N51">
        <f t="shared" si="27"/>
        <v>0.02</v>
      </c>
      <c r="O51">
        <f t="shared" si="27"/>
        <v>0.02</v>
      </c>
      <c r="P51">
        <f t="shared" si="27"/>
        <v>0.02</v>
      </c>
      <c r="Q51">
        <f t="shared" si="27"/>
        <v>0.02</v>
      </c>
      <c r="R51">
        <f t="shared" si="27"/>
        <v>0.02</v>
      </c>
      <c r="S51">
        <f t="shared" si="27"/>
        <v>0.02</v>
      </c>
      <c r="T51">
        <f t="shared" si="27"/>
        <v>0.02</v>
      </c>
      <c r="U51">
        <f t="shared" si="27"/>
        <v>0.02</v>
      </c>
      <c r="V51">
        <f t="shared" si="27"/>
        <v>0.02</v>
      </c>
      <c r="W51">
        <f t="shared" si="27"/>
        <v>0.02</v>
      </c>
      <c r="X51">
        <f t="shared" si="27"/>
        <v>0.02</v>
      </c>
      <c r="Y51">
        <f t="shared" si="27"/>
        <v>0.02</v>
      </c>
      <c r="Z51">
        <f t="shared" si="27"/>
        <v>0.02</v>
      </c>
      <c r="AA51">
        <f t="shared" si="27"/>
        <v>0.02</v>
      </c>
      <c r="AB51">
        <f t="shared" si="27"/>
        <v>0.02</v>
      </c>
      <c r="AC51">
        <f t="shared" si="27"/>
        <v>0.02</v>
      </c>
      <c r="AD51">
        <f t="shared" si="27"/>
        <v>0.02</v>
      </c>
      <c r="AE51">
        <f t="shared" si="27"/>
        <v>0.02</v>
      </c>
      <c r="AF51">
        <f t="shared" si="27"/>
        <v>0.02</v>
      </c>
      <c r="AG51">
        <f t="shared" si="27"/>
        <v>0.02</v>
      </c>
      <c r="AH51">
        <f t="shared" si="27"/>
        <v>0.02</v>
      </c>
    </row>
    <row r="52" ht="15" customHeight="1">
      <c r="B52" t="s">
        <v>1395</v>
      </c>
      <c r="D52">
        <f>ROUND(SOps_UnderwrittenGPR*(1+D51),0)+_xlfn.IFERROR(IF(D45&lt;=$C$49,($C$47*TotalUnits*12*$C$48)/$C$49,0),0)</f>
        <v>1587712</v>
      </c>
      <c r="E52">
        <f t="shared" si="35" ref="E52:AH52">ROUND(D52*(1+E51),0)+_xlfn.IFERROR(IF(E45&lt;=$C$49,($C$47*TotalUnits*12*$C$48)/$C$49,0),0)</f>
        <v>1619466</v>
      </c>
      <c r="F52">
        <f t="shared" si="35"/>
        <v>1651855</v>
      </c>
      <c r="G52">
        <f t="shared" si="35"/>
        <v>1684892</v>
      </c>
      <c r="H52">
        <f t="shared" si="35"/>
        <v>1718590</v>
      </c>
      <c r="I52">
        <f t="shared" si="35"/>
        <v>1752962</v>
      </c>
      <c r="J52">
        <f t="shared" si="35"/>
        <v>1788021</v>
      </c>
      <c r="K52">
        <f t="shared" si="35"/>
        <v>1823781</v>
      </c>
      <c r="L52">
        <f t="shared" si="35"/>
        <v>1860257</v>
      </c>
      <c r="M52">
        <f t="shared" si="35"/>
        <v>1897462</v>
      </c>
      <c r="N52">
        <f t="shared" si="35"/>
        <v>1935411</v>
      </c>
      <c r="O52">
        <f t="shared" si="35"/>
        <v>1974119</v>
      </c>
      <c r="P52">
        <f t="shared" si="35"/>
        <v>2013601</v>
      </c>
      <c r="Q52">
        <f t="shared" si="35"/>
        <v>2053873</v>
      </c>
      <c r="R52">
        <f t="shared" si="35"/>
        <v>2094950</v>
      </c>
      <c r="S52">
        <f t="shared" si="35"/>
        <v>2136849</v>
      </c>
      <c r="T52">
        <f t="shared" si="35"/>
        <v>2179586</v>
      </c>
      <c r="U52">
        <f t="shared" si="35"/>
        <v>2223178</v>
      </c>
      <c r="V52">
        <f t="shared" si="35"/>
        <v>2267642</v>
      </c>
      <c r="W52">
        <f t="shared" si="35"/>
        <v>2312995</v>
      </c>
      <c r="X52">
        <f t="shared" si="35"/>
        <v>2359255</v>
      </c>
      <c r="Y52">
        <f t="shared" si="35"/>
        <v>2406440</v>
      </c>
      <c r="Z52">
        <f t="shared" si="35"/>
        <v>2454569</v>
      </c>
      <c r="AA52">
        <f t="shared" si="35"/>
        <v>2503660</v>
      </c>
      <c r="AB52">
        <f t="shared" si="35"/>
        <v>2553733</v>
      </c>
      <c r="AC52">
        <f t="shared" si="35"/>
        <v>2604808</v>
      </c>
      <c r="AD52">
        <f t="shared" si="35"/>
        <v>2656904</v>
      </c>
      <c r="AE52">
        <f t="shared" si="35"/>
        <v>2710042</v>
      </c>
      <c r="AF52">
        <f t="shared" si="35"/>
        <v>2764243</v>
      </c>
      <c r="AG52">
        <f t="shared" si="35"/>
        <v>2819528</v>
      </c>
      <c r="AH52">
        <f t="shared" si="35"/>
        <v>2875919</v>
      </c>
    </row>
    <row r="53" ht="15" customHeight="1">
      <c r="B53" t="s">
        <v>1397</v>
      </c>
      <c r="C53">
        <f>'Summary OPS'!AV10</f>
        <v>0.11960323272816045</v>
      </c>
      <c r="D53">
        <f t="shared" si="3"/>
        <v>-189895</v>
      </c>
      <c r="E53">
        <f t="shared" si="3"/>
        <v>-193693</v>
      </c>
      <c r="F53">
        <f t="shared" si="3"/>
        <v>-197567</v>
      </c>
      <c r="G53">
        <f t="shared" si="3"/>
        <v>-201519</v>
      </c>
      <c r="H53">
        <f t="shared" si="3"/>
        <v>-205549</v>
      </c>
      <c r="I53">
        <f t="shared" si="3"/>
        <v>-209660</v>
      </c>
      <c r="J53">
        <f t="shared" si="3"/>
        <v>-213853</v>
      </c>
      <c r="K53">
        <f t="shared" si="3"/>
        <v>-218130</v>
      </c>
      <c r="L53">
        <f t="shared" si="3"/>
        <v>-222493</v>
      </c>
      <c r="M53">
        <f t="shared" si="3"/>
        <v>-226943</v>
      </c>
      <c r="N53">
        <f t="shared" si="3"/>
        <v>-231481</v>
      </c>
      <c r="O53">
        <f t="shared" si="3"/>
        <v>-236111</v>
      </c>
      <c r="P53">
        <f t="shared" si="3"/>
        <v>-240833</v>
      </c>
      <c r="Q53">
        <f t="shared" si="3"/>
        <v>-245650</v>
      </c>
      <c r="R53">
        <f t="shared" si="3"/>
        <v>-250563</v>
      </c>
      <c r="S53">
        <f t="shared" si="3"/>
        <v>-255574</v>
      </c>
      <c r="T53">
        <f t="shared" si="3"/>
        <v>-260686</v>
      </c>
      <c r="U53">
        <f t="shared" si="3"/>
        <v>-265899</v>
      </c>
      <c r="V53">
        <f t="shared" si="3"/>
        <v>-271217</v>
      </c>
      <c r="W53">
        <f t="shared" si="3"/>
        <v>-276642</v>
      </c>
      <c r="X53">
        <f t="shared" si="3"/>
        <v>-282175</v>
      </c>
      <c r="Y53">
        <f t="shared" si="3"/>
        <v>-287818</v>
      </c>
      <c r="Z53">
        <f t="shared" si="3"/>
        <v>-293574</v>
      </c>
      <c r="AA53">
        <f t="shared" si="3"/>
        <v>-299446</v>
      </c>
      <c r="AB53">
        <f t="shared" si="3"/>
        <v>-305435</v>
      </c>
      <c r="AC53">
        <f t="shared" si="3"/>
        <v>-311543</v>
      </c>
      <c r="AD53">
        <f t="shared" si="3"/>
        <v>-317774</v>
      </c>
      <c r="AE53">
        <f t="shared" si="3"/>
        <v>-324130</v>
      </c>
      <c r="AF53">
        <f t="shared" si="3"/>
        <v>-330612</v>
      </c>
      <c r="AG53">
        <f t="shared" si="3"/>
        <v>-337225</v>
      </c>
      <c r="AH53">
        <f t="shared" si="3"/>
        <v>-343969</v>
      </c>
    </row>
    <row r="54" ht="15" customHeight="1">
      <c r="B54" t="s">
        <v>1399</v>
      </c>
      <c r="C54">
        <f>'Summary OPS'!AV11</f>
        <v>0.028601164090506108</v>
      </c>
      <c r="D54">
        <f t="shared" si="4"/>
        <v>-45410</v>
      </c>
      <c r="E54">
        <f t="shared" si="4"/>
        <v>-46319</v>
      </c>
      <c r="F54">
        <f t="shared" si="4"/>
        <v>-47245</v>
      </c>
      <c r="G54">
        <f t="shared" si="4"/>
        <v>-48190</v>
      </c>
      <c r="H54">
        <f t="shared" si="4"/>
        <v>-49154</v>
      </c>
      <c r="I54">
        <f t="shared" si="4"/>
        <v>-50137</v>
      </c>
      <c r="J54">
        <f t="shared" si="4"/>
        <v>-51139</v>
      </c>
      <c r="K54">
        <f t="shared" si="4"/>
        <v>-52162</v>
      </c>
      <c r="L54">
        <f t="shared" si="4"/>
        <v>-53206</v>
      </c>
      <c r="M54">
        <f t="shared" si="4"/>
        <v>-54270</v>
      </c>
      <c r="N54">
        <f t="shared" si="4"/>
        <v>-55355</v>
      </c>
      <c r="O54">
        <f t="shared" si="4"/>
        <v>-56462</v>
      </c>
      <c r="P54">
        <f t="shared" si="4"/>
        <v>-57591</v>
      </c>
      <c r="Q54">
        <f t="shared" si="4"/>
        <v>-58743</v>
      </c>
      <c r="R54">
        <f t="shared" si="4"/>
        <v>-59918</v>
      </c>
      <c r="S54">
        <f t="shared" si="4"/>
        <v>-61116</v>
      </c>
      <c r="T54">
        <f t="shared" si="4"/>
        <v>-62339</v>
      </c>
      <c r="U54">
        <f t="shared" si="4"/>
        <v>-63585</v>
      </c>
      <c r="V54">
        <f t="shared" si="4"/>
        <v>-64857</v>
      </c>
      <c r="W54">
        <f t="shared" si="4"/>
        <v>-66154</v>
      </c>
      <c r="X54">
        <f t="shared" si="4"/>
        <v>-67477</v>
      </c>
      <c r="Y54">
        <f t="shared" si="4"/>
        <v>-68827</v>
      </c>
      <c r="Z54">
        <f t="shared" si="4"/>
        <v>-70204</v>
      </c>
      <c r="AA54">
        <f t="shared" si="4"/>
        <v>-71608</v>
      </c>
      <c r="AB54">
        <f t="shared" si="4"/>
        <v>-73040</v>
      </c>
      <c r="AC54">
        <f t="shared" si="4"/>
        <v>-74501</v>
      </c>
      <c r="AD54">
        <f t="shared" si="4"/>
        <v>-75991</v>
      </c>
      <c r="AE54">
        <f t="shared" si="4"/>
        <v>-77510</v>
      </c>
      <c r="AF54">
        <f t="shared" si="4"/>
        <v>-79061</v>
      </c>
      <c r="AG54">
        <f t="shared" si="4"/>
        <v>-80642</v>
      </c>
      <c r="AH54">
        <f t="shared" si="4"/>
        <v>-82255</v>
      </c>
    </row>
    <row r="55" ht="15.75" customHeight="1">
      <c r="B55" t="s">
        <v>1400</v>
      </c>
      <c r="C55">
        <f>'Summary OPS'!AV12</f>
        <v>0</v>
      </c>
      <c r="D55">
        <f t="shared" si="5"/>
        <v>0</v>
      </c>
      <c r="E55">
        <f t="shared" si="5"/>
        <v>0</v>
      </c>
      <c r="F55">
        <f t="shared" si="5"/>
        <v>0</v>
      </c>
      <c r="G55">
        <f t="shared" si="5"/>
        <v>0</v>
      </c>
      <c r="H55">
        <f t="shared" si="5"/>
        <v>0</v>
      </c>
      <c r="I55">
        <f t="shared" si="5"/>
        <v>0</v>
      </c>
      <c r="J55">
        <f t="shared" si="5"/>
        <v>0</v>
      </c>
      <c r="K55">
        <f t="shared" si="5"/>
        <v>0</v>
      </c>
      <c r="L55">
        <f t="shared" si="5"/>
        <v>0</v>
      </c>
      <c r="M55">
        <f t="shared" si="5"/>
        <v>0</v>
      </c>
      <c r="N55">
        <f t="shared" si="5"/>
        <v>0</v>
      </c>
      <c r="O55">
        <f t="shared" si="5"/>
        <v>0</v>
      </c>
      <c r="P55">
        <f t="shared" si="5"/>
        <v>0</v>
      </c>
      <c r="Q55">
        <f t="shared" si="5"/>
        <v>0</v>
      </c>
      <c r="R55">
        <f t="shared" si="5"/>
        <v>0</v>
      </c>
      <c r="S55">
        <f t="shared" si="5"/>
        <v>0</v>
      </c>
      <c r="T55">
        <f t="shared" si="5"/>
        <v>0</v>
      </c>
      <c r="U55">
        <f t="shared" si="5"/>
        <v>0</v>
      </c>
      <c r="V55">
        <f t="shared" si="5"/>
        <v>0</v>
      </c>
      <c r="W55">
        <f t="shared" si="5"/>
        <v>0</v>
      </c>
      <c r="X55">
        <f t="shared" si="5"/>
        <v>0</v>
      </c>
      <c r="Y55">
        <f t="shared" si="5"/>
        <v>0</v>
      </c>
      <c r="Z55">
        <f t="shared" si="5"/>
        <v>0</v>
      </c>
      <c r="AA55">
        <f t="shared" si="5"/>
        <v>0</v>
      </c>
      <c r="AB55">
        <f t="shared" si="5"/>
        <v>0</v>
      </c>
      <c r="AC55">
        <f t="shared" si="5"/>
        <v>0</v>
      </c>
      <c r="AD55">
        <f t="shared" si="5"/>
        <v>0</v>
      </c>
      <c r="AE55">
        <f t="shared" si="5"/>
        <v>0</v>
      </c>
      <c r="AF55">
        <f t="shared" si="5"/>
        <v>0</v>
      </c>
      <c r="AG55">
        <f t="shared" si="5"/>
        <v>0</v>
      </c>
      <c r="AH55">
        <f t="shared" si="5"/>
        <v>0</v>
      </c>
    </row>
    <row r="56" ht="15" customHeight="1">
      <c r="B56" t="s">
        <v>1401</v>
      </c>
      <c r="D56">
        <f t="shared" si="6"/>
        <v>1352407</v>
      </c>
      <c r="E56">
        <f t="shared" si="6"/>
        <v>1379454</v>
      </c>
      <c r="F56">
        <f t="shared" si="6"/>
        <v>1407043</v>
      </c>
      <c r="G56">
        <f t="shared" si="6"/>
        <v>1435183</v>
      </c>
      <c r="H56">
        <f t="shared" si="6"/>
        <v>1463887</v>
      </c>
      <c r="I56">
        <f t="shared" si="6"/>
        <v>1493165</v>
      </c>
      <c r="J56">
        <f t="shared" si="6"/>
        <v>1523029</v>
      </c>
      <c r="K56">
        <f t="shared" si="6"/>
        <v>1553489</v>
      </c>
      <c r="L56">
        <f t="shared" si="6"/>
        <v>1584558</v>
      </c>
      <c r="M56">
        <f t="shared" si="6"/>
        <v>1616249</v>
      </c>
      <c r="N56">
        <f t="shared" si="6"/>
        <v>1648575</v>
      </c>
      <c r="O56">
        <f t="shared" si="6"/>
        <v>1681546</v>
      </c>
      <c r="P56">
        <f t="shared" si="6"/>
        <v>1715177</v>
      </c>
      <c r="Q56">
        <f t="shared" si="6"/>
        <v>1749480</v>
      </c>
      <c r="R56">
        <f t="shared" si="6"/>
        <v>1784469</v>
      </c>
      <c r="S56">
        <f t="shared" si="6"/>
        <v>1820159</v>
      </c>
      <c r="T56">
        <f t="shared" si="6"/>
        <v>1856561</v>
      </c>
      <c r="U56">
        <f t="shared" si="6"/>
        <v>1893694</v>
      </c>
      <c r="V56">
        <f t="shared" si="6"/>
        <v>1931568</v>
      </c>
      <c r="W56">
        <f t="shared" si="6"/>
        <v>1970199</v>
      </c>
      <c r="X56">
        <f t="shared" si="6"/>
        <v>2009603</v>
      </c>
      <c r="Y56">
        <f t="shared" si="6"/>
        <v>2049795</v>
      </c>
      <c r="Z56">
        <f t="shared" si="6"/>
        <v>2090791</v>
      </c>
      <c r="AA56">
        <f t="shared" si="6"/>
        <v>2132606</v>
      </c>
      <c r="AB56">
        <f t="shared" si="6"/>
        <v>2175258</v>
      </c>
      <c r="AC56">
        <f t="shared" si="6"/>
        <v>2218764</v>
      </c>
      <c r="AD56">
        <f t="shared" si="6"/>
        <v>2263139</v>
      </c>
      <c r="AE56">
        <f t="shared" si="6"/>
        <v>2308402</v>
      </c>
      <c r="AF56">
        <f t="shared" si="6"/>
        <v>2354570</v>
      </c>
      <c r="AG56">
        <f t="shared" si="6"/>
        <v>2401661</v>
      </c>
      <c r="AH56">
        <f t="shared" si="6"/>
        <v>2449695</v>
      </c>
    </row>
    <row r="57" ht="15" customHeight="1">
      <c r="B57" t="s">
        <v>1404</v>
      </c>
      <c r="D57">
        <f>ROUND('Summary OPS'!AU$15*(1+D51),0)</f>
        <v>30286</v>
      </c>
      <c r="E57">
        <f t="shared" si="7"/>
        <v>30892</v>
      </c>
      <c r="F57">
        <f t="shared" si="7"/>
        <v>31510</v>
      </c>
      <c r="G57">
        <f t="shared" si="7"/>
        <v>32140</v>
      </c>
      <c r="H57">
        <f t="shared" si="7"/>
        <v>32783</v>
      </c>
      <c r="I57">
        <f t="shared" si="7"/>
        <v>33439</v>
      </c>
      <c r="J57">
        <f t="shared" si="7"/>
        <v>34108</v>
      </c>
      <c r="K57">
        <f t="shared" si="7"/>
        <v>34790</v>
      </c>
      <c r="L57">
        <f t="shared" si="7"/>
        <v>35486</v>
      </c>
      <c r="M57">
        <f t="shared" si="7"/>
        <v>36196</v>
      </c>
      <c r="N57">
        <f t="shared" si="7"/>
        <v>36920</v>
      </c>
      <c r="O57">
        <f t="shared" si="7"/>
        <v>37658</v>
      </c>
      <c r="P57">
        <f t="shared" si="7"/>
        <v>38411</v>
      </c>
      <c r="Q57">
        <f t="shared" si="7"/>
        <v>39179</v>
      </c>
      <c r="R57">
        <f t="shared" si="7"/>
        <v>39963</v>
      </c>
      <c r="S57">
        <f t="shared" si="7"/>
        <v>40762</v>
      </c>
      <c r="T57">
        <f t="shared" si="7"/>
        <v>41577</v>
      </c>
      <c r="U57">
        <f t="shared" si="7"/>
        <v>42409</v>
      </c>
      <c r="V57">
        <f t="shared" si="7"/>
        <v>43257</v>
      </c>
      <c r="W57">
        <f t="shared" si="7"/>
        <v>44122</v>
      </c>
      <c r="X57">
        <f t="shared" si="7"/>
        <v>45004</v>
      </c>
      <c r="Y57">
        <f t="shared" si="7"/>
        <v>45904</v>
      </c>
      <c r="Z57">
        <f t="shared" si="7"/>
        <v>46822</v>
      </c>
      <c r="AA57">
        <f t="shared" si="7"/>
        <v>47758</v>
      </c>
      <c r="AB57">
        <f t="shared" si="7"/>
        <v>48713</v>
      </c>
      <c r="AC57">
        <f t="shared" si="7"/>
        <v>49687</v>
      </c>
      <c r="AD57">
        <f t="shared" si="7"/>
        <v>50681</v>
      </c>
      <c r="AE57">
        <f t="shared" si="7"/>
        <v>51695</v>
      </c>
      <c r="AF57">
        <f t="shared" si="7"/>
        <v>52729</v>
      </c>
      <c r="AG57">
        <f t="shared" si="7"/>
        <v>53784</v>
      </c>
      <c r="AH57">
        <f t="shared" si="7"/>
        <v>54860</v>
      </c>
    </row>
    <row r="58" ht="15" customHeight="1">
      <c r="B58" t="s">
        <v>1405</v>
      </c>
      <c r="D58">
        <f>ROUND('Summary OPS'!AU$16*(1+D51),0)</f>
        <v>0</v>
      </c>
      <c r="E58">
        <f t="shared" si="8"/>
        <v>0</v>
      </c>
      <c r="F58">
        <f t="shared" si="8"/>
        <v>0</v>
      </c>
      <c r="G58">
        <f t="shared" si="8"/>
        <v>0</v>
      </c>
      <c r="H58">
        <f t="shared" si="8"/>
        <v>0</v>
      </c>
      <c r="I58">
        <f t="shared" si="8"/>
        <v>0</v>
      </c>
      <c r="J58">
        <f t="shared" si="8"/>
        <v>0</v>
      </c>
      <c r="K58">
        <f t="shared" si="8"/>
        <v>0</v>
      </c>
      <c r="L58">
        <f t="shared" si="8"/>
        <v>0</v>
      </c>
      <c r="M58">
        <f t="shared" si="8"/>
        <v>0</v>
      </c>
      <c r="N58">
        <f t="shared" si="8"/>
        <v>0</v>
      </c>
      <c r="O58">
        <f t="shared" si="8"/>
        <v>0</v>
      </c>
      <c r="P58">
        <f t="shared" si="8"/>
        <v>0</v>
      </c>
      <c r="Q58">
        <f t="shared" si="8"/>
        <v>0</v>
      </c>
      <c r="R58">
        <f t="shared" si="8"/>
        <v>0</v>
      </c>
      <c r="S58">
        <f t="shared" si="8"/>
        <v>0</v>
      </c>
      <c r="T58">
        <f t="shared" si="8"/>
        <v>0</v>
      </c>
      <c r="U58">
        <f t="shared" si="8"/>
        <v>0</v>
      </c>
      <c r="V58">
        <f t="shared" si="8"/>
        <v>0</v>
      </c>
      <c r="W58">
        <f t="shared" si="8"/>
        <v>0</v>
      </c>
      <c r="X58">
        <f t="shared" si="8"/>
        <v>0</v>
      </c>
      <c r="Y58">
        <f t="shared" si="8"/>
        <v>0</v>
      </c>
      <c r="Z58">
        <f t="shared" si="8"/>
        <v>0</v>
      </c>
      <c r="AA58">
        <f t="shared" si="8"/>
        <v>0</v>
      </c>
      <c r="AB58">
        <f t="shared" si="8"/>
        <v>0</v>
      </c>
      <c r="AC58">
        <f t="shared" si="8"/>
        <v>0</v>
      </c>
      <c r="AD58">
        <f t="shared" si="8"/>
        <v>0</v>
      </c>
      <c r="AE58">
        <f t="shared" si="8"/>
        <v>0</v>
      </c>
      <c r="AF58">
        <f t="shared" si="8"/>
        <v>0</v>
      </c>
      <c r="AG58">
        <f t="shared" si="8"/>
        <v>0</v>
      </c>
      <c r="AH58">
        <f t="shared" si="8"/>
        <v>0</v>
      </c>
    </row>
    <row r="59" ht="15" customHeight="1">
      <c r="B59" t="s">
        <v>1406</v>
      </c>
      <c r="D59">
        <f>ROUND('Summary OPS'!AU$17*(1+D51),0)</f>
        <v>0</v>
      </c>
      <c r="E59">
        <f t="shared" si="9"/>
        <v>0</v>
      </c>
      <c r="F59">
        <f t="shared" si="9"/>
        <v>0</v>
      </c>
      <c r="G59">
        <f t="shared" si="9"/>
        <v>0</v>
      </c>
      <c r="H59">
        <f t="shared" si="9"/>
        <v>0</v>
      </c>
      <c r="I59">
        <f t="shared" si="9"/>
        <v>0</v>
      </c>
      <c r="J59">
        <f t="shared" si="9"/>
        <v>0</v>
      </c>
      <c r="K59">
        <f t="shared" si="9"/>
        <v>0</v>
      </c>
      <c r="L59">
        <f t="shared" si="9"/>
        <v>0</v>
      </c>
      <c r="M59">
        <f t="shared" si="9"/>
        <v>0</v>
      </c>
      <c r="N59">
        <f t="shared" si="9"/>
        <v>0</v>
      </c>
      <c r="O59">
        <f t="shared" si="9"/>
        <v>0</v>
      </c>
      <c r="P59">
        <f t="shared" si="9"/>
        <v>0</v>
      </c>
      <c r="Q59">
        <f t="shared" si="9"/>
        <v>0</v>
      </c>
      <c r="R59">
        <f t="shared" si="9"/>
        <v>0</v>
      </c>
      <c r="S59">
        <f t="shared" si="9"/>
        <v>0</v>
      </c>
      <c r="T59">
        <f t="shared" si="9"/>
        <v>0</v>
      </c>
      <c r="U59">
        <f t="shared" si="9"/>
        <v>0</v>
      </c>
      <c r="V59">
        <f t="shared" si="9"/>
        <v>0</v>
      </c>
      <c r="W59">
        <f t="shared" si="9"/>
        <v>0</v>
      </c>
      <c r="X59">
        <f t="shared" si="9"/>
        <v>0</v>
      </c>
      <c r="Y59">
        <f t="shared" si="9"/>
        <v>0</v>
      </c>
      <c r="Z59">
        <f t="shared" si="9"/>
        <v>0</v>
      </c>
      <c r="AA59">
        <f t="shared" si="9"/>
        <v>0</v>
      </c>
      <c r="AB59">
        <f t="shared" si="9"/>
        <v>0</v>
      </c>
      <c r="AC59">
        <f t="shared" si="9"/>
        <v>0</v>
      </c>
      <c r="AD59">
        <f t="shared" si="9"/>
        <v>0</v>
      </c>
      <c r="AE59">
        <f t="shared" si="9"/>
        <v>0</v>
      </c>
      <c r="AF59">
        <f t="shared" si="9"/>
        <v>0</v>
      </c>
      <c r="AG59">
        <f t="shared" si="9"/>
        <v>0</v>
      </c>
      <c r="AH59">
        <f t="shared" si="9"/>
        <v>0</v>
      </c>
    </row>
    <row r="60" ht="15.75" customHeight="1">
      <c r="B60" t="s">
        <v>1407</v>
      </c>
      <c r="D60">
        <f>ROUND(SUM('Summary OPS'!AU$19:AU$25)*(1+D51),0)</f>
        <v>-250657</v>
      </c>
      <c r="E60">
        <f t="shared" si="10"/>
        <v>-255670</v>
      </c>
      <c r="F60">
        <f t="shared" si="10"/>
        <v>-260783</v>
      </c>
      <c r="G60">
        <f t="shared" si="10"/>
        <v>-265999</v>
      </c>
      <c r="H60">
        <f t="shared" si="10"/>
        <v>-271319</v>
      </c>
      <c r="I60">
        <f t="shared" si="10"/>
        <v>-276745</v>
      </c>
      <c r="J60">
        <f t="shared" si="10"/>
        <v>-282280</v>
      </c>
      <c r="K60">
        <f t="shared" si="10"/>
        <v>-287926</v>
      </c>
      <c r="L60">
        <f t="shared" si="10"/>
        <v>-293685</v>
      </c>
      <c r="M60">
        <f t="shared" si="10"/>
        <v>-299559</v>
      </c>
      <c r="N60">
        <f t="shared" si="10"/>
        <v>-305550</v>
      </c>
      <c r="O60">
        <f t="shared" si="10"/>
        <v>-311661</v>
      </c>
      <c r="P60">
        <f t="shared" si="10"/>
        <v>-317894</v>
      </c>
      <c r="Q60">
        <f t="shared" si="10"/>
        <v>-324252</v>
      </c>
      <c r="R60">
        <f t="shared" si="10"/>
        <v>-330737</v>
      </c>
      <c r="S60">
        <f t="shared" si="10"/>
        <v>-337352</v>
      </c>
      <c r="T60">
        <f t="shared" si="10"/>
        <v>-344099</v>
      </c>
      <c r="U60">
        <f t="shared" si="10"/>
        <v>-350981</v>
      </c>
      <c r="V60">
        <f t="shared" si="10"/>
        <v>-358001</v>
      </c>
      <c r="W60">
        <f t="shared" si="10"/>
        <v>-365161</v>
      </c>
      <c r="X60">
        <f t="shared" si="10"/>
        <v>-372464</v>
      </c>
      <c r="Y60">
        <f t="shared" si="10"/>
        <v>-379913</v>
      </c>
      <c r="Z60">
        <f t="shared" si="10"/>
        <v>-387511</v>
      </c>
      <c r="AA60">
        <f t="shared" si="10"/>
        <v>-395261</v>
      </c>
      <c r="AB60">
        <f t="shared" si="10"/>
        <v>-403166</v>
      </c>
      <c r="AC60">
        <f t="shared" si="10"/>
        <v>-411229</v>
      </c>
      <c r="AD60">
        <f t="shared" si="10"/>
        <v>-419454</v>
      </c>
      <c r="AE60">
        <f t="shared" si="10"/>
        <v>-427843</v>
      </c>
      <c r="AF60">
        <f t="shared" si="10"/>
        <v>-436400</v>
      </c>
      <c r="AG60">
        <f t="shared" si="10"/>
        <v>-445128</v>
      </c>
      <c r="AH60">
        <f t="shared" si="10"/>
        <v>-454031</v>
      </c>
    </row>
    <row r="61" ht="15.75" customHeight="1">
      <c r="B61" t="s">
        <v>1409</v>
      </c>
      <c r="D61">
        <f t="shared" si="36" ref="D61:AH61">SUM(D56,D57:D60)</f>
        <v>1132036</v>
      </c>
      <c r="E61">
        <f t="shared" si="36"/>
        <v>1154676</v>
      </c>
      <c r="F61">
        <f t="shared" si="36"/>
        <v>1177770</v>
      </c>
      <c r="G61">
        <f t="shared" si="36"/>
        <v>1201324</v>
      </c>
      <c r="H61">
        <f t="shared" si="36"/>
        <v>1225351</v>
      </c>
      <c r="I61">
        <f t="shared" si="36"/>
        <v>1249859</v>
      </c>
      <c r="J61">
        <f t="shared" si="36"/>
        <v>1274857</v>
      </c>
      <c r="K61">
        <f t="shared" si="36"/>
        <v>1300353</v>
      </c>
      <c r="L61">
        <f t="shared" si="36"/>
        <v>1326359</v>
      </c>
      <c r="M61">
        <f t="shared" si="36"/>
        <v>1352886</v>
      </c>
      <c r="N61">
        <f t="shared" si="36"/>
        <v>1379945</v>
      </c>
      <c r="O61">
        <f t="shared" si="36"/>
        <v>1407543</v>
      </c>
      <c r="P61">
        <f t="shared" si="36"/>
        <v>1435694</v>
      </c>
      <c r="Q61">
        <f t="shared" si="36"/>
        <v>1464407</v>
      </c>
      <c r="R61">
        <f t="shared" si="36"/>
        <v>1493695</v>
      </c>
      <c r="S61">
        <f t="shared" si="36"/>
        <v>1523569</v>
      </c>
      <c r="T61">
        <f t="shared" si="36"/>
        <v>1554039</v>
      </c>
      <c r="U61">
        <f t="shared" si="36"/>
        <v>1585122</v>
      </c>
      <c r="V61">
        <f t="shared" si="36"/>
        <v>1616824</v>
      </c>
      <c r="W61">
        <f t="shared" si="36"/>
        <v>1649160</v>
      </c>
      <c r="X61">
        <f t="shared" si="36"/>
        <v>1682143</v>
      </c>
      <c r="Y61">
        <f t="shared" si="36"/>
        <v>1715786</v>
      </c>
      <c r="Z61">
        <f t="shared" si="36"/>
        <v>1750102</v>
      </c>
      <c r="AA61">
        <f t="shared" si="36"/>
        <v>1785103</v>
      </c>
      <c r="AB61">
        <f t="shared" si="36"/>
        <v>1820805</v>
      </c>
      <c r="AC61">
        <f t="shared" si="36"/>
        <v>1857222</v>
      </c>
      <c r="AD61">
        <f t="shared" si="36"/>
        <v>1894366</v>
      </c>
      <c r="AE61">
        <f t="shared" si="36"/>
        <v>1932254</v>
      </c>
      <c r="AF61">
        <f t="shared" si="36"/>
        <v>1970899</v>
      </c>
      <c r="AG61">
        <f t="shared" si="36"/>
        <v>2010317</v>
      </c>
      <c r="AH61">
        <f t="shared" si="36"/>
        <v>2050524</v>
      </c>
    </row>
    <row r="62" ht="15.75" customHeight="1">
      <c r="B62" t="s">
        <v>1410</v>
      </c>
      <c r="C62" t="s">
        <v>1411</v>
      </c>
      <c r="E62">
        <v>0.03</v>
      </c>
      <c r="F62">
        <f t="shared" si="27"/>
        <v>0.03</v>
      </c>
      <c r="G62">
        <f t="shared" si="27"/>
        <v>0.03</v>
      </c>
      <c r="H62">
        <f t="shared" si="27"/>
        <v>0.03</v>
      </c>
      <c r="I62">
        <f t="shared" si="27"/>
        <v>0.03</v>
      </c>
      <c r="J62">
        <f t="shared" si="27"/>
        <v>0.03</v>
      </c>
      <c r="K62">
        <f t="shared" si="27"/>
        <v>0.03</v>
      </c>
      <c r="L62">
        <f t="shared" si="27"/>
        <v>0.03</v>
      </c>
      <c r="M62">
        <f t="shared" si="27"/>
        <v>0.03</v>
      </c>
      <c r="N62">
        <f t="shared" si="27"/>
        <v>0.03</v>
      </c>
      <c r="O62">
        <f t="shared" si="27"/>
        <v>0.03</v>
      </c>
      <c r="P62">
        <f t="shared" si="27"/>
        <v>0.03</v>
      </c>
      <c r="Q62">
        <f t="shared" si="27"/>
        <v>0.03</v>
      </c>
      <c r="R62">
        <f t="shared" si="27"/>
        <v>0.03</v>
      </c>
      <c r="S62">
        <f t="shared" si="27"/>
        <v>0.03</v>
      </c>
      <c r="T62">
        <f t="shared" si="27"/>
        <v>0.03</v>
      </c>
      <c r="U62">
        <f t="shared" si="27"/>
        <v>0.03</v>
      </c>
      <c r="V62">
        <f t="shared" si="27"/>
        <v>0.03</v>
      </c>
      <c r="W62">
        <f t="shared" si="27"/>
        <v>0.03</v>
      </c>
      <c r="X62">
        <f t="shared" si="27"/>
        <v>0.03</v>
      </c>
      <c r="Y62">
        <f t="shared" si="27"/>
        <v>0.03</v>
      </c>
      <c r="Z62">
        <f t="shared" si="27"/>
        <v>0.03</v>
      </c>
      <c r="AA62">
        <f t="shared" si="27"/>
        <v>0.03</v>
      </c>
      <c r="AB62">
        <f t="shared" si="27"/>
        <v>0.03</v>
      </c>
      <c r="AC62">
        <f t="shared" si="27"/>
        <v>0.03</v>
      </c>
      <c r="AD62">
        <f t="shared" si="27"/>
        <v>0.03</v>
      </c>
      <c r="AE62">
        <f t="shared" si="27"/>
        <v>0.03</v>
      </c>
      <c r="AF62">
        <f t="shared" si="27"/>
        <v>0.03</v>
      </c>
      <c r="AG62">
        <f t="shared" si="27"/>
        <v>0.03</v>
      </c>
      <c r="AH62">
        <f t="shared" si="27"/>
        <v>0.03</v>
      </c>
    </row>
    <row r="63" ht="15" customHeight="1">
      <c r="B63" t="s">
        <v>1412</v>
      </c>
      <c r="C63">
        <f t="shared" si="37"/>
        <v>0.035</v>
      </c>
      <c r="D63">
        <f>'Summary OPS'!AU$35</f>
        <v>38844.33</v>
      </c>
      <c r="E63">
        <f t="shared" si="14"/>
        <v>40414</v>
      </c>
      <c r="F63">
        <f t="shared" si="14"/>
        <v>41222</v>
      </c>
      <c r="G63">
        <f t="shared" si="14"/>
        <v>42046</v>
      </c>
      <c r="H63">
        <f t="shared" si="14"/>
        <v>42887</v>
      </c>
      <c r="I63">
        <f t="shared" si="14"/>
        <v>43745</v>
      </c>
      <c r="J63">
        <f t="shared" si="14"/>
        <v>44620</v>
      </c>
      <c r="K63">
        <f t="shared" si="14"/>
        <v>45512</v>
      </c>
      <c r="L63">
        <f t="shared" si="14"/>
        <v>46423</v>
      </c>
      <c r="M63">
        <f t="shared" si="14"/>
        <v>47351</v>
      </c>
      <c r="N63">
        <f t="shared" si="14"/>
        <v>48298</v>
      </c>
      <c r="O63">
        <f t="shared" si="14"/>
        <v>49264</v>
      </c>
      <c r="P63">
        <f t="shared" si="14"/>
        <v>50249</v>
      </c>
      <c r="Q63">
        <f t="shared" si="14"/>
        <v>51254</v>
      </c>
      <c r="R63">
        <f t="shared" si="14"/>
        <v>52279</v>
      </c>
      <c r="S63">
        <f t="shared" si="14"/>
        <v>53325</v>
      </c>
      <c r="T63">
        <f t="shared" si="14"/>
        <v>54391</v>
      </c>
      <c r="U63">
        <f t="shared" si="14"/>
        <v>55479</v>
      </c>
      <c r="V63">
        <f t="shared" si="14"/>
        <v>56589</v>
      </c>
      <c r="W63">
        <f t="shared" si="14"/>
        <v>57721</v>
      </c>
      <c r="X63">
        <f t="shared" si="14"/>
        <v>58875</v>
      </c>
      <c r="Y63">
        <f t="shared" si="14"/>
        <v>60053</v>
      </c>
      <c r="Z63">
        <f t="shared" si="14"/>
        <v>61254</v>
      </c>
      <c r="AA63">
        <f t="shared" si="14"/>
        <v>62479</v>
      </c>
      <c r="AB63">
        <f t="shared" si="14"/>
        <v>63728</v>
      </c>
      <c r="AC63">
        <f t="shared" si="14"/>
        <v>65003</v>
      </c>
      <c r="AD63">
        <f t="shared" si="14"/>
        <v>66303</v>
      </c>
      <c r="AE63">
        <f t="shared" si="14"/>
        <v>67629</v>
      </c>
      <c r="AF63">
        <f t="shared" si="14"/>
        <v>68981</v>
      </c>
      <c r="AG63">
        <f t="shared" si="14"/>
        <v>70361</v>
      </c>
      <c r="AH63">
        <f t="shared" si="14"/>
        <v>71768</v>
      </c>
    </row>
    <row r="64" ht="15" customHeight="1">
      <c r="B64" t="s">
        <v>1414</v>
      </c>
      <c r="D64">
        <f>'Summary OPS'!AU$36+'Summary OPS'!AU$37+'Summary OPS'!AU$38+'Summary OPS'!AU$39+'Summary OPS'!AU$40+'Summary OPS'!AU$47+'Summary OPS'!AU$48</f>
        <v>294976.55</v>
      </c>
      <c r="E64">
        <f t="shared" si="15"/>
        <v>303826</v>
      </c>
      <c r="F64">
        <f t="shared" si="15"/>
        <v>312941</v>
      </c>
      <c r="G64">
        <f t="shared" si="15"/>
        <v>322329</v>
      </c>
      <c r="H64">
        <f t="shared" si="15"/>
        <v>331999</v>
      </c>
      <c r="I64">
        <f t="shared" si="15"/>
        <v>341959</v>
      </c>
      <c r="J64">
        <f t="shared" si="15"/>
        <v>352218</v>
      </c>
      <c r="K64">
        <f t="shared" si="15"/>
        <v>362785</v>
      </c>
      <c r="L64">
        <f t="shared" si="15"/>
        <v>373669</v>
      </c>
      <c r="M64">
        <f t="shared" si="15"/>
        <v>384879</v>
      </c>
      <c r="N64">
        <f t="shared" si="15"/>
        <v>396425</v>
      </c>
      <c r="O64">
        <f t="shared" si="15"/>
        <v>408318</v>
      </c>
      <c r="P64">
        <f t="shared" si="15"/>
        <v>420568</v>
      </c>
      <c r="Q64">
        <f t="shared" si="15"/>
        <v>433185</v>
      </c>
      <c r="R64">
        <f t="shared" si="15"/>
        <v>446181</v>
      </c>
      <c r="S64">
        <f t="shared" si="15"/>
        <v>459566</v>
      </c>
      <c r="T64">
        <f t="shared" si="15"/>
        <v>473353</v>
      </c>
      <c r="U64">
        <f t="shared" si="15"/>
        <v>487554</v>
      </c>
      <c r="V64">
        <f t="shared" si="15"/>
        <v>502181</v>
      </c>
      <c r="W64">
        <f t="shared" si="15"/>
        <v>517246</v>
      </c>
      <c r="X64">
        <f t="shared" si="15"/>
        <v>532763</v>
      </c>
      <c r="Y64">
        <f t="shared" si="15"/>
        <v>548746</v>
      </c>
      <c r="Z64">
        <f t="shared" si="15"/>
        <v>565208</v>
      </c>
      <c r="AA64">
        <f t="shared" si="15"/>
        <v>582164</v>
      </c>
      <c r="AB64">
        <f t="shared" si="15"/>
        <v>599629</v>
      </c>
      <c r="AC64">
        <f t="shared" si="15"/>
        <v>617618</v>
      </c>
      <c r="AD64">
        <f t="shared" si="15"/>
        <v>636147</v>
      </c>
      <c r="AE64">
        <f t="shared" si="15"/>
        <v>655231</v>
      </c>
      <c r="AF64">
        <f t="shared" si="15"/>
        <v>674888</v>
      </c>
      <c r="AG64">
        <f t="shared" si="15"/>
        <v>695135</v>
      </c>
      <c r="AH64">
        <f t="shared" si="15"/>
        <v>715989</v>
      </c>
    </row>
    <row r="65" ht="15" customHeight="1">
      <c r="B65" t="s">
        <v>1416</v>
      </c>
      <c r="D65">
        <f>'Summary OPS'!AU$41</f>
        <v>492493.47</v>
      </c>
      <c r="E65">
        <f t="shared" si="16"/>
        <v>507268</v>
      </c>
      <c r="F65">
        <f t="shared" si="16"/>
        <v>522486</v>
      </c>
      <c r="G65">
        <f t="shared" si="16"/>
        <v>538161</v>
      </c>
      <c r="H65">
        <f t="shared" si="16"/>
        <v>554306</v>
      </c>
      <c r="I65">
        <f t="shared" si="16"/>
        <v>570935</v>
      </c>
      <c r="J65">
        <f t="shared" si="16"/>
        <v>588063</v>
      </c>
      <c r="K65">
        <f t="shared" si="16"/>
        <v>605705</v>
      </c>
      <c r="L65">
        <f t="shared" si="16"/>
        <v>623876</v>
      </c>
      <c r="M65">
        <f t="shared" si="16"/>
        <v>642592</v>
      </c>
      <c r="N65">
        <f t="shared" si="16"/>
        <v>661870</v>
      </c>
      <c r="O65">
        <f t="shared" si="16"/>
        <v>681726</v>
      </c>
      <c r="P65">
        <f t="shared" si="16"/>
        <v>702178</v>
      </c>
      <c r="Q65">
        <f t="shared" si="16"/>
        <v>723243</v>
      </c>
      <c r="R65">
        <f t="shared" si="16"/>
        <v>744940</v>
      </c>
      <c r="S65">
        <f t="shared" si="16"/>
        <v>767288</v>
      </c>
      <c r="T65">
        <f t="shared" si="16"/>
        <v>790307</v>
      </c>
      <c r="U65">
        <f t="shared" si="16"/>
        <v>814016</v>
      </c>
      <c r="V65">
        <f t="shared" si="16"/>
        <v>838436</v>
      </c>
      <c r="W65">
        <f t="shared" si="16"/>
        <v>863589</v>
      </c>
      <c r="X65">
        <f t="shared" si="16"/>
        <v>889497</v>
      </c>
      <c r="Y65">
        <f t="shared" si="16"/>
        <v>916182</v>
      </c>
      <c r="Z65">
        <f t="shared" si="16"/>
        <v>943667</v>
      </c>
      <c r="AA65">
        <f t="shared" si="16"/>
        <v>971977</v>
      </c>
      <c r="AB65">
        <f t="shared" si="16"/>
        <v>1001136</v>
      </c>
      <c r="AC65">
        <f t="shared" si="16"/>
        <v>1031170</v>
      </c>
      <c r="AD65">
        <f t="shared" si="16"/>
        <v>1062105</v>
      </c>
      <c r="AE65">
        <f t="shared" si="16"/>
        <v>1093968</v>
      </c>
      <c r="AF65">
        <f t="shared" si="16"/>
        <v>1126787</v>
      </c>
      <c r="AG65">
        <f t="shared" si="16"/>
        <v>1160591</v>
      </c>
      <c r="AH65">
        <f t="shared" si="16"/>
        <v>1195409</v>
      </c>
    </row>
    <row r="66" ht="15" customHeight="1">
      <c r="B66" t="s">
        <v>1417</v>
      </c>
      <c r="D66">
        <f>'Summary OPS'!AU$42</f>
        <v>183091.77</v>
      </c>
      <c r="E66">
        <f t="shared" si="18"/>
        <v>188585</v>
      </c>
      <c r="F66">
        <f t="shared" si="18"/>
        <v>194243</v>
      </c>
      <c r="G66">
        <f t="shared" si="18"/>
        <v>200070</v>
      </c>
      <c r="H66">
        <f t="shared" si="18"/>
        <v>206072</v>
      </c>
      <c r="I66">
        <f t="shared" si="18"/>
        <v>212254</v>
      </c>
      <c r="J66">
        <f t="shared" si="18"/>
        <v>218622</v>
      </c>
      <c r="K66">
        <f t="shared" si="18"/>
        <v>225181</v>
      </c>
      <c r="L66">
        <f t="shared" si="18"/>
        <v>231936</v>
      </c>
      <c r="M66">
        <f t="shared" si="18"/>
        <v>238894</v>
      </c>
      <c r="N66">
        <f t="shared" si="18"/>
        <v>246061</v>
      </c>
      <c r="O66">
        <f t="shared" si="18"/>
        <v>253443</v>
      </c>
      <c r="P66">
        <f t="shared" si="18"/>
        <v>261046</v>
      </c>
      <c r="Q66">
        <f t="shared" si="18"/>
        <v>268877</v>
      </c>
      <c r="R66">
        <f t="shared" si="18"/>
        <v>276943</v>
      </c>
      <c r="S66">
        <f t="shared" si="18"/>
        <v>285251</v>
      </c>
      <c r="T66">
        <f t="shared" si="18"/>
        <v>293809</v>
      </c>
      <c r="U66">
        <f t="shared" si="18"/>
        <v>302623</v>
      </c>
      <c r="V66">
        <f t="shared" si="18"/>
        <v>311702</v>
      </c>
      <c r="W66">
        <f t="shared" si="18"/>
        <v>321053</v>
      </c>
      <c r="X66">
        <f t="shared" si="18"/>
        <v>330685</v>
      </c>
      <c r="Y66">
        <f t="shared" si="18"/>
        <v>340606</v>
      </c>
      <c r="Z66">
        <f t="shared" si="18"/>
        <v>350824</v>
      </c>
      <c r="AA66">
        <f t="shared" si="18"/>
        <v>361349</v>
      </c>
      <c r="AB66">
        <f t="shared" si="18"/>
        <v>372189</v>
      </c>
      <c r="AC66">
        <f t="shared" si="18"/>
        <v>383355</v>
      </c>
      <c r="AD66">
        <f t="shared" si="18"/>
        <v>394856</v>
      </c>
      <c r="AE66">
        <f t="shared" si="18"/>
        <v>406702</v>
      </c>
      <c r="AF66">
        <f t="shared" si="18"/>
        <v>418903</v>
      </c>
      <c r="AG66">
        <f t="shared" si="18"/>
        <v>431470</v>
      </c>
      <c r="AH66">
        <f t="shared" si="18"/>
        <v>444414</v>
      </c>
    </row>
    <row r="67" ht="15" customHeight="1">
      <c r="B67" t="s">
        <v>1419</v>
      </c>
      <c r="D67">
        <f>'Summary OPS'!AU43</f>
        <v>117599.22</v>
      </c>
      <c r="E67">
        <f t="shared" si="19"/>
        <v>121127</v>
      </c>
      <c r="F67">
        <f t="shared" si="19"/>
        <v>124761</v>
      </c>
      <c r="G67">
        <f t="shared" si="19"/>
        <v>128504</v>
      </c>
      <c r="H67">
        <f t="shared" si="19"/>
        <v>132359</v>
      </c>
      <c r="I67">
        <f t="shared" si="19"/>
        <v>136330</v>
      </c>
      <c r="J67">
        <f t="shared" si="19"/>
        <v>140420</v>
      </c>
      <c r="K67">
        <f t="shared" si="19"/>
        <v>144633</v>
      </c>
      <c r="L67">
        <f t="shared" si="19"/>
        <v>148972</v>
      </c>
      <c r="M67">
        <f t="shared" si="19"/>
        <v>153441</v>
      </c>
      <c r="N67">
        <f t="shared" si="19"/>
        <v>158044</v>
      </c>
      <c r="O67">
        <f t="shared" si="19"/>
        <v>162785</v>
      </c>
      <c r="P67">
        <f t="shared" si="19"/>
        <v>167669</v>
      </c>
      <c r="Q67">
        <f t="shared" si="19"/>
        <v>172699</v>
      </c>
      <c r="R67">
        <f t="shared" si="19"/>
        <v>177880</v>
      </c>
      <c r="S67">
        <f t="shared" si="19"/>
        <v>183216</v>
      </c>
      <c r="T67">
        <f t="shared" si="19"/>
        <v>188712</v>
      </c>
      <c r="U67">
        <f t="shared" si="19"/>
        <v>194373</v>
      </c>
      <c r="V67">
        <f t="shared" si="19"/>
        <v>200204</v>
      </c>
      <c r="W67">
        <f t="shared" si="19"/>
        <v>206210</v>
      </c>
      <c r="X67">
        <f t="shared" si="19"/>
        <v>212396</v>
      </c>
      <c r="Y67">
        <f t="shared" si="19"/>
        <v>218768</v>
      </c>
      <c r="Z67">
        <f t="shared" si="19"/>
        <v>225331</v>
      </c>
      <c r="AA67">
        <f t="shared" si="19"/>
        <v>232091</v>
      </c>
      <c r="AB67">
        <f t="shared" si="19"/>
        <v>239054</v>
      </c>
      <c r="AC67">
        <f t="shared" si="19"/>
        <v>246226</v>
      </c>
      <c r="AD67">
        <f t="shared" si="19"/>
        <v>253613</v>
      </c>
      <c r="AE67">
        <f t="shared" si="19"/>
        <v>261221</v>
      </c>
      <c r="AF67">
        <f t="shared" si="19"/>
        <v>269058</v>
      </c>
      <c r="AG67">
        <f t="shared" si="19"/>
        <v>277130</v>
      </c>
      <c r="AH67">
        <f t="shared" si="19"/>
        <v>285444</v>
      </c>
    </row>
    <row r="68" ht="15.75" customHeight="1">
      <c r="B68" t="s">
        <v>1421</v>
      </c>
      <c r="D68">
        <f>'Summary OPS'!AU$44</f>
        <v>395766.17</v>
      </c>
      <c r="E68">
        <f t="shared" si="7"/>
        <v>407639</v>
      </c>
      <c r="F68">
        <f t="shared" si="7"/>
        <v>419868</v>
      </c>
      <c r="G68">
        <f t="shared" si="7"/>
        <v>432464</v>
      </c>
      <c r="H68">
        <f t="shared" si="7"/>
        <v>445438</v>
      </c>
      <c r="I68">
        <f t="shared" si="7"/>
        <v>458801</v>
      </c>
      <c r="J68">
        <f t="shared" si="7"/>
        <v>472565</v>
      </c>
      <c r="K68">
        <f t="shared" si="7"/>
        <v>486742</v>
      </c>
      <c r="L68">
        <f t="shared" si="7"/>
        <v>501344</v>
      </c>
      <c r="M68">
        <f t="shared" si="7"/>
        <v>516384</v>
      </c>
      <c r="N68">
        <f t="shared" si="7"/>
        <v>531876</v>
      </c>
      <c r="O68">
        <f t="shared" si="7"/>
        <v>547832</v>
      </c>
      <c r="P68">
        <f t="shared" si="7"/>
        <v>564267</v>
      </c>
      <c r="Q68">
        <f t="shared" si="7"/>
        <v>581195</v>
      </c>
      <c r="R68">
        <f t="shared" si="7"/>
        <v>598631</v>
      </c>
      <c r="S68">
        <f t="shared" si="7"/>
        <v>616590</v>
      </c>
      <c r="T68">
        <f t="shared" si="7"/>
        <v>635088</v>
      </c>
      <c r="U68">
        <f t="shared" si="7"/>
        <v>654141</v>
      </c>
      <c r="V68">
        <f t="shared" si="7"/>
        <v>673765</v>
      </c>
      <c r="W68">
        <f t="shared" si="7"/>
        <v>693978</v>
      </c>
      <c r="X68">
        <f t="shared" si="7"/>
        <v>714797</v>
      </c>
      <c r="Y68">
        <f t="shared" si="7"/>
        <v>736241</v>
      </c>
      <c r="Z68">
        <f t="shared" si="7"/>
        <v>758328</v>
      </c>
      <c r="AA68">
        <f t="shared" si="7"/>
        <v>781078</v>
      </c>
      <c r="AB68">
        <f t="shared" si="7"/>
        <v>804510</v>
      </c>
      <c r="AC68">
        <f t="shared" si="7"/>
        <v>828645</v>
      </c>
      <c r="AD68">
        <f t="shared" si="7"/>
        <v>853504</v>
      </c>
      <c r="AE68">
        <f t="shared" si="7"/>
        <v>879109</v>
      </c>
      <c r="AF68">
        <f t="shared" si="7"/>
        <v>905482</v>
      </c>
      <c r="AG68">
        <f t="shared" si="7"/>
        <v>932646</v>
      </c>
      <c r="AH68">
        <f t="shared" si="7"/>
        <v>960625</v>
      </c>
    </row>
    <row r="69" ht="15" customHeight="1">
      <c r="B69" t="s">
        <v>1151</v>
      </c>
      <c r="D69">
        <f>'Summary OPS'!AU$45</f>
        <v>250385.79</v>
      </c>
      <c r="E69">
        <f t="shared" si="8"/>
        <v>257897</v>
      </c>
      <c r="F69">
        <f t="shared" si="8"/>
        <v>265634</v>
      </c>
      <c r="G69">
        <f t="shared" si="8"/>
        <v>273603</v>
      </c>
      <c r="H69">
        <f t="shared" si="8"/>
        <v>281811</v>
      </c>
      <c r="I69">
        <f t="shared" si="8"/>
        <v>290265</v>
      </c>
      <c r="J69">
        <f t="shared" si="8"/>
        <v>298973</v>
      </c>
      <c r="K69">
        <f t="shared" si="8"/>
        <v>307942</v>
      </c>
      <c r="L69">
        <f t="shared" si="8"/>
        <v>317180</v>
      </c>
      <c r="M69">
        <f t="shared" si="8"/>
        <v>326695</v>
      </c>
      <c r="N69">
        <f t="shared" si="8"/>
        <v>336496</v>
      </c>
      <c r="O69">
        <f t="shared" si="8"/>
        <v>346591</v>
      </c>
      <c r="P69">
        <f t="shared" si="8"/>
        <v>356989</v>
      </c>
      <c r="Q69">
        <f t="shared" si="8"/>
        <v>367699</v>
      </c>
      <c r="R69">
        <f t="shared" si="8"/>
        <v>378730</v>
      </c>
      <c r="S69">
        <f t="shared" si="8"/>
        <v>390092</v>
      </c>
      <c r="T69">
        <f t="shared" si="8"/>
        <v>401795</v>
      </c>
      <c r="U69">
        <f t="shared" si="8"/>
        <v>413849</v>
      </c>
      <c r="V69">
        <f t="shared" si="8"/>
        <v>426264</v>
      </c>
      <c r="W69">
        <f t="shared" si="8"/>
        <v>439052</v>
      </c>
      <c r="X69">
        <f t="shared" si="8"/>
        <v>452224</v>
      </c>
      <c r="Y69">
        <f t="shared" si="8"/>
        <v>465791</v>
      </c>
      <c r="Z69">
        <f t="shared" si="8"/>
        <v>479765</v>
      </c>
      <c r="AA69">
        <f t="shared" si="8"/>
        <v>494158</v>
      </c>
      <c r="AB69">
        <f t="shared" si="8"/>
        <v>508983</v>
      </c>
      <c r="AC69">
        <f t="shared" si="8"/>
        <v>524252</v>
      </c>
      <c r="AD69">
        <f t="shared" si="8"/>
        <v>539980</v>
      </c>
      <c r="AE69">
        <f t="shared" si="8"/>
        <v>556179</v>
      </c>
      <c r="AF69">
        <f t="shared" si="8"/>
        <v>572864</v>
      </c>
      <c r="AG69">
        <f t="shared" si="8"/>
        <v>590050</v>
      </c>
      <c r="AH69">
        <f t="shared" si="8"/>
        <v>607752</v>
      </c>
    </row>
    <row r="70" ht="15" customHeight="1">
      <c r="B70" t="s">
        <v>1423</v>
      </c>
      <c r="C70">
        <f t="shared" si="38"/>
        <v>0.03</v>
      </c>
      <c r="D70">
        <f>'Fannie Historical Ops'!AK$33</f>
        <v>1036382.91</v>
      </c>
      <c r="E70">
        <f t="shared" si="39" ref="E70:AH70">D70*(1+$C70)</f>
        <v>1067474.3973</v>
      </c>
      <c r="F70">
        <f t="shared" si="39"/>
        <v>1099498.629219</v>
      </c>
      <c r="G70">
        <f t="shared" si="39"/>
        <v>1132483.58809557</v>
      </c>
      <c r="H70">
        <f t="shared" si="39"/>
        <v>1166458.095738437</v>
      </c>
      <c r="I70">
        <f t="shared" si="39"/>
        <v>1201451.8386105902</v>
      </c>
      <c r="J70">
        <f t="shared" si="39"/>
        <v>1237495.393768908</v>
      </c>
      <c r="K70">
        <f t="shared" si="39"/>
        <v>1274620.2555819752</v>
      </c>
      <c r="L70">
        <f t="shared" si="39"/>
        <v>1312858.8632494344</v>
      </c>
      <c r="M70">
        <f t="shared" si="39"/>
        <v>1352244.6291469175</v>
      </c>
      <c r="N70">
        <f t="shared" si="39"/>
        <v>1392811.968021325</v>
      </c>
      <c r="O70">
        <f t="shared" si="39"/>
        <v>1434596.327061965</v>
      </c>
      <c r="P70">
        <f t="shared" si="39"/>
        <v>1477634.216873824</v>
      </c>
      <c r="Q70">
        <f t="shared" si="39"/>
        <v>1521963.2433800388</v>
      </c>
      <c r="R70">
        <f t="shared" si="39"/>
        <v>1567622.14068144</v>
      </c>
      <c r="S70">
        <f t="shared" si="39"/>
        <v>1614650.8049018832</v>
      </c>
      <c r="T70">
        <f t="shared" si="39"/>
        <v>1663090.3290489397</v>
      </c>
      <c r="U70">
        <f t="shared" si="39"/>
        <v>1712983.0389204079</v>
      </c>
      <c r="V70">
        <f t="shared" si="39"/>
        <v>1764372.5300880203</v>
      </c>
      <c r="W70">
        <f t="shared" si="39"/>
        <v>1817303.705990661</v>
      </c>
      <c r="X70">
        <f t="shared" si="39"/>
        <v>1871822.8171703808</v>
      </c>
      <c r="Y70">
        <f t="shared" si="39"/>
        <v>1927977.5016854922</v>
      </c>
      <c r="Z70">
        <f t="shared" si="39"/>
        <v>1985816.826736057</v>
      </c>
      <c r="AA70">
        <f t="shared" si="39"/>
        <v>2045391.3315381387</v>
      </c>
      <c r="AB70">
        <f t="shared" si="39"/>
        <v>2106753.071484283</v>
      </c>
      <c r="AC70">
        <f t="shared" si="39"/>
        <v>2169955.6636288115</v>
      </c>
      <c r="AD70">
        <f t="shared" si="39"/>
        <v>2235054.333537676</v>
      </c>
      <c r="AE70">
        <f t="shared" si="39"/>
        <v>2302105.963543806</v>
      </c>
      <c r="AF70">
        <f t="shared" si="39"/>
        <v>2371169.1424501203</v>
      </c>
      <c r="AG70">
        <f t="shared" si="39"/>
        <v>2442304.216723624</v>
      </c>
      <c r="AH70">
        <f t="shared" si="39"/>
        <v>2515573.343225333</v>
      </c>
    </row>
    <row r="71" ht="15.75" customHeight="1">
      <c r="B71" t="s">
        <v>1425</v>
      </c>
      <c r="D71">
        <f>'Summary OPS'!AU$51</f>
        <v>21250</v>
      </c>
      <c r="E71">
        <f t="shared" si="27"/>
        <v>21250</v>
      </c>
      <c r="F71">
        <f t="shared" si="27"/>
        <v>21250</v>
      </c>
      <c r="G71">
        <f t="shared" si="27"/>
        <v>21250</v>
      </c>
      <c r="H71">
        <f t="shared" si="27"/>
        <v>21250</v>
      </c>
      <c r="I71">
        <f t="shared" si="27"/>
        <v>21250</v>
      </c>
      <c r="J71">
        <f t="shared" si="27"/>
        <v>21250</v>
      </c>
      <c r="K71">
        <f t="shared" si="27"/>
        <v>21250</v>
      </c>
      <c r="L71">
        <f t="shared" si="27"/>
        <v>21250</v>
      </c>
      <c r="M71">
        <f t="shared" si="27"/>
        <v>21250</v>
      </c>
      <c r="N71">
        <f t="shared" si="27"/>
        <v>21250</v>
      </c>
      <c r="O71">
        <f t="shared" si="27"/>
        <v>21250</v>
      </c>
      <c r="P71">
        <f t="shared" si="27"/>
        <v>21250</v>
      </c>
      <c r="Q71">
        <f t="shared" si="27"/>
        <v>21250</v>
      </c>
      <c r="R71">
        <f t="shared" si="27"/>
        <v>21250</v>
      </c>
      <c r="S71">
        <f t="shared" si="27"/>
        <v>21250</v>
      </c>
      <c r="T71">
        <f t="shared" si="27"/>
        <v>21250</v>
      </c>
      <c r="U71">
        <f t="shared" si="27"/>
        <v>21250</v>
      </c>
      <c r="V71">
        <f t="shared" si="27"/>
        <v>21250</v>
      </c>
      <c r="W71">
        <f t="shared" si="27"/>
        <v>21250</v>
      </c>
      <c r="X71">
        <f t="shared" si="27"/>
        <v>21250</v>
      </c>
      <c r="Y71">
        <f t="shared" si="27"/>
        <v>21250</v>
      </c>
      <c r="Z71">
        <f t="shared" si="27"/>
        <v>21250</v>
      </c>
      <c r="AA71">
        <f t="shared" si="27"/>
        <v>21250</v>
      </c>
      <c r="AB71">
        <f t="shared" si="27"/>
        <v>21250</v>
      </c>
      <c r="AC71">
        <f t="shared" si="27"/>
        <v>21250</v>
      </c>
      <c r="AD71">
        <f t="shared" si="27"/>
        <v>21250</v>
      </c>
      <c r="AE71">
        <f t="shared" si="27"/>
        <v>21250</v>
      </c>
      <c r="AF71">
        <f t="shared" si="27"/>
        <v>21250</v>
      </c>
      <c r="AG71">
        <f t="shared" si="27"/>
        <v>21250</v>
      </c>
      <c r="AH71">
        <f t="shared" si="27"/>
        <v>21250</v>
      </c>
    </row>
    <row r="72" ht="15.75" customHeight="1">
      <c r="B72" t="s">
        <v>1426</v>
      </c>
      <c r="D72">
        <f t="shared" si="25"/>
        <v>2830790.21</v>
      </c>
      <c r="E72">
        <f t="shared" si="25"/>
        <v>2915480.3973000003</v>
      </c>
      <c r="F72">
        <f t="shared" si="25"/>
        <v>3001903.629219</v>
      </c>
      <c r="G72">
        <f t="shared" si="25"/>
        <v>3090910.58809557</v>
      </c>
      <c r="H72">
        <f t="shared" si="25"/>
        <v>3182580.095738437</v>
      </c>
      <c r="I72">
        <f t="shared" si="25"/>
        <v>3276990.8386105904</v>
      </c>
      <c r="J72">
        <f t="shared" si="25"/>
        <v>3374226.393768908</v>
      </c>
      <c r="K72">
        <f t="shared" si="25"/>
        <v>3474370.255581975</v>
      </c>
      <c r="L72">
        <f t="shared" si="25"/>
        <v>3577508.863249434</v>
      </c>
      <c r="M72">
        <f t="shared" si="25"/>
        <v>3683730.6291469177</v>
      </c>
      <c r="N72">
        <f t="shared" si="25"/>
        <v>3793131.968021325</v>
      </c>
      <c r="O72">
        <f t="shared" si="25"/>
        <v>3905805.327061965</v>
      </c>
      <c r="P72">
        <f t="shared" si="25"/>
        <v>4021850.2168738237</v>
      </c>
      <c r="Q72">
        <f t="shared" si="25"/>
        <v>4141365.243380039</v>
      </c>
      <c r="R72">
        <f t="shared" si="25"/>
        <v>4264456.14068144</v>
      </c>
      <c r="S72">
        <f t="shared" si="25"/>
        <v>4391228.804901883</v>
      </c>
      <c r="T72">
        <f t="shared" si="25"/>
        <v>4521795.32904894</v>
      </c>
      <c r="U72">
        <f t="shared" si="25"/>
        <v>4656268.038920408</v>
      </c>
      <c r="V72">
        <f t="shared" si="25"/>
        <v>4794763.5300880205</v>
      </c>
      <c r="W72">
        <f t="shared" si="25"/>
        <v>4937402.705990661</v>
      </c>
      <c r="X72">
        <f t="shared" si="25"/>
        <v>5084309.817170381</v>
      </c>
      <c r="Y72">
        <f t="shared" si="25"/>
        <v>5235614.501685493</v>
      </c>
      <c r="Z72">
        <f t="shared" si="25"/>
        <v>5391443.826736057</v>
      </c>
      <c r="AA72">
        <f t="shared" si="25"/>
        <v>5551937.331538139</v>
      </c>
      <c r="AB72">
        <f t="shared" si="25"/>
        <v>5717232.071484283</v>
      </c>
      <c r="AC72">
        <f t="shared" si="25"/>
        <v>5887474.663628811</v>
      </c>
      <c r="AD72">
        <f t="shared" si="25"/>
        <v>6062812.333537675</v>
      </c>
      <c r="AE72">
        <f t="shared" si="25"/>
        <v>6243394.963543806</v>
      </c>
      <c r="AF72">
        <f t="shared" si="25"/>
        <v>6429382.14245012</v>
      </c>
      <c r="AG72">
        <f t="shared" si="25"/>
        <v>6620937.216723625</v>
      </c>
      <c r="AH72">
        <f t="shared" si="25"/>
        <v>6818224.343225333</v>
      </c>
    </row>
    <row r="73" ht="15.75" customHeight="1">
      <c r="B73" t="s">
        <v>1427</v>
      </c>
      <c r="D73">
        <f t="shared" si="26"/>
        <v>-1698754.21</v>
      </c>
      <c r="E73">
        <f t="shared" si="26"/>
        <v>-1760804.3973000003</v>
      </c>
      <c r="F73">
        <f t="shared" si="26"/>
        <v>-1824133.6292190002</v>
      </c>
      <c r="G73">
        <f t="shared" si="26"/>
        <v>-1889586.58809557</v>
      </c>
      <c r="H73">
        <f t="shared" si="26"/>
        <v>-1957229.095738437</v>
      </c>
      <c r="I73">
        <f t="shared" si="26"/>
        <v>-2027131.8386105904</v>
      </c>
      <c r="J73">
        <f t="shared" si="26"/>
        <v>-2099369.393768908</v>
      </c>
      <c r="K73">
        <f t="shared" si="26"/>
        <v>-2174017.255581975</v>
      </c>
      <c r="L73">
        <f t="shared" si="26"/>
        <v>-2251149.863249434</v>
      </c>
      <c r="M73">
        <f t="shared" si="26"/>
        <v>-2330844.6291469177</v>
      </c>
      <c r="N73">
        <f t="shared" si="26"/>
        <v>-2413186.968021325</v>
      </c>
      <c r="O73">
        <f t="shared" si="26"/>
        <v>-2498262.327061965</v>
      </c>
      <c r="P73">
        <f t="shared" si="26"/>
        <v>-2586156.2168738237</v>
      </c>
      <c r="Q73">
        <f t="shared" si="26"/>
        <v>-2676958.243380039</v>
      </c>
      <c r="R73">
        <f t="shared" si="26"/>
        <v>-2770761.14068144</v>
      </c>
      <c r="S73">
        <f t="shared" si="26"/>
        <v>-2867659.804901883</v>
      </c>
      <c r="T73">
        <f t="shared" si="26"/>
        <v>-2967756.32904894</v>
      </c>
      <c r="U73">
        <f t="shared" si="26"/>
        <v>-3071146.038920408</v>
      </c>
      <c r="V73">
        <f t="shared" si="26"/>
        <v>-3177939.5300880205</v>
      </c>
      <c r="W73">
        <f t="shared" si="26"/>
        <v>-3288242.705990661</v>
      </c>
      <c r="X73">
        <f t="shared" si="26"/>
        <v>-3402166.8171703806</v>
      </c>
      <c r="Y73">
        <f t="shared" si="26"/>
        <v>-3519828.5016854927</v>
      </c>
      <c r="Z73">
        <f t="shared" si="26"/>
        <v>-3641341.826736057</v>
      </c>
      <c r="AA73">
        <f t="shared" si="26"/>
        <v>-3766834.331538139</v>
      </c>
      <c r="AB73">
        <f t="shared" si="26"/>
        <v>-3896427.0714842826</v>
      </c>
      <c r="AC73">
        <f t="shared" si="26"/>
        <v>-4030252.663628811</v>
      </c>
      <c r="AD73">
        <f t="shared" si="26"/>
        <v>-4168446.3335376754</v>
      </c>
      <c r="AE73">
        <f t="shared" si="26"/>
        <v>-4311140.963543806</v>
      </c>
      <c r="AF73">
        <f t="shared" si="26"/>
        <v>-4458483.14245012</v>
      </c>
      <c r="AG73">
        <f t="shared" si="26"/>
        <v>-4610620.216723625</v>
      </c>
      <c r="AH73">
        <f t="shared" si="26"/>
        <v>-4767700.343225333</v>
      </c>
    </row>
    <row r="74" ht="15" customHeight="1">
      <c r="B74" t="s">
        <v>1429</v>
      </c>
      <c r="D74" t="e">
        <f>IF('SBL Quotes'!$AN$35="Assumption",AmortizingDebtService,AmortizingDebtService+FirstDebtService_IfSupp+SecondDebtService_IfSupp+ThirdDebtService_IfSupp)</f>
        <v>#NAME?</v>
      </c>
      <c r="E74" t="e">
        <f t="shared" si="27"/>
        <v>#NAME?</v>
      </c>
      <c r="F74" t="e">
        <f t="shared" si="27"/>
        <v>#NAME?</v>
      </c>
      <c r="G74" t="e">
        <f t="shared" si="27"/>
        <v>#NAME?</v>
      </c>
      <c r="H74" t="e">
        <f t="shared" si="27"/>
        <v>#NAME?</v>
      </c>
      <c r="I74" t="e">
        <f t="shared" si="27"/>
        <v>#NAME?</v>
      </c>
      <c r="J74" t="e">
        <f t="shared" si="27"/>
        <v>#NAME?</v>
      </c>
      <c r="K74" t="e">
        <f t="shared" si="27"/>
        <v>#NAME?</v>
      </c>
      <c r="L74" t="e">
        <f t="shared" si="27"/>
        <v>#NAME?</v>
      </c>
      <c r="M74" t="e">
        <f t="shared" si="27"/>
        <v>#NAME?</v>
      </c>
      <c r="N74" t="e">
        <f t="shared" si="27"/>
        <v>#NAME?</v>
      </c>
      <c r="O74" t="e">
        <f t="shared" si="27"/>
        <v>#NAME?</v>
      </c>
      <c r="P74" t="e">
        <f t="shared" si="27"/>
        <v>#NAME?</v>
      </c>
      <c r="Q74" t="e">
        <f t="shared" si="27"/>
        <v>#NAME?</v>
      </c>
      <c r="R74" t="e">
        <f t="shared" si="27"/>
        <v>#NAME?</v>
      </c>
      <c r="S74" t="e">
        <f t="shared" si="27"/>
        <v>#NAME?</v>
      </c>
      <c r="T74" t="e">
        <f t="shared" si="27"/>
        <v>#NAME?</v>
      </c>
      <c r="U74" t="e">
        <f t="shared" si="27"/>
        <v>#NAME?</v>
      </c>
      <c r="V74" t="e">
        <f t="shared" si="27"/>
        <v>#NAME?</v>
      </c>
      <c r="W74" t="e">
        <f t="shared" si="27"/>
        <v>#NAME?</v>
      </c>
      <c r="X74" t="e">
        <f t="shared" si="27"/>
        <v>#NAME?</v>
      </c>
      <c r="Y74" t="e">
        <f t="shared" si="27"/>
        <v>#NAME?</v>
      </c>
      <c r="Z74" t="e">
        <f t="shared" si="27"/>
        <v>#NAME?</v>
      </c>
      <c r="AA74" t="e">
        <f t="shared" si="27"/>
        <v>#NAME?</v>
      </c>
      <c r="AB74" t="e">
        <f t="shared" si="27"/>
        <v>#NAME?</v>
      </c>
      <c r="AC74" t="e">
        <f t="shared" si="27"/>
        <v>#NAME?</v>
      </c>
      <c r="AD74" t="e">
        <f t="shared" si="27"/>
        <v>#NAME?</v>
      </c>
      <c r="AE74" t="e">
        <f t="shared" si="27"/>
        <v>#NAME?</v>
      </c>
      <c r="AF74" t="e">
        <f t="shared" si="27"/>
        <v>#NAME?</v>
      </c>
      <c r="AG74" t="e">
        <f t="shared" si="27"/>
        <v>#NAME?</v>
      </c>
      <c r="AH74" t="e">
        <f t="shared" si="27"/>
        <v>#NAME?</v>
      </c>
    </row>
    <row r="75" ht="15" customHeight="1">
      <c r="B75" t="s">
        <v>1225</v>
      </c>
      <c r="D75">
        <f t="shared" si="28"/>
        <v>0</v>
      </c>
      <c r="E75">
        <f t="shared" si="28"/>
        <v>0</v>
      </c>
      <c r="F75">
        <f t="shared" si="28"/>
        <v>0</v>
      </c>
      <c r="G75">
        <f t="shared" si="28"/>
        <v>0</v>
      </c>
      <c r="H75">
        <f t="shared" si="28"/>
        <v>0</v>
      </c>
      <c r="I75">
        <f t="shared" si="28"/>
        <v>0</v>
      </c>
      <c r="J75">
        <f t="shared" si="28"/>
        <v>0</v>
      </c>
      <c r="K75">
        <f t="shared" si="28"/>
        <v>0</v>
      </c>
      <c r="L75">
        <f t="shared" si="28"/>
        <v>0</v>
      </c>
      <c r="M75">
        <f t="shared" si="28"/>
        <v>0</v>
      </c>
      <c r="N75">
        <f t="shared" si="28"/>
        <v>0</v>
      </c>
      <c r="O75">
        <f t="shared" si="28"/>
        <v>0</v>
      </c>
      <c r="P75">
        <f t="shared" si="28"/>
        <v>0</v>
      </c>
      <c r="Q75">
        <f t="shared" si="28"/>
        <v>0</v>
      </c>
      <c r="R75">
        <f t="shared" si="28"/>
        <v>0</v>
      </c>
      <c r="S75">
        <f t="shared" si="28"/>
        <v>0</v>
      </c>
      <c r="T75">
        <f t="shared" si="28"/>
        <v>0</v>
      </c>
      <c r="U75">
        <f t="shared" si="28"/>
        <v>0</v>
      </c>
      <c r="V75">
        <f t="shared" si="28"/>
        <v>0</v>
      </c>
      <c r="W75">
        <f t="shared" si="28"/>
        <v>0</v>
      </c>
      <c r="X75">
        <f t="shared" si="28"/>
        <v>0</v>
      </c>
      <c r="Y75">
        <f t="shared" si="28"/>
        <v>0</v>
      </c>
      <c r="Z75">
        <f t="shared" si="28"/>
        <v>0</v>
      </c>
      <c r="AA75">
        <f t="shared" si="28"/>
        <v>0</v>
      </c>
      <c r="AB75">
        <f t="shared" si="28"/>
        <v>0</v>
      </c>
      <c r="AC75">
        <f t="shared" si="28"/>
        <v>0</v>
      </c>
      <c r="AD75">
        <f t="shared" si="28"/>
        <v>0</v>
      </c>
      <c r="AE75">
        <f t="shared" si="28"/>
        <v>0</v>
      </c>
      <c r="AF75">
        <f t="shared" si="28"/>
        <v>0</v>
      </c>
      <c r="AG75">
        <f t="shared" si="28"/>
        <v>0</v>
      </c>
      <c r="AH75">
        <f t="shared" si="28"/>
        <v>0</v>
      </c>
    </row>
    <row r="76" ht="15" customHeight="1">
      <c r="B76">
        <f>IF('SBL Quotes'!AN32="Supplemental","Amortization of 1st (After IO)","")</f>
      </c>
      <c r="D76" t="str">
        <f>IF('SBL Quotes'!$AN$32="Supplemental",IF(D$45&gt;FirstRemTerm_IfSupp,D79,MAX(0,FirstTerm_IfSupp-FirstRemTerm_IfSupp+D$45-FirstIO_IfSupp)),"")</f>
        <v/>
      </c>
      <c r="E76" t="str">
        <f>IF('SBL Quotes'!$AN$32="Supplemental",IF(E$45&gt;FirstRemTerm_IfSupp,D76+E79-D79,MAX(0,FirstTerm_IfSupp-FirstRemTerm_IfSupp+E$45-FirstIO_IfSupp)),"")</f>
        <v/>
      </c>
      <c r="F76" t="str">
        <f>IF('SBL Quotes'!$AN$32="Supplemental",IF(F$45&gt;FirstRemTerm_IfSupp,E76+F79-E79,MAX(0,FirstTerm_IfSupp-FirstRemTerm_IfSupp+F$45-FirstIO_IfSupp)),"")</f>
        <v/>
      </c>
      <c r="G76" t="str">
        <f>IF('SBL Quotes'!$AN$32="Supplemental",IF(G$45&gt;FirstRemTerm_IfSupp,F76+G79-F79,MAX(0,FirstTerm_IfSupp-FirstRemTerm_IfSupp+G$45-FirstIO_IfSupp)),"")</f>
        <v/>
      </c>
      <c r="H76" t="str">
        <f>IF('SBL Quotes'!$AN$32="Supplemental",IF(H$45&gt;FirstRemTerm_IfSupp,G76+H79-G79,MAX(0,FirstTerm_IfSupp-FirstRemTerm_IfSupp+H$45-FirstIO_IfSupp)),"")</f>
        <v/>
      </c>
      <c r="I76" t="str">
        <f>IF('SBL Quotes'!$AN$32="Supplemental",IF(I$45&gt;FirstRemTerm_IfSupp,H76+I79-H79,MAX(0,FirstTerm_IfSupp-FirstRemTerm_IfSupp+I$45-FirstIO_IfSupp)),"")</f>
        <v/>
      </c>
      <c r="J76" t="str">
        <f>IF('SBL Quotes'!$AN$32="Supplemental",IF(J$45&gt;FirstRemTerm_IfSupp,I76+J79-I79,MAX(0,FirstTerm_IfSupp-FirstRemTerm_IfSupp+J$45-FirstIO_IfSupp)),"")</f>
        <v/>
      </c>
      <c r="K76" t="str">
        <f>IF('SBL Quotes'!$AN$32="Supplemental",IF(K$45&gt;FirstRemTerm_IfSupp,J76+K79-J79,MAX(0,FirstTerm_IfSupp-FirstRemTerm_IfSupp+K$45-FirstIO_IfSupp)),"")</f>
        <v/>
      </c>
      <c r="L76" t="str">
        <f>IF('SBL Quotes'!$AN$32="Supplemental",IF(L$45&gt;FirstRemTerm_IfSupp,K76+L79-K79,MAX(0,FirstTerm_IfSupp-FirstRemTerm_IfSupp+L$45-FirstIO_IfSupp)),"")</f>
        <v/>
      </c>
      <c r="M76" t="str">
        <f>IF('SBL Quotes'!$AN$32="Supplemental",IF(M$45&gt;FirstRemTerm_IfSupp,L76+M79-L79,MAX(0,FirstTerm_IfSupp-FirstRemTerm_IfSupp+M$45-FirstIO_IfSupp)),"")</f>
        <v/>
      </c>
      <c r="N76" t="str">
        <f>IF('SBL Quotes'!$AN$32="Supplemental",IF(N$45&gt;FirstRemTerm_IfSupp,M76+N79-M79,MAX(0,FirstTerm_IfSupp-FirstRemTerm_IfSupp+N$45-FirstIO_IfSupp)),"")</f>
        <v/>
      </c>
      <c r="O76" t="str">
        <f>IF('SBL Quotes'!$AN$32="Supplemental",IF(O$45&gt;FirstRemTerm_IfSupp,N76+O79-N79,MAX(0,FirstTerm_IfSupp-FirstRemTerm_IfSupp+O$45-FirstIO_IfSupp)),"")</f>
        <v/>
      </c>
      <c r="P76" t="str">
        <f>IF('SBL Quotes'!$AN$32="Supplemental",IF(P$45&gt;FirstRemTerm_IfSupp,O76+P79-O79,MAX(0,FirstTerm_IfSupp-FirstRemTerm_IfSupp+P$45-FirstIO_IfSupp)),"")</f>
        <v/>
      </c>
      <c r="Q76" t="str">
        <f>IF('SBL Quotes'!$AN$32="Supplemental",IF(Q$45&gt;FirstRemTerm_IfSupp,P76+Q79-P79,MAX(0,FirstTerm_IfSupp-FirstRemTerm_IfSupp+Q$45-FirstIO_IfSupp)),"")</f>
        <v/>
      </c>
      <c r="R76" t="str">
        <f>IF('SBL Quotes'!$AN$32="Supplemental",IF(R$45&gt;FirstRemTerm_IfSupp,Q76+R79-Q79,MAX(0,FirstTerm_IfSupp-FirstRemTerm_IfSupp+R$45-FirstIO_IfSupp)),"")</f>
        <v/>
      </c>
      <c r="S76" t="str">
        <f>IF('SBL Quotes'!$AN$32="Supplemental",IF(S$45&gt;FirstRemTerm_IfSupp,R76+S79-R79,MAX(0,FirstTerm_IfSupp-FirstRemTerm_IfSupp+S$45-FirstIO_IfSupp)),"")</f>
        <v/>
      </c>
      <c r="T76" t="str">
        <f>IF('SBL Quotes'!$AN$32="Supplemental",IF(T$45&gt;FirstRemTerm_IfSupp,S76+T79-S79,MAX(0,FirstTerm_IfSupp-FirstRemTerm_IfSupp+T$45-FirstIO_IfSupp)),"")</f>
        <v/>
      </c>
      <c r="U76" t="str">
        <f>IF('SBL Quotes'!$AN$32="Supplemental",IF(U$45&gt;FirstRemTerm_IfSupp,T76+U79-T79,MAX(0,FirstTerm_IfSupp-FirstRemTerm_IfSupp+U$45-FirstIO_IfSupp)),"")</f>
        <v/>
      </c>
      <c r="V76" t="str">
        <f>IF('SBL Quotes'!$AN$32="Supplemental",IF(V$45&gt;FirstRemTerm_IfSupp,U76+V79-U79,MAX(0,FirstTerm_IfSupp-FirstRemTerm_IfSupp+V$45-FirstIO_IfSupp)),"")</f>
        <v/>
      </c>
      <c r="W76" t="str">
        <f>IF('SBL Quotes'!$AN$32="Supplemental",IF(W$45&gt;FirstRemTerm_IfSupp,V76+W79-V79,MAX(0,FirstTerm_IfSupp-FirstRemTerm_IfSupp+W$45-FirstIO_IfSupp)),"")</f>
        <v/>
      </c>
      <c r="X76" t="str">
        <f>IF('SBL Quotes'!$AN$32="Supplemental",IF(X$45&gt;FirstRemTerm_IfSupp,W76+X79-W79,MAX(0,FirstTerm_IfSupp-FirstRemTerm_IfSupp+X$45-FirstIO_IfSupp)),"")</f>
        <v/>
      </c>
      <c r="Y76" t="str">
        <f>IF('SBL Quotes'!$AN$32="Supplemental",IF(Y$45&gt;FirstRemTerm_IfSupp,X76+Y79-X79,MAX(0,FirstTerm_IfSupp-FirstRemTerm_IfSupp+Y$45-FirstIO_IfSupp)),"")</f>
        <v/>
      </c>
      <c r="Z76" t="str">
        <f>IF('SBL Quotes'!$AN$32="Supplemental",IF(Z$45&gt;FirstRemTerm_IfSupp,Y76+Z79-Y79,MAX(0,FirstTerm_IfSupp-FirstRemTerm_IfSupp+Z$45-FirstIO_IfSupp)),"")</f>
        <v/>
      </c>
      <c r="AA76" t="str">
        <f>IF('SBL Quotes'!$AN$32="Supplemental",IF(AA$45&gt;FirstRemTerm_IfSupp,Z76+AA79-Z79,MAX(0,FirstTerm_IfSupp-FirstRemTerm_IfSupp+AA$45-FirstIO_IfSupp)),"")</f>
        <v/>
      </c>
      <c r="AB76" t="str">
        <f>IF('SBL Quotes'!$AN$32="Supplemental",IF(AB$45&gt;FirstRemTerm_IfSupp,AA76+AB79-AA79,MAX(0,FirstTerm_IfSupp-FirstRemTerm_IfSupp+AB$45-FirstIO_IfSupp)),"")</f>
        <v/>
      </c>
      <c r="AC76" t="str">
        <f>IF('SBL Quotes'!$AN$32="Supplemental",IF(AC$45&gt;FirstRemTerm_IfSupp,AB76+AC79-AB79,MAX(0,FirstTerm_IfSupp-FirstRemTerm_IfSupp+AC$45-FirstIO_IfSupp)),"")</f>
        <v/>
      </c>
      <c r="AD76" t="str">
        <f>IF('SBL Quotes'!$AN$32="Supplemental",IF(AD$45&gt;FirstRemTerm_IfSupp,AC76+AD79-AC79,MAX(0,FirstTerm_IfSupp-FirstRemTerm_IfSupp+AD$45-FirstIO_IfSupp)),"")</f>
        <v/>
      </c>
      <c r="AE76" t="str">
        <f>IF('SBL Quotes'!$AN$32="Supplemental",IF(AE$45&gt;FirstRemTerm_IfSupp,AD76+AE79-AD79,MAX(0,FirstTerm_IfSupp-FirstRemTerm_IfSupp+AE$45-FirstIO_IfSupp)),"")</f>
        <v/>
      </c>
      <c r="AF76" t="str">
        <f>IF('SBL Quotes'!$AN$32="Supplemental",IF(AF$45&gt;FirstRemTerm_IfSupp,AE76+AF79-AE79,MAX(0,FirstTerm_IfSupp-FirstRemTerm_IfSupp+AF$45-FirstIO_IfSupp)),"")</f>
        <v/>
      </c>
      <c r="AG76" t="str">
        <f>IF('SBL Quotes'!$AN$32="Supplemental",IF(AG$45&gt;FirstRemTerm_IfSupp,AF76+AG79-AF79,MAX(0,FirstTerm_IfSupp-FirstRemTerm_IfSupp+AG$45-FirstIO_IfSupp)),"")</f>
        <v/>
      </c>
      <c r="AH76" t="str">
        <f>IF('SBL Quotes'!$AN$32="Supplemental",IF(AH$45&gt;FirstRemTerm_IfSupp,AG76+AH79-AG79,MAX(0,FirstTerm_IfSupp-FirstRemTerm_IfSupp+AH$45-FirstIO_IfSupp)),"")</f>
        <v/>
      </c>
    </row>
    <row r="77" ht="15" customHeight="1">
      <c r="B77">
        <f>IF('SBL Quotes'!AN33="2nd Supplemental","Amortization of 2nd (After IO)","")</f>
      </c>
      <c r="D77" t="str">
        <f>IF('SBL Quotes'!$AN$33="2nd Supplemental",IF(D$45&gt;SecondRemTerm_IfSupp,D79,MAX(0,SecondTerm_IfSupp-SecondRemTerm_IfSupp+D$45-SecondIO_IfSupp)),"")</f>
        <v/>
      </c>
      <c r="E77" t="str">
        <f>IF('SBL Quotes'!$AN$33="2nd Supplemental",IF(E$45&gt;SecondRemTerm_IfSupp,D77+E79-D79,MAX(0,SecondTerm_IfSupp-SecondRemTerm_IfSupp+E$45-SecondIO_IfSupp)),"")</f>
        <v/>
      </c>
      <c r="F77" t="str">
        <f>IF('SBL Quotes'!$AN$33="2nd Supplemental",IF(F$45&gt;SecondRemTerm_IfSupp,E77+F79-E79,MAX(0,SecondTerm_IfSupp-SecondRemTerm_IfSupp+F$45-SecondIO_IfSupp)),"")</f>
        <v/>
      </c>
      <c r="G77" t="str">
        <f>IF('SBL Quotes'!$AN$33="2nd Supplemental",IF(G$45&gt;SecondRemTerm_IfSupp,F77+G79-F79,MAX(0,SecondTerm_IfSupp-SecondRemTerm_IfSupp+G$45-SecondIO_IfSupp)),"")</f>
        <v/>
      </c>
      <c r="H77" t="str">
        <f>IF('SBL Quotes'!$AN$33="2nd Supplemental",IF(H$45&gt;SecondRemTerm_IfSupp,G77+H79-G79,MAX(0,SecondTerm_IfSupp-SecondRemTerm_IfSupp+H$45-SecondIO_IfSupp)),"")</f>
        <v/>
      </c>
      <c r="I77" t="str">
        <f>IF('SBL Quotes'!$AN$33="2nd Supplemental",IF(I$45&gt;SecondRemTerm_IfSupp,H77+I79-H79,MAX(0,SecondTerm_IfSupp-SecondRemTerm_IfSupp+I$45-SecondIO_IfSupp)),"")</f>
        <v/>
      </c>
      <c r="J77" t="str">
        <f>IF('SBL Quotes'!$AN$33="2nd Supplemental",IF(J$45&gt;SecondRemTerm_IfSupp,I77+J79-I79,MAX(0,SecondTerm_IfSupp-SecondRemTerm_IfSupp+J$45-SecondIO_IfSupp)),"")</f>
        <v/>
      </c>
      <c r="K77" t="str">
        <f>IF('SBL Quotes'!$AN$33="2nd Supplemental",IF(K$45&gt;SecondRemTerm_IfSupp,J77+K79-J79,MAX(0,SecondTerm_IfSupp-SecondRemTerm_IfSupp+K$45-SecondIO_IfSupp)),"")</f>
        <v/>
      </c>
      <c r="L77" t="str">
        <f>IF('SBL Quotes'!$AN$33="2nd Supplemental",IF(L$45&gt;SecondRemTerm_IfSupp,K77+L79-K79,MAX(0,SecondTerm_IfSupp-SecondRemTerm_IfSupp+L$45-SecondIO_IfSupp)),"")</f>
        <v/>
      </c>
      <c r="M77" t="str">
        <f>IF('SBL Quotes'!$AN$33="2nd Supplemental",IF(M$45&gt;SecondRemTerm_IfSupp,L77+M79-L79,MAX(0,SecondTerm_IfSupp-SecondRemTerm_IfSupp+M$45-SecondIO_IfSupp)),"")</f>
        <v/>
      </c>
      <c r="N77" t="str">
        <f>IF('SBL Quotes'!$AN$33="2nd Supplemental",IF(N$45&gt;SecondRemTerm_IfSupp,M77+N79-M79,MAX(0,SecondTerm_IfSupp-SecondRemTerm_IfSupp+N$45-SecondIO_IfSupp)),"")</f>
        <v/>
      </c>
      <c r="O77" t="str">
        <f>IF('SBL Quotes'!$AN$33="2nd Supplemental",IF(O$45&gt;SecondRemTerm_IfSupp,N77+O79-N79,MAX(0,SecondTerm_IfSupp-SecondRemTerm_IfSupp+O$45-SecondIO_IfSupp)),"")</f>
        <v/>
      </c>
      <c r="P77" t="str">
        <f>IF('SBL Quotes'!$AN$33="2nd Supplemental",IF(P$45&gt;SecondRemTerm_IfSupp,O77+P79-O79,MAX(0,SecondTerm_IfSupp-SecondRemTerm_IfSupp+P$45-SecondIO_IfSupp)),"")</f>
        <v/>
      </c>
      <c r="Q77" t="str">
        <f>IF('SBL Quotes'!$AN$33="2nd Supplemental",IF(Q$45&gt;SecondRemTerm_IfSupp,P77+Q79-P79,MAX(0,SecondTerm_IfSupp-SecondRemTerm_IfSupp+Q$45-SecondIO_IfSupp)),"")</f>
        <v/>
      </c>
      <c r="R77" t="str">
        <f>IF('SBL Quotes'!$AN$33="2nd Supplemental",IF(R$45&gt;SecondRemTerm_IfSupp,Q77+R79-Q79,MAX(0,SecondTerm_IfSupp-SecondRemTerm_IfSupp+R$45-SecondIO_IfSupp)),"")</f>
        <v/>
      </c>
      <c r="S77" t="str">
        <f>IF('SBL Quotes'!$AN$33="2nd Supplemental",IF(S$45&gt;SecondRemTerm_IfSupp,R77+S79-R79,MAX(0,SecondTerm_IfSupp-SecondRemTerm_IfSupp+S$45-SecondIO_IfSupp)),"")</f>
        <v/>
      </c>
      <c r="T77" t="str">
        <f>IF('SBL Quotes'!$AN$33="2nd Supplemental",IF(T$45&gt;SecondRemTerm_IfSupp,S77+T79-S79,MAX(0,SecondTerm_IfSupp-SecondRemTerm_IfSupp+T$45-SecondIO_IfSupp)),"")</f>
        <v/>
      </c>
      <c r="U77" t="str">
        <f>IF('SBL Quotes'!$AN$33="2nd Supplemental",IF(U$45&gt;SecondRemTerm_IfSupp,T77+U79-T79,MAX(0,SecondTerm_IfSupp-SecondRemTerm_IfSupp+U$45-SecondIO_IfSupp)),"")</f>
        <v/>
      </c>
      <c r="V77" t="str">
        <f>IF('SBL Quotes'!$AN$33="2nd Supplemental",IF(V$45&gt;SecondRemTerm_IfSupp,U77+V79-U79,MAX(0,SecondTerm_IfSupp-SecondRemTerm_IfSupp+V$45-SecondIO_IfSupp)),"")</f>
        <v/>
      </c>
      <c r="W77" t="str">
        <f>IF('SBL Quotes'!$AN$33="2nd Supplemental",IF(W$45&gt;SecondRemTerm_IfSupp,V77+W79-V79,MAX(0,SecondTerm_IfSupp-SecondRemTerm_IfSupp+W$45-SecondIO_IfSupp)),"")</f>
        <v/>
      </c>
      <c r="X77" t="str">
        <f>IF('SBL Quotes'!$AN$33="2nd Supplemental",IF(X$45&gt;SecondRemTerm_IfSupp,W77+X79-W79,MAX(0,SecondTerm_IfSupp-SecondRemTerm_IfSupp+X$45-SecondIO_IfSupp)),"")</f>
        <v/>
      </c>
      <c r="Y77" t="str">
        <f>IF('SBL Quotes'!$AN$33="2nd Supplemental",IF(Y$45&gt;SecondRemTerm_IfSupp,X77+Y79-X79,MAX(0,SecondTerm_IfSupp-SecondRemTerm_IfSupp+Y$45-SecondIO_IfSupp)),"")</f>
        <v/>
      </c>
      <c r="Z77" t="str">
        <f>IF('SBL Quotes'!$AN$33="2nd Supplemental",IF(Z$45&gt;SecondRemTerm_IfSupp,Y77+Z79-Y79,MAX(0,SecondTerm_IfSupp-SecondRemTerm_IfSupp+Z$45-SecondIO_IfSupp)),"")</f>
        <v/>
      </c>
      <c r="AA77" t="str">
        <f>IF('SBL Quotes'!$AN$33="2nd Supplemental",IF(AA$45&gt;SecondRemTerm_IfSupp,Z77+AA79-Z79,MAX(0,SecondTerm_IfSupp-SecondRemTerm_IfSupp+AA$45-SecondIO_IfSupp)),"")</f>
        <v/>
      </c>
      <c r="AB77" t="str">
        <f>IF('SBL Quotes'!$AN$33="2nd Supplemental",IF(AB$45&gt;SecondRemTerm_IfSupp,AA77+AB79-AA79,MAX(0,SecondTerm_IfSupp-SecondRemTerm_IfSupp+AB$45-SecondIO_IfSupp)),"")</f>
        <v/>
      </c>
      <c r="AC77" t="str">
        <f>IF('SBL Quotes'!$AN$33="2nd Supplemental",IF(AC$45&gt;SecondRemTerm_IfSupp,AB77+AC79-AB79,MAX(0,SecondTerm_IfSupp-SecondRemTerm_IfSupp+AC$45-SecondIO_IfSupp)),"")</f>
        <v/>
      </c>
      <c r="AD77" t="str">
        <f>IF('SBL Quotes'!$AN$33="2nd Supplemental",IF(AD$45&gt;SecondRemTerm_IfSupp,AC77+AD79-AC79,MAX(0,SecondTerm_IfSupp-SecondRemTerm_IfSupp+AD$45-SecondIO_IfSupp)),"")</f>
        <v/>
      </c>
      <c r="AE77" t="str">
        <f>IF('SBL Quotes'!$AN$33="2nd Supplemental",IF(AE$45&gt;SecondRemTerm_IfSupp,AD77+AE79-AD79,MAX(0,SecondTerm_IfSupp-SecondRemTerm_IfSupp+AE$45-SecondIO_IfSupp)),"")</f>
        <v/>
      </c>
      <c r="AF77" t="str">
        <f>IF('SBL Quotes'!$AN$33="2nd Supplemental",IF(AF$45&gt;SecondRemTerm_IfSupp,AE77+AF79-AE79,MAX(0,SecondTerm_IfSupp-SecondRemTerm_IfSupp+AF$45-SecondIO_IfSupp)),"")</f>
        <v/>
      </c>
      <c r="AG77" t="str">
        <f>IF('SBL Quotes'!$AN$33="2nd Supplemental",IF(AG$45&gt;SecondRemTerm_IfSupp,AF77+AG79-AF79,MAX(0,SecondTerm_IfSupp-SecondRemTerm_IfSupp+AG$45-SecondIO_IfSupp)),"")</f>
        <v/>
      </c>
      <c r="AH77" t="str">
        <f>IF('SBL Quotes'!$AN$33="2nd Supplemental",IF(AH$45&gt;SecondRemTerm_IfSupp,AG77+AH79-AG79,MAX(0,SecondTerm_IfSupp-SecondRemTerm_IfSupp+AH$45-SecondIO_IfSupp)),"")</f>
        <v/>
      </c>
    </row>
    <row r="78" ht="15" customHeight="1">
      <c r="B78">
        <f>IF('SBL Quotes'!AN34="3rd Supplemental","Amortization of 3rd (After IO)","")</f>
      </c>
      <c r="D78" t="str">
        <f>IF('SBL Quotes'!$AN$34="3rd Supplemental",IF(D$45&gt;ThirdRemTerm_IfSupp,D79,MAX(0,ThirdTerm_IfSupp-ThirdRemTerm_IfSupp+D$45-ThirdIO_IfSupp)),"")</f>
        <v/>
      </c>
      <c r="E78" t="str">
        <f>IF('SBL Quotes'!$AN$34="3rd Supplemental",IF(E$45&gt;ThirdRemTerm_IfSupp,D78+E79-D79,MAX(0,ThirdTerm_IfSupp-ThirdRemTerm_IfSupp+E$45-ThirdIO_IfSupp)),"")</f>
        <v/>
      </c>
      <c r="F78" t="str">
        <f>IF('SBL Quotes'!$AN$34="3rd Supplemental",IF(F$45&gt;ThirdRemTerm_IfSupp,E78+F79-E79,MAX(0,ThirdTerm_IfSupp-ThirdRemTerm_IfSupp+F$45-ThirdIO_IfSupp)),"")</f>
        <v/>
      </c>
      <c r="G78" t="str">
        <f>IF('SBL Quotes'!$AN$34="3rd Supplemental",IF(G$45&gt;ThirdRemTerm_IfSupp,F78+G79-F79,MAX(0,ThirdTerm_IfSupp-ThirdRemTerm_IfSupp+G$45-ThirdIO_IfSupp)),"")</f>
        <v/>
      </c>
      <c r="H78" t="str">
        <f>IF('SBL Quotes'!$AN$34="3rd Supplemental",IF(H$45&gt;ThirdRemTerm_IfSupp,G78+H79-G79,MAX(0,ThirdTerm_IfSupp-ThirdRemTerm_IfSupp+H$45-ThirdIO_IfSupp)),"")</f>
        <v/>
      </c>
      <c r="I78" t="str">
        <f>IF('SBL Quotes'!$AN$34="3rd Supplemental",IF(I$45&gt;ThirdRemTerm_IfSupp,H78+I79-H79,MAX(0,ThirdTerm_IfSupp-ThirdRemTerm_IfSupp+I$45-ThirdIO_IfSupp)),"")</f>
        <v/>
      </c>
      <c r="J78" t="str">
        <f>IF('SBL Quotes'!$AN$34="3rd Supplemental",IF(J$45&gt;ThirdRemTerm_IfSupp,I78+J79-I79,MAX(0,ThirdTerm_IfSupp-ThirdRemTerm_IfSupp+J$45-ThirdIO_IfSupp)),"")</f>
        <v/>
      </c>
      <c r="K78" t="str">
        <f>IF('SBL Quotes'!$AN$34="3rd Supplemental",IF(K$45&gt;ThirdRemTerm_IfSupp,J78+K79-J79,MAX(0,ThirdTerm_IfSupp-ThirdRemTerm_IfSupp+K$45-ThirdIO_IfSupp)),"")</f>
        <v/>
      </c>
      <c r="L78" t="str">
        <f>IF('SBL Quotes'!$AN$34="3rd Supplemental",IF(L$45&gt;ThirdRemTerm_IfSupp,K78+L79-K79,MAX(0,ThirdTerm_IfSupp-ThirdRemTerm_IfSupp+L$45-ThirdIO_IfSupp)),"")</f>
        <v/>
      </c>
      <c r="M78" t="str">
        <f>IF('SBL Quotes'!$AN$34="3rd Supplemental",IF(M$45&gt;ThirdRemTerm_IfSupp,L78+M79-L79,MAX(0,ThirdTerm_IfSupp-ThirdRemTerm_IfSupp+M$45-ThirdIO_IfSupp)),"")</f>
        <v/>
      </c>
      <c r="N78" t="str">
        <f>IF('SBL Quotes'!$AN$34="3rd Supplemental",IF(N$45&gt;ThirdRemTerm_IfSupp,M78+N79-M79,MAX(0,ThirdTerm_IfSupp-ThirdRemTerm_IfSupp+N$45-ThirdIO_IfSupp)),"")</f>
        <v/>
      </c>
      <c r="O78" t="str">
        <f>IF('SBL Quotes'!$AN$34="3rd Supplemental",IF(O$45&gt;ThirdRemTerm_IfSupp,N78+O79-N79,MAX(0,ThirdTerm_IfSupp-ThirdRemTerm_IfSupp+O$45-ThirdIO_IfSupp)),"")</f>
        <v/>
      </c>
      <c r="P78" t="str">
        <f>IF('SBL Quotes'!$AN$34="3rd Supplemental",IF(P$45&gt;ThirdRemTerm_IfSupp,O78+P79-O79,MAX(0,ThirdTerm_IfSupp-ThirdRemTerm_IfSupp+P$45-ThirdIO_IfSupp)),"")</f>
        <v/>
      </c>
      <c r="Q78" t="str">
        <f>IF('SBL Quotes'!$AN$34="3rd Supplemental",IF(Q$45&gt;ThirdRemTerm_IfSupp,P78+Q79-P79,MAX(0,ThirdTerm_IfSupp-ThirdRemTerm_IfSupp+Q$45-ThirdIO_IfSupp)),"")</f>
        <v/>
      </c>
      <c r="R78" t="str">
        <f>IF('SBL Quotes'!$AN$34="3rd Supplemental",IF(R$45&gt;ThirdRemTerm_IfSupp,Q78+R79-Q79,MAX(0,ThirdTerm_IfSupp-ThirdRemTerm_IfSupp+R$45-ThirdIO_IfSupp)),"")</f>
        <v/>
      </c>
      <c r="S78" t="str">
        <f>IF('SBL Quotes'!$AN$34="3rd Supplemental",IF(S$45&gt;ThirdRemTerm_IfSupp,R78+S79-R79,MAX(0,ThirdTerm_IfSupp-ThirdRemTerm_IfSupp+S$45-ThirdIO_IfSupp)),"")</f>
        <v/>
      </c>
      <c r="T78" t="str">
        <f>IF('SBL Quotes'!$AN$34="3rd Supplemental",IF(T$45&gt;ThirdRemTerm_IfSupp,S78+T79-S79,MAX(0,ThirdTerm_IfSupp-ThirdRemTerm_IfSupp+T$45-ThirdIO_IfSupp)),"")</f>
        <v/>
      </c>
      <c r="U78" t="str">
        <f>IF('SBL Quotes'!$AN$34="3rd Supplemental",IF(U$45&gt;ThirdRemTerm_IfSupp,T78+U79-T79,MAX(0,ThirdTerm_IfSupp-ThirdRemTerm_IfSupp+U$45-ThirdIO_IfSupp)),"")</f>
        <v/>
      </c>
      <c r="V78" t="str">
        <f>IF('SBL Quotes'!$AN$34="3rd Supplemental",IF(V$45&gt;ThirdRemTerm_IfSupp,U78+V79-U79,MAX(0,ThirdTerm_IfSupp-ThirdRemTerm_IfSupp+V$45-ThirdIO_IfSupp)),"")</f>
        <v/>
      </c>
      <c r="W78" t="str">
        <f>IF('SBL Quotes'!$AN$34="3rd Supplemental",IF(W$45&gt;ThirdRemTerm_IfSupp,V78+W79-V79,MAX(0,ThirdTerm_IfSupp-ThirdRemTerm_IfSupp+W$45-ThirdIO_IfSupp)),"")</f>
        <v/>
      </c>
      <c r="X78" t="str">
        <f>IF('SBL Quotes'!$AN$34="3rd Supplemental",IF(X$45&gt;ThirdRemTerm_IfSupp,W78+X79-W79,MAX(0,ThirdTerm_IfSupp-ThirdRemTerm_IfSupp+X$45-ThirdIO_IfSupp)),"")</f>
        <v/>
      </c>
      <c r="Y78" t="str">
        <f>IF('SBL Quotes'!$AN$34="3rd Supplemental",IF(Y$45&gt;ThirdRemTerm_IfSupp,X78+Y79-X79,MAX(0,ThirdTerm_IfSupp-ThirdRemTerm_IfSupp+Y$45-ThirdIO_IfSupp)),"")</f>
        <v/>
      </c>
      <c r="Z78" t="str">
        <f>IF('SBL Quotes'!$AN$34="3rd Supplemental",IF(Z$45&gt;ThirdRemTerm_IfSupp,Y78+Z79-Y79,MAX(0,ThirdTerm_IfSupp-ThirdRemTerm_IfSupp+Z$45-ThirdIO_IfSupp)),"")</f>
        <v/>
      </c>
      <c r="AA78" t="str">
        <f>IF('SBL Quotes'!$AN$34="3rd Supplemental",IF(AA$45&gt;ThirdRemTerm_IfSupp,Z78+AA79-Z79,MAX(0,ThirdTerm_IfSupp-ThirdRemTerm_IfSupp+AA$45-ThirdIO_IfSupp)),"")</f>
        <v/>
      </c>
      <c r="AB78" t="str">
        <f>IF('SBL Quotes'!$AN$34="3rd Supplemental",IF(AB$45&gt;ThirdRemTerm_IfSupp,AA78+AB79-AA79,MAX(0,ThirdTerm_IfSupp-ThirdRemTerm_IfSupp+AB$45-ThirdIO_IfSupp)),"")</f>
        <v/>
      </c>
      <c r="AC78" t="str">
        <f>IF('SBL Quotes'!$AN$34="3rd Supplemental",IF(AC$45&gt;ThirdRemTerm_IfSupp,AB78+AC79-AB79,MAX(0,ThirdTerm_IfSupp-ThirdRemTerm_IfSupp+AC$45-ThirdIO_IfSupp)),"")</f>
        <v/>
      </c>
      <c r="AD78" t="str">
        <f>IF('SBL Quotes'!$AN$34="3rd Supplemental",IF(AD$45&gt;ThirdRemTerm_IfSupp,AC78+AD79-AC79,MAX(0,ThirdTerm_IfSupp-ThirdRemTerm_IfSupp+AD$45-ThirdIO_IfSupp)),"")</f>
        <v/>
      </c>
      <c r="AE78" t="str">
        <f>IF('SBL Quotes'!$AN$34="3rd Supplemental",IF(AE$45&gt;ThirdRemTerm_IfSupp,AD78+AE79-AD79,MAX(0,ThirdTerm_IfSupp-ThirdRemTerm_IfSupp+AE$45-ThirdIO_IfSupp)),"")</f>
        <v/>
      </c>
      <c r="AF78" t="str">
        <f>IF('SBL Quotes'!$AN$34="3rd Supplemental",IF(AF$45&gt;ThirdRemTerm_IfSupp,AE78+AF79-AE79,MAX(0,ThirdTerm_IfSupp-ThirdRemTerm_IfSupp+AF$45-ThirdIO_IfSupp)),"")</f>
        <v/>
      </c>
      <c r="AG78" t="str">
        <f>IF('SBL Quotes'!$AN$34="3rd Supplemental",IF(AG$45&gt;ThirdRemTerm_IfSupp,AF78+AG79-AF79,MAX(0,ThirdTerm_IfSupp-ThirdRemTerm_IfSupp+AG$45-ThirdIO_IfSupp)),"")</f>
        <v/>
      </c>
      <c r="AH78" t="str">
        <f>IF('SBL Quotes'!$AN$34="3rd Supplemental",IF(AH$45&gt;ThirdRemTerm_IfSupp,AG78+AH79-AG79,MAX(0,ThirdTerm_IfSupp-ThirdRemTerm_IfSupp+AH$45-ThirdIO_IfSupp)),"")</f>
        <v/>
      </c>
    </row>
    <row r="79" ht="15" customHeight="1">
      <c r="B79" t="str">
        <f>IF('SBL Quotes'!AN34="3rd Supplemental","Amortization of 4th (After IO)",IF('SBL Quotes'!AN33="2nd Supplemental","Amortization of 3rd (After IO)",IF('SBL Quotes'!AN32="Supplemental","Amortization of 2nd (After IO)","Amortization of 1st (After IO)")))</f>
        <v>Amortization of 1st (After IO)</v>
      </c>
      <c r="D79" t="e">
        <f t="shared" si="40" ref="D79:AH83">D35</f>
        <v>#NAME?</v>
      </c>
      <c r="E79" t="e">
        <f t="shared" si="40"/>
        <v>#NAME?</v>
      </c>
      <c r="F79" t="e">
        <f t="shared" si="40"/>
        <v>#NAME?</v>
      </c>
      <c r="G79" t="e">
        <f t="shared" si="40"/>
        <v>#NAME?</v>
      </c>
      <c r="H79" t="e">
        <f t="shared" si="40"/>
        <v>#NAME?</v>
      </c>
      <c r="I79" t="e">
        <f t="shared" si="40"/>
        <v>#NAME?</v>
      </c>
      <c r="J79" t="e">
        <f t="shared" si="40"/>
        <v>#NAME?</v>
      </c>
      <c r="K79" t="e">
        <f t="shared" si="40"/>
        <v>#NAME?</v>
      </c>
      <c r="L79" t="e">
        <f t="shared" si="40"/>
        <v>#NAME?</v>
      </c>
      <c r="M79" t="e">
        <f t="shared" si="40"/>
        <v>#NAME?</v>
      </c>
      <c r="N79" t="e">
        <f t="shared" si="40"/>
        <v>#NAME?</v>
      </c>
      <c r="O79" t="e">
        <f t="shared" si="40"/>
        <v>#NAME?</v>
      </c>
      <c r="P79" t="e">
        <f t="shared" si="40"/>
        <v>#NAME?</v>
      </c>
      <c r="Q79" t="e">
        <f t="shared" si="40"/>
        <v>#NAME?</v>
      </c>
      <c r="R79" t="e">
        <f t="shared" si="40"/>
        <v>#NAME?</v>
      </c>
      <c r="S79" t="e">
        <f t="shared" si="40"/>
        <v>#NAME?</v>
      </c>
      <c r="T79" t="e">
        <f t="shared" si="40"/>
        <v>#NAME?</v>
      </c>
      <c r="U79" t="e">
        <f t="shared" si="40"/>
        <v>#NAME?</v>
      </c>
      <c r="V79" t="e">
        <f t="shared" si="40"/>
        <v>#NAME?</v>
      </c>
      <c r="W79" t="e">
        <f t="shared" si="40"/>
        <v>#NAME?</v>
      </c>
      <c r="X79" t="e">
        <f t="shared" si="40"/>
        <v>#NAME?</v>
      </c>
      <c r="Y79" t="e">
        <f t="shared" si="40"/>
        <v>#NAME?</v>
      </c>
      <c r="Z79" t="e">
        <f t="shared" si="40"/>
        <v>#NAME?</v>
      </c>
      <c r="AA79" t="e">
        <f t="shared" si="40"/>
        <v>#NAME?</v>
      </c>
      <c r="AB79" t="e">
        <f t="shared" si="40"/>
        <v>#NAME?</v>
      </c>
      <c r="AC79" t="e">
        <f t="shared" si="40"/>
        <v>#NAME?</v>
      </c>
      <c r="AD79" t="e">
        <f t="shared" si="40"/>
        <v>#NAME?</v>
      </c>
      <c r="AE79" t="e">
        <f t="shared" si="40"/>
        <v>#NAME?</v>
      </c>
      <c r="AF79" t="e">
        <f t="shared" si="40"/>
        <v>#NAME?</v>
      </c>
      <c r="AG79" t="e">
        <f t="shared" si="40"/>
        <v>#NAME?</v>
      </c>
      <c r="AH79" t="e">
        <f t="shared" si="40"/>
        <v>#NAME?</v>
      </c>
    </row>
    <row r="80" ht="15" customHeight="1">
      <c r="B80">
        <f>IF('SBL Quotes'!AN32="Supplemental","UPB of 1st","")</f>
      </c>
      <c r="D80" t="str">
        <f>IF('SBL Quotes'!$AN$32="Supplemental",MAX(PV((FirstRate_IfSupp)/12,(FirstAmort_IfSupp-D76)*12,-(FirstDebtService_IfSupp/12)),0),"")</f>
        <v/>
      </c>
      <c r="E80" t="str">
        <f>IF('SBL Quotes'!$AN$32="Supplemental",MAX(PV((FirstRate_IfSupp)/12,(FirstAmort_IfSupp-E76)*12,-(FirstDebtService_IfSupp/12)),0),"")</f>
        <v/>
      </c>
      <c r="F80" t="str">
        <f>IF('SBL Quotes'!$AN$32="Supplemental",MAX(PV((FirstRate_IfSupp)/12,(FirstAmort_IfSupp-F76)*12,-(FirstDebtService_IfSupp/12)),0),"")</f>
        <v/>
      </c>
      <c r="G80" t="str">
        <f>IF('SBL Quotes'!$AN$32="Supplemental",MAX(PV((FirstRate_IfSupp)/12,(FirstAmort_IfSupp-G76)*12,-(FirstDebtService_IfSupp/12)),0),"")</f>
        <v/>
      </c>
      <c r="H80" t="str">
        <f>IF('SBL Quotes'!$AN$32="Supplemental",MAX(PV((FirstRate_IfSupp)/12,(FirstAmort_IfSupp-H76)*12,-(FirstDebtService_IfSupp/12)),0),"")</f>
        <v/>
      </c>
      <c r="I80" t="str">
        <f>IF('SBL Quotes'!$AN$32="Supplemental",MAX(PV((FirstRate_IfSupp)/12,(FirstAmort_IfSupp-I76)*12,-(FirstDebtService_IfSupp/12)),0),"")</f>
        <v/>
      </c>
      <c r="J80" t="str">
        <f>IF('SBL Quotes'!$AN$32="Supplemental",MAX(PV((FirstRate_IfSupp)/12,(FirstAmort_IfSupp-J76)*12,-(FirstDebtService_IfSupp/12)),0),"")</f>
        <v/>
      </c>
      <c r="K80" t="str">
        <f>IF('SBL Quotes'!$AN$32="Supplemental",MAX(PV((FirstRate_IfSupp)/12,(FirstAmort_IfSupp-K76)*12,-(FirstDebtService_IfSupp/12)),0),"")</f>
        <v/>
      </c>
      <c r="L80" t="str">
        <f>IF('SBL Quotes'!$AN$32="Supplemental",MAX(PV((FirstRate_IfSupp)/12,(FirstAmort_IfSupp-L76)*12,-(FirstDebtService_IfSupp/12)),0),"")</f>
        <v/>
      </c>
      <c r="M80" t="str">
        <f>IF('SBL Quotes'!$AN$32="Supplemental",MAX(PV((FirstRate_IfSupp)/12,(FirstAmort_IfSupp-M76)*12,-(FirstDebtService_IfSupp/12)),0),"")</f>
        <v/>
      </c>
      <c r="N80" t="str">
        <f>IF('SBL Quotes'!$AN$32="Supplemental",MAX(PV((FirstRate_IfSupp)/12,(FirstAmort_IfSupp-N76)*12,-(FirstDebtService_IfSupp/12)),0),"")</f>
        <v/>
      </c>
      <c r="O80" t="str">
        <f>IF('SBL Quotes'!$AN$32="Supplemental",MAX(PV((FirstRate_IfSupp)/12,(FirstAmort_IfSupp-O76)*12,-(FirstDebtService_IfSupp/12)),0),"")</f>
        <v/>
      </c>
      <c r="P80" t="str">
        <f>IF('SBL Quotes'!$AN$32="Supplemental",MAX(PV((FirstRate_IfSupp)/12,(FirstAmort_IfSupp-P76)*12,-(FirstDebtService_IfSupp/12)),0),"")</f>
        <v/>
      </c>
      <c r="Q80" t="str">
        <f>IF('SBL Quotes'!$AN$32="Supplemental",MAX(PV((FirstRate_IfSupp)/12,(FirstAmort_IfSupp-Q76)*12,-(FirstDebtService_IfSupp/12)),0),"")</f>
        <v/>
      </c>
      <c r="R80" t="str">
        <f>IF('SBL Quotes'!$AN$32="Supplemental",MAX(PV((FirstRate_IfSupp)/12,(FirstAmort_IfSupp-R76)*12,-(FirstDebtService_IfSupp/12)),0),"")</f>
        <v/>
      </c>
      <c r="S80" t="str">
        <f>IF('SBL Quotes'!$AN$32="Supplemental",MAX(PV((FirstRate_IfSupp)/12,(FirstAmort_IfSupp-S76)*12,-(FirstDebtService_IfSupp/12)),0),"")</f>
        <v/>
      </c>
      <c r="T80" t="str">
        <f>IF('SBL Quotes'!$AN$32="Supplemental",MAX(PV((FirstRate_IfSupp)/12,(FirstAmort_IfSupp-T76)*12,-(FirstDebtService_IfSupp/12)),0),"")</f>
        <v/>
      </c>
      <c r="U80" t="str">
        <f>IF('SBL Quotes'!$AN$32="Supplemental",MAX(PV((FirstRate_IfSupp)/12,(FirstAmort_IfSupp-U76)*12,-(FirstDebtService_IfSupp/12)),0),"")</f>
        <v/>
      </c>
      <c r="V80" t="str">
        <f>IF('SBL Quotes'!$AN$32="Supplemental",MAX(PV((FirstRate_IfSupp)/12,(FirstAmort_IfSupp-V76)*12,-(FirstDebtService_IfSupp/12)),0),"")</f>
        <v/>
      </c>
      <c r="W80" t="str">
        <f>IF('SBL Quotes'!$AN$32="Supplemental",MAX(PV((FirstRate_IfSupp)/12,(FirstAmort_IfSupp-W76)*12,-(FirstDebtService_IfSupp/12)),0),"")</f>
        <v/>
      </c>
      <c r="X80" t="str">
        <f>IF('SBL Quotes'!$AN$32="Supplemental",MAX(PV((FirstRate_IfSupp)/12,(FirstAmort_IfSupp-X76)*12,-(FirstDebtService_IfSupp/12)),0),"")</f>
        <v/>
      </c>
      <c r="Y80" t="str">
        <f>IF('SBL Quotes'!$AN$32="Supplemental",MAX(PV((FirstRate_IfSupp)/12,(FirstAmort_IfSupp-Y76)*12,-(FirstDebtService_IfSupp/12)),0),"")</f>
        <v/>
      </c>
      <c r="Z80" t="str">
        <f>IF('SBL Quotes'!$AN$32="Supplemental",MAX(PV((FirstRate_IfSupp)/12,(FirstAmort_IfSupp-Z76)*12,-(FirstDebtService_IfSupp/12)),0),"")</f>
        <v/>
      </c>
      <c r="AA80" t="str">
        <f>IF('SBL Quotes'!$AN$32="Supplemental",MAX(PV((FirstRate_IfSupp)/12,(FirstAmort_IfSupp-AA76)*12,-(FirstDebtService_IfSupp/12)),0),"")</f>
        <v/>
      </c>
      <c r="AB80" t="str">
        <f>IF('SBL Quotes'!$AN$32="Supplemental",MAX(PV((FirstRate_IfSupp)/12,(FirstAmort_IfSupp-AB76)*12,-(FirstDebtService_IfSupp/12)),0),"")</f>
        <v/>
      </c>
      <c r="AC80" t="str">
        <f>IF('SBL Quotes'!$AN$32="Supplemental",MAX(PV((FirstRate_IfSupp)/12,(FirstAmort_IfSupp-AC76)*12,-(FirstDebtService_IfSupp/12)),0),"")</f>
        <v/>
      </c>
      <c r="AD80" t="str">
        <f>IF('SBL Quotes'!$AN$32="Supplemental",MAX(PV((FirstRate_IfSupp)/12,(FirstAmort_IfSupp-AD76)*12,-(FirstDebtService_IfSupp/12)),0),"")</f>
        <v/>
      </c>
      <c r="AE80" t="str">
        <f>IF('SBL Quotes'!$AN$32="Supplemental",MAX(PV((FirstRate_IfSupp)/12,(FirstAmort_IfSupp-AE76)*12,-(FirstDebtService_IfSupp/12)),0),"")</f>
        <v/>
      </c>
      <c r="AF80" t="str">
        <f>IF('SBL Quotes'!$AN$32="Supplemental",MAX(PV((FirstRate_IfSupp)/12,(FirstAmort_IfSupp-AF76)*12,-(FirstDebtService_IfSupp/12)),0),"")</f>
        <v/>
      </c>
      <c r="AG80" t="str">
        <f>IF('SBL Quotes'!$AN$32="Supplemental",MAX(PV((FirstRate_IfSupp)/12,(FirstAmort_IfSupp-AG76)*12,-(FirstDebtService_IfSupp/12)),0),"")</f>
        <v/>
      </c>
      <c r="AH80" t="str">
        <f>IF('SBL Quotes'!$AN$32="Supplemental",MAX(PV((FirstRate_IfSupp)/12,(FirstAmort_IfSupp-AH76)*12,-(FirstDebtService_IfSupp/12)),0),"")</f>
        <v/>
      </c>
    </row>
    <row r="81" ht="15" customHeight="1">
      <c r="B81">
        <f>IF('SBL Quotes'!AN33="2nd Supplemental","UPB of 2nd","")</f>
      </c>
      <c r="D81" t="str">
        <f>IF('SBL Quotes'!$AN$33="2nd Supplemental",MAX(0,PV((SecondRate_IfSupp)/12,(SecondAmort_IfSupp-D77)*12,-(SecondDebtService_IfSupp/12))),"")</f>
        <v/>
      </c>
      <c r="E81" t="str">
        <f>IF('SBL Quotes'!$AN$33="2nd Supplemental",MAX(0,PV((SecondRate_IfSupp)/12,(SecondAmort_IfSupp-E77)*12,-(SecondDebtService_IfSupp/12))),"")</f>
        <v/>
      </c>
      <c r="F81" t="str">
        <f>IF('SBL Quotes'!$AN$33="2nd Supplemental",MAX(0,PV((SecondRate_IfSupp)/12,(SecondAmort_IfSupp-F77)*12,-(SecondDebtService_IfSupp/12))),"")</f>
        <v/>
      </c>
      <c r="G81" t="str">
        <f>IF('SBL Quotes'!$AN$33="2nd Supplemental",MAX(0,PV((SecondRate_IfSupp)/12,(SecondAmort_IfSupp-G77)*12,-(SecondDebtService_IfSupp/12))),"")</f>
        <v/>
      </c>
      <c r="H81" t="str">
        <f>IF('SBL Quotes'!$AN$33="2nd Supplemental",MAX(0,PV((SecondRate_IfSupp)/12,(SecondAmort_IfSupp-H77)*12,-(SecondDebtService_IfSupp/12))),"")</f>
        <v/>
      </c>
      <c r="I81" t="str">
        <f>IF('SBL Quotes'!$AN$33="2nd Supplemental",MAX(0,PV((SecondRate_IfSupp)/12,(SecondAmort_IfSupp-I77)*12,-(SecondDebtService_IfSupp/12))),"")</f>
        <v/>
      </c>
      <c r="J81" t="str">
        <f>IF('SBL Quotes'!$AN$33="2nd Supplemental",MAX(0,PV((SecondRate_IfSupp)/12,(SecondAmort_IfSupp-J77)*12,-(SecondDebtService_IfSupp/12))),"")</f>
        <v/>
      </c>
      <c r="K81" t="str">
        <f>IF('SBL Quotes'!$AN$33="2nd Supplemental",MAX(0,PV((SecondRate_IfSupp)/12,(SecondAmort_IfSupp-K77)*12,-(SecondDebtService_IfSupp/12))),"")</f>
        <v/>
      </c>
      <c r="L81" t="str">
        <f>IF('SBL Quotes'!$AN$33="2nd Supplemental",MAX(0,PV((SecondRate_IfSupp)/12,(SecondAmort_IfSupp-L77)*12,-(SecondDebtService_IfSupp/12))),"")</f>
        <v/>
      </c>
      <c r="M81" t="str">
        <f>IF('SBL Quotes'!$AN$33="2nd Supplemental",MAX(0,PV((SecondRate_IfSupp)/12,(SecondAmort_IfSupp-M77)*12,-(SecondDebtService_IfSupp/12))),"")</f>
        <v/>
      </c>
      <c r="N81" t="str">
        <f>IF('SBL Quotes'!$AN$33="2nd Supplemental",MAX(0,PV((SecondRate_IfSupp)/12,(SecondAmort_IfSupp-N77)*12,-(SecondDebtService_IfSupp/12))),"")</f>
        <v/>
      </c>
      <c r="O81" t="str">
        <f>IF('SBL Quotes'!$AN$33="2nd Supplemental",MAX(0,PV((SecondRate_IfSupp)/12,(SecondAmort_IfSupp-O77)*12,-(SecondDebtService_IfSupp/12))),"")</f>
        <v/>
      </c>
      <c r="P81" t="str">
        <f>IF('SBL Quotes'!$AN$33="2nd Supplemental",MAX(0,PV((SecondRate_IfSupp)/12,(SecondAmort_IfSupp-P77)*12,-(SecondDebtService_IfSupp/12))),"")</f>
        <v/>
      </c>
      <c r="Q81" t="str">
        <f>IF('SBL Quotes'!$AN$33="2nd Supplemental",MAX(0,PV((SecondRate_IfSupp)/12,(SecondAmort_IfSupp-Q77)*12,-(SecondDebtService_IfSupp/12))),"")</f>
        <v/>
      </c>
      <c r="R81" t="str">
        <f>IF('SBL Quotes'!$AN$33="2nd Supplemental",MAX(0,PV((SecondRate_IfSupp)/12,(SecondAmort_IfSupp-R77)*12,-(SecondDebtService_IfSupp/12))),"")</f>
        <v/>
      </c>
      <c r="S81" t="str">
        <f>IF('SBL Quotes'!$AN$33="2nd Supplemental",MAX(0,PV((SecondRate_IfSupp)/12,(SecondAmort_IfSupp-S77)*12,-(SecondDebtService_IfSupp/12))),"")</f>
        <v/>
      </c>
      <c r="T81" t="str">
        <f>IF('SBL Quotes'!$AN$33="2nd Supplemental",MAX(0,PV((SecondRate_IfSupp)/12,(SecondAmort_IfSupp-T77)*12,-(SecondDebtService_IfSupp/12))),"")</f>
        <v/>
      </c>
      <c r="U81" t="str">
        <f>IF('SBL Quotes'!$AN$33="2nd Supplemental",MAX(0,PV((SecondRate_IfSupp)/12,(SecondAmort_IfSupp-U77)*12,-(SecondDebtService_IfSupp/12))),"")</f>
        <v/>
      </c>
      <c r="V81" t="str">
        <f>IF('SBL Quotes'!$AN$33="2nd Supplemental",MAX(0,PV((SecondRate_IfSupp)/12,(SecondAmort_IfSupp-V77)*12,-(SecondDebtService_IfSupp/12))),"")</f>
        <v/>
      </c>
      <c r="W81" t="str">
        <f>IF('SBL Quotes'!$AN$33="2nd Supplemental",MAX(0,PV((SecondRate_IfSupp)/12,(SecondAmort_IfSupp-W77)*12,-(SecondDebtService_IfSupp/12))),"")</f>
        <v/>
      </c>
      <c r="X81" t="str">
        <f>IF('SBL Quotes'!$AN$33="2nd Supplemental",MAX(0,PV((SecondRate_IfSupp)/12,(SecondAmort_IfSupp-X77)*12,-(SecondDebtService_IfSupp/12))),"")</f>
        <v/>
      </c>
      <c r="Y81" t="str">
        <f>IF('SBL Quotes'!$AN$33="2nd Supplemental",MAX(0,PV((SecondRate_IfSupp)/12,(SecondAmort_IfSupp-Y77)*12,-(SecondDebtService_IfSupp/12))),"")</f>
        <v/>
      </c>
      <c r="Z81" t="str">
        <f>IF('SBL Quotes'!$AN$33="2nd Supplemental",MAX(0,PV((SecondRate_IfSupp)/12,(SecondAmort_IfSupp-Z77)*12,-(SecondDebtService_IfSupp/12))),"")</f>
        <v/>
      </c>
      <c r="AA81" t="str">
        <f>IF('SBL Quotes'!$AN$33="2nd Supplemental",MAX(0,PV((SecondRate_IfSupp)/12,(SecondAmort_IfSupp-AA77)*12,-(SecondDebtService_IfSupp/12))),"")</f>
        <v/>
      </c>
      <c r="AB81" t="str">
        <f>IF('SBL Quotes'!$AN$33="2nd Supplemental",MAX(0,PV((SecondRate_IfSupp)/12,(SecondAmort_IfSupp-AB77)*12,-(SecondDebtService_IfSupp/12))),"")</f>
        <v/>
      </c>
      <c r="AC81" t="str">
        <f>IF('SBL Quotes'!$AN$33="2nd Supplemental",MAX(0,PV((SecondRate_IfSupp)/12,(SecondAmort_IfSupp-AC77)*12,-(SecondDebtService_IfSupp/12))),"")</f>
        <v/>
      </c>
      <c r="AD81" t="str">
        <f>IF('SBL Quotes'!$AN$33="2nd Supplemental",MAX(0,PV((SecondRate_IfSupp)/12,(SecondAmort_IfSupp-AD77)*12,-(SecondDebtService_IfSupp/12))),"")</f>
        <v/>
      </c>
      <c r="AE81" t="str">
        <f>IF('SBL Quotes'!$AN$33="2nd Supplemental",MAX(0,PV((SecondRate_IfSupp)/12,(SecondAmort_IfSupp-AE77)*12,-(SecondDebtService_IfSupp/12))),"")</f>
        <v/>
      </c>
      <c r="AF81" t="str">
        <f>IF('SBL Quotes'!$AN$33="2nd Supplemental",MAX(0,PV((SecondRate_IfSupp)/12,(SecondAmort_IfSupp-AF77)*12,-(SecondDebtService_IfSupp/12))),"")</f>
        <v/>
      </c>
      <c r="AG81" t="str">
        <f>IF('SBL Quotes'!$AN$33="2nd Supplemental",MAX(0,PV((SecondRate_IfSupp)/12,(SecondAmort_IfSupp-AG77)*12,-(SecondDebtService_IfSupp/12))),"")</f>
        <v/>
      </c>
      <c r="AH81" t="str">
        <f>IF('SBL Quotes'!$AN$33="2nd Supplemental",MAX(0,PV((SecondRate_IfSupp)/12,(SecondAmort_IfSupp-AH77)*12,-(SecondDebtService_IfSupp/12))),"")</f>
        <v/>
      </c>
    </row>
    <row r="82" ht="15" customHeight="1">
      <c r="B82">
        <f>IF('SBL Quotes'!AN34="3rd Supplemental","UPB of 3rd","")</f>
      </c>
      <c r="D82" t="str">
        <f>IF('SBL Quotes'!$AN$34="3rd Supplemental",MAX(0,PV((ThirdRate_IfSupp)/12,(ThirdAmort_IfSupp-D78)*12,-(ThirdDebtService_IfSupp/12))),"")</f>
        <v/>
      </c>
      <c r="E82" t="str">
        <f>IF('SBL Quotes'!$AN$34="3rd Supplemental",MAX(0,PV((ThirdRate_IfSupp)/12,(ThirdAmort_IfSupp-E78)*12,-(ThirdDebtService_IfSupp/12))),"")</f>
        <v/>
      </c>
      <c r="F82" t="str">
        <f>IF('SBL Quotes'!$AN$34="3rd Supplemental",MAX(0,PV((ThirdRate_IfSupp)/12,(ThirdAmort_IfSupp-F78)*12,-(ThirdDebtService_IfSupp/12))),"")</f>
        <v/>
      </c>
      <c r="G82" t="str">
        <f>IF('SBL Quotes'!$AN$34="3rd Supplemental",MAX(0,PV((ThirdRate_IfSupp)/12,(ThirdAmort_IfSupp-G78)*12,-(ThirdDebtService_IfSupp/12))),"")</f>
        <v/>
      </c>
      <c r="H82" t="str">
        <f>IF('SBL Quotes'!$AN$34="3rd Supplemental",MAX(0,PV((ThirdRate_IfSupp)/12,(ThirdAmort_IfSupp-H78)*12,-(ThirdDebtService_IfSupp/12))),"")</f>
        <v/>
      </c>
      <c r="I82" t="str">
        <f>IF('SBL Quotes'!$AN$34="3rd Supplemental",MAX(0,PV((ThirdRate_IfSupp)/12,(ThirdAmort_IfSupp-I78)*12,-(ThirdDebtService_IfSupp/12))),"")</f>
        <v/>
      </c>
      <c r="J82" t="str">
        <f>IF('SBL Quotes'!$AN$34="3rd Supplemental",MAX(0,PV((ThirdRate_IfSupp)/12,(ThirdAmort_IfSupp-J78)*12,-(ThirdDebtService_IfSupp/12))),"")</f>
        <v/>
      </c>
      <c r="K82" t="str">
        <f>IF('SBL Quotes'!$AN$34="3rd Supplemental",MAX(0,PV((ThirdRate_IfSupp)/12,(ThirdAmort_IfSupp-K78)*12,-(ThirdDebtService_IfSupp/12))),"")</f>
        <v/>
      </c>
      <c r="L82" t="str">
        <f>IF('SBL Quotes'!$AN$34="3rd Supplemental",MAX(0,PV((ThirdRate_IfSupp)/12,(ThirdAmort_IfSupp-L78)*12,-(ThirdDebtService_IfSupp/12))),"")</f>
        <v/>
      </c>
      <c r="M82" t="str">
        <f>IF('SBL Quotes'!$AN$34="3rd Supplemental",MAX(0,PV((ThirdRate_IfSupp)/12,(ThirdAmort_IfSupp-M78)*12,-(ThirdDebtService_IfSupp/12))),"")</f>
        <v/>
      </c>
      <c r="N82" t="str">
        <f>IF('SBL Quotes'!$AN$34="3rd Supplemental",MAX(0,PV((ThirdRate_IfSupp)/12,(ThirdAmort_IfSupp-N78)*12,-(ThirdDebtService_IfSupp/12))),"")</f>
        <v/>
      </c>
      <c r="O82" t="str">
        <f>IF('SBL Quotes'!$AN$34="3rd Supplemental",MAX(0,PV((ThirdRate_IfSupp)/12,(ThirdAmort_IfSupp-O78)*12,-(ThirdDebtService_IfSupp/12))),"")</f>
        <v/>
      </c>
      <c r="P82" t="str">
        <f>IF('SBL Quotes'!$AN$34="3rd Supplemental",MAX(0,PV((ThirdRate_IfSupp)/12,(ThirdAmort_IfSupp-P78)*12,-(ThirdDebtService_IfSupp/12))),"")</f>
        <v/>
      </c>
      <c r="Q82" t="str">
        <f>IF('SBL Quotes'!$AN$34="3rd Supplemental",MAX(0,PV((ThirdRate_IfSupp)/12,(ThirdAmort_IfSupp-Q78)*12,-(ThirdDebtService_IfSupp/12))),"")</f>
        <v/>
      </c>
      <c r="R82" t="str">
        <f>IF('SBL Quotes'!$AN$34="3rd Supplemental",MAX(0,PV((ThirdRate_IfSupp)/12,(ThirdAmort_IfSupp-R78)*12,-(ThirdDebtService_IfSupp/12))),"")</f>
        <v/>
      </c>
      <c r="S82" t="str">
        <f>IF('SBL Quotes'!$AN$34="3rd Supplemental",MAX(0,PV((ThirdRate_IfSupp)/12,(ThirdAmort_IfSupp-S78)*12,-(ThirdDebtService_IfSupp/12))),"")</f>
        <v/>
      </c>
      <c r="T82" t="str">
        <f>IF('SBL Quotes'!$AN$34="3rd Supplemental",MAX(0,PV((ThirdRate_IfSupp)/12,(ThirdAmort_IfSupp-T78)*12,-(ThirdDebtService_IfSupp/12))),"")</f>
        <v/>
      </c>
      <c r="U82" t="str">
        <f>IF('SBL Quotes'!$AN$34="3rd Supplemental",MAX(0,PV((ThirdRate_IfSupp)/12,(ThirdAmort_IfSupp-U78)*12,-(ThirdDebtService_IfSupp/12))),"")</f>
        <v/>
      </c>
      <c r="V82" t="str">
        <f>IF('SBL Quotes'!$AN$34="3rd Supplemental",MAX(0,PV((ThirdRate_IfSupp)/12,(ThirdAmort_IfSupp-V78)*12,-(ThirdDebtService_IfSupp/12))),"")</f>
        <v/>
      </c>
      <c r="W82" t="str">
        <f>IF('SBL Quotes'!$AN$34="3rd Supplemental",MAX(0,PV((ThirdRate_IfSupp)/12,(ThirdAmort_IfSupp-W78)*12,-(ThirdDebtService_IfSupp/12))),"")</f>
        <v/>
      </c>
      <c r="X82" t="str">
        <f>IF('SBL Quotes'!$AN$34="3rd Supplemental",MAX(0,PV((ThirdRate_IfSupp)/12,(ThirdAmort_IfSupp-X78)*12,-(ThirdDebtService_IfSupp/12))),"")</f>
        <v/>
      </c>
      <c r="Y82" t="str">
        <f>IF('SBL Quotes'!$AN$34="3rd Supplemental",MAX(0,PV((ThirdRate_IfSupp)/12,(ThirdAmort_IfSupp-Y78)*12,-(ThirdDebtService_IfSupp/12))),"")</f>
        <v/>
      </c>
      <c r="Z82" t="str">
        <f>IF('SBL Quotes'!$AN$34="3rd Supplemental",MAX(0,PV((ThirdRate_IfSupp)/12,(ThirdAmort_IfSupp-Z78)*12,-(ThirdDebtService_IfSupp/12))),"")</f>
        <v/>
      </c>
      <c r="AA82" t="str">
        <f>IF('SBL Quotes'!$AN$34="3rd Supplemental",MAX(0,PV((ThirdRate_IfSupp)/12,(ThirdAmort_IfSupp-AA78)*12,-(ThirdDebtService_IfSupp/12))),"")</f>
        <v/>
      </c>
      <c r="AB82" t="str">
        <f>IF('SBL Quotes'!$AN$34="3rd Supplemental",MAX(0,PV((ThirdRate_IfSupp)/12,(ThirdAmort_IfSupp-AB78)*12,-(ThirdDebtService_IfSupp/12))),"")</f>
        <v/>
      </c>
      <c r="AC82" t="str">
        <f>IF('SBL Quotes'!$AN$34="3rd Supplemental",MAX(0,PV((ThirdRate_IfSupp)/12,(ThirdAmort_IfSupp-AC78)*12,-(ThirdDebtService_IfSupp/12))),"")</f>
        <v/>
      </c>
      <c r="AD82" t="str">
        <f>IF('SBL Quotes'!$AN$34="3rd Supplemental",MAX(0,PV((ThirdRate_IfSupp)/12,(ThirdAmort_IfSupp-AD78)*12,-(ThirdDebtService_IfSupp/12))),"")</f>
        <v/>
      </c>
      <c r="AE82" t="str">
        <f>IF('SBL Quotes'!$AN$34="3rd Supplemental",MAX(0,PV((ThirdRate_IfSupp)/12,(ThirdAmort_IfSupp-AE78)*12,-(ThirdDebtService_IfSupp/12))),"")</f>
        <v/>
      </c>
      <c r="AF82" t="str">
        <f>IF('SBL Quotes'!$AN$34="3rd Supplemental",MAX(0,PV((ThirdRate_IfSupp)/12,(ThirdAmort_IfSupp-AF78)*12,-(ThirdDebtService_IfSupp/12))),"")</f>
        <v/>
      </c>
      <c r="AG82" t="str">
        <f>IF('SBL Quotes'!$AN$34="3rd Supplemental",MAX(0,PV((ThirdRate_IfSupp)/12,(ThirdAmort_IfSupp-AG78)*12,-(ThirdDebtService_IfSupp/12))),"")</f>
        <v/>
      </c>
      <c r="AH82" t="str">
        <f>IF('SBL Quotes'!$AN$34="3rd Supplemental",MAX(0,PV((ThirdRate_IfSupp)/12,(ThirdAmort_IfSupp-AH78)*12,-(ThirdDebtService_IfSupp/12))),"")</f>
        <v/>
      </c>
    </row>
    <row r="83" ht="15" customHeight="1">
      <c r="B83" t="str">
        <f>IF('SBL Quotes'!AN34="3rd Supplemental","UPB of 4th",IF('SBL Quotes'!AN33="2nd Supplemental","UPB of 3rd",IF('SBL Quotes'!AN32="Supplemental","UPB of 2nd","UPB of 1st")))</f>
        <v>UPB of 1st</v>
      </c>
      <c r="D83" t="e">
        <f t="shared" si="40"/>
        <v>#NAME?</v>
      </c>
      <c r="E83" t="e">
        <f t="shared" si="40"/>
        <v>#NAME?</v>
      </c>
      <c r="F83" t="e">
        <f t="shared" si="40"/>
        <v>#NAME?</v>
      </c>
      <c r="G83" t="e">
        <f t="shared" si="40"/>
        <v>#NAME?</v>
      </c>
      <c r="H83" t="e">
        <f t="shared" si="40"/>
        <v>#NAME?</v>
      </c>
      <c r="I83" t="e">
        <f t="shared" si="40"/>
        <v>#NAME?</v>
      </c>
      <c r="J83" t="e">
        <f t="shared" si="40"/>
        <v>#NAME?</v>
      </c>
      <c r="K83" t="e">
        <f t="shared" si="40"/>
        <v>#NAME?</v>
      </c>
      <c r="L83" t="e">
        <f t="shared" si="40"/>
        <v>#NAME?</v>
      </c>
      <c r="M83" t="e">
        <f t="shared" si="40"/>
        <v>#NAME?</v>
      </c>
      <c r="N83" t="e">
        <f t="shared" si="40"/>
        <v>#NAME?</v>
      </c>
      <c r="O83" t="e">
        <f t="shared" si="40"/>
        <v>#NAME?</v>
      </c>
      <c r="P83" t="e">
        <f t="shared" si="40"/>
        <v>#NAME?</v>
      </c>
      <c r="Q83" t="e">
        <f t="shared" si="40"/>
        <v>#NAME?</v>
      </c>
      <c r="R83" t="e">
        <f t="shared" si="40"/>
        <v>#NAME?</v>
      </c>
      <c r="S83" t="e">
        <f t="shared" si="40"/>
        <v>#NAME?</v>
      </c>
      <c r="T83" t="e">
        <f t="shared" si="40"/>
        <v>#NAME?</v>
      </c>
      <c r="U83" t="e">
        <f t="shared" si="40"/>
        <v>#NAME?</v>
      </c>
      <c r="V83" t="e">
        <f t="shared" si="40"/>
        <v>#NAME?</v>
      </c>
      <c r="W83" t="e">
        <f t="shared" si="40"/>
        <v>#NAME?</v>
      </c>
      <c r="X83" t="e">
        <f t="shared" si="40"/>
        <v>#NAME?</v>
      </c>
      <c r="Y83" t="e">
        <f t="shared" si="40"/>
        <v>#NAME?</v>
      </c>
      <c r="Z83" t="e">
        <f t="shared" si="40"/>
        <v>#NAME?</v>
      </c>
      <c r="AA83" t="e">
        <f t="shared" si="40"/>
        <v>#NAME?</v>
      </c>
      <c r="AB83" t="e">
        <f t="shared" si="40"/>
        <v>#NAME?</v>
      </c>
      <c r="AC83" t="e">
        <f t="shared" si="40"/>
        <v>#NAME?</v>
      </c>
      <c r="AD83" t="e">
        <f t="shared" si="40"/>
        <v>#NAME?</v>
      </c>
      <c r="AE83" t="e">
        <f t="shared" si="40"/>
        <v>#NAME?</v>
      </c>
      <c r="AF83" t="e">
        <f t="shared" si="40"/>
        <v>#NAME?</v>
      </c>
      <c r="AG83" t="e">
        <f t="shared" si="40"/>
        <v>#NAME?</v>
      </c>
      <c r="AH83" t="e">
        <f t="shared" si="40"/>
        <v>#NAME?</v>
      </c>
    </row>
    <row r="84" ht="15" customHeight="1">
      <c r="B84" t="s">
        <v>1437</v>
      </c>
      <c r="D84" t="e">
        <f t="shared" si="6"/>
        <v>#NAME?</v>
      </c>
      <c r="E84" t="e">
        <f t="shared" si="6"/>
        <v>#NAME?</v>
      </c>
      <c r="F84" t="e">
        <f t="shared" si="6"/>
        <v>#NAME?</v>
      </c>
      <c r="G84" t="e">
        <f t="shared" si="6"/>
        <v>#NAME?</v>
      </c>
      <c r="H84" t="e">
        <f t="shared" si="6"/>
        <v>#NAME?</v>
      </c>
      <c r="I84" t="e">
        <f t="shared" si="6"/>
        <v>#NAME?</v>
      </c>
      <c r="J84" t="e">
        <f t="shared" si="6"/>
        <v>#NAME?</v>
      </c>
      <c r="K84" t="e">
        <f t="shared" si="6"/>
        <v>#NAME?</v>
      </c>
      <c r="L84" t="e">
        <f t="shared" si="6"/>
        <v>#NAME?</v>
      </c>
      <c r="M84" t="e">
        <f t="shared" si="6"/>
        <v>#NAME?</v>
      </c>
      <c r="N84" t="e">
        <f t="shared" si="6"/>
        <v>#NAME?</v>
      </c>
      <c r="O84" t="e">
        <f t="shared" si="6"/>
        <v>#NAME?</v>
      </c>
      <c r="P84" t="e">
        <f t="shared" si="6"/>
        <v>#NAME?</v>
      </c>
      <c r="Q84" t="e">
        <f t="shared" si="6"/>
        <v>#NAME?</v>
      </c>
      <c r="R84" t="e">
        <f t="shared" si="6"/>
        <v>#NAME?</v>
      </c>
      <c r="S84" t="e">
        <f t="shared" si="6"/>
        <v>#NAME?</v>
      </c>
      <c r="T84" t="e">
        <f t="shared" si="6"/>
        <v>#NAME?</v>
      </c>
      <c r="U84" t="e">
        <f t="shared" si="6"/>
        <v>#NAME?</v>
      </c>
      <c r="V84" t="e">
        <f t="shared" si="6"/>
        <v>#NAME?</v>
      </c>
      <c r="W84" t="e">
        <f t="shared" si="6"/>
        <v>#NAME?</v>
      </c>
      <c r="X84" t="e">
        <f t="shared" si="6"/>
        <v>#NAME?</v>
      </c>
      <c r="Y84" t="e">
        <f t="shared" si="6"/>
        <v>#NAME?</v>
      </c>
      <c r="Z84" t="e">
        <f t="shared" si="6"/>
        <v>#NAME?</v>
      </c>
      <c r="AA84" t="e">
        <f t="shared" si="6"/>
        <v>#NAME?</v>
      </c>
      <c r="AB84" t="e">
        <f t="shared" si="6"/>
        <v>#NAME?</v>
      </c>
      <c r="AC84" t="e">
        <f t="shared" si="6"/>
        <v>#NAME?</v>
      </c>
      <c r="AD84" t="e">
        <f t="shared" si="6"/>
        <v>#NAME?</v>
      </c>
      <c r="AE84" t="e">
        <f t="shared" si="6"/>
        <v>#NAME?</v>
      </c>
      <c r="AF84" t="e">
        <f t="shared" si="6"/>
        <v>#NAME?</v>
      </c>
      <c r="AG84" t="e">
        <f t="shared" si="6"/>
        <v>#NAME?</v>
      </c>
      <c r="AH84" t="e">
        <f t="shared" si="6"/>
        <v>#NAME?</v>
      </c>
    </row>
    <row r="85" ht="15" customHeight="1">
      <c r="B85" t="s">
        <v>1438</v>
      </c>
      <c r="D85">
        <f t="shared" si="41" ref="D85:AH85">_xlfn.IFERROR(IF(D73&gt;0,D73/(D84*PMT($AM$25/12,$AM$26*12,-1)*12),0),0)</f>
        <v>0</v>
      </c>
      <c r="E85">
        <f t="shared" si="41"/>
        <v>0</v>
      </c>
      <c r="F85">
        <f t="shared" si="41"/>
        <v>0</v>
      </c>
      <c r="G85">
        <f t="shared" si="41"/>
        <v>0</v>
      </c>
      <c r="H85">
        <f t="shared" si="41"/>
        <v>0</v>
      </c>
      <c r="I85">
        <f t="shared" si="41"/>
        <v>0</v>
      </c>
      <c r="J85">
        <f t="shared" si="41"/>
        <v>0</v>
      </c>
      <c r="K85">
        <f t="shared" si="41"/>
        <v>0</v>
      </c>
      <c r="L85">
        <f t="shared" si="41"/>
        <v>0</v>
      </c>
      <c r="M85">
        <f t="shared" si="41"/>
        <v>0</v>
      </c>
      <c r="N85">
        <f t="shared" si="41"/>
        <v>0</v>
      </c>
      <c r="O85">
        <f t="shared" si="41"/>
        <v>0</v>
      </c>
      <c r="P85">
        <f t="shared" si="41"/>
        <v>0</v>
      </c>
      <c r="Q85">
        <f t="shared" si="41"/>
        <v>0</v>
      </c>
      <c r="R85">
        <f t="shared" si="41"/>
        <v>0</v>
      </c>
      <c r="S85">
        <f t="shared" si="41"/>
        <v>0</v>
      </c>
      <c r="T85">
        <f t="shared" si="41"/>
        <v>0</v>
      </c>
      <c r="U85">
        <f t="shared" si="41"/>
        <v>0</v>
      </c>
      <c r="V85">
        <f t="shared" si="41"/>
        <v>0</v>
      </c>
      <c r="W85">
        <f t="shared" si="41"/>
        <v>0</v>
      </c>
      <c r="X85">
        <f t="shared" si="41"/>
        <v>0</v>
      </c>
      <c r="Y85">
        <f t="shared" si="41"/>
        <v>0</v>
      </c>
      <c r="Z85">
        <f t="shared" si="41"/>
        <v>0</v>
      </c>
      <c r="AA85">
        <f t="shared" si="41"/>
        <v>0</v>
      </c>
      <c r="AB85">
        <f t="shared" si="41"/>
        <v>0</v>
      </c>
      <c r="AC85">
        <f t="shared" si="41"/>
        <v>0</v>
      </c>
      <c r="AD85">
        <f t="shared" si="41"/>
        <v>0</v>
      </c>
      <c r="AE85">
        <f t="shared" si="41"/>
        <v>0</v>
      </c>
      <c r="AF85">
        <f t="shared" si="41"/>
        <v>0</v>
      </c>
      <c r="AG85">
        <f t="shared" si="41"/>
        <v>0</v>
      </c>
      <c r="AH85">
        <f t="shared" si="41"/>
        <v>0</v>
      </c>
    </row>
    <row r="86" ht="15" customHeight="1">
      <c r="B86">
        <f>AM20</f>
        <v>0.07</v>
      </c>
      <c r="D86">
        <f t="shared" si="42" ref="D86:AH86">IF(D73&gt;0,D73/$B$86,0)</f>
        <v>0</v>
      </c>
      <c r="E86">
        <f t="shared" si="42"/>
        <v>0</v>
      </c>
      <c r="F86">
        <f t="shared" si="42"/>
        <v>0</v>
      </c>
      <c r="G86">
        <f t="shared" si="42"/>
        <v>0</v>
      </c>
      <c r="H86">
        <f t="shared" si="42"/>
        <v>0</v>
      </c>
      <c r="I86">
        <f t="shared" si="42"/>
        <v>0</v>
      </c>
      <c r="J86">
        <f t="shared" si="42"/>
        <v>0</v>
      </c>
      <c r="K86">
        <f t="shared" si="42"/>
        <v>0</v>
      </c>
      <c r="L86">
        <f t="shared" si="42"/>
        <v>0</v>
      </c>
      <c r="M86">
        <f t="shared" si="42"/>
        <v>0</v>
      </c>
      <c r="N86">
        <f t="shared" si="42"/>
        <v>0</v>
      </c>
      <c r="O86">
        <f t="shared" si="42"/>
        <v>0</v>
      </c>
      <c r="P86">
        <f t="shared" si="42"/>
        <v>0</v>
      </c>
      <c r="Q86">
        <f t="shared" si="42"/>
        <v>0</v>
      </c>
      <c r="R86">
        <f t="shared" si="42"/>
        <v>0</v>
      </c>
      <c r="S86">
        <f t="shared" si="42"/>
        <v>0</v>
      </c>
      <c r="T86">
        <f t="shared" si="42"/>
        <v>0</v>
      </c>
      <c r="U86">
        <f t="shared" si="42"/>
        <v>0</v>
      </c>
      <c r="V86">
        <f t="shared" si="42"/>
        <v>0</v>
      </c>
      <c r="W86">
        <f t="shared" si="42"/>
        <v>0</v>
      </c>
      <c r="X86">
        <f t="shared" si="42"/>
        <v>0</v>
      </c>
      <c r="Y86">
        <f t="shared" si="42"/>
        <v>0</v>
      </c>
      <c r="Z86">
        <f t="shared" si="42"/>
        <v>0</v>
      </c>
      <c r="AA86">
        <f t="shared" si="42"/>
        <v>0</v>
      </c>
      <c r="AB86">
        <f t="shared" si="42"/>
        <v>0</v>
      </c>
      <c r="AC86">
        <f t="shared" si="42"/>
        <v>0</v>
      </c>
      <c r="AD86">
        <f t="shared" si="42"/>
        <v>0</v>
      </c>
      <c r="AE86">
        <f t="shared" si="42"/>
        <v>0</v>
      </c>
      <c r="AF86">
        <f t="shared" si="42"/>
        <v>0</v>
      </c>
      <c r="AG86">
        <f t="shared" si="42"/>
        <v>0</v>
      </c>
      <c r="AH86">
        <f t="shared" si="42"/>
        <v>0</v>
      </c>
    </row>
    <row r="87" ht="15" customHeight="1">
      <c r="B87" t="s">
        <v>1439</v>
      </c>
      <c r="D87">
        <f t="shared" si="34"/>
        <v>0</v>
      </c>
      <c r="E87">
        <f t="shared" si="34"/>
        <v>0</v>
      </c>
      <c r="F87">
        <f t="shared" si="34"/>
        <v>0</v>
      </c>
      <c r="G87">
        <f t="shared" si="34"/>
        <v>0</v>
      </c>
      <c r="H87">
        <f t="shared" si="34"/>
        <v>0</v>
      </c>
      <c r="I87">
        <f t="shared" si="34"/>
        <v>0</v>
      </c>
      <c r="J87">
        <f t="shared" si="34"/>
        <v>0</v>
      </c>
      <c r="K87">
        <f t="shared" si="34"/>
        <v>0</v>
      </c>
      <c r="L87">
        <f t="shared" si="34"/>
        <v>0</v>
      </c>
      <c r="M87">
        <f t="shared" si="34"/>
        <v>0</v>
      </c>
      <c r="N87">
        <f t="shared" si="34"/>
        <v>0</v>
      </c>
      <c r="O87">
        <f t="shared" si="34"/>
        <v>0</v>
      </c>
      <c r="P87">
        <f t="shared" si="34"/>
        <v>0</v>
      </c>
      <c r="Q87">
        <f t="shared" si="34"/>
        <v>0</v>
      </c>
      <c r="R87">
        <f t="shared" si="34"/>
        <v>0</v>
      </c>
      <c r="S87">
        <f t="shared" si="34"/>
        <v>0</v>
      </c>
      <c r="T87">
        <f t="shared" si="34"/>
        <v>0</v>
      </c>
      <c r="U87">
        <f t="shared" si="34"/>
        <v>0</v>
      </c>
      <c r="V87">
        <f t="shared" si="34"/>
        <v>0</v>
      </c>
      <c r="W87">
        <f t="shared" si="34"/>
        <v>0</v>
      </c>
      <c r="X87">
        <f t="shared" si="34"/>
        <v>0</v>
      </c>
      <c r="Y87">
        <f t="shared" si="34"/>
        <v>0</v>
      </c>
      <c r="Z87">
        <f t="shared" si="34"/>
        <v>0</v>
      </c>
      <c r="AA87">
        <f t="shared" si="34"/>
        <v>0</v>
      </c>
      <c r="AB87">
        <f t="shared" si="34"/>
        <v>0</v>
      </c>
      <c r="AC87">
        <f t="shared" si="34"/>
        <v>0</v>
      </c>
      <c r="AD87">
        <f t="shared" si="34"/>
        <v>0</v>
      </c>
      <c r="AE87">
        <f t="shared" si="34"/>
        <v>0</v>
      </c>
      <c r="AF87">
        <f t="shared" si="34"/>
        <v>0</v>
      </c>
      <c r="AG87">
        <f t="shared" si="34"/>
        <v>0</v>
      </c>
      <c r="AH87">
        <f t="shared" si="34"/>
        <v>0</v>
      </c>
    </row>
    <row r="90" ht="15" customHeight="1" hidden="1"/>
    <row r="91" ht="15" customHeight="1" hidden="1"/>
    <row r="92" ht="15" customHeight="1" hidden="1"/>
    <row r="93" ht="15" customHeight="1" hidden="1"/>
    <row r="94" ht="15" customHeight="1" hidden="1"/>
    <row r="95" ht="15" customHeight="1" hidden="1"/>
    <row r="96" ht="15" customHeight="1" hidden="1"/>
    <row r="97" ht="15" customHeight="1" hidden="1"/>
    <row r="98" ht="15" customHeight="1" hidden="1"/>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F084B6A-DE8F-E6C9-1736-3E7146AD8651}" mc:Ignorable="x14ac xr xr2 xr3">
  <dimension ref="A1:N130"/>
  <sheetViews>
    <sheetView topLeftCell="A1" workbookViewId="0">
      <selection activeCell="A1" sqref="A1"/>
    </sheetView>
  </sheetViews>
  <sheetFormatPr defaultRowHeight="14.497499999999997" defaultColWidth="0" customHeight="1"/>
  <cols>
    <col min="1" max="1" width="59.57421875" customWidth="1"/>
    <col min="2" max="2" width="34.7109375" customWidth="1"/>
    <col min="3" max="10" width="18.57421875" customWidth="1"/>
    <col min="11" max="11" width="6.140625" customWidth="1"/>
    <col min="12" max="14" width="0" hidden="1"/>
  </cols>
  <sheetData>
    <row r="1" ht="15" customHeight="1">
      <c r="A1" t="s">
        <v>1445</v>
      </c>
    </row>
    <row r="2" ht="15" customHeight="1">
      <c r="A2" t="s">
        <v>1446</v>
      </c>
      <c r="B2" t="s">
        <v>1447</v>
      </c>
    </row>
    <row r="3" ht="15.75" customHeight="1">
      <c r="A3" t="s">
        <v>1448</v>
      </c>
      <c r="B3" cm="1">
        <f t="array" ref="B3">SUMPRODUCT(--ISERROR(C5:C128))*IF(C$5&gt;0,1)+SUMPRODUCT(--ISERROR(D5:D128))*IF(D$5&gt;0,1)+SUMPRODUCT(--ISERROR(E5:E128))*IF(E$5&gt;0,1)+SUMPRODUCT(--ISERROR(F5:F128))*IF(F$5&gt;0,1)+SUMPRODUCT(--ISERROR(G5:G128))*IF(G$5&gt;0,1)+SUMPRODUCT(--ISERROR(H5:H128))*IF(H$5&gt;0,1)+SUMPRODUCT(--ISERROR(I5:I128))*IF(I$5&gt;0,1)+SUMPRODUCT(--ISERROR(J5:J128))*IF(J$5&gt;0,1)</f>
        <v>0</v>
      </c>
      <c r="C3">
        <v>1</v>
      </c>
      <c r="D3">
        <v>2</v>
      </c>
      <c r="E3">
        <v>3</v>
      </c>
      <c r="F3">
        <v>4</v>
      </c>
      <c r="G3">
        <v>5</v>
      </c>
      <c r="H3">
        <v>6</v>
      </c>
      <c r="I3">
        <v>7</v>
      </c>
      <c r="J3">
        <v>8</v>
      </c>
    </row>
    <row r="4" ht="15.75" customHeight="1">
      <c r="A4" t="s">
        <v>1449</v>
      </c>
      <c r="B4" t="s">
        <v>1450</v>
      </c>
      <c r="C4" t="s">
        <v>1451</v>
      </c>
      <c r="D4" t="s">
        <v>1451</v>
      </c>
      <c r="E4" t="s">
        <v>1451</v>
      </c>
      <c r="F4" t="s">
        <v>1451</v>
      </c>
      <c r="G4" t="s">
        <v>1451</v>
      </c>
      <c r="H4" t="s">
        <v>1451</v>
      </c>
      <c r="I4" t="s">
        <v>1451</v>
      </c>
      <c r="J4" t="s">
        <v>1451</v>
      </c>
    </row>
    <row r="5" ht="15" customHeight="1">
      <c r="A5" t="s">
        <v>572</v>
      </c>
      <c r="B5" t="s">
        <v>1452</v>
      </c>
      <c r="C5">
        <f>'FNM Loan Terms'!F10</f>
        <v>0</v>
      </c>
      <c r="D5">
        <f>'FNM Loan Terms'!G10</f>
        <v>0</v>
      </c>
      <c r="E5">
        <f>'FNM Loan Terms'!H10</f>
        <v>0</v>
      </c>
      <c r="F5">
        <f>'FNM Loan Terms'!I10</f>
        <v>0</v>
      </c>
      <c r="G5">
        <f>'FNM Loan Terms'!J10</f>
        <v>0</v>
      </c>
      <c r="H5">
        <f>'FNM Loan Terms'!K10</f>
        <v>0</v>
      </c>
      <c r="I5">
        <f>'FNM Loan Terms'!L10</f>
        <v>0</v>
      </c>
      <c r="J5">
        <f>'FNM Loan Terms'!M10</f>
        <v>0</v>
      </c>
    </row>
    <row r="6" ht="15" customHeight="1">
      <c r="A6" t="s">
        <v>1453</v>
      </c>
      <c r="B6" t="s">
        <v>1454</v>
      </c>
      <c r="C6" t="str">
        <f>'FNM Loan Terms'!F11</f>
        <v>Fixed Rate</v>
      </c>
      <c r="D6" t="str">
        <f>'FNM Loan Terms'!G11</f>
        <v>Fixed Rate</v>
      </c>
      <c r="E6" t="str">
        <f>'FNM Loan Terms'!H11</f>
        <v>Fixed Rate</v>
      </c>
      <c r="F6" t="str">
        <f>'FNM Loan Terms'!I11</f>
        <v>Fixed Rate</v>
      </c>
      <c r="G6" t="str">
        <f>'FNM Loan Terms'!J11</f>
        <v>Fixed Rate</v>
      </c>
      <c r="H6" t="str">
        <f>'FNM Loan Terms'!K11</f>
        <v>Fixed Rate</v>
      </c>
      <c r="I6" t="str">
        <f>'FNM Loan Terms'!L11</f>
        <v>Fixed Rate</v>
      </c>
      <c r="J6" t="str">
        <f>'FNM Loan Terms'!M11</f>
        <v>Variable Rate</v>
      </c>
    </row>
    <row r="7" ht="15" customHeight="1">
      <c r="A7" t="s">
        <v>1455</v>
      </c>
      <c r="B7" t="s">
        <v>1456</v>
      </c>
      <c r="C7">
        <f>IF('FNM Loan Terms'!F11="Variable Rate",IF(Interest_Rate_Type="Variable: SARM","SARM",IF(Interest_Rate_Type="Variable: ARM 7-6","ARM 7/6",IF(Loan_Execution_Type="DMBS","DMBS",IF(OR(Loan_Execution_Type="(Fixed +1) DUS MBS",Loan_Execution_Type="(Fixed +1) DUS Cash"),"Fixed+1","")))),"")</f>
      </c>
      <c r="D7">
        <f>IF('FNM Loan Terms'!G11="Variable Rate",IF(Interest_Rate_Type="Variable: SARM","SARM",IF(Interest_Rate_Type="Variable: ARM 7-6","ARM 7/6",IF(Loan_Execution_Type="DMBS","DMBS",IF(OR(Loan_Execution_Type="(Fixed +1) DUS MBS",Loan_Execution_Type="(Fixed +1) DUS Cash"),"Fixed+1","")))),"")</f>
      </c>
      <c r="E7">
        <f>IF('FNM Loan Terms'!H11="Variable Rate",IF(Interest_Rate_Type="Variable: SARM","SARM",IF(Interest_Rate_Type="Variable: ARM 7-6","ARM 7/6",IF(Loan_Execution_Type="DMBS","DMBS",IF(OR(Loan_Execution_Type="(Fixed +1) DUS MBS",Loan_Execution_Type="(Fixed +1) DUS Cash"),"Fixed+1","")))),"")</f>
      </c>
      <c r="F7">
        <f>IF('FNM Loan Terms'!I11="Variable Rate",IF(Interest_Rate_Type="Variable: SARM","SARM",IF(Interest_Rate_Type="Variable: ARM 7-6","ARM 7/6",IF(Loan_Execution_Type="DMBS","DMBS",IF(OR(Loan_Execution_Type="(Fixed +1) DUS MBS",Loan_Execution_Type="(Fixed +1) DUS Cash"),"Fixed+1","")))),"")</f>
      </c>
      <c r="G7">
        <f>IF('FNM Loan Terms'!J11="Variable Rate",IF(Interest_Rate_Type="Variable: SARM","SARM",IF(Interest_Rate_Type="Variable: ARM 7-6","ARM 7/6",IF(Loan_Execution_Type="DMBS","DMBS",IF(OR(Loan_Execution_Type="(Fixed +1) DUS MBS",Loan_Execution_Type="(Fixed +1) DUS Cash"),"Fixed+1","")))),"")</f>
      </c>
      <c r="H7">
        <f>IF('FNM Loan Terms'!K11="Variable Rate",IF(Interest_Rate_Type="Variable: SARM","SARM",IF(Interest_Rate_Type="Variable: ARM 7-6","ARM 7/6",IF(Loan_Execution_Type="DMBS","DMBS",IF(OR(Loan_Execution_Type="(Fixed +1) DUS MBS",Loan_Execution_Type="(Fixed +1) DUS Cash"),"Fixed+1","")))),"")</f>
      </c>
      <c r="I7">
        <f>IF('FNM Loan Terms'!L11="Variable Rate",IF(Interest_Rate_Type="Variable: SARM","SARM",IF(Interest_Rate_Type="Variable: ARM 7-6","ARM 7/6",IF(Loan_Execution_Type="DMBS","DMBS",IF(OR(Loan_Execution_Type="(Fixed +1) DUS MBS",Loan_Execution_Type="(Fixed +1) DUS Cash"),"Fixed+1","")))),"")</f>
      </c>
      <c r="J7">
        <f>IF('FNM Loan Terms'!M11="Variable Rate",IF(Interest_Rate_Type="Variable: SARM","SARM",IF(Interest_Rate_Type="Variable: ARM 7-6","ARM 7/6",IF(Loan_Execution_Type="DMBS","DMBS",IF(OR(Loan_Execution_Type="(Fixed +1) DUS MBS",Loan_Execution_Type="(Fixed +1) DUS Cash"),"Fixed+1","")))),"")</f>
      </c>
    </row>
    <row r="8" ht="15" customHeight="1">
      <c r="A8" t="s">
        <v>1457</v>
      </c>
      <c r="B8" t="s">
        <v>1458</v>
      </c>
      <c r="C8">
        <f>IF('SBL Quotes'!AN34="3rd Supplemental",4,IF('SBL Quotes'!AN33="2nd Supplemental",3,IF('SBL Quotes'!AN32="Supplemental",2,1)))</f>
        <v>1</v>
      </c>
      <c r="D8">
        <f>IF('SBL Quotes'!AN34="3rd Supplemental",4,IF('SBL Quotes'!AN33="2nd Supplemental",3,IF('SBL Quotes'!AN32="Supplemental",2,1)))</f>
        <v>1</v>
      </c>
      <c r="E8">
        <f>IF('SBL Quotes'!AN34="3rd Supplemental",4,IF('SBL Quotes'!AN33="2nd Supplemental",3,IF('SBL Quotes'!AN32="Supplemental",2,1)))</f>
        <v>1</v>
      </c>
      <c r="F8">
        <f>IF('SBL Quotes'!AN34="3rd Supplemental",4,IF('SBL Quotes'!AN33="2nd Supplemental",3,IF('SBL Quotes'!AN32="Supplemental",2,1)))</f>
        <v>1</v>
      </c>
      <c r="G8">
        <f>IF('SBL Quotes'!AN34="3rd Supplemental",4,IF('SBL Quotes'!AN33="2nd Supplemental",3,IF('SBL Quotes'!AN32="Supplemental",2,1)))</f>
        <v>1</v>
      </c>
      <c r="H8">
        <f>IF('SBL Quotes'!AN34="3rd Supplemental",4,IF('SBL Quotes'!AN33="2nd Supplemental",3,IF('SBL Quotes'!AN32="Supplemental",2,1)))</f>
        <v>1</v>
      </c>
      <c r="I8">
        <f>IF('SBL Quotes'!AN34="3rd Supplemental",4,IF('SBL Quotes'!AN33="2nd Supplemental",3,IF('SBL Quotes'!AN32="Supplemental",2,1)))</f>
        <v>1</v>
      </c>
      <c r="J8">
        <f>IF('SBL Quotes'!AN34="3rd Supplemental",4,IF('SBL Quotes'!AN33="2nd Supplemental",3,IF('SBL Quotes'!AN32="Supplemental",2,1)))</f>
        <v>1</v>
      </c>
    </row>
    <row r="9" ht="15" customHeight="1">
      <c r="A9" t="s">
        <v>1459</v>
      </c>
      <c r="B9" t="s">
        <v>1460</v>
      </c>
    </row>
    <row r="10" ht="15" customHeight="1">
      <c r="A10" t="s">
        <v>1461</v>
      </c>
      <c r="B10" t="s">
        <v>1462</v>
      </c>
      <c r="C10">
        <f>'FNM Loan Terms'!F9*12</f>
        <v>120</v>
      </c>
      <c r="D10">
        <f>'FNM Loan Terms'!G9*12</f>
        <v>144</v>
      </c>
      <c r="E10">
        <f>'FNM Loan Terms'!H9*12</f>
        <v>180</v>
      </c>
      <c r="F10">
        <f>'FNM Loan Terms'!I9*12</f>
        <v>120</v>
      </c>
      <c r="G10">
        <f>'FNM Loan Terms'!J9*12</f>
        <v>120</v>
      </c>
      <c r="H10">
        <f>'FNM Loan Terms'!K9*12</f>
        <v>60</v>
      </c>
      <c r="I10">
        <f>'FNM Loan Terms'!L9*12</f>
        <v>60</v>
      </c>
      <c r="J10">
        <f>'FNM Loan Terms'!M9*12</f>
        <v>12120</v>
      </c>
    </row>
    <row r="11" ht="15" customHeight="1">
      <c r="A11" t="s">
        <v>1463</v>
      </c>
      <c r="B11" t="s">
        <v>1464</v>
      </c>
      <c r="C11">
        <f>'FNM Loan Terms'!F21*12</f>
        <v>0</v>
      </c>
      <c r="D11">
        <f>'FNM Loan Terms'!G21*12</f>
        <v>0</v>
      </c>
      <c r="E11">
        <f>'FNM Loan Terms'!H21*12</f>
        <v>0</v>
      </c>
      <c r="F11">
        <f>'FNM Loan Terms'!I21*12</f>
        <v>60</v>
      </c>
      <c r="G11">
        <f>'FNM Loan Terms'!J21*12</f>
        <v>120</v>
      </c>
      <c r="H11">
        <f>'FNM Loan Terms'!K21*12</f>
        <v>24</v>
      </c>
      <c r="I11">
        <f>'FNM Loan Terms'!L21*12</f>
        <v>60</v>
      </c>
      <c r="J11">
        <f>'FNM Loan Terms'!M21*12</f>
        <v>0</v>
      </c>
    </row>
    <row r="12" ht="15" customHeight="1">
      <c r="A12" t="s">
        <v>1465</v>
      </c>
      <c r="B12" t="s">
        <v>1466</v>
      </c>
      <c r="C12">
        <f>'SBL Quotes'!R46*12</f>
        <v>360</v>
      </c>
      <c r="D12">
        <f>'SBL Quotes'!S46*12</f>
        <v>360</v>
      </c>
      <c r="E12">
        <f>'SBL Quotes'!T46*12</f>
        <v>360</v>
      </c>
      <c r="F12">
        <v>360</v>
      </c>
      <c r="G12">
        <v>360</v>
      </c>
      <c r="H12">
        <v>360</v>
      </c>
      <c r="I12">
        <v>360</v>
      </c>
      <c r="J12">
        <v>360</v>
      </c>
    </row>
    <row r="13" ht="15" customHeight="1">
      <c r="A13" t="s">
        <v>1467</v>
      </c>
      <c r="B13" t="s">
        <v>1468</v>
      </c>
      <c r="C13" t="str">
        <f>TEXT(LossSharing_DataPageTab,"0.00%")</f>
        <v>100.00%</v>
      </c>
      <c r="D13" t="str">
        <f t="shared" si="0" ref="D13:J122">C13</f>
        <v>100.00%</v>
      </c>
      <c r="E13" t="str">
        <f t="shared" si="0"/>
        <v>100.00%</v>
      </c>
      <c r="F13" t="str">
        <f t="shared" si="0"/>
        <v>100.00%</v>
      </c>
      <c r="G13" t="str">
        <f t="shared" si="0"/>
        <v>100.00%</v>
      </c>
      <c r="H13" t="str">
        <f t="shared" si="0"/>
        <v>100.00%</v>
      </c>
      <c r="I13" t="str">
        <f t="shared" si="0"/>
        <v>100.00%</v>
      </c>
      <c r="J13" t="str">
        <f t="shared" si="0"/>
        <v>100.00%</v>
      </c>
    </row>
    <row r="14" ht="15" customHeight="1">
      <c r="A14" t="s">
        <v>1470</v>
      </c>
      <c r="B14" t="s">
        <v>1471</v>
      </c>
      <c r="C14" t="str">
        <f>'FNM Loan Terms'!F$12</f>
        <v>Yield Maintenance</v>
      </c>
      <c r="D14" t="str">
        <f>'FNM Loan Terms'!G$12</f>
        <v>Yield Maintenance</v>
      </c>
      <c r="E14" t="str">
        <f>'FNM Loan Terms'!H$12</f>
        <v>Yield Maintenance</v>
      </c>
      <c r="F14" t="str">
        <f>'FNM Loan Terms'!I$12</f>
        <v>Yield Maintenance</v>
      </c>
      <c r="G14" t="str">
        <f>'FNM Loan Terms'!J$12</f>
        <v>Yield Maintenance</v>
      </c>
      <c r="H14" t="str">
        <f>'FNM Loan Terms'!K$12</f>
        <v>Yield Maintenance</v>
      </c>
      <c r="I14" t="str">
        <f>'FNM Loan Terms'!L$12</f>
        <v>Yield Maintenance</v>
      </c>
      <c r="J14" t="str">
        <f>'FNM Loan Terms'!M$12</f>
        <v>Yield Maintenance</v>
      </c>
    </row>
    <row r="15" ht="15" customHeight="1">
      <c r="A15" t="s">
        <v>1472</v>
      </c>
      <c r="B15" t="s">
        <v>1473</v>
      </c>
      <c r="C15">
        <f>'FNM Loan Terms'!F$13</f>
        <v>114</v>
      </c>
      <c r="D15">
        <f>'FNM Loan Terms'!G$13</f>
        <v>138</v>
      </c>
      <c r="E15">
        <f>'FNM Loan Terms'!H$13</f>
        <v>174</v>
      </c>
      <c r="F15">
        <f>'FNM Loan Terms'!I$13</f>
        <v>114</v>
      </c>
      <c r="G15">
        <f>'FNM Loan Terms'!J$13</f>
        <v>114</v>
      </c>
      <c r="H15">
        <f>'FNM Loan Terms'!K$13</f>
        <v>54</v>
      </c>
      <c r="I15">
        <f>'FNM Loan Terms'!L$13</f>
        <v>54</v>
      </c>
      <c r="J15">
        <f>'FNM Loan Terms'!M$13</f>
        <v>12114</v>
      </c>
    </row>
    <row r="16" ht="15" customHeight="1">
      <c r="A16" t="s">
        <v>1474</v>
      </c>
      <c r="B16" t="s">
        <v>1475</v>
      </c>
    </row>
    <row r="17" ht="15" customHeight="1">
      <c r="A17" t="s">
        <v>1476</v>
      </c>
      <c r="B17" t="s">
        <v>1477</v>
      </c>
    </row>
    <row r="18" ht="15" customHeight="1">
      <c r="A18" t="s">
        <v>1478</v>
      </c>
      <c r="B18" t="s">
        <v>1479</v>
      </c>
    </row>
    <row r="19" ht="15" customHeight="1">
      <c r="A19" t="s">
        <v>1480</v>
      </c>
      <c r="B19" t="s">
        <v>1481</v>
      </c>
    </row>
    <row r="20" ht="15" customHeight="1">
      <c r="A20" t="s">
        <v>1482</v>
      </c>
      <c r="B20" t="s">
        <v>1483</v>
      </c>
      <c r="C20">
        <f>SOps_UnderwrittenGPR</f>
        <v>1556580</v>
      </c>
      <c r="D20">
        <f t="shared" si="0"/>
        <v>1556580</v>
      </c>
      <c r="E20">
        <f t="shared" si="0"/>
        <v>1556580</v>
      </c>
      <c r="F20">
        <f t="shared" si="0"/>
        <v>1556580</v>
      </c>
      <c r="G20">
        <f t="shared" si="0"/>
        <v>1556580</v>
      </c>
      <c r="H20">
        <f t="shared" si="0"/>
        <v>1556580</v>
      </c>
      <c r="I20">
        <f t="shared" si="0"/>
        <v>1556580</v>
      </c>
      <c r="J20">
        <f t="shared" si="0"/>
        <v>1556580</v>
      </c>
    </row>
    <row r="21" ht="15" customHeight="1">
      <c r="A21" t="s">
        <v>1484</v>
      </c>
      <c r="B21" t="s">
        <v>1485</v>
      </c>
      <c r="C21">
        <f>SUM('Summary OPS'!AU10:AU12)</f>
        <v>-230692</v>
      </c>
      <c r="D21">
        <f t="shared" si="0"/>
        <v>-230692</v>
      </c>
      <c r="E21">
        <f t="shared" si="0"/>
        <v>-230692</v>
      </c>
      <c r="F21">
        <f t="shared" si="0"/>
        <v>-230692</v>
      </c>
      <c r="G21">
        <f t="shared" si="0"/>
        <v>-230692</v>
      </c>
      <c r="H21">
        <f t="shared" si="0"/>
        <v>-230692</v>
      </c>
      <c r="I21">
        <f t="shared" si="0"/>
        <v>-230692</v>
      </c>
      <c r="J21">
        <f t="shared" si="0"/>
        <v>-230692</v>
      </c>
    </row>
    <row r="22" ht="15" customHeight="1">
      <c r="A22" t="s">
        <v>1486</v>
      </c>
      <c r="B22" t="s">
        <v>1487</v>
      </c>
      <c r="C22">
        <f>SOps_UnderwrittenTotalOtherIncome</f>
        <v>-216050</v>
      </c>
      <c r="D22">
        <f t="shared" si="0"/>
        <v>-216050</v>
      </c>
      <c r="E22">
        <f t="shared" si="0"/>
        <v>-216050</v>
      </c>
      <c r="F22">
        <f t="shared" si="0"/>
        <v>-216050</v>
      </c>
      <c r="G22">
        <f t="shared" si="0"/>
        <v>-216050</v>
      </c>
      <c r="H22">
        <f t="shared" si="0"/>
        <v>-216050</v>
      </c>
      <c r="I22">
        <f t="shared" si="0"/>
        <v>-216050</v>
      </c>
      <c r="J22">
        <f t="shared" si="0"/>
        <v>-216050</v>
      </c>
    </row>
    <row r="23" ht="15" customHeight="1">
      <c r="A23" t="s">
        <v>1488</v>
      </c>
      <c r="B23" t="s">
        <v>1489</v>
      </c>
      <c r="C23">
        <f>'Summary OPS'!AU35</f>
        <v>38844.33</v>
      </c>
      <c r="D23">
        <f t="shared" si="0"/>
        <v>38844.33</v>
      </c>
      <c r="E23">
        <f t="shared" si="0"/>
        <v>38844.33</v>
      </c>
      <c r="F23">
        <f t="shared" si="0"/>
        <v>38844.33</v>
      </c>
      <c r="G23">
        <f t="shared" si="0"/>
        <v>38844.33</v>
      </c>
      <c r="H23">
        <f t="shared" si="0"/>
        <v>38844.33</v>
      </c>
      <c r="I23">
        <f t="shared" si="0"/>
        <v>38844.33</v>
      </c>
      <c r="J23">
        <f t="shared" si="0"/>
        <v>38844.33</v>
      </c>
    </row>
    <row r="24" ht="15" customHeight="1">
      <c r="A24" t="s">
        <v>1490</v>
      </c>
      <c r="B24" t="s">
        <v>1491</v>
      </c>
      <c r="C24">
        <f>'Summary OPS'!AU46</f>
        <v>1036382.91</v>
      </c>
      <c r="D24">
        <f t="shared" si="0"/>
        <v>1036382.91</v>
      </c>
      <c r="E24">
        <f t="shared" si="0"/>
        <v>1036382.91</v>
      </c>
      <c r="F24">
        <f t="shared" si="0"/>
        <v>1036382.91</v>
      </c>
      <c r="G24">
        <f t="shared" si="0"/>
        <v>1036382.91</v>
      </c>
      <c r="H24">
        <f t="shared" si="0"/>
        <v>1036382.91</v>
      </c>
      <c r="I24">
        <f t="shared" si="0"/>
        <v>1036382.91</v>
      </c>
      <c r="J24">
        <f t="shared" si="0"/>
        <v>1036382.91</v>
      </c>
    </row>
    <row r="25" ht="15" customHeight="1">
      <c r="A25" t="s">
        <v>1492</v>
      </c>
      <c r="B25" t="s">
        <v>1493</v>
      </c>
      <c r="C25">
        <f>'Summary OPS'!AU45</f>
        <v>250385.79</v>
      </c>
      <c r="D25">
        <f t="shared" si="0"/>
        <v>250385.79</v>
      </c>
      <c r="E25">
        <f t="shared" si="0"/>
        <v>250385.79</v>
      </c>
      <c r="F25">
        <f t="shared" si="0"/>
        <v>250385.79</v>
      </c>
      <c r="G25">
        <f t="shared" si="0"/>
        <v>250385.79</v>
      </c>
      <c r="H25">
        <f t="shared" si="0"/>
        <v>250385.79</v>
      </c>
      <c r="I25">
        <f t="shared" si="0"/>
        <v>250385.79</v>
      </c>
      <c r="J25">
        <f t="shared" si="0"/>
        <v>250385.79</v>
      </c>
    </row>
    <row r="26" ht="15" customHeight="1">
      <c r="A26" t="s">
        <v>1494</v>
      </c>
      <c r="B26" t="s">
        <v>1495</v>
      </c>
      <c r="C26">
        <f>SUM('Summary OPS'!AU36:AU44,'Summary OPS'!AU47:AU48)</f>
        <v>1483927.18</v>
      </c>
      <c r="D26">
        <f t="shared" si="0"/>
        <v>1483927.18</v>
      </c>
      <c r="E26">
        <f t="shared" si="0"/>
        <v>1483927.18</v>
      </c>
      <c r="F26">
        <f t="shared" si="0"/>
        <v>1483927.18</v>
      </c>
      <c r="G26">
        <f t="shared" si="0"/>
        <v>1483927.18</v>
      </c>
      <c r="H26">
        <f t="shared" si="0"/>
        <v>1483927.18</v>
      </c>
      <c r="I26">
        <f t="shared" si="0"/>
        <v>1483927.18</v>
      </c>
      <c r="J26">
        <f t="shared" si="0"/>
        <v>1483927.18</v>
      </c>
    </row>
    <row r="27" ht="15" customHeight="1">
      <c r="A27" t="s">
        <v>1496</v>
      </c>
      <c r="B27" t="s">
        <v>1497</v>
      </c>
      <c r="C27">
        <f>'Summary OPS'!AU51</f>
        <v>21250</v>
      </c>
      <c r="D27">
        <f t="shared" si="0"/>
        <v>21250</v>
      </c>
      <c r="E27">
        <f t="shared" si="0"/>
        <v>21250</v>
      </c>
      <c r="F27">
        <f t="shared" si="0"/>
        <v>21250</v>
      </c>
      <c r="G27">
        <f t="shared" si="0"/>
        <v>21250</v>
      </c>
      <c r="H27">
        <f t="shared" si="0"/>
        <v>21250</v>
      </c>
      <c r="I27">
        <f t="shared" si="0"/>
        <v>21250</v>
      </c>
      <c r="J27">
        <f t="shared" si="0"/>
        <v>21250</v>
      </c>
    </row>
    <row r="28" ht="15" customHeight="1">
      <c r="A28" t="s">
        <v>1498</v>
      </c>
      <c r="B28" t="s">
        <v>1499</v>
      </c>
      <c r="E28">
        <f t="shared" si="0"/>
        <v>0</v>
      </c>
      <c r="F28">
        <f t="shared" si="0"/>
        <v>0</v>
      </c>
      <c r="G28">
        <f t="shared" si="0"/>
        <v>0</v>
      </c>
      <c r="H28">
        <f t="shared" si="0"/>
        <v>0</v>
      </c>
      <c r="I28">
        <f t="shared" si="0"/>
        <v>0</v>
      </c>
      <c r="J28">
        <f t="shared" si="0"/>
        <v>0</v>
      </c>
    </row>
    <row r="29" ht="15" customHeight="1">
      <c r="A29" t="s">
        <v>1500</v>
      </c>
      <c r="B29" t="s">
        <v>1501</v>
      </c>
      <c r="C29">
        <f>IF('SBL Quotes'!$B$38="Acquisition",'SBL Quotes'!$B$39,"")</f>
      </c>
      <c r="D29">
        <f t="shared" si="0"/>
      </c>
      <c r="E29">
        <f t="shared" si="0"/>
      </c>
      <c r="F29">
        <f t="shared" si="0"/>
      </c>
      <c r="G29">
        <f t="shared" si="0"/>
      </c>
      <c r="H29">
        <f t="shared" si="0"/>
      </c>
      <c r="I29">
        <f t="shared" si="0"/>
      </c>
      <c r="J29">
        <f t="shared" si="0"/>
      </c>
    </row>
    <row r="30" ht="15" customHeight="1">
      <c r="A30" t="s">
        <v>1502</v>
      </c>
      <c r="B30" t="s">
        <v>1503</v>
      </c>
      <c r="C30">
        <f>IF('SBL Quotes'!$B$38="Acquisition",'SBL Quotes'!$AK$25,"")</f>
      </c>
      <c r="D30">
        <f t="shared" si="0"/>
      </c>
      <c r="E30">
        <f t="shared" si="0"/>
      </c>
      <c r="F30">
        <f t="shared" si="0"/>
      </c>
      <c r="G30">
        <f t="shared" si="0"/>
      </c>
      <c r="H30">
        <f t="shared" si="0"/>
      </c>
      <c r="I30">
        <f t="shared" si="0"/>
      </c>
      <c r="J30">
        <f t="shared" si="0"/>
      </c>
    </row>
    <row r="31" ht="15" customHeight="1">
      <c r="A31" t="s">
        <v>1504</v>
      </c>
      <c r="B31" t="s">
        <v>1505</v>
      </c>
      <c r="C31">
        <f>'SBL Quotes'!$B$45</f>
        <v>-34419044.199999996</v>
      </c>
      <c r="D31">
        <f t="shared" si="0"/>
        <v>-34419044.199999996</v>
      </c>
      <c r="E31">
        <f t="shared" si="0"/>
        <v>-34419044.199999996</v>
      </c>
      <c r="F31">
        <f t="shared" si="0"/>
        <v>-34419044.199999996</v>
      </c>
      <c r="G31">
        <f t="shared" si="0"/>
        <v>-34419044.199999996</v>
      </c>
      <c r="H31">
        <f t="shared" si="0"/>
        <v>-34419044.199999996</v>
      </c>
      <c r="I31">
        <f t="shared" si="0"/>
        <v>-34419044.199999996</v>
      </c>
      <c r="J31">
        <f t="shared" si="0"/>
        <v>-34419044.199999996</v>
      </c>
    </row>
    <row r="32" ht="15" customHeight="1">
      <c r="A32" t="s">
        <v>1506</v>
      </c>
      <c r="B32" t="s">
        <v>1507</v>
      </c>
      <c r="C32">
        <f>TotalUnits</f>
        <v>85</v>
      </c>
      <c r="D32">
        <f t="shared" si="0"/>
        <v>85</v>
      </c>
      <c r="E32">
        <f t="shared" si="0"/>
        <v>85</v>
      </c>
      <c r="F32">
        <f t="shared" si="0"/>
        <v>85</v>
      </c>
      <c r="G32">
        <f t="shared" si="0"/>
        <v>85</v>
      </c>
      <c r="H32">
        <f t="shared" si="0"/>
        <v>85</v>
      </c>
      <c r="I32">
        <f t="shared" si="0"/>
        <v>85</v>
      </c>
      <c r="J32">
        <f t="shared" si="0"/>
        <v>85</v>
      </c>
    </row>
    <row r="33" ht="15" customHeight="1">
      <c r="A33" t="s">
        <v>1508</v>
      </c>
      <c r="B33" t="s">
        <v>1509</v>
      </c>
      <c r="D33">
        <f t="shared" si="1" ref="D33:J33">IF(LEN($C$33)&gt;0,$C$33,"")</f>
      </c>
      <c r="E33">
        <f t="shared" si="1"/>
      </c>
      <c r="F33">
        <f t="shared" si="1"/>
      </c>
      <c r="G33">
        <f t="shared" si="1"/>
      </c>
      <c r="H33">
        <f t="shared" si="1"/>
      </c>
      <c r="I33">
        <f t="shared" si="1"/>
      </c>
      <c r="J33">
        <f t="shared" si="1"/>
      </c>
    </row>
    <row r="34" ht="15" customHeight="1">
      <c r="A34" t="s">
        <v>1510</v>
      </c>
      <c r="B34" t="s">
        <v>1511</v>
      </c>
      <c r="C34">
        <f>IF('SBL Quotes'!$AN$32="Supplemental",FirstOrigLoan_IfSupp,"")</f>
      </c>
      <c r="D34">
        <f t="shared" si="0"/>
      </c>
      <c r="E34">
        <f t="shared" si="0"/>
      </c>
      <c r="F34">
        <f t="shared" si="0"/>
      </c>
      <c r="G34">
        <f t="shared" si="0"/>
      </c>
      <c r="H34">
        <f t="shared" si="0"/>
      </c>
      <c r="I34">
        <f t="shared" si="0"/>
      </c>
      <c r="J34">
        <f t="shared" si="0"/>
      </c>
    </row>
    <row r="35" ht="15" customHeight="1">
      <c r="A35" t="s">
        <v>1512</v>
      </c>
      <c r="B35" t="s">
        <v>1513</v>
      </c>
    </row>
    <row r="36" ht="15" customHeight="1">
      <c r="A36" t="s">
        <v>1514</v>
      </c>
      <c r="B36" t="s">
        <v>1515</v>
      </c>
      <c r="C36">
        <f>IF('SBL Quotes'!$AN$32="Supplemental",FirstTerm_IfSupp,"")</f>
      </c>
      <c r="D36">
        <f t="shared" si="0"/>
      </c>
      <c r="E36">
        <f t="shared" si="0"/>
      </c>
      <c r="F36">
        <f t="shared" si="0"/>
      </c>
      <c r="G36">
        <f t="shared" si="0"/>
      </c>
      <c r="H36">
        <f t="shared" si="0"/>
      </c>
      <c r="I36">
        <f t="shared" si="0"/>
      </c>
      <c r="J36">
        <f t="shared" si="0"/>
      </c>
    </row>
    <row r="37" ht="15" customHeight="1">
      <c r="A37" t="s">
        <v>1516</v>
      </c>
      <c r="B37" t="s">
        <v>1517</v>
      </c>
      <c r="C37">
        <f>IF('SBL Quotes'!$AN$32="Supplemental",FirstIO_IfSupp,"")</f>
      </c>
      <c r="D37">
        <f t="shared" si="0"/>
      </c>
      <c r="E37">
        <f t="shared" si="0"/>
      </c>
      <c r="F37">
        <f t="shared" si="0"/>
      </c>
      <c r="G37">
        <f t="shared" si="0"/>
      </c>
      <c r="H37">
        <f t="shared" si="0"/>
      </c>
      <c r="I37">
        <f t="shared" si="0"/>
      </c>
      <c r="J37">
        <f t="shared" si="0"/>
      </c>
    </row>
    <row r="38" ht="15" customHeight="1">
      <c r="A38" t="s">
        <v>1518</v>
      </c>
      <c r="B38" t="s">
        <v>1519</v>
      </c>
      <c r="C38">
        <f>IF('SBL Quotes'!$AN$32="Supplemental",FirstAmort_IfSupp,"")</f>
      </c>
      <c r="D38">
        <f t="shared" si="0"/>
      </c>
      <c r="E38">
        <f t="shared" si="0"/>
      </c>
      <c r="F38">
        <f t="shared" si="0"/>
      </c>
      <c r="G38">
        <f t="shared" si="0"/>
      </c>
      <c r="H38">
        <f t="shared" si="0"/>
      </c>
      <c r="I38">
        <f t="shared" si="0"/>
      </c>
      <c r="J38">
        <f t="shared" si="0"/>
      </c>
    </row>
    <row r="39" ht="15" customHeight="1">
      <c r="A39" t="s">
        <v>1520</v>
      </c>
      <c r="B39" t="s">
        <v>1521</v>
      </c>
      <c r="C39">
        <f>IF('SBL Quotes'!$AN$32="Supplemental",TEXT(FirstRate_IfSupp,"0.000%"),"")</f>
      </c>
      <c r="D39">
        <f t="shared" si="0"/>
      </c>
      <c r="E39">
        <f t="shared" si="0"/>
      </c>
      <c r="F39">
        <f t="shared" si="0"/>
      </c>
      <c r="G39">
        <f t="shared" si="0"/>
      </c>
      <c r="H39">
        <f t="shared" si="0"/>
      </c>
      <c r="I39">
        <f t="shared" si="0"/>
      </c>
      <c r="J39">
        <f t="shared" si="0"/>
      </c>
    </row>
    <row r="40" ht="15" customHeight="1">
      <c r="A40" t="s">
        <v>1522</v>
      </c>
      <c r="B40" t="s">
        <v>1523</v>
      </c>
    </row>
    <row r="41" ht="15" customHeight="1">
      <c r="A41" t="s">
        <v>1524</v>
      </c>
      <c r="B41" t="s">
        <v>1525</v>
      </c>
    </row>
    <row r="42" ht="15" customHeight="1">
      <c r="A42" t="s">
        <v>1526</v>
      </c>
      <c r="B42" t="s">
        <v>1527</v>
      </c>
      <c r="C42">
        <f>IF('SBL Quotes'!$AN$32="Supplemental",FirstMaturity_IfSupp,"")</f>
      </c>
      <c r="D42">
        <f t="shared" si="0"/>
      </c>
      <c r="E42">
        <f t="shared" si="0"/>
      </c>
      <c r="F42">
        <f t="shared" si="0"/>
      </c>
      <c r="G42">
        <f t="shared" si="0"/>
      </c>
      <c r="H42">
        <f t="shared" si="0"/>
      </c>
      <c r="I42">
        <f t="shared" si="0"/>
      </c>
      <c r="J42">
        <f t="shared" si="0"/>
      </c>
    </row>
    <row r="43" ht="15" customHeight="1">
      <c r="A43" t="s">
        <v>1528</v>
      </c>
      <c r="B43" t="s">
        <v>1529</v>
      </c>
      <c r="C43">
        <f>IF('SBL Quotes'!$AN$32="Supplemental",FirstUPB_IfSupp,"")</f>
      </c>
      <c r="D43">
        <f t="shared" si="0"/>
      </c>
      <c r="E43">
        <f t="shared" si="0"/>
      </c>
      <c r="F43">
        <f t="shared" si="0"/>
      </c>
      <c r="G43">
        <f t="shared" si="0"/>
      </c>
      <c r="H43">
        <f t="shared" si="0"/>
      </c>
      <c r="I43">
        <f t="shared" si="0"/>
      </c>
      <c r="J43">
        <f t="shared" si="0"/>
      </c>
    </row>
    <row r="44" ht="15" customHeight="1">
      <c r="A44" t="s">
        <v>1530</v>
      </c>
      <c r="B44" t="s">
        <v>1531</v>
      </c>
    </row>
    <row r="45" ht="15" customHeight="1">
      <c r="A45" t="s">
        <v>1532</v>
      </c>
      <c r="B45" t="s">
        <v>1533</v>
      </c>
      <c r="D45">
        <f t="shared" si="2" ref="D45:J45">IF(LEN($C$45)&gt;0,$C$45,"")</f>
      </c>
      <c r="E45">
        <f t="shared" si="2"/>
      </c>
      <c r="F45">
        <f t="shared" si="2"/>
      </c>
      <c r="G45">
        <f t="shared" si="2"/>
      </c>
      <c r="H45">
        <f t="shared" si="2"/>
      </c>
      <c r="I45">
        <f t="shared" si="2"/>
      </c>
      <c r="J45">
        <f t="shared" si="2"/>
      </c>
    </row>
    <row r="46" ht="15" customHeight="1">
      <c r="A46" t="s">
        <v>1534</v>
      </c>
      <c r="B46" t="s">
        <v>1535</v>
      </c>
      <c r="C46">
        <f>IF('SBL Quotes'!$AN$32="Supplemental",SecondOrigLoan_IfSupp,"")</f>
      </c>
      <c r="D46">
        <f t="shared" si="0"/>
      </c>
      <c r="E46">
        <f t="shared" si="0"/>
      </c>
      <c r="F46">
        <f t="shared" si="0"/>
      </c>
      <c r="G46">
        <f t="shared" si="0"/>
      </c>
      <c r="H46">
        <f t="shared" si="0"/>
      </c>
      <c r="I46">
        <f t="shared" si="0"/>
      </c>
      <c r="J46">
        <f t="shared" si="0"/>
      </c>
    </row>
    <row r="47" ht="15" customHeight="1">
      <c r="A47" t="s">
        <v>1536</v>
      </c>
      <c r="B47" t="s">
        <v>1537</v>
      </c>
    </row>
    <row r="48" ht="15" customHeight="1">
      <c r="A48" t="s">
        <v>1538</v>
      </c>
      <c r="B48" t="s">
        <v>1539</v>
      </c>
      <c r="C48">
        <f>IF('SBL Quotes'!$AN$32="Supplemental",SecondTerm_IfSupp,"")</f>
      </c>
      <c r="D48">
        <f t="shared" si="0"/>
      </c>
      <c r="E48">
        <f t="shared" si="0"/>
      </c>
      <c r="F48">
        <f t="shared" si="0"/>
      </c>
      <c r="G48">
        <f t="shared" si="0"/>
      </c>
      <c r="H48">
        <f t="shared" si="0"/>
      </c>
      <c r="I48">
        <f t="shared" si="0"/>
      </c>
      <c r="J48">
        <f t="shared" si="0"/>
      </c>
    </row>
    <row r="49" ht="15" customHeight="1">
      <c r="A49" t="s">
        <v>1540</v>
      </c>
      <c r="B49" t="s">
        <v>1541</v>
      </c>
      <c r="C49">
        <f>IF('SBL Quotes'!$AN$32="Supplemental",SecondIO_IfSupp,"")</f>
      </c>
      <c r="D49">
        <f t="shared" si="0"/>
      </c>
      <c r="E49">
        <f t="shared" si="0"/>
      </c>
      <c r="F49">
        <f t="shared" si="0"/>
      </c>
      <c r="G49">
        <f t="shared" si="0"/>
      </c>
      <c r="H49">
        <f t="shared" si="0"/>
      </c>
      <c r="I49">
        <f t="shared" si="0"/>
      </c>
      <c r="J49">
        <f t="shared" si="0"/>
      </c>
    </row>
    <row r="50" ht="15" customHeight="1">
      <c r="A50" t="s">
        <v>1542</v>
      </c>
      <c r="B50" t="s">
        <v>1543</v>
      </c>
      <c r="C50">
        <f>IF('SBL Quotes'!$AN$32="Supplemental",SecondAmort_IfSupp,"")</f>
      </c>
      <c r="D50">
        <f t="shared" si="0"/>
      </c>
      <c r="E50">
        <f t="shared" si="0"/>
      </c>
      <c r="F50">
        <f t="shared" si="0"/>
      </c>
      <c r="G50">
        <f t="shared" si="0"/>
      </c>
      <c r="H50">
        <f t="shared" si="0"/>
      </c>
      <c r="I50">
        <f t="shared" si="0"/>
      </c>
      <c r="J50">
        <f t="shared" si="0"/>
      </c>
    </row>
    <row r="51" ht="15" customHeight="1">
      <c r="A51" t="s">
        <v>1544</v>
      </c>
      <c r="B51" t="s">
        <v>1545</v>
      </c>
      <c r="C51">
        <f>IF('SBL Quotes'!$AN$32="Supplemental",TEXT(SecondRate_IfSupp,"0.000%"),"")</f>
      </c>
      <c r="D51">
        <f t="shared" si="3" ref="D51:J104">$C51</f>
      </c>
      <c r="E51">
        <f t="shared" si="3"/>
      </c>
      <c r="F51">
        <f t="shared" si="3"/>
      </c>
      <c r="G51">
        <f t="shared" si="3"/>
      </c>
      <c r="H51">
        <f t="shared" si="3"/>
      </c>
      <c r="I51">
        <f t="shared" si="3"/>
      </c>
      <c r="J51">
        <f t="shared" si="3"/>
      </c>
    </row>
    <row r="52" ht="15" customHeight="1">
      <c r="A52" t="s">
        <v>1546</v>
      </c>
      <c r="B52" t="s">
        <v>1547</v>
      </c>
    </row>
    <row r="53" ht="15" customHeight="1">
      <c r="A53" t="s">
        <v>1548</v>
      </c>
      <c r="B53" t="s">
        <v>1549</v>
      </c>
    </row>
    <row r="54" ht="15" customHeight="1">
      <c r="A54" t="s">
        <v>1550</v>
      </c>
      <c r="B54" t="s">
        <v>1551</v>
      </c>
      <c r="C54">
        <f>IF('SBL Quotes'!$AN$32="Supplemental",SecondMaturity_IfSupp,"")</f>
      </c>
      <c r="D54">
        <f t="shared" si="0"/>
      </c>
      <c r="E54">
        <f t="shared" si="0"/>
      </c>
      <c r="F54">
        <f t="shared" si="0"/>
      </c>
      <c r="G54">
        <f t="shared" si="0"/>
      </c>
      <c r="H54">
        <f t="shared" si="0"/>
      </c>
      <c r="I54">
        <f t="shared" si="0"/>
      </c>
      <c r="J54">
        <f t="shared" si="0"/>
      </c>
    </row>
    <row r="55" ht="15" customHeight="1">
      <c r="A55" t="s">
        <v>1552</v>
      </c>
      <c r="B55" t="s">
        <v>1553</v>
      </c>
      <c r="C55">
        <f>IF('SBL Quotes'!$AN$32="Supplemental",SecondUPB_IfSupp,"")</f>
      </c>
      <c r="D55">
        <f t="shared" si="0"/>
      </c>
      <c r="E55">
        <f t="shared" si="0"/>
      </c>
      <c r="F55">
        <f t="shared" si="0"/>
      </c>
      <c r="G55">
        <f t="shared" si="0"/>
      </c>
      <c r="H55">
        <f t="shared" si="0"/>
      </c>
      <c r="I55">
        <f t="shared" si="0"/>
      </c>
      <c r="J55">
        <f t="shared" si="0"/>
      </c>
    </row>
    <row r="56" ht="15" customHeight="1">
      <c r="A56" t="s">
        <v>1554</v>
      </c>
      <c r="B56" t="s">
        <v>1555</v>
      </c>
    </row>
    <row r="57" ht="15" customHeight="1">
      <c r="A57" t="s">
        <v>1556</v>
      </c>
      <c r="B57" t="s">
        <v>1557</v>
      </c>
    </row>
    <row r="58" ht="15" customHeight="1">
      <c r="A58" t="s">
        <v>1558</v>
      </c>
      <c r="B58" t="s">
        <v>1559</v>
      </c>
    </row>
    <row r="59" ht="15" customHeight="1">
      <c r="A59" t="s">
        <v>1560</v>
      </c>
      <c r="B59" t="s">
        <v>1561</v>
      </c>
    </row>
    <row r="60" ht="15" customHeight="1">
      <c r="A60" t="s">
        <v>1562</v>
      </c>
      <c r="B60" t="s">
        <v>1563</v>
      </c>
    </row>
    <row r="61" ht="15" customHeight="1">
      <c r="A61" t="s">
        <v>392</v>
      </c>
      <c r="B61" t="s">
        <v>1564</v>
      </c>
      <c r="C61" t="str">
        <f>'SBL Quotes'!R47</f>
        <v>Standard</v>
      </c>
      <c r="D61" t="str">
        <f>'SBL Quotes'!S47</f>
        <v>Standard</v>
      </c>
      <c r="E61" t="str">
        <f>'SBL Quotes'!T47</f>
        <v>Standard</v>
      </c>
      <c r="F61" t="str">
        <f>'FNM Loan Terms'!I30</f>
        <v>Standard</v>
      </c>
      <c r="G61" t="str">
        <f>'FNM Loan Terms'!J30</f>
        <v>Standard</v>
      </c>
      <c r="H61" t="str">
        <f>'FNM Loan Terms'!K30</f>
        <v>Standard</v>
      </c>
      <c r="I61" t="str">
        <f>'FNM Loan Terms'!L30</f>
        <v>Standard</v>
      </c>
      <c r="J61" t="str">
        <f>'FNM Loan Terms'!M30</f>
        <v>Standard</v>
      </c>
    </row>
    <row r="62" ht="15" customHeight="1">
      <c r="A62" t="s">
        <v>1565</v>
      </c>
      <c r="B62" t="s">
        <v>1566</v>
      </c>
      <c r="C62" t="str">
        <f>Interest_Calc</f>
        <v>Actual/360</v>
      </c>
      <c r="D62" t="str">
        <f t="shared" si="0"/>
        <v>Actual/360</v>
      </c>
      <c r="E62" t="str">
        <f t="shared" si="0"/>
        <v>Actual/360</v>
      </c>
      <c r="F62" t="str">
        <f t="shared" si="0"/>
        <v>Actual/360</v>
      </c>
      <c r="G62" t="str">
        <f t="shared" si="0"/>
        <v>Actual/360</v>
      </c>
      <c r="H62" t="str">
        <f t="shared" si="0"/>
        <v>Actual/360</v>
      </c>
      <c r="I62" t="str">
        <f t="shared" si="0"/>
        <v>Actual/360</v>
      </c>
      <c r="J62" t="str">
        <f t="shared" si="0"/>
        <v>Actual/360</v>
      </c>
    </row>
    <row r="63" ht="15" customHeight="1">
      <c r="A63" t="s">
        <v>1567</v>
      </c>
      <c r="B63" t="s">
        <v>1568</v>
      </c>
      <c r="C63" t="str">
        <f>TEXT(PremiumPerc_Broker+PremiumPerc_Lender,"0.0%")</f>
        <v>0.0%</v>
      </c>
      <c r="D63" t="str">
        <f t="shared" si="3"/>
        <v>0.0%</v>
      </c>
      <c r="E63" t="str">
        <f t="shared" si="3"/>
        <v>0.0%</v>
      </c>
      <c r="F63" t="str">
        <f t="shared" si="3"/>
        <v>0.0%</v>
      </c>
      <c r="G63" t="str">
        <f t="shared" si="3"/>
        <v>0.0%</v>
      </c>
      <c r="H63" t="str">
        <f t="shared" si="3"/>
        <v>0.0%</v>
      </c>
      <c r="I63" t="str">
        <f t="shared" si="3"/>
        <v>0.0%</v>
      </c>
      <c r="J63" t="str">
        <f t="shared" si="3"/>
        <v>0.0%</v>
      </c>
    </row>
    <row r="64" ht="15" customHeight="1">
      <c r="A64" t="s">
        <v>1570</v>
      </c>
      <c r="B64" t="s">
        <v>1571</v>
      </c>
    </row>
    <row r="65" ht="15" customHeight="1">
      <c r="A65" t="s">
        <v>1572</v>
      </c>
      <c r="B65" t="s">
        <v>1573</v>
      </c>
      <c r="C65" t="str">
        <f>TEXT(OriginationPerc_Broker+OriginationPerc_Lender,"0.00%")</f>
        <v>2.00%</v>
      </c>
      <c r="D65" t="str">
        <f t="shared" si="3"/>
        <v>2.00%</v>
      </c>
      <c r="E65" t="str">
        <f t="shared" si="3"/>
        <v>2.00%</v>
      </c>
      <c r="F65" t="str">
        <f t="shared" si="3"/>
        <v>2.00%</v>
      </c>
      <c r="G65" t="str">
        <f t="shared" si="3"/>
        <v>2.00%</v>
      </c>
      <c r="H65" t="str">
        <f t="shared" si="3"/>
        <v>2.00%</v>
      </c>
      <c r="I65" t="str">
        <f t="shared" si="3"/>
        <v>2.00%</v>
      </c>
      <c r="J65" t="str">
        <f t="shared" si="3"/>
        <v>2.00%</v>
      </c>
    </row>
    <row r="66" ht="15" customHeight="1">
      <c r="A66" t="s">
        <v>1575</v>
      </c>
      <c r="B66" t="s">
        <v>1576</v>
      </c>
      <c r="C66" t="str">
        <f>IF('Data Page'!B27="Broker Fee",TEXT(OriginationPerc_Broker+PremiumPerc_Broker,"0.00%"),0)</f>
        <v>1.00%</v>
      </c>
      <c r="D66" t="str">
        <f t="shared" si="3"/>
        <v>1.00%</v>
      </c>
      <c r="E66" t="str">
        <f t="shared" si="3"/>
        <v>1.00%</v>
      </c>
      <c r="F66" t="str">
        <f t="shared" si="3"/>
        <v>1.00%</v>
      </c>
      <c r="G66" t="str">
        <f t="shared" si="3"/>
        <v>1.00%</v>
      </c>
      <c r="H66" t="str">
        <f t="shared" si="3"/>
        <v>1.00%</v>
      </c>
      <c r="I66" t="str">
        <f t="shared" si="3"/>
        <v>1.00%</v>
      </c>
      <c r="J66" t="str">
        <f t="shared" si="3"/>
        <v>1.00%</v>
      </c>
    </row>
    <row r="67" ht="15" customHeight="1">
      <c r="A67" t="s">
        <v>1578</v>
      </c>
      <c r="B67" t="s">
        <v>1579</v>
      </c>
      <c r="C67" t="str">
        <f>TEXT(IF('Data Page'!B27="Correspondent Fee",OriginationPerc_Broker+PremiumPerc_Broker,0),"0.00%")</f>
        <v>0.00%</v>
      </c>
      <c r="D67" t="str">
        <f t="shared" si="3"/>
        <v>0.00%</v>
      </c>
      <c r="E67" t="str">
        <f t="shared" si="3"/>
        <v>0.00%</v>
      </c>
      <c r="F67" t="str">
        <f t="shared" si="3"/>
        <v>0.00%</v>
      </c>
      <c r="G67" t="str">
        <f t="shared" si="3"/>
        <v>0.00%</v>
      </c>
      <c r="H67" t="str">
        <f t="shared" si="3"/>
        <v>0.00%</v>
      </c>
      <c r="I67" t="str">
        <f t="shared" si="3"/>
        <v>0.00%</v>
      </c>
      <c r="J67" t="str">
        <f t="shared" si="3"/>
        <v>0.00%</v>
      </c>
    </row>
    <row r="68" ht="15" customHeight="1">
      <c r="A68" t="s">
        <v>1581</v>
      </c>
      <c r="B68" t="s">
        <v>1582</v>
      </c>
    </row>
    <row r="69" ht="15" customHeight="1">
      <c r="A69" t="s">
        <v>1363</v>
      </c>
      <c r="B69" t="s">
        <v>1583</v>
      </c>
      <c r="C69" t="str">
        <f>TEXT('FNM Loan Terms'!F22,"0.000%")</f>
        <v>4.314%</v>
      </c>
      <c r="D69" t="str">
        <f>TEXT('FNM Loan Terms'!G22,"0.000%")</f>
        <v>4.314%</v>
      </c>
      <c r="E69" t="str">
        <f>TEXT('FNM Loan Terms'!H22,"0.000%")</f>
        <v>4.314%</v>
      </c>
      <c r="F69" t="str">
        <f>TEXT('FNM Loan Terms'!I22,"0.000%")</f>
        <v>4.314%</v>
      </c>
      <c r="G69" t="str">
        <f>TEXT('FNM Loan Terms'!J22,"0.000%")</f>
        <v>4.314%</v>
      </c>
      <c r="H69" t="str">
        <f>TEXT('FNM Loan Terms'!K22,"0.000%")</f>
        <v>4.451%</v>
      </c>
      <c r="I69" t="str">
        <f>TEXT('FNM Loan Terms'!L22,"0.000%")</f>
        <v>4.451%</v>
      </c>
      <c r="J69" t="str">
        <f>TEXT('FNM Loan Terms'!M22,"0.000%")</f>
        <v>4.314%</v>
      </c>
    </row>
    <row r="70" ht="15" customHeight="1">
      <c r="A70" t="s">
        <v>1586</v>
      </c>
      <c r="B70" t="s">
        <v>1587</v>
      </c>
      <c r="C70" t="str">
        <f>TEXT('FNM Loan Terms'!F23/10000,"0.000%")</f>
        <v>0.860%</v>
      </c>
      <c r="D70" t="str">
        <f>TEXT('FNM Loan Terms'!G23/10000,"0.000%")</f>
        <v>0.980%</v>
      </c>
      <c r="E70" t="str">
        <f>TEXT('FNM Loan Terms'!H23/10000,"0.000%")</f>
        <v>1.160%</v>
      </c>
      <c r="F70" t="str">
        <f>TEXT('FNM Loan Terms'!I23/10000,"0.000%")</f>
        <v>0.862%</v>
      </c>
      <c r="G70" t="str">
        <f>TEXT('FNM Loan Terms'!J23/10000,"0.000%")</f>
        <v>0.860%</v>
      </c>
      <c r="H70" t="str">
        <f>TEXT('FNM Loan Terms'!K23/10000,"0.000%")</f>
        <v>0.921%</v>
      </c>
      <c r="I70" t="str">
        <f>TEXT('FNM Loan Terms'!L23/10000,"0.000%")</f>
        <v>0.916%</v>
      </c>
      <c r="J70" t="str">
        <f>TEXT('FNM Loan Terms'!M23/10000,"0.000%")</f>
        <v>0.860%</v>
      </c>
    </row>
    <row r="71" ht="15" customHeight="1">
      <c r="A71" t="s">
        <v>1594</v>
      </c>
      <c r="B71" t="s">
        <v>1595</v>
      </c>
      <c r="C71" t="str">
        <f>TEXT('FNM Loan Terms'!F24/10000,"0.000%")</f>
        <v>1.152%</v>
      </c>
      <c r="D71" t="str">
        <f>TEXT('FNM Loan Terms'!G24/10000,"0.000%")</f>
        <v>1.152%</v>
      </c>
      <c r="E71" t="str">
        <f>TEXT('FNM Loan Terms'!H24/10000,"0.000%")</f>
        <v>1.152%</v>
      </c>
      <c r="F71" t="str">
        <f>TEXT('FNM Loan Terms'!I24/10000,"0.000%")</f>
        <v>1.032%</v>
      </c>
      <c r="G71" t="str">
        <f>TEXT('FNM Loan Terms'!J24/10000,"0.000%")</f>
        <v>0.912%</v>
      </c>
      <c r="H71" t="str">
        <f>TEXT('FNM Loan Terms'!K24/10000,"0.000%")</f>
        <v>1.080%</v>
      </c>
      <c r="I71" t="str">
        <f>TEXT('FNM Loan Terms'!L24/10000,"0.000%")</f>
        <v>0.960%</v>
      </c>
      <c r="J71" t="str">
        <f>TEXT('FNM Loan Terms'!M24/10000,"0.000%")</f>
        <v>1.152%</v>
      </c>
    </row>
    <row r="72" ht="15" customHeight="1">
      <c r="A72" t="s">
        <v>1601</v>
      </c>
      <c r="B72" t="s">
        <v>1602</v>
      </c>
      <c r="C72" t="str">
        <f>TEXT('FNM Loan Terms'!F25/10000,"0.000%")</f>
        <v>0.768%</v>
      </c>
      <c r="D72" t="str">
        <f>TEXT('FNM Loan Terms'!G25/10000,"0.000%")</f>
        <v>0.768%</v>
      </c>
      <c r="E72" t="str">
        <f>TEXT('FNM Loan Terms'!H25/10000,"0.000%")</f>
        <v>0.768%</v>
      </c>
      <c r="F72" t="str">
        <f>TEXT('FNM Loan Terms'!I25/10000,"0.000%")</f>
        <v>0.688%</v>
      </c>
      <c r="G72" t="str">
        <f>TEXT('FNM Loan Terms'!J25/10000,"0.000%")</f>
        <v>0.608%</v>
      </c>
      <c r="H72" t="str">
        <f>TEXT('FNM Loan Terms'!K25/10000,"0.000%")</f>
        <v>0.720%</v>
      </c>
      <c r="I72" t="str">
        <f>TEXT('FNM Loan Terms'!L25/10000,"0.000%")</f>
        <v>0.640%</v>
      </c>
      <c r="J72" t="str">
        <f>TEXT('FNM Loan Terms'!M25/10000,"0.000%")</f>
        <v>0.768%</v>
      </c>
    </row>
    <row r="73" ht="15" customHeight="1">
      <c r="A73" t="s">
        <v>1608</v>
      </c>
      <c r="B73" t="s">
        <v>1609</v>
      </c>
      <c r="C73">
        <f>IF('FNM Loan Terms'!F26&gt;0,TEXT('FNM Loan Terms'!F26/10000,"0.000%"),"")</f>
      </c>
      <c r="D73">
        <f>IF('FNM Loan Terms'!G26&gt;0,TEXT('FNM Loan Terms'!G26/10000,"0.000%"),"")</f>
      </c>
      <c r="E73">
        <f>IF('FNM Loan Terms'!H26&gt;0,TEXT('FNM Loan Terms'!H26/10000,"0.000%"),"")</f>
      </c>
      <c r="F73">
        <f>IF('FNM Loan Terms'!I26&gt;0,TEXT('FNM Loan Terms'!I26/10000,"0.000%"),"")</f>
      </c>
      <c r="G73">
        <f>IF('FNM Loan Terms'!J26&gt;0,TEXT('FNM Loan Terms'!J26/10000,"0.000%"),"")</f>
      </c>
      <c r="H73">
        <f>IF('FNM Loan Terms'!K26&gt;0,TEXT('FNM Loan Terms'!K26/10000,"0.000%"),"")</f>
      </c>
      <c r="I73">
        <f>IF('FNM Loan Terms'!L26&gt;0,TEXT('FNM Loan Terms'!L26/10000,"0.000%"),"")</f>
      </c>
      <c r="J73">
        <f>IF('FNM Loan Terms'!M26&gt;0,TEXT('FNM Loan Terms'!M26/10000,"0.000%"),"")</f>
      </c>
    </row>
    <row r="74" ht="15" customHeight="1">
      <c r="A74" t="s">
        <v>1610</v>
      </c>
      <c r="B74" t="s">
        <v>1611</v>
      </c>
    </row>
    <row r="75" ht="15" customHeight="1">
      <c r="A75" t="s">
        <v>1612</v>
      </c>
      <c r="B75" t="s">
        <v>1613</v>
      </c>
      <c r="C75">
        <f>IF('FNM Loan Terms'!F$11="Fixed Rate","","0.000%")</f>
      </c>
      <c r="D75">
        <f>IF('FNM Loan Terms'!G$11="Fixed Rate","","0.000%")</f>
      </c>
      <c r="E75">
        <f>IF('FNM Loan Terms'!H$11="Fixed Rate","","0.000%")</f>
      </c>
      <c r="F75">
        <f>IF('FNM Loan Terms'!I$11="Fixed Rate","","0.000%")</f>
      </c>
      <c r="G75">
        <f>IF('FNM Loan Terms'!J$11="Fixed Rate","","0.000%")</f>
      </c>
      <c r="H75">
        <f>IF('FNM Loan Terms'!K$11="Fixed Rate","","0.000%")</f>
      </c>
      <c r="I75">
        <f>IF('FNM Loan Terms'!L$11="Fixed Rate","","0.000%")</f>
      </c>
      <c r="J75" t="str">
        <f>IF('FNM Loan Terms'!M$11="Fixed Rate","","0.000%")</f>
        <v>0.000%</v>
      </c>
    </row>
    <row r="76" ht="15" customHeight="1">
      <c r="A76" t="s">
        <v>1615</v>
      </c>
      <c r="B76" t="s">
        <v>1616</v>
      </c>
      <c r="C76">
        <f>IF('FNM Loan Terms'!F$11="Fixed Rate","",TEXT(SARMInvestorSpread,"0.000%"))</f>
      </c>
      <c r="D76">
        <f>IF('FNM Loan Terms'!G$11="Fixed Rate","",TEXT(SARMInvestorSpread,"0.000%"))</f>
      </c>
      <c r="E76">
        <f>IF('FNM Loan Terms'!H$11="Fixed Rate","",TEXT(SARMInvestorSpread,"0.000%"))</f>
      </c>
      <c r="F76">
        <f>IF('FNM Loan Terms'!I$11="Fixed Rate","",TEXT(SARMInvestorSpread,"0.000%"))</f>
      </c>
      <c r="G76">
        <f>IF('FNM Loan Terms'!J$11="Fixed Rate","",TEXT(SARMInvestorSpread,"0.000%"))</f>
      </c>
      <c r="H76">
        <f>IF('FNM Loan Terms'!K$11="Fixed Rate","",TEXT(SARMInvestorSpread,"0.000%"))</f>
      </c>
      <c r="I76">
        <f>IF('FNM Loan Terms'!L$11="Fixed Rate","",TEXT(SARMInvestorSpread,"0.000%"))</f>
      </c>
      <c r="J76" t="str">
        <f>IF('FNM Loan Terms'!M$11="Fixed Rate","",TEXT(SARMInvestorSpread,"0.000%"))</f>
        <v>0.000%</v>
      </c>
    </row>
    <row r="77" ht="15" customHeight="1">
      <c r="A77" t="s">
        <v>1617</v>
      </c>
      <c r="B77" t="s">
        <v>1618</v>
      </c>
      <c r="C77">
        <f>IF('FNM Loan Terms'!F$11="Fixed Rate","",TEXT(SARMGuarantyFee,"0.000%"))</f>
      </c>
      <c r="D77">
        <f>IF('FNM Loan Terms'!G$11="Fixed Rate","",TEXT(SARMGuarantyFee,"0.000%"))</f>
      </c>
      <c r="E77">
        <f>IF('FNM Loan Terms'!H$11="Fixed Rate","",TEXT(SARMGuarantyFee,"0.000%"))</f>
      </c>
      <c r="F77">
        <f>IF('FNM Loan Terms'!I$11="Fixed Rate","",TEXT(SARMGuarantyFee,"0.000%"))</f>
      </c>
      <c r="G77">
        <f>IF('FNM Loan Terms'!J$11="Fixed Rate","",TEXT(SARMGuarantyFee,"0.000%"))</f>
      </c>
      <c r="H77">
        <f>IF('FNM Loan Terms'!K$11="Fixed Rate","",TEXT(SARMGuarantyFee,"0.000%"))</f>
      </c>
      <c r="I77">
        <f>IF('FNM Loan Terms'!L$11="Fixed Rate","",TEXT(SARMGuarantyFee,"0.000%"))</f>
      </c>
      <c r="J77" t="str">
        <f>IF('FNM Loan Terms'!M$11="Fixed Rate","",TEXT(SARMGuarantyFee,"0.000%"))</f>
        <v>0.000%</v>
      </c>
    </row>
    <row r="78" ht="15" customHeight="1">
      <c r="A78" t="s">
        <v>1619</v>
      </c>
      <c r="B78" t="s">
        <v>1620</v>
      </c>
      <c r="C78">
        <f>IF('FNM Loan Terms'!F$11="Fixed Rate","",TEXT(SARMServicingFee,"0.000%"))</f>
      </c>
      <c r="D78">
        <f>IF('FNM Loan Terms'!G$11="Fixed Rate","",TEXT(SARMServicingFee,"0.000%"))</f>
      </c>
      <c r="E78">
        <f>IF('FNM Loan Terms'!H$11="Fixed Rate","",TEXT(SARMServicingFee,"0.000%"))</f>
      </c>
      <c r="F78">
        <f>IF('FNM Loan Terms'!I$11="Fixed Rate","",TEXT(SARMServicingFee,"0.000%"))</f>
      </c>
      <c r="G78">
        <f>IF('FNM Loan Terms'!J$11="Fixed Rate","",TEXT(SARMServicingFee,"0.000%"))</f>
      </c>
      <c r="H78">
        <f>IF('FNM Loan Terms'!K$11="Fixed Rate","",TEXT(SARMServicingFee,"0.000%"))</f>
      </c>
      <c r="I78">
        <f>IF('FNM Loan Terms'!L$11="Fixed Rate","",TEXT(SARMServicingFee,"0.000%"))</f>
      </c>
      <c r="J78" t="str">
        <f>IF('FNM Loan Terms'!M$11="Fixed Rate","",TEXT(SARMServicingFee,"0.000%"))</f>
        <v>0.000%</v>
      </c>
    </row>
    <row r="79" ht="15" customHeight="1">
      <c r="A79" t="s">
        <v>1621</v>
      </c>
      <c r="B79" t="s">
        <v>1622</v>
      </c>
      <c r="C79">
        <f>IF('FNM Loan Terms'!F$11="Fixed Rate","",TEXT(_xlfn.SINGLE(SARMCapCostFactor),"0.000%"))</f>
      </c>
      <c r="D79">
        <f>IF('FNM Loan Terms'!G$11="Fixed Rate","",TEXT(_xlfn.SINGLE(SARMCapCostFactor),"0.000%"))</f>
      </c>
      <c r="E79">
        <f>IF('FNM Loan Terms'!H$11="Fixed Rate","",TEXT(_xlfn.SINGLE(SARMCapCostFactor),"0.000%"))</f>
      </c>
      <c r="F79">
        <f>IF('FNM Loan Terms'!I$11="Fixed Rate","",TEXT(_xlfn.SINGLE(SARMCapCostFactor),"0.000%"))</f>
      </c>
      <c r="G79">
        <f>IF('FNM Loan Terms'!J$11="Fixed Rate","",TEXT(_xlfn.SINGLE(SARMCapCostFactor),"0.000%"))</f>
      </c>
      <c r="H79">
        <f>IF('FNM Loan Terms'!K$11="Fixed Rate","",TEXT(_xlfn.SINGLE(SARMCapCostFactor),"0.000%"))</f>
      </c>
      <c r="I79">
        <f>IF('FNM Loan Terms'!L$11="Fixed Rate","",TEXT(_xlfn.SINGLE(SARMCapCostFactor),"0.000%"))</f>
      </c>
      <c r="J79" t="str">
        <f>IF('FNM Loan Terms'!M$11="Fixed Rate","",TEXT(_xlfn.SINGLE(SARMCapCostFactor),"0.000%"))</f>
        <v>0.000%</v>
      </c>
    </row>
    <row r="80" ht="15" customHeight="1">
      <c r="A80" t="s">
        <v>1623</v>
      </c>
      <c r="B80" t="s">
        <v>1624</v>
      </c>
      <c r="C80">
        <f>IF('FNM Loan Terms'!F$11="Fixed Rate","",TEXT(_xlfn.SINGLE(SARMCushion),"0.000%"))</f>
      </c>
      <c r="D80">
        <f>IF('FNM Loan Terms'!G$11="Fixed Rate","",TEXT(_xlfn.SINGLE(SARMCushion),"0.000%"))</f>
      </c>
      <c r="E80">
        <f>IF('FNM Loan Terms'!H$11="Fixed Rate","",TEXT(_xlfn.SINGLE(SARMCushion),"0.000%"))</f>
      </c>
      <c r="F80">
        <f>IF('FNM Loan Terms'!I$11="Fixed Rate","",TEXT(_xlfn.SINGLE(SARMCushion),"0.000%"))</f>
      </c>
      <c r="G80">
        <f>IF('FNM Loan Terms'!J$11="Fixed Rate","",TEXT(_xlfn.SINGLE(SARMCushion),"0.000%"))</f>
      </c>
      <c r="H80">
        <f>IF('FNM Loan Terms'!K$11="Fixed Rate","",TEXT(_xlfn.SINGLE(SARMCushion),"0.000%"))</f>
      </c>
      <c r="I80">
        <f>IF('FNM Loan Terms'!L$11="Fixed Rate","",TEXT(_xlfn.SINGLE(SARMCushion),"0.000%"))</f>
      </c>
      <c r="J80" t="str">
        <f>IF('FNM Loan Terms'!M$11="Fixed Rate","",TEXT(_xlfn.SINGLE(SARMCushion),"0.000%"))</f>
        <v>0.000%</v>
      </c>
    </row>
    <row r="81" ht="15" customHeight="1">
      <c r="A81" t="s">
        <v>1625</v>
      </c>
      <c r="B81" t="s">
        <v>1626</v>
      </c>
    </row>
    <row r="82" ht="15" customHeight="1">
      <c r="A82" t="s">
        <v>1627</v>
      </c>
      <c r="B82" t="s">
        <v>1628</v>
      </c>
      <c r="C82" cm="1">
        <f t="array" ref="C82">_xlfn.IFERROR(IF(C7="SARM",IF(C10=C11,(SOps_UnderwrittenNCF/C5/C85)-(SUM(VALUE(C76:C79))),((RATE(C12,SOps_UnderwrittenNCF/12/C85,-C5))*12)-SUM(VALUE(C76:C79))),""),"")</f>
      </c>
      <c r="D82" cm="1">
        <f t="array" ref="D82">_xlfn.IFERROR(IF(D7="SARM",IF(D10=D11,(SOps_UnderwrittenNCF/D5/D85)-(SUM(VALUE(D76:D79))),((RATE(D12,SOps_UnderwrittenNCF/12/D85,-D5))*12)-SUM(VALUE(D76:D79))),""),"")</f>
      </c>
      <c r="E82" cm="1">
        <f t="array" ref="E82">_xlfn.IFERROR(IF(E7="SARM",IF(E10=E11,(SOps_UnderwrittenNCF/E5/E85)-(SUM(VALUE(E76:E79))),((RATE(E12,SOps_UnderwrittenNCF/12/E85,-E5))*12)-SUM(VALUE(E76:E79))),""),"")</f>
      </c>
      <c r="F82" cm="1">
        <f t="array" ref="F82">_xlfn.IFERROR(IF(F7="SARM",IF(F10=F11,(SOps_UnderwrittenNCF/F5/F85)-(SUM(VALUE(F76:F79))),((RATE(F12,SOps_UnderwrittenNCF/12/F85,-F5))*12)-SUM(VALUE(F76:F79))),""),"")</f>
      </c>
      <c r="G82" cm="1">
        <f t="array" ref="G82">_xlfn.IFERROR(IF(G7="SARM",IF(G10=G11,(SOps_UnderwrittenNCF/G5/G85)-(SUM(VALUE(G76:G79))),((RATE(G12,SOps_UnderwrittenNCF/12/G85,-G5))*12)-SUM(VALUE(G76:G79))),""),"")</f>
      </c>
      <c r="H82" cm="1">
        <f t="array" ref="H82">_xlfn.IFERROR(IF(H7="SARM",IF(H10=H11,(SOps_UnderwrittenNCF/H5/H85)-(SUM(VALUE(H76:H79))),((RATE(H12,SOps_UnderwrittenNCF/12/H85,-H5))*12)-SUM(VALUE(H76:H79))),""),"")</f>
      </c>
      <c r="I82" cm="1">
        <f t="array" ref="I82">_xlfn.IFERROR(IF(I7="SARM",IF(I10=I11,(SOps_UnderwrittenNCF/I5/I85)-(SUM(VALUE(I76:I79))),((RATE(I12,SOps_UnderwrittenNCF/12/I85,-I5))*12)-SUM(VALUE(I76:I79))),""),"")</f>
      </c>
      <c r="J82" cm="1">
        <f t="array" ref="J82">_xlfn.IFERROR(IF(J7="SARM",IF(J10=J11,(SOps_UnderwrittenNCF/J5/J85)-(SUM(VALUE(J76:J79))),((RATE(J12,SOps_UnderwrittenNCF/12/J85,-J5))*12)-SUM(VALUE(J76:J79))),""),"")</f>
      </c>
    </row>
    <row r="83" ht="15" customHeight="1">
      <c r="A83" t="s">
        <v>1629</v>
      </c>
      <c r="B83" t="s">
        <v>1630</v>
      </c>
      <c r="C83" t="str">
        <f>TEXT('FNM Loan Terms'!F40,"0.000%")</f>
        <v>5.000%</v>
      </c>
      <c r="D83" t="str">
        <f>TEXT('FNM Loan Terms'!G40,"0.000%")</f>
        <v>7.214%</v>
      </c>
      <c r="E83" t="str">
        <f>TEXT('FNM Loan Terms'!H40,"0.000%")</f>
        <v>7.394%</v>
      </c>
      <c r="F83" t="str">
        <f>TEXT('FNM Loan Terms'!I40,"0.000%")</f>
        <v>6.897%</v>
      </c>
      <c r="G83" t="str">
        <f>TEXT('FNM Loan Terms'!J40,"0.000%")</f>
        <v>6.694%</v>
      </c>
      <c r="H83" t="str">
        <f>TEXT('FNM Loan Terms'!K40,"0.000%")</f>
        <v>7.172%</v>
      </c>
      <c r="I83" t="str">
        <f>TEXT('FNM Loan Terms'!L40,"0.000%")</f>
        <v>6.967%</v>
      </c>
      <c r="J83" t="str">
        <f>TEXT('FNM Loan Terms'!M40,"0.000%")</f>
        <v>5.000%</v>
      </c>
    </row>
    <row r="84" ht="15" customHeight="1">
      <c r="A84" t="s">
        <v>1377</v>
      </c>
      <c r="B84" t="s">
        <v>1638</v>
      </c>
      <c r="C84" t="str">
        <f>'FNM Loan Terms'!F43</f>
        <v>Tier 2</v>
      </c>
      <c r="D84" t="str">
        <f>'FNM Loan Terms'!G43</f>
        <v>Tier 2</v>
      </c>
      <c r="E84" t="str">
        <f>'FNM Loan Terms'!H43</f>
        <v>Tier 2</v>
      </c>
      <c r="F84" t="str">
        <f>'FNM Loan Terms'!I43</f>
        <v>Tier 3</v>
      </c>
      <c r="G84" t="str">
        <f>'FNM Loan Terms'!J43</f>
        <v>Tier 4</v>
      </c>
      <c r="H84" t="str">
        <f>'FNM Loan Terms'!K43</f>
        <v>Tier 3</v>
      </c>
      <c r="I84" t="str">
        <f>'FNM Loan Terms'!L43</f>
        <v>Tier 4</v>
      </c>
      <c r="J84" t="str">
        <f>'FNM Loan Terms'!M43</f>
        <v>Tier 2</v>
      </c>
    </row>
    <row r="85" ht="15" customHeight="1">
      <c r="A85" t="s">
        <v>1639</v>
      </c>
      <c r="B85" t="s">
        <v>1640</v>
      </c>
      <c r="C85" t="e">
        <f>IF(Interest_Rate_Type="Fixed",Tier_Min_Actual_UW_DSCR,Variable_Min_Pay_UW_DSCR)</f>
        <v>#NAME?</v>
      </c>
      <c r="D85" t="e">
        <f t="shared" si="0"/>
        <v>#NAME?</v>
      </c>
      <c r="E85" t="e">
        <f t="shared" si="0"/>
        <v>#NAME?</v>
      </c>
      <c r="F85" t="e">
        <f t="shared" si="0"/>
        <v>#NAME?</v>
      </c>
      <c r="G85" t="e">
        <f t="shared" si="0"/>
        <v>#NAME?</v>
      </c>
      <c r="H85" t="e">
        <f t="shared" si="0"/>
        <v>#NAME?</v>
      </c>
      <c r="I85" t="e">
        <f t="shared" si="0"/>
        <v>#NAME?</v>
      </c>
      <c r="J85" t="e">
        <f t="shared" si="0"/>
        <v>#NAME?</v>
      </c>
    </row>
    <row r="86" ht="15" customHeight="1">
      <c r="A86" t="s">
        <v>1378</v>
      </c>
      <c r="B86" t="s">
        <v>1641</v>
      </c>
      <c r="C86">
        <f>'FNM Loan Terms'!F44</f>
        <v>1.25</v>
      </c>
      <c r="D86">
        <f>'FNM Loan Terms'!G44</f>
        <v>1.25</v>
      </c>
      <c r="E86">
        <f>'FNM Loan Terms'!H44</f>
        <v>1.25</v>
      </c>
      <c r="F86">
        <f>'FNM Loan Terms'!I44</f>
        <v>1.35</v>
      </c>
      <c r="G86">
        <f>'FNM Loan Terms'!J44</f>
        <v>1.55</v>
      </c>
      <c r="H86">
        <f>'FNM Loan Terms'!K44</f>
        <v>1.35</v>
      </c>
      <c r="I86">
        <f>'FNM Loan Terms'!L44</f>
        <v>1.55</v>
      </c>
      <c r="J86">
        <f>'FNM Loan Terms'!M44</f>
        <v>1.25</v>
      </c>
    </row>
    <row r="87" ht="15" customHeight="1">
      <c r="A87" t="s">
        <v>1379</v>
      </c>
      <c r="B87" t="s">
        <v>1642</v>
      </c>
      <c r="C87" t="str">
        <f>TEXT('FNM Loan Terms'!F45,"0.0%")</f>
        <v>80.0%</v>
      </c>
      <c r="D87" t="str">
        <f>TEXT('FNM Loan Terms'!G45,"0.0%")</f>
        <v>80.0%</v>
      </c>
      <c r="E87" t="str">
        <f>TEXT('FNM Loan Terms'!H45,"0.0%")</f>
        <v>80.0%</v>
      </c>
      <c r="F87" t="str">
        <f>TEXT('FNM Loan Terms'!I45,"0.0%")</f>
        <v>65.0%</v>
      </c>
      <c r="G87" t="str">
        <f>TEXT('FNM Loan Terms'!J45,"0.0%")</f>
        <v>55.0%</v>
      </c>
      <c r="H87" t="str">
        <f>TEXT('FNM Loan Terms'!K45,"0.0%")</f>
        <v>65.0%</v>
      </c>
      <c r="I87" t="str">
        <f>TEXT('FNM Loan Terms'!L45,"0.0%")</f>
        <v>55.0%</v>
      </c>
      <c r="J87" t="str">
        <f>TEXT('FNM Loan Terms'!M45,"0.0%")</f>
        <v>80.0%</v>
      </c>
    </row>
    <row r="88" ht="15" customHeight="1">
      <c r="A88" t="s">
        <v>1646</v>
      </c>
      <c r="B88" t="s">
        <v>1647</v>
      </c>
      <c r="C88" cm="1">
        <f t="array" ref="C88">_xlfn.IFERROR(IF(C6="Fixed Rate","",ROUND(SOps_UnderwrittenNCF/(PMT(SUM(VALUE(C69:C72))/12,C12,-C5,0)*12),3)),"")</f>
      </c>
      <c r="D88" cm="1">
        <f t="array" ref="D88">_xlfn.IFERROR(IF(D6="Fixed Rate","",ROUND(SOps_UnderwrittenNCF/(PMT(SUM(VALUE(D69:D72))/12,D12,-D5,0)*12),3)),"")</f>
      </c>
      <c r="E88" cm="1">
        <f t="array" ref="E88">_xlfn.IFERROR(IF(E6="Fixed Rate","",ROUND(SOps_UnderwrittenNCF/(PMT(SUM(VALUE(E69:E72))/12,E12,-E5,0)*12),3)),"")</f>
      </c>
      <c r="F88" cm="1">
        <f t="array" ref="F88">_xlfn.IFERROR(IF(F6="Fixed Rate","",ROUND(SOps_UnderwrittenNCF/(PMT(SUM(VALUE(F69:F72))/12,F12,-F5,0)*12),3)),"")</f>
      </c>
      <c r="G88" cm="1">
        <f t="array" ref="G88">_xlfn.IFERROR(IF(G6="Fixed Rate","",ROUND(SOps_UnderwrittenNCF/(PMT(SUM(VALUE(G69:G72))/12,G12,-G5,0)*12),3)),"")</f>
      </c>
      <c r="H88" cm="1">
        <f t="array" ref="H88">_xlfn.IFERROR(IF(H6="Fixed Rate","",ROUND(SOps_UnderwrittenNCF/(PMT(SUM(VALUE(H69:H72))/12,H12,-H5,0)*12),3)),"")</f>
      </c>
      <c r="I88" cm="1">
        <f t="array" ref="I88">_xlfn.IFERROR(IF(I6="Fixed Rate","",ROUND(SOps_UnderwrittenNCF/(PMT(SUM(VALUE(I69:I72))/12,I12,-I5,0)*12),3)),"")</f>
      </c>
      <c r="J88" cm="1">
        <f t="array" ref="J88">_xlfn.IFERROR(IF(J6="Fixed Rate","",ROUND(SOps_UnderwrittenNCF/(PMT(SUM(VALUE(J69:J72))/12,J12,-J5,0)*12),3)),"")</f>
      </c>
    </row>
    <row r="89" ht="15" customHeight="1">
      <c r="A89" t="s">
        <v>1648</v>
      </c>
      <c r="B89" t="s">
        <v>1649</v>
      </c>
      <c r="C89">
        <f t="shared" si="4" ref="C89:J89">_xlfn.IFERROR(IF(C6="Fixed Rate","",ROUND(SOps_UnderwrittenNCF/(PMT(VALUE(C83)/12,C12,-C5,0)*12),3)),"")</f>
      </c>
      <c r="D89">
        <f t="shared" si="4"/>
      </c>
      <c r="E89">
        <f t="shared" si="4"/>
      </c>
      <c r="F89">
        <f t="shared" si="4"/>
      </c>
      <c r="G89">
        <f t="shared" si="4"/>
      </c>
      <c r="H89">
        <f t="shared" si="4"/>
      </c>
      <c r="I89">
        <f t="shared" si="4"/>
      </c>
      <c r="J89">
        <f t="shared" si="4"/>
      </c>
    </row>
    <row r="90" ht="15" customHeight="1">
      <c r="A90" t="s">
        <v>1650</v>
      </c>
      <c r="B90" t="s">
        <v>1651</v>
      </c>
      <c r="C90" t="str">
        <f>TEXT(Tier_Max_LTV,"0.0%")</f>
        <v>75.0%</v>
      </c>
      <c r="D90" t="str">
        <f t="shared" si="5" ref="D90:J90">D87</f>
        <v>80.0%</v>
      </c>
      <c r="E90" t="str">
        <f t="shared" si="5"/>
        <v>80.0%</v>
      </c>
      <c r="F90" t="str">
        <f t="shared" si="5"/>
        <v>65.0%</v>
      </c>
      <c r="G90" t="str">
        <f t="shared" si="5"/>
        <v>55.0%</v>
      </c>
      <c r="H90" t="str">
        <f t="shared" si="5"/>
        <v>65.0%</v>
      </c>
      <c r="I90" t="str">
        <f t="shared" si="5"/>
        <v>55.0%</v>
      </c>
      <c r="J90" t="str">
        <f t="shared" si="5"/>
        <v>80.0%</v>
      </c>
    </row>
    <row r="91" ht="15" customHeight="1">
      <c r="A91" t="s">
        <v>1653</v>
      </c>
      <c r="B91" t="s">
        <v>1654</v>
      </c>
      <c r="C91" t="str">
        <f>"Tier "&amp;'SBL Quotes'!R$39</f>
        <v>Tier 2</v>
      </c>
      <c r="D91" t="str">
        <f>"Tier "&amp;'SBL Quotes'!S$39</f>
        <v>Tier 2</v>
      </c>
      <c r="E91" t="str">
        <f>"Tier "&amp;'SBL Quotes'!T$39</f>
        <v>Tier 2</v>
      </c>
      <c r="F91" t="str">
        <f>"Tier "&amp;'SBL Quotes'!U$39</f>
        <v>Tier 3</v>
      </c>
      <c r="G91" t="str">
        <f>"Tier "&amp;'SBL Quotes'!V$39</f>
        <v>Tier 4</v>
      </c>
      <c r="H91" t="str">
        <f>"Tier "&amp;'SBL Quotes'!W$39</f>
        <v>Tier 3</v>
      </c>
      <c r="I91" t="str">
        <f>"Tier "&amp;'SBL Quotes'!X$39</f>
        <v>Tier 4</v>
      </c>
      <c r="J91" t="str">
        <f>"Tier "&amp;'SBL Quotes'!Y$39</f>
        <v>Tier 2</v>
      </c>
    </row>
    <row r="92" ht="15" customHeight="1">
      <c r="A92" t="s">
        <v>1655</v>
      </c>
      <c r="B92" t="s">
        <v>1656</v>
      </c>
      <c r="C92" t="e">
        <f>IF(Interest_Rate_Type="Fixed",ROUND(Requested_Actual_UW_DSCR,3),ROUND(Variable_Requested_Pay_UW_DSCR,3))</f>
        <v>#NAME?</v>
      </c>
      <c r="D92">
        <f t="shared" si="6" ref="D92:J92">D94</f>
        <v>1.25</v>
      </c>
      <c r="E92">
        <f t="shared" si="6"/>
        <v>1.25</v>
      </c>
      <c r="F92">
        <f t="shared" si="6"/>
        <v>1.35</v>
      </c>
      <c r="G92">
        <f t="shared" si="6"/>
        <v>1.55</v>
      </c>
      <c r="H92">
        <f t="shared" si="6"/>
        <v>1.35</v>
      </c>
      <c r="I92">
        <f t="shared" si="6"/>
        <v>1.55</v>
      </c>
      <c r="J92">
        <f t="shared" si="6"/>
        <v>1.25</v>
      </c>
    </row>
    <row r="93" ht="15" customHeight="1">
      <c r="A93" t="s">
        <v>1657</v>
      </c>
      <c r="B93" t="s">
        <v>1658</v>
      </c>
      <c r="C93">
        <f>'FNM Loan Terms'!F41</f>
        <v>1.25</v>
      </c>
      <c r="D93">
        <f>'FNM Loan Terms'!G41</f>
        <v>1.25</v>
      </c>
      <c r="E93">
        <f>'FNM Loan Terms'!H41</f>
        <v>1.25</v>
      </c>
      <c r="F93">
        <f>'FNM Loan Terms'!I41</f>
        <v>1.35</v>
      </c>
      <c r="G93">
        <f>'FNM Loan Terms'!J41</f>
        <v>1.55</v>
      </c>
      <c r="H93">
        <f>'FNM Loan Terms'!K41</f>
        <v>1.35</v>
      </c>
      <c r="I93">
        <f>'FNM Loan Terms'!L41</f>
        <v>1.55</v>
      </c>
      <c r="J93">
        <f>'FNM Loan Terms'!M41</f>
        <v>1.25</v>
      </c>
    </row>
    <row r="94" ht="15" customHeight="1">
      <c r="A94" t="s">
        <v>1659</v>
      </c>
      <c r="B94" t="s">
        <v>1660</v>
      </c>
      <c r="C94">
        <f>ROUND('FNM Loan Terms'!F38,3)</f>
        <v>1.25</v>
      </c>
      <c r="D94">
        <f>ROUND('FNM Loan Terms'!G38,3)</f>
        <v>1.25</v>
      </c>
      <c r="E94">
        <f>ROUND('FNM Loan Terms'!H38,3)</f>
        <v>1.25</v>
      </c>
      <c r="F94">
        <f>ROUND('FNM Loan Terms'!I38,3)</f>
        <v>1.35</v>
      </c>
      <c r="G94">
        <f>ROUND('FNM Loan Terms'!J38,3)</f>
        <v>1.55</v>
      </c>
      <c r="H94">
        <f>ROUND('FNM Loan Terms'!K38,3)</f>
        <v>1.35</v>
      </c>
      <c r="I94">
        <f>ROUND('FNM Loan Terms'!L38,3)</f>
        <v>1.55</v>
      </c>
      <c r="J94">
        <f>ROUND('FNM Loan Terms'!M38,3)</f>
        <v>1.25</v>
      </c>
    </row>
    <row r="95" ht="15" customHeight="1">
      <c r="A95" t="s">
        <v>1661</v>
      </c>
      <c r="B95" t="s">
        <v>1662</v>
      </c>
      <c r="C95" t="str">
        <f>TEXT('FNM Loan Terms'!F35,"0.0%")</f>
        <v>80.0%</v>
      </c>
      <c r="D95" t="str">
        <f>TEXT('FNM Loan Terms'!G35,"0.0%")</f>
        <v>80.0%</v>
      </c>
      <c r="E95" t="str">
        <f>TEXT('FNM Loan Terms'!H35,"0.0%")</f>
        <v>80.0%</v>
      </c>
      <c r="F95" t="str">
        <f>TEXT('FNM Loan Terms'!I35,"0.0%")</f>
        <v>65.0%</v>
      </c>
      <c r="G95" t="str">
        <f>TEXT('FNM Loan Terms'!J35,"0.0%")</f>
        <v>55.0%</v>
      </c>
      <c r="H95" t="str">
        <f>TEXT('FNM Loan Terms'!K35,"0.0%")</f>
        <v>65.0%</v>
      </c>
      <c r="I95" t="str">
        <f>TEXT('FNM Loan Terms'!L35,"0.0%")</f>
        <v>55.0%</v>
      </c>
      <c r="J95" t="str">
        <f>TEXT('FNM Loan Terms'!M35,"0.0%")</f>
        <v>80.0%</v>
      </c>
    </row>
    <row r="96" ht="15" customHeight="1">
      <c r="A96" t="s">
        <v>1663</v>
      </c>
      <c r="B96" t="s">
        <v>1664</v>
      </c>
      <c r="C96" t="str">
        <f t="shared" si="7" ref="C96:J96">C95</f>
        <v>80.0%</v>
      </c>
      <c r="D96" t="str">
        <f t="shared" si="7"/>
        <v>80.0%</v>
      </c>
      <c r="E96" t="str">
        <f t="shared" si="7"/>
        <v>80.0%</v>
      </c>
      <c r="F96" t="str">
        <f t="shared" si="7"/>
        <v>65.0%</v>
      </c>
      <c r="G96" t="str">
        <f t="shared" si="7"/>
        <v>55.0%</v>
      </c>
      <c r="H96" t="str">
        <f t="shared" si="7"/>
        <v>65.0%</v>
      </c>
      <c r="I96" t="str">
        <f t="shared" si="7"/>
        <v>55.0%</v>
      </c>
      <c r="J96" t="str">
        <f t="shared" si="7"/>
        <v>80.0%</v>
      </c>
    </row>
    <row r="97" ht="15" customHeight="1">
      <c r="A97" t="s">
        <v>1665</v>
      </c>
      <c r="B97" t="s">
        <v>1666</v>
      </c>
      <c r="C97">
        <f>IF(Interest_Rate_Type="Fixed","",ROUND(Actual_UW_DSCR,3))</f>
      </c>
      <c r="D97">
        <f t="shared" si="8" ref="D97:J98">D88</f>
      </c>
      <c r="E97">
        <f t="shared" si="8"/>
      </c>
      <c r="F97">
        <f t="shared" si="8"/>
      </c>
      <c r="G97">
        <f t="shared" si="8"/>
      </c>
      <c r="H97">
        <f t="shared" si="8"/>
      </c>
      <c r="I97">
        <f t="shared" si="8"/>
      </c>
      <c r="J97">
        <f t="shared" si="8"/>
      </c>
    </row>
    <row r="98" ht="15" customHeight="1">
      <c r="A98" t="s">
        <v>1667</v>
      </c>
      <c r="B98" t="s">
        <v>1668</v>
      </c>
      <c r="C98">
        <f>IF(Interest_Rate_Type="Fixed","",ROUND(Floor_UW_DSCR,3))</f>
      </c>
      <c r="D98">
        <f t="shared" si="8"/>
      </c>
      <c r="E98">
        <f t="shared" si="8"/>
      </c>
      <c r="F98">
        <f t="shared" si="8"/>
      </c>
      <c r="G98">
        <f t="shared" si="8"/>
      </c>
      <c r="H98">
        <f t="shared" si="8"/>
      </c>
      <c r="I98">
        <f t="shared" si="8"/>
      </c>
      <c r="J98">
        <f t="shared" si="8"/>
      </c>
    </row>
    <row r="99" ht="15" customHeight="1">
      <c r="A99" t="s">
        <v>1669</v>
      </c>
      <c r="B99" t="s">
        <v>1670</v>
      </c>
      <c r="C99">
        <f>C97</f>
      </c>
      <c r="D99">
        <f t="shared" si="9" ref="D99:J99">D88</f>
      </c>
      <c r="E99">
        <f t="shared" si="9"/>
      </c>
      <c r="F99">
        <f t="shared" si="9"/>
      </c>
      <c r="G99">
        <f t="shared" si="9"/>
      </c>
      <c r="H99">
        <f t="shared" si="9"/>
      </c>
      <c r="I99">
        <f t="shared" si="9"/>
      </c>
      <c r="J99">
        <f t="shared" si="9"/>
      </c>
    </row>
    <row r="100" ht="15" customHeight="1">
      <c r="A100" t="s">
        <v>1671</v>
      </c>
      <c r="B100" t="s">
        <v>1672</v>
      </c>
      <c r="C100">
        <f>IF(Interest_Rate_Type="Fixed","",LTV)</f>
      </c>
      <c r="D100">
        <f t="shared" si="10" ref="D100:J100">IF(D6="Fixed Rate","",D90)</f>
      </c>
      <c r="E100">
        <f t="shared" si="10"/>
      </c>
      <c r="F100">
        <f t="shared" si="10"/>
      </c>
      <c r="G100">
        <f t="shared" si="10"/>
      </c>
      <c r="H100">
        <f t="shared" si="10"/>
      </c>
      <c r="I100">
        <f t="shared" si="10"/>
      </c>
      <c r="J100" t="str">
        <f t="shared" si="10"/>
        <v>80.0%</v>
      </c>
    </row>
    <row r="101" ht="15" customHeight="1">
      <c r="A101" t="s">
        <v>1673</v>
      </c>
      <c r="B101" t="s">
        <v>1674</v>
      </c>
    </row>
    <row r="102" ht="15" customHeight="1">
      <c r="A102" t="s">
        <v>1675</v>
      </c>
      <c r="B102" t="s">
        <v>1676</v>
      </c>
    </row>
    <row r="103" ht="15" customHeight="1">
      <c r="A103" t="s">
        <v>1677</v>
      </c>
      <c r="B103" t="s">
        <v>1678</v>
      </c>
      <c r="C103">
        <v>1.25</v>
      </c>
      <c r="D103">
        <v>1.25</v>
      </c>
      <c r="E103">
        <v>1.25</v>
      </c>
      <c r="F103">
        <v>1.25</v>
      </c>
      <c r="G103">
        <v>1.25</v>
      </c>
      <c r="H103">
        <v>1.25</v>
      </c>
      <c r="I103">
        <v>1.25</v>
      </c>
      <c r="J103">
        <v>1.25</v>
      </c>
    </row>
    <row r="104" ht="15" customHeight="1">
      <c r="A104" t="s">
        <v>1679</v>
      </c>
      <c r="B104" t="s">
        <v>1680</v>
      </c>
      <c r="C104" t="str">
        <f>"80.0%"</f>
        <v>80.0%</v>
      </c>
      <c r="D104" t="str">
        <f t="shared" si="3"/>
        <v>80.0%</v>
      </c>
      <c r="E104" t="str">
        <f t="shared" si="3"/>
        <v>80.0%</v>
      </c>
      <c r="F104" t="str">
        <f t="shared" si="3"/>
        <v>80.0%</v>
      </c>
      <c r="G104" t="str">
        <f t="shared" si="3"/>
        <v>80.0%</v>
      </c>
      <c r="H104" t="str">
        <f t="shared" si="3"/>
        <v>80.0%</v>
      </c>
      <c r="I104" t="str">
        <f t="shared" si="3"/>
        <v>80.0%</v>
      </c>
      <c r="J104" t="str">
        <f t="shared" si="3"/>
        <v>80.0%</v>
      </c>
    </row>
    <row r="105" ht="15" customHeight="1">
      <c r="A105" t="s">
        <v>1681</v>
      </c>
      <c r="B105" t="s">
        <v>1682</v>
      </c>
      <c r="C105" t="str">
        <f>TEXT('FNM Exit Strategy'!AL25,"0.00%")</f>
        <v>0.00%</v>
      </c>
      <c r="D105" t="str">
        <f>TEXT('FNM Loan Terms'!G54,"0.00%")</f>
        <v>0.00%</v>
      </c>
      <c r="E105" t="str">
        <f>TEXT('FNM Loan Terms'!H54,"0.00%")</f>
        <v>0.00%</v>
      </c>
      <c r="F105" t="str">
        <f>TEXT('FNM Loan Terms'!I54,"0.00%")</f>
        <v>0.00%</v>
      </c>
      <c r="G105" t="str">
        <f>TEXT('FNM Loan Terms'!J54,"0.00%")</f>
        <v>0.00%</v>
      </c>
      <c r="H105" t="str">
        <f>TEXT('FNM Loan Terms'!K54,"0.00%")</f>
        <v>0.00%</v>
      </c>
      <c r="I105" t="str">
        <f>TEXT('FNM Loan Terms'!L54,"0.00%")</f>
        <v>0.00%</v>
      </c>
      <c r="J105" t="str">
        <f>TEXT('FNM Loan Terms'!M54,"0.00%")</f>
        <v>0.00%</v>
      </c>
    </row>
    <row r="106" ht="15" customHeight="1">
      <c r="A106" t="s">
        <v>1683</v>
      </c>
      <c r="B106" t="s">
        <v>1684</v>
      </c>
      <c r="C106" t="str">
        <f>TEXT('FNM Exit Strategy'!AL23,"0.00%")</f>
        <v>0.00%</v>
      </c>
      <c r="D106" t="str">
        <f>TEXT('FNM Loan Terms'!G53,"0.00%")</f>
        <v>0.00%</v>
      </c>
      <c r="E106" t="str">
        <f>TEXT('FNM Loan Terms'!H53,"0.00%")</f>
        <v>0.00%</v>
      </c>
      <c r="F106" t="str">
        <f>TEXT('FNM Loan Terms'!I53,"0.00%")</f>
        <v>0.00%</v>
      </c>
      <c r="G106" t="str">
        <f>TEXT('FNM Loan Terms'!J53,"0.00%")</f>
        <v>0.00%</v>
      </c>
      <c r="H106" t="str">
        <f>TEXT('FNM Loan Terms'!K53,"0.00%")</f>
        <v>0.00%</v>
      </c>
      <c r="I106" t="str">
        <f>TEXT('FNM Loan Terms'!L53,"0.00%")</f>
        <v>0.00%</v>
      </c>
      <c r="J106" t="str">
        <f>TEXT('FNM Loan Terms'!M53,"0.00%")</f>
        <v>0.00%</v>
      </c>
    </row>
    <row r="107" ht="15" customHeight="1">
      <c r="A107" t="s">
        <v>1685</v>
      </c>
      <c r="B107" t="s">
        <v>1686</v>
      </c>
    </row>
    <row r="108" ht="15" customHeight="1">
      <c r="A108" t="s">
        <v>1687</v>
      </c>
      <c r="B108" t="s">
        <v>1688</v>
      </c>
    </row>
    <row r="109" ht="15" customHeight="1">
      <c r="A109" t="s">
        <v>1689</v>
      </c>
      <c r="B109" t="s">
        <v>1690</v>
      </c>
    </row>
    <row r="110" ht="15" customHeight="1">
      <c r="A110" t="s">
        <v>1691</v>
      </c>
      <c r="B110" t="s">
        <v>1692</v>
      </c>
    </row>
    <row r="111" ht="15" customHeight="1">
      <c r="A111" t="s">
        <v>1693</v>
      </c>
      <c r="B111" t="s">
        <v>1694</v>
      </c>
    </row>
    <row r="112" ht="15" customHeight="1">
      <c r="A112" t="s">
        <v>1695</v>
      </c>
      <c r="B112" t="s">
        <v>1696</v>
      </c>
    </row>
    <row r="113" ht="15" customHeight="1">
      <c r="A113" t="s">
        <v>1697</v>
      </c>
      <c r="B113" t="s">
        <v>1698</v>
      </c>
    </row>
    <row r="114" ht="15" customHeight="1">
      <c r="A114" t="s">
        <v>1699</v>
      </c>
      <c r="B114" t="s">
        <v>1700</v>
      </c>
    </row>
    <row r="115" ht="15" customHeight="1">
      <c r="A115" t="s">
        <v>1701</v>
      </c>
      <c r="B115" t="s">
        <v>1702</v>
      </c>
      <c r="C115">
        <f>IF('SBL Quotes'!$B$38="Refinance",'SBL Quotes'!$AK$32,"")</f>
        <v>0</v>
      </c>
      <c r="D115">
        <f t="shared" si="0"/>
        <v>0</v>
      </c>
      <c r="E115">
        <f t="shared" si="0"/>
        <v>0</v>
      </c>
      <c r="F115">
        <f t="shared" si="0"/>
        <v>0</v>
      </c>
      <c r="G115">
        <f t="shared" si="0"/>
        <v>0</v>
      </c>
      <c r="H115">
        <f t="shared" si="0"/>
        <v>0</v>
      </c>
      <c r="I115">
        <f t="shared" si="0"/>
        <v>0</v>
      </c>
      <c r="J115">
        <f t="shared" si="0"/>
        <v>0</v>
      </c>
    </row>
    <row r="116" ht="15" customHeight="1">
      <c r="A116" t="s">
        <v>1703</v>
      </c>
      <c r="B116" t="s">
        <v>1704</v>
      </c>
      <c r="C116">
        <f>IF('SBL Quotes'!$B$38="Refinance",'SBL Quotes'!$AK$35,"")</f>
        <v>0</v>
      </c>
      <c r="D116">
        <f t="shared" si="0"/>
        <v>0</v>
      </c>
      <c r="E116">
        <f t="shared" si="0"/>
        <v>0</v>
      </c>
      <c r="F116">
        <f t="shared" si="0"/>
        <v>0</v>
      </c>
      <c r="G116">
        <f t="shared" si="0"/>
        <v>0</v>
      </c>
      <c r="H116">
        <f t="shared" si="0"/>
        <v>0</v>
      </c>
      <c r="I116">
        <f t="shared" si="0"/>
        <v>0</v>
      </c>
      <c r="J116">
        <f t="shared" si="0"/>
        <v>0</v>
      </c>
    </row>
    <row r="117" ht="15" customHeight="1">
      <c r="A117" t="s">
        <v>1705</v>
      </c>
      <c r="B117" t="s">
        <v>1706</v>
      </c>
      <c r="C117">
        <f>IF('Data Page'!H23="If Construction",'Data Page'!K25,"")</f>
      </c>
      <c r="D117">
        <f t="shared" si="0"/>
      </c>
      <c r="E117">
        <f t="shared" si="0"/>
      </c>
      <c r="F117">
        <f t="shared" si="0"/>
      </c>
      <c r="G117">
        <f t="shared" si="0"/>
      </c>
      <c r="H117">
        <f t="shared" si="0"/>
      </c>
      <c r="I117">
        <f t="shared" si="0"/>
      </c>
      <c r="J117">
        <f t="shared" si="0"/>
      </c>
    </row>
    <row r="118" ht="15" customHeight="1">
      <c r="A118" t="s">
        <v>1707</v>
      </c>
      <c r="B118" t="s">
        <v>1708</v>
      </c>
    </row>
    <row r="119" ht="15" customHeight="1">
      <c r="A119" t="s">
        <v>1709</v>
      </c>
      <c r="B119" t="s">
        <v>1710</v>
      </c>
    </row>
    <row r="120" ht="15" customHeight="1">
      <c r="A120" t="s">
        <v>1711</v>
      </c>
      <c r="B120" t="s">
        <v>1712</v>
      </c>
    </row>
    <row r="121" ht="15" customHeight="1">
      <c r="A121" t="s">
        <v>1713</v>
      </c>
      <c r="B121" t="s">
        <v>1714</v>
      </c>
      <c r="C121">
        <f>IF('Engineering schedule'!E42&gt;0,'Engineering schedule'!E42,"")</f>
      </c>
      <c r="D121">
        <f t="shared" si="0"/>
      </c>
      <c r="E121">
        <f t="shared" si="0"/>
      </c>
      <c r="F121">
        <f t="shared" si="0"/>
      </c>
      <c r="G121">
        <f t="shared" si="0"/>
      </c>
      <c r="H121">
        <f t="shared" si="0"/>
      </c>
      <c r="I121">
        <f t="shared" si="0"/>
      </c>
      <c r="J121">
        <f t="shared" si="0"/>
      </c>
    </row>
    <row r="122" ht="15" customHeight="1">
      <c r="A122" t="s">
        <v>1715</v>
      </c>
      <c r="B122" t="s">
        <v>1716</v>
      </c>
      <c r="C122">
        <f>_xlfn.IFERROR(IF(OR(Immediates_Waived="Yes",Immediates_Escrowed=0),"",Immediates_Escrowed),0)</f>
        <v>0</v>
      </c>
      <c r="D122">
        <f t="shared" si="0"/>
        <v>0</v>
      </c>
      <c r="E122">
        <f t="shared" si="0"/>
        <v>0</v>
      </c>
      <c r="F122">
        <f t="shared" si="0"/>
        <v>0</v>
      </c>
      <c r="G122">
        <f t="shared" si="0"/>
        <v>0</v>
      </c>
      <c r="H122">
        <f t="shared" si="0"/>
        <v>0</v>
      </c>
      <c r="I122">
        <f t="shared" si="0"/>
        <v>0</v>
      </c>
      <c r="J122">
        <f t="shared" si="0"/>
        <v>0</v>
      </c>
    </row>
    <row r="123" ht="15" customHeight="1">
      <c r="A123" t="s">
        <v>1717</v>
      </c>
      <c r="B123" t="s">
        <v>1718</v>
      </c>
    </row>
    <row r="124" ht="15" customHeight="1">
      <c r="A124" t="s">
        <v>1719</v>
      </c>
      <c r="B124" t="s">
        <v>1720</v>
      </c>
    </row>
    <row r="125" ht="15" customHeight="1">
      <c r="A125" t="s">
        <v>318</v>
      </c>
      <c r="B125" t="s">
        <v>1721</v>
      </c>
    </row>
    <row r="126" ht="15" customHeight="1">
      <c r="A126" t="s">
        <v>1722</v>
      </c>
      <c r="B126" t="s">
        <v>1723</v>
      </c>
    </row>
    <row r="127" ht="15" customHeight="1">
      <c r="A127" t="s">
        <v>1724</v>
      </c>
      <c r="B127" t="s">
        <v>1725</v>
      </c>
    </row>
    <row r="128" ht="15" customHeight="1">
      <c r="A128" t="s">
        <v>1726</v>
      </c>
      <c r="B128" t="s">
        <v>1727</v>
      </c>
    </row>
    <row r="129" ht="14.25" customHeight="1">
      <c r="C129" t="s">
        <v>1728</v>
      </c>
    </row>
    <row r="130" ht="14.25" customHeight="1"/>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DE6BAC4-F059-7E6E-A5EE-8C7416769579}" mc:Ignorable="x14ac xr xr2 xr3">
  <sheetPr>
    <tabColor rgb="FF00B050"/>
  </sheetPr>
  <dimension ref="A1:BD87"/>
  <sheetViews>
    <sheetView showGridLines="0" topLeftCell="A1" zoomScale="90" workbookViewId="0">
      <selection activeCell="C7" sqref="C7:D7"/>
    </sheetView>
  </sheetViews>
  <sheetFormatPr defaultRowHeight="14.497499999999997" defaultColWidth="9.57421875" customHeight="1"/>
  <cols>
    <col min="1" max="1" width="2.7109375" customWidth="1"/>
    <col min="2" max="2" width="4.57421875" customWidth="1"/>
    <col min="3" max="3" width="34.140625" customWidth="1"/>
    <col min="5" max="5" width="15.7109375" customWidth="1"/>
    <col min="6" max="6" width="13.00390625" customWidth="1"/>
    <col min="7" max="7" width="15.7109375" customWidth="1"/>
    <col min="8" max="9" width="13.00390625" customWidth="1"/>
    <col min="10" max="10" width="15.7109375" customWidth="1"/>
    <col min="11" max="12" width="13.00390625" customWidth="1"/>
    <col min="13" max="13" width="14.57421875" customWidth="1"/>
    <col min="14" max="14" width="14.140625" customWidth="1"/>
    <col min="15" max="15" width="12.140625" customWidth="1"/>
    <col min="16" max="16" width="11.7109375" customWidth="1"/>
    <col min="17" max="17" width="17.8515625" hidden="1" customWidth="1"/>
    <col min="18" max="18" width="18.28125" hidden="1" customWidth="1"/>
    <col min="19" max="19" width="17.7109375" hidden="1" customWidth="1"/>
    <col min="20" max="20" width="5.28125" hidden="1" customWidth="1"/>
    <col min="21" max="21" width="9.57421875" hidden="1" customWidth="1"/>
    <col min="22" max="22" width="16.00390625" customWidth="1"/>
    <col min="23" max="23" width="12.140625" customWidth="1"/>
    <col min="24" max="24" width="14.28125" customWidth="1"/>
    <col min="25" max="25" width="17.140625" customWidth="1"/>
    <col min="26" max="26" width="16.00390625" customWidth="1"/>
    <col min="27" max="27" width="12.140625" customWidth="1"/>
    <col min="28" max="28" width="16.00390625" customWidth="1"/>
    <col min="29" max="29" width="14.57421875" customWidth="1"/>
    <col min="30" max="30" width="16.57421875" customWidth="1"/>
    <col min="31" max="31" width="14.57421875" customWidth="1"/>
    <col min="32" max="32" width="2.7109375" customWidth="1"/>
    <col min="33" max="33" width="13.140625" customWidth="1"/>
    <col min="34" max="34" width="2.7109375" customWidth="1"/>
    <col min="35" max="35" width="30.57421875" customWidth="1"/>
    <col min="36" max="36" width="2.7109375" customWidth="1"/>
    <col min="37" max="37" width="32.7109375" customWidth="1"/>
    <col min="38" max="48" width="12.28125" customWidth="1"/>
    <col min="49" max="49" width="12.57421875" customWidth="1"/>
  </cols>
  <sheetData>
    <row r="1" ht="15.75" customHeight="1"/>
    <row r="2" ht="15.75" customHeight="1" hidden="1">
      <c r="C2" t="s">
        <v>1729</v>
      </c>
      <c r="F2" t="e">
        <f t="shared" si="0" ref="F2:AE2">SUM(F3:F5)</f>
        <v>#DIV/0!</v>
      </c>
      <c r="H2" t="e">
        <f t="shared" si="0"/>
        <v>#DIV/0!</v>
      </c>
      <c r="K2" t="e">
        <f t="shared" si="0"/>
        <v>#DIV/0!</v>
      </c>
      <c r="O2">
        <f t="shared" si="0"/>
        <v>0.04398920992362465</v>
      </c>
      <c r="Q2" t="e">
        <f t="shared" si="0"/>
        <v>#DIV/0!</v>
      </c>
      <c r="R2" t="e">
        <f t="shared" si="0"/>
        <v>#DIV/0!</v>
      </c>
      <c r="S2" t="e">
        <f t="shared" si="0"/>
        <v>#DIV/0!</v>
      </c>
      <c r="U2" t="e">
        <f t="shared" si="0"/>
        <v>#DIV/0!</v>
      </c>
      <c r="W2" t="e">
        <f t="shared" si="0"/>
        <v>#DIV/0!</v>
      </c>
      <c r="Y2" t="e">
        <f t="shared" si="0"/>
        <v>#DIV/0!</v>
      </c>
      <c r="AA2" t="e">
        <f t="shared" si="0"/>
        <v>#DIV/0!</v>
      </c>
      <c r="AC2" t="e">
        <f t="shared" si="0"/>
        <v>#DIV/0!</v>
      </c>
      <c r="AE2">
        <f t="shared" si="0"/>
        <v>0.07977938814580683</v>
      </c>
    </row>
    <row r="3" ht="13.5" customHeight="1" hidden="1">
      <c r="C3" t="s">
        <v>1730</v>
      </c>
      <c r="F3" t="e">
        <f t="shared" si="1" ref="F3:AE3">E19/E18</f>
        <v>#DIV/0!</v>
      </c>
      <c r="H3" t="e">
        <f t="shared" si="1"/>
        <v>#DIV/0!</v>
      </c>
      <c r="K3" t="e">
        <f t="shared" si="1"/>
        <v>#DIV/0!</v>
      </c>
      <c r="O3">
        <f t="shared" si="1"/>
        <v>0</v>
      </c>
      <c r="Q3" t="e">
        <f t="shared" si="2" ref="Q3:S3">Q19/Q18</f>
        <v>#DIV/0!</v>
      </c>
      <c r="R3" t="e">
        <f t="shared" si="2"/>
        <v>#DIV/0!</v>
      </c>
      <c r="S3" t="e">
        <f t="shared" si="2"/>
        <v>#DIV/0!</v>
      </c>
      <c r="U3" t="e">
        <f t="shared" si="1"/>
        <v>#DIV/0!</v>
      </c>
      <c r="W3" t="e">
        <f t="shared" si="1"/>
        <v>#DIV/0!</v>
      </c>
      <c r="Y3" t="e">
        <f t="shared" si="1"/>
        <v>#DIV/0!</v>
      </c>
      <c r="AA3" t="e">
        <f t="shared" si="1"/>
        <v>#DIV/0!</v>
      </c>
      <c r="AC3" t="e">
        <f t="shared" si="1"/>
        <v>#DIV/0!</v>
      </c>
      <c r="AE3">
        <f t="shared" si="1"/>
        <v>0</v>
      </c>
    </row>
    <row r="4" ht="16.5" customHeight="1" hidden="1">
      <c r="C4" t="s">
        <v>1731</v>
      </c>
      <c r="F4" t="e">
        <f t="shared" si="3" ref="F4:AE4">E20/(E18-E19+E22)</f>
        <v>#DIV/0!</v>
      </c>
      <c r="H4" t="e">
        <f t="shared" si="3"/>
        <v>#DIV/0!</v>
      </c>
      <c r="K4" t="e">
        <f t="shared" si="3"/>
        <v>#DIV/0!</v>
      </c>
      <c r="O4">
        <f t="shared" si="3"/>
        <v>0.0347706313276551</v>
      </c>
      <c r="Q4" t="e">
        <f t="shared" si="4" ref="Q4:S4">Q20/(Q18-Q19+Q22)</f>
        <v>#DIV/0!</v>
      </c>
      <c r="R4" t="e">
        <f t="shared" si="4"/>
        <v>#DIV/0!</v>
      </c>
      <c r="S4" t="e">
        <f t="shared" si="4"/>
        <v>#DIV/0!</v>
      </c>
      <c r="U4" t="e">
        <f t="shared" si="3"/>
        <v>#DIV/0!</v>
      </c>
      <c r="W4" t="e">
        <f t="shared" si="3"/>
        <v>#DIV/0!</v>
      </c>
      <c r="Y4" t="e">
        <f t="shared" si="3"/>
        <v>#DIV/0!</v>
      </c>
      <c r="AA4" t="e">
        <f t="shared" si="3"/>
        <v>#DIV/0!</v>
      </c>
      <c r="AC4" t="e">
        <f t="shared" si="3"/>
        <v>#DIV/0!</v>
      </c>
      <c r="AE4">
        <f t="shared" si="3"/>
        <v>0.05</v>
      </c>
    </row>
    <row r="5" ht="14.25" customHeight="1" hidden="1">
      <c r="C5" t="s">
        <v>1732</v>
      </c>
      <c r="F5" t="e">
        <f t="shared" si="5" ref="F5:AE5">E21/(E18-E19+E22)</f>
        <v>#DIV/0!</v>
      </c>
      <c r="H5" t="e">
        <f t="shared" si="5"/>
        <v>#DIV/0!</v>
      </c>
      <c r="K5" t="e">
        <f t="shared" si="5"/>
        <v>#DIV/0!</v>
      </c>
      <c r="O5">
        <f t="shared" si="5"/>
        <v>0.009218578595969551</v>
      </c>
      <c r="Q5" t="e">
        <f t="shared" si="6" ref="Q5:S5">Q21/(Q18-Q19+Q22)</f>
        <v>#DIV/0!</v>
      </c>
      <c r="R5" t="e">
        <f t="shared" si="6"/>
        <v>#DIV/0!</v>
      </c>
      <c r="S5" t="e">
        <f t="shared" si="6"/>
        <v>#DIV/0!</v>
      </c>
      <c r="U5" t="e">
        <f t="shared" si="5"/>
        <v>#DIV/0!</v>
      </c>
      <c r="W5" t="e">
        <f t="shared" si="5"/>
        <v>#DIV/0!</v>
      </c>
      <c r="Y5" t="e">
        <f t="shared" si="5"/>
        <v>#DIV/0!</v>
      </c>
      <c r="AA5" t="e">
        <f t="shared" si="5"/>
        <v>#DIV/0!</v>
      </c>
      <c r="AC5" t="e">
        <f t="shared" si="5"/>
        <v>#DIV/0!</v>
      </c>
      <c r="AE5">
        <f t="shared" si="5"/>
        <v>0.029779388145806832</v>
      </c>
    </row>
    <row r="6" ht="14.25" customHeight="1" hidden="1"/>
    <row r="7" ht="14.25" customHeight="1">
      <c r="C7" t="str">
        <f>PropertyName_DataPageTab</f>
        <v>XXXX</v>
      </c>
      <c r="AD7" t="s">
        <v>1733</v>
      </c>
      <c r="AE7">
        <f>'Rent Roll'!M138</f>
        <v>129715</v>
      </c>
      <c r="AI7" t="s">
        <v>1734</v>
      </c>
      <c r="AK7" t="s">
        <v>1735</v>
      </c>
      <c r="AL7" t="s">
        <v>1736</v>
      </c>
      <c r="AM7" t="s">
        <v>1737</v>
      </c>
      <c r="AN7" t="s">
        <v>1738</v>
      </c>
    </row>
    <row r="8" ht="14.25" customHeight="1">
      <c r="C8" t="s">
        <v>1739</v>
      </c>
      <c r="D8">
        <f t="shared" si="7" ref="D8:AE8">number_units</f>
        <v>101</v>
      </c>
      <c r="AD8" t="s">
        <v>1740</v>
      </c>
      <c r="AE8">
        <f t="shared" si="7"/>
        <v>101</v>
      </c>
      <c r="AI8" t="s">
        <v>1741</v>
      </c>
      <c r="AK8">
        <f>'NRI Analysis'!E86</f>
        <v>401951</v>
      </c>
      <c r="AL8">
        <f>'NRI Analysis'!H86</f>
        <v>408739.6666666667</v>
      </c>
      <c r="AM8">
        <f>'NRI Analysis'!L86</f>
        <v>409082</v>
      </c>
      <c r="AN8">
        <f>'NRI Analysis'!P86</f>
        <v>400594.3333333333</v>
      </c>
    </row>
    <row r="9" ht="14.25" customHeight="1">
      <c r="AD9" t="s">
        <v>1742</v>
      </c>
      <c r="AE9">
        <v>0.05</v>
      </c>
      <c r="AI9" t="s">
        <v>1743</v>
      </c>
      <c r="AK9">
        <f>'NRI Analysis'!E87</f>
        <v>4823412</v>
      </c>
      <c r="AL9">
        <f>'NRI Analysis'!H87</f>
        <v>4904876</v>
      </c>
      <c r="AM9">
        <f>'NRI Analysis'!L87</f>
        <v>4908984</v>
      </c>
      <c r="AN9">
        <f>'NRI Analysis'!P87</f>
        <v>4807132</v>
      </c>
    </row>
    <row r="10" ht="14.25" customHeight="1">
      <c r="AD10" t="s">
        <v>1744</v>
      </c>
      <c r="AE10">
        <v>0.03</v>
      </c>
      <c r="AI10" t="s">
        <v>1255</v>
      </c>
      <c r="AK10">
        <f>'NRI Analysis'!E88</f>
        <v>0.9433432216516621</v>
      </c>
      <c r="AL10">
        <f>'NRI Analysis'!H88</f>
        <v>0.9550795549781447</v>
      </c>
      <c r="AM10">
        <f>'NRI Analysis'!L88</f>
        <v>0.9619739793910757</v>
      </c>
      <c r="AN10">
        <f>'NRI Analysis'!P88</f>
        <v>0.9560107900763753</v>
      </c>
    </row>
    <row r="11" ht="14.25" customHeight="1">
      <c r="AD11" t="s">
        <v>1425</v>
      </c>
      <c r="AE11">
        <v>250</v>
      </c>
    </row>
    <row r="12" ht="14.25" customHeight="1"/>
    <row r="13" ht="15" customHeight="1">
      <c r="C13" t="s">
        <v>1745</v>
      </c>
      <c r="E13" t="s">
        <v>1746</v>
      </c>
      <c r="G13" t="s">
        <v>1746</v>
      </c>
      <c r="J13" t="s">
        <v>1746</v>
      </c>
      <c r="M13" t="s">
        <v>1747</v>
      </c>
      <c r="N13" t="s">
        <v>1748</v>
      </c>
      <c r="Q13" t="s">
        <v>1749</v>
      </c>
      <c r="R13" t="s">
        <v>1750</v>
      </c>
      <c r="S13" t="s">
        <v>1751</v>
      </c>
      <c r="T13" t="s">
        <v>1752</v>
      </c>
      <c r="V13" t="s">
        <v>1753</v>
      </c>
      <c r="X13" t="s">
        <v>1754</v>
      </c>
      <c r="Z13" t="s">
        <v>1755</v>
      </c>
      <c r="AB13" t="s">
        <v>1756</v>
      </c>
      <c r="AD13" t="s">
        <v>1757</v>
      </c>
      <c r="AG13" t="s">
        <v>1758</v>
      </c>
    </row>
    <row r="14" ht="15.75" customHeight="1">
      <c r="E14" t="s">
        <v>1759</v>
      </c>
      <c r="G14" t="s">
        <v>1760</v>
      </c>
      <c r="J14" t="s">
        <v>1761</v>
      </c>
      <c r="M14" t="s">
        <v>1762</v>
      </c>
      <c r="N14" t="str">
        <f>IF(HOps_YTD_or_TR_DropDown="YTD","YTD","T-"&amp;HOps_YTD_or_TR_Months)</f>
        <v>T-12</v>
      </c>
    </row>
    <row r="15" ht="27" customHeight="1">
      <c r="C15" t="s">
        <v>1763</v>
      </c>
      <c r="E15" s="1">
        <f>EDATE(G15,-12)</f>
        <v>43709</v>
      </c>
      <c r="G15" s="1">
        <f>EDATE(J15,-12)</f>
        <v>44075</v>
      </c>
      <c r="J15" s="1">
        <f>EDATE(N15,-12)</f>
        <v>44440</v>
      </c>
      <c r="M15" t="s">
        <v>1764</v>
      </c>
      <c r="N15" s="1">
        <f>OSAnalysis_MostRecentMonth</f>
        <v>44805</v>
      </c>
      <c r="Q15" s="1">
        <f>N15</f>
        <v>44805</v>
      </c>
      <c r="R15" s="1">
        <f t="shared" si="8" ref="R15:Z15">N15</f>
        <v>44805</v>
      </c>
      <c r="S15" s="1">
        <f>N15</f>
        <v>44805</v>
      </c>
      <c r="T15" s="1">
        <f>N15</f>
        <v>44805</v>
      </c>
      <c r="V15" s="1">
        <f>N15</f>
        <v>44805</v>
      </c>
      <c r="X15" s="1">
        <f t="shared" si="9" ref="X15:AB15">V15</f>
        <v>44805</v>
      </c>
      <c r="Z15" s="1">
        <f t="shared" si="8"/>
        <v>44805</v>
      </c>
      <c r="AB15" s="1">
        <f t="shared" si="9"/>
        <v>44805</v>
      </c>
      <c r="AD15" s="1">
        <f t="shared" si="15" ref="AD15:AD85">N15</f>
        <v>44805</v>
      </c>
      <c r="AG15" t="s">
        <v>726</v>
      </c>
      <c r="AK15" t="s">
        <v>1765</v>
      </c>
    </row>
    <row r="16" ht="15.75" customHeight="1">
      <c r="F16" t="s">
        <v>1766</v>
      </c>
      <c r="H16" t="s">
        <v>1766</v>
      </c>
      <c r="I16" t="s">
        <v>1767</v>
      </c>
      <c r="K16" t="s">
        <v>1766</v>
      </c>
      <c r="L16" t="s">
        <v>1767</v>
      </c>
      <c r="M16">
        <f>HOps_YTD_or_TR_Months</f>
        <v>12</v>
      </c>
      <c r="O16" t="s">
        <v>1766</v>
      </c>
      <c r="P16" t="s">
        <v>1767</v>
      </c>
      <c r="U16" t="s">
        <v>1766</v>
      </c>
      <c r="W16" t="s">
        <v>1766</v>
      </c>
      <c r="Y16" t="s">
        <v>1766</v>
      </c>
      <c r="AA16" t="s">
        <v>1766</v>
      </c>
      <c r="AC16" t="s">
        <v>1766</v>
      </c>
      <c r="AE16" t="s">
        <v>1766</v>
      </c>
      <c r="AG16" t="s">
        <v>1766</v>
      </c>
      <c r="AK16" t="str">
        <f>_xlfn.CONCAT("All Rate locked SBL loans through ",TEXT(_xlfn.CUBEVALUE("ThisWorkbookDataModel","[Measures].[Rate Lock]"),"mmmmmmmmmmmmmmmmmmmmmmm, yyyy"))</f>
        <v>All Rate locked SBL loans through December, 2022</v>
      </c>
    </row>
    <row r="17" ht="24.75" customHeight="1">
      <c r="C17" t="s">
        <v>1443</v>
      </c>
      <c r="F17" t="s">
        <v>1769</v>
      </c>
      <c r="H17" t="s">
        <v>1769</v>
      </c>
      <c r="I17" t="s">
        <v>1770</v>
      </c>
      <c r="K17" t="s">
        <v>1769</v>
      </c>
      <c r="L17" t="s">
        <v>1770</v>
      </c>
      <c r="N17" t="s">
        <v>1771</v>
      </c>
      <c r="O17" t="s">
        <v>1769</v>
      </c>
      <c r="P17" t="s">
        <v>1770</v>
      </c>
      <c r="U17" t="s">
        <v>1769</v>
      </c>
      <c r="W17" t="s">
        <v>1769</v>
      </c>
      <c r="Y17" t="s">
        <v>1769</v>
      </c>
      <c r="AA17" t="s">
        <v>1769</v>
      </c>
      <c r="AC17" t="s">
        <v>1769</v>
      </c>
      <c r="AE17" t="s">
        <v>1769</v>
      </c>
      <c r="AG17" t="s">
        <v>1769</v>
      </c>
      <c r="AI17" t="s">
        <v>1772</v>
      </c>
    </row>
    <row r="18" ht="18.75" customHeight="1">
      <c r="C18" t="s">
        <v>1773</v>
      </c>
      <c r="E18">
        <f>'Fannie Historical Ops'!D5</f>
        <v>0</v>
      </c>
      <c r="F18">
        <f t="shared" si="10" ref="F18:AC86">ROUND(IF(E18=0,0,(E18)/number_units),2)</f>
        <v>0</v>
      </c>
      <c r="G18">
        <f>'Fannie Historical Ops'!F5</f>
        <v>0</v>
      </c>
      <c r="H18">
        <f t="shared" si="10"/>
        <v>0</v>
      </c>
      <c r="I18" t="str">
        <f t="shared" si="11" ref="I18:I86">IF(E18=0,"N/A",(G18-E18)/E18)</f>
        <v>N/A</v>
      </c>
      <c r="J18">
        <f>'Fannie Historical Ops'!H5</f>
        <v>0</v>
      </c>
      <c r="K18">
        <f t="shared" si="10"/>
        <v>0</v>
      </c>
      <c r="L18" t="str">
        <f t="shared" si="12" ref="L18:L86">IF(G18=0,"N/A",(J18-G18)/G18)</f>
        <v>N/A</v>
      </c>
      <c r="M18">
        <f>'Fannie Historical Ops'!V5</f>
        <v>5028324</v>
      </c>
      <c r="N18">
        <f>ROUND(IF(M16=0,0,M18*12/M16),2)</f>
        <v>5028324</v>
      </c>
      <c r="O18">
        <f t="shared" si="10"/>
        <v>49785.39</v>
      </c>
      <c r="P18" t="str">
        <f t="shared" si="13" ref="P18:P86">IF(J18=0,"N/A",(N18-J18)/J18)</f>
        <v>N/A</v>
      </c>
      <c r="Q18">
        <v>0</v>
      </c>
      <c r="R18">
        <v>0</v>
      </c>
      <c r="S18">
        <v>0</v>
      </c>
      <c r="T18">
        <f t="shared" si="14" ref="T18:T85">ROUND(((SUM(S18,R18,Q18)/3)*12),2)</f>
        <v>0</v>
      </c>
      <c r="U18">
        <f t="shared" si="10"/>
        <v>0</v>
      </c>
      <c r="V18">
        <f>'Fannie Historical Ops'!Y5</f>
        <v>0</v>
      </c>
      <c r="W18">
        <f t="shared" si="10"/>
        <v>0</v>
      </c>
      <c r="X18">
        <v>0</v>
      </c>
      <c r="Y18">
        <f t="shared" si="10"/>
        <v>0</v>
      </c>
      <c r="Z18">
        <f>'Fannie Historical Ops'!AA5</f>
        <v>0</v>
      </c>
      <c r="AA18">
        <f t="shared" si="10"/>
        <v>0</v>
      </c>
      <c r="AB18">
        <v>0</v>
      </c>
      <c r="AC18">
        <f t="shared" si="10"/>
        <v>0</v>
      </c>
      <c r="AD18">
        <f>$AE$7*12</f>
        <v>1556580</v>
      </c>
      <c r="AE18">
        <f t="shared" si="16" ref="AE18:AE34">IF(number_units=0,0,ROUND(AD18/number_units,2))</f>
        <v>15411.68</v>
      </c>
      <c r="AK18" t="s">
        <v>1774</v>
      </c>
    </row>
    <row r="19" ht="15" customHeight="1">
      <c r="C19" t="s">
        <v>1775</v>
      </c>
      <c r="E19">
        <f>-'Fannie Historical Ops'!D8</f>
        <v>0</v>
      </c>
      <c r="F19">
        <f t="shared" si="10"/>
        <v>0</v>
      </c>
      <c r="G19">
        <f>-'Fannie Historical Ops'!F8</f>
        <v>0</v>
      </c>
      <c r="H19">
        <f t="shared" si="10"/>
        <v>0</v>
      </c>
      <c r="I19" t="str">
        <f t="shared" si="11"/>
        <v>N/A</v>
      </c>
      <c r="J19">
        <f>-'Fannie Historical Ops'!H8</f>
        <v>0</v>
      </c>
      <c r="K19">
        <f t="shared" si="10"/>
        <v>0</v>
      </c>
      <c r="L19" t="str">
        <f t="shared" si="12"/>
        <v>N/A</v>
      </c>
      <c r="M19">
        <f>-'Fannie Historical Ops'!V8</f>
        <v>0</v>
      </c>
      <c r="N19">
        <f>ROUND(IF(M16=0,0,M19*12/M16),2)</f>
        <v>0</v>
      </c>
      <c r="O19">
        <f t="shared" si="10"/>
        <v>0</v>
      </c>
      <c r="P19" t="str">
        <f t="shared" si="13"/>
        <v>N/A</v>
      </c>
      <c r="Q19">
        <v>0</v>
      </c>
      <c r="R19">
        <v>0</v>
      </c>
      <c r="S19">
        <v>0</v>
      </c>
      <c r="T19">
        <f t="shared" si="14"/>
        <v>0</v>
      </c>
      <c r="U19">
        <f t="shared" si="10"/>
        <v>0</v>
      </c>
      <c r="V19">
        <f>-'Fannie Historical Ops'!Y8</f>
        <v>0</v>
      </c>
      <c r="W19">
        <f t="shared" si="10"/>
        <v>0</v>
      </c>
      <c r="X19">
        <v>0</v>
      </c>
      <c r="Y19">
        <f t="shared" si="10"/>
        <v>0</v>
      </c>
      <c r="Z19">
        <f>-'Fannie Historical Ops'!AA8</f>
        <v>0</v>
      </c>
      <c r="AA19">
        <f t="shared" si="10"/>
        <v>0</v>
      </c>
      <c r="AB19">
        <v>0</v>
      </c>
      <c r="AC19">
        <f t="shared" si="10"/>
        <v>0</v>
      </c>
      <c r="AD19">
        <f t="shared" si="15"/>
        <v>0</v>
      </c>
      <c r="AE19">
        <f t="shared" si="16"/>
        <v>0</v>
      </c>
      <c r="AK19" t="s">
        <v>1776</v>
      </c>
      <c r="AL19">
        <f>_xlfn.CUBEVALUE("ThisWorkbookDataModel","[Measures].[# of Loans]",Slicer_MSA,Slicer_County,Slicer_City,Slicer_Market_Tier,Slicer_Conf_Status,Slicer_Rate_Lock_Time_Frame,Slicer_Rent_Level__Upper_Lower_Half,Slicer_Unit_Count,Slicer_Vintage__Built_Most_Recently_Renovated,Slicer_Flood_Zone)</f>
        <v>15227</v>
      </c>
    </row>
    <row r="20" ht="15" customHeight="1">
      <c r="C20" t="s">
        <v>1777</v>
      </c>
      <c r="E20">
        <f>-'Fannie Historical Ops'!D6</f>
        <v>0</v>
      </c>
      <c r="F20">
        <f t="shared" si="10"/>
        <v>0</v>
      </c>
      <c r="G20">
        <f>-'Fannie Historical Ops'!F6</f>
        <v>0</v>
      </c>
      <c r="H20">
        <f t="shared" si="10"/>
        <v>0</v>
      </c>
      <c r="I20" t="str">
        <f t="shared" si="11"/>
        <v>N/A</v>
      </c>
      <c r="J20">
        <f>-'Fannie Historical Ops'!H6</f>
        <v>0</v>
      </c>
      <c r="K20">
        <f t="shared" si="10"/>
        <v>0</v>
      </c>
      <c r="L20" t="str">
        <f t="shared" si="12"/>
        <v>N/A</v>
      </c>
      <c r="M20">
        <f>-'Fannie Historical Ops'!V6</f>
        <v>174838</v>
      </c>
      <c r="N20">
        <f>ROUND(IF(M16=0,0,M20*12/M16),2)</f>
        <v>174838</v>
      </c>
      <c r="O20">
        <f t="shared" si="10"/>
        <v>1731.07</v>
      </c>
      <c r="P20" t="str">
        <f t="shared" si="13"/>
        <v>N/A</v>
      </c>
      <c r="Q20">
        <v>0</v>
      </c>
      <c r="R20">
        <v>0</v>
      </c>
      <c r="S20">
        <v>0</v>
      </c>
      <c r="T20">
        <f t="shared" si="14"/>
        <v>0</v>
      </c>
      <c r="U20">
        <f t="shared" si="10"/>
        <v>0</v>
      </c>
      <c r="V20">
        <f>-'Fannie Historical Ops'!Y6</f>
        <v>0</v>
      </c>
      <c r="W20">
        <f t="shared" si="10"/>
        <v>0</v>
      </c>
      <c r="X20">
        <v>0</v>
      </c>
      <c r="Y20">
        <f t="shared" si="10"/>
        <v>0</v>
      </c>
      <c r="Z20">
        <f>-'Fannie Historical Ops'!AA6</f>
        <v>0</v>
      </c>
      <c r="AA20">
        <f t="shared" si="10"/>
        <v>0</v>
      </c>
      <c r="AB20">
        <v>0</v>
      </c>
      <c r="AC20">
        <f t="shared" si="10"/>
        <v>0</v>
      </c>
      <c r="AD20">
        <f>AD18*AE9</f>
        <v>77829</v>
      </c>
      <c r="AE20">
        <f t="shared" si="16"/>
        <v>770.58</v>
      </c>
      <c r="AK20" t="s">
        <v>1778</v>
      </c>
      <c r="AL20">
        <f>_xlfn.CUBEVALUE("ThisWorkbookDataModel","[Measures].[Avg Final Loan Amount]",Slicer_MSA,Slicer_County,Slicer_City,Slicer_Market_Tier,Slicer_Conf_Status,Slicer_Rate_Lock_Time_Frame,Slicer_Rent_Level__Upper_Lower_Half,Slicer_Unit_Count,Slicer_Vintage__Built_Most_Recently_Renovated,Slicer_Flood_Zone)</f>
        <v>2683157.6686202143</v>
      </c>
    </row>
    <row r="21" ht="15" customHeight="1">
      <c r="C21" t="s">
        <v>1779</v>
      </c>
      <c r="E21">
        <f>-'Fannie Historical Ops'!D7</f>
        <v>0</v>
      </c>
      <c r="F21">
        <f t="shared" si="10"/>
        <v>0</v>
      </c>
      <c r="G21">
        <f>-'Fannie Historical Ops'!F7</f>
        <v>0</v>
      </c>
      <c r="H21">
        <f t="shared" si="10"/>
        <v>0</v>
      </c>
      <c r="I21" t="str">
        <f t="shared" si="11"/>
        <v>N/A</v>
      </c>
      <c r="J21">
        <f>-'Fannie Historical Ops'!H7</f>
        <v>0</v>
      </c>
      <c r="K21">
        <f t="shared" si="10"/>
        <v>0</v>
      </c>
      <c r="L21" t="str">
        <f t="shared" si="12"/>
        <v>N/A</v>
      </c>
      <c r="M21">
        <f>-'Fannie Historical Ops'!V7</f>
        <v>46354</v>
      </c>
      <c r="N21">
        <f>ROUND(IF(M16=0,0,M21*12/M16),2)</f>
        <v>46354</v>
      </c>
      <c r="O21">
        <f t="shared" si="10"/>
        <v>458.95</v>
      </c>
      <c r="P21" t="str">
        <f t="shared" si="13"/>
        <v>N/A</v>
      </c>
      <c r="Q21">
        <v>0</v>
      </c>
      <c r="R21">
        <v>0</v>
      </c>
      <c r="S21">
        <v>0</v>
      </c>
      <c r="T21">
        <f t="shared" si="14"/>
        <v>0</v>
      </c>
      <c r="U21">
        <f t="shared" si="10"/>
        <v>0</v>
      </c>
      <c r="V21">
        <f>-'Fannie Historical Ops'!Y7</f>
        <v>0</v>
      </c>
      <c r="W21">
        <f t="shared" si="10"/>
        <v>0</v>
      </c>
      <c r="X21">
        <v>0</v>
      </c>
      <c r="Y21">
        <f t="shared" si="10"/>
        <v>0</v>
      </c>
      <c r="Z21">
        <f>-'Fannie Historical Ops'!AA7</f>
        <v>0</v>
      </c>
      <c r="AA21">
        <f t="shared" si="10"/>
        <v>0</v>
      </c>
      <c r="AB21">
        <v>0</v>
      </c>
      <c r="AC21">
        <f t="shared" si="10"/>
        <v>0</v>
      </c>
      <c r="AD21">
        <f t="shared" si="15"/>
        <v>46354</v>
      </c>
      <c r="AE21">
        <f t="shared" si="16"/>
        <v>458.95</v>
      </c>
      <c r="AK21" t="s">
        <v>571</v>
      </c>
      <c r="AL21" t="s">
        <v>1780</v>
      </c>
      <c r="AM21" t="s">
        <v>1781</v>
      </c>
      <c r="AN21" t="s">
        <v>1782</v>
      </c>
    </row>
    <row r="22" ht="15.75" customHeight="1">
      <c r="C22" t="s">
        <v>1783</v>
      </c>
      <c r="E22">
        <f>'Fannie Historical Ops'!D22</f>
        <v>0</v>
      </c>
      <c r="F22">
        <f t="shared" si="10"/>
        <v>0</v>
      </c>
      <c r="G22">
        <f>'Fannie Historical Ops'!F22</f>
        <v>0</v>
      </c>
      <c r="H22">
        <f t="shared" si="10"/>
        <v>0</v>
      </c>
      <c r="I22" t="str">
        <f t="shared" si="11"/>
        <v>N/A</v>
      </c>
      <c r="J22">
        <f>'Fannie Historical Ops'!H22</f>
        <v>0</v>
      </c>
      <c r="K22">
        <f t="shared" si="10"/>
        <v>0</v>
      </c>
      <c r="L22" t="str">
        <f t="shared" si="12"/>
        <v>N/A</v>
      </c>
      <c r="M22">
        <f>'Fannie Historical Ops'!V22</f>
        <v>0</v>
      </c>
      <c r="N22">
        <f>ROUND(IF(M16=0,0,M22*12/M16),2)</f>
        <v>0</v>
      </c>
      <c r="O22">
        <f t="shared" si="10"/>
        <v>0</v>
      </c>
      <c r="P22" t="str">
        <f t="shared" si="13"/>
        <v>N/A</v>
      </c>
      <c r="Q22">
        <v>0</v>
      </c>
      <c r="R22">
        <v>0</v>
      </c>
      <c r="S22">
        <v>0</v>
      </c>
      <c r="T22">
        <f t="shared" si="14"/>
        <v>0</v>
      </c>
      <c r="U22">
        <f t="shared" si="10"/>
        <v>0</v>
      </c>
      <c r="V22">
        <f>'Fannie Historical Ops'!Y22</f>
        <v>0</v>
      </c>
      <c r="W22">
        <f t="shared" si="10"/>
        <v>0</v>
      </c>
      <c r="X22">
        <v>0</v>
      </c>
      <c r="Y22">
        <f t="shared" si="10"/>
        <v>0</v>
      </c>
      <c r="Z22">
        <f>'Fannie Historical Ops'!AA22</f>
        <v>0</v>
      </c>
      <c r="AA22">
        <f t="shared" si="10"/>
        <v>0</v>
      </c>
      <c r="AB22">
        <v>0</v>
      </c>
      <c r="AC22">
        <f t="shared" si="10"/>
        <v>0</v>
      </c>
      <c r="AD22">
        <f t="shared" si="15"/>
        <v>0</v>
      </c>
      <c r="AE22">
        <f t="shared" si="16"/>
        <v>0</v>
      </c>
      <c r="AK22" t="s">
        <v>1784</v>
      </c>
      <c r="AL22">
        <v>37.02948709529126</v>
      </c>
      <c r="AM22">
        <v>25</v>
      </c>
      <c r="AN22">
        <v>33.87135567227529</v>
      </c>
    </row>
    <row r="23" ht="15.75" customHeight="1">
      <c r="C23" t="s">
        <v>1785</v>
      </c>
      <c r="E23">
        <f t="shared" si="17" ref="E23:AB23">+E18-E19-E20-E21+E22</f>
        <v>0</v>
      </c>
      <c r="F23">
        <f t="shared" si="10"/>
        <v>0</v>
      </c>
      <c r="G23">
        <f t="shared" si="17"/>
        <v>0</v>
      </c>
      <c r="H23">
        <f t="shared" si="10"/>
        <v>0</v>
      </c>
      <c r="I23" t="str">
        <f t="shared" si="11"/>
        <v>N/A</v>
      </c>
      <c r="J23">
        <f t="shared" si="17"/>
        <v>0</v>
      </c>
      <c r="K23">
        <f t="shared" si="10"/>
        <v>0</v>
      </c>
      <c r="L23" t="str">
        <f t="shared" si="12"/>
        <v>N/A</v>
      </c>
      <c r="M23">
        <f t="shared" si="17"/>
        <v>4807132</v>
      </c>
      <c r="N23">
        <f t="shared" si="17"/>
        <v>4807132</v>
      </c>
      <c r="O23">
        <f t="shared" si="10"/>
        <v>47595.37</v>
      </c>
      <c r="P23" t="str">
        <f t="shared" si="13"/>
        <v>N/A</v>
      </c>
      <c r="Q23">
        <f t="shared" si="17"/>
        <v>0</v>
      </c>
      <c r="R23">
        <f t="shared" si="17"/>
        <v>0</v>
      </c>
      <c r="S23">
        <f t="shared" si="17"/>
        <v>0</v>
      </c>
      <c r="T23">
        <f t="shared" si="17"/>
        <v>0</v>
      </c>
      <c r="U23">
        <f t="shared" si="10"/>
        <v>0</v>
      </c>
      <c r="V23">
        <f t="shared" si="17"/>
        <v>0</v>
      </c>
      <c r="W23">
        <f t="shared" si="10"/>
        <v>0</v>
      </c>
      <c r="X23">
        <f t="shared" si="17"/>
        <v>0</v>
      </c>
      <c r="Y23">
        <f t="shared" si="10"/>
        <v>0</v>
      </c>
      <c r="Z23">
        <f t="shared" si="17"/>
        <v>0</v>
      </c>
      <c r="AA23">
        <f t="shared" si="10"/>
        <v>0</v>
      </c>
      <c r="AB23">
        <f t="shared" si="17"/>
        <v>0</v>
      </c>
      <c r="AC23">
        <f t="shared" si="10"/>
        <v>0</v>
      </c>
      <c r="AD23">
        <f>AD18-AD19-AD20-AD21+AD22</f>
        <v>1432397</v>
      </c>
      <c r="AE23">
        <f t="shared" si="16"/>
        <v>14182.15</v>
      </c>
      <c r="AG23" t="e">
        <f>GETPIVOTDATA("[Measures].[Average]",$AK$21,"[Summary Line Items].[Line Item Type]","[Summary Line Items].[Line Item Type].&amp;[Annual Residential NRI/Unit]")</f>
        <v>#REF!</v>
      </c>
      <c r="AK23" t="s">
        <v>1786</v>
      </c>
      <c r="AL23">
        <v>1220.9215393708628</v>
      </c>
      <c r="AM23">
        <v>1059.5</v>
      </c>
      <c r="AN23">
        <v>625.3753944272022</v>
      </c>
    </row>
    <row r="24" ht="15.75" customHeight="1">
      <c r="C24" t="s">
        <v>1787</v>
      </c>
      <c r="E24">
        <f t="shared" si="18" ref="E24:AB28">ROUND(+E23/12,2)</f>
        <v>0</v>
      </c>
      <c r="G24">
        <f t="shared" si="18"/>
        <v>0</v>
      </c>
      <c r="J24">
        <f t="shared" si="18"/>
        <v>0</v>
      </c>
      <c r="M24">
        <f>ROUND(+M23/M16,2)</f>
        <v>400594.33</v>
      </c>
      <c r="N24">
        <f t="shared" si="18"/>
        <v>400594.33</v>
      </c>
      <c r="Q24">
        <f t="shared" si="18"/>
        <v>0</v>
      </c>
      <c r="R24">
        <f t="shared" si="18"/>
        <v>0</v>
      </c>
      <c r="S24">
        <f t="shared" si="18"/>
        <v>0</v>
      </c>
      <c r="T24">
        <f t="shared" si="18"/>
        <v>0</v>
      </c>
      <c r="V24">
        <f t="shared" si="18"/>
        <v>0</v>
      </c>
      <c r="X24">
        <f t="shared" si="18"/>
        <v>0</v>
      </c>
      <c r="Z24">
        <f t="shared" si="18"/>
        <v>0</v>
      </c>
      <c r="AB24">
        <f t="shared" si="18"/>
        <v>0</v>
      </c>
      <c r="AD24">
        <f t="shared" si="20" ref="AD24:AD28">ROUND(AD23/12,2)</f>
        <v>119366.42</v>
      </c>
      <c r="AG24" t="e">
        <f t="shared" si="21" ref="AG24:AG28">AG23/12</f>
        <v>#REF!</v>
      </c>
      <c r="AK24" t="s">
        <v>1788</v>
      </c>
      <c r="AL24">
        <v>917.6961114221683</v>
      </c>
      <c r="AM24">
        <v>843.465</v>
      </c>
      <c r="AN24">
        <v>419.712106953847</v>
      </c>
    </row>
    <row r="25" ht="15" customHeight="1">
      <c r="C25" t="s">
        <v>1110</v>
      </c>
      <c r="E25">
        <f>'Fannie Historical Ops'!D14</f>
        <v>0</v>
      </c>
      <c r="F25">
        <f t="shared" si="10"/>
        <v>0</v>
      </c>
      <c r="G25">
        <f>'Fannie Historical Ops'!F14</f>
        <v>0</v>
      </c>
      <c r="H25">
        <f t="shared" si="10"/>
        <v>0</v>
      </c>
      <c r="I25" t="str">
        <f t="shared" si="11"/>
        <v>N/A</v>
      </c>
      <c r="J25">
        <f>'Fannie Historical Ops'!H14</f>
        <v>0</v>
      </c>
      <c r="K25">
        <f t="shared" si="10"/>
        <v>0</v>
      </c>
      <c r="L25" t="str">
        <f t="shared" si="12"/>
        <v>N/A</v>
      </c>
      <c r="M25">
        <f>'Fannie Historical Ops'!V14</f>
        <v>0</v>
      </c>
      <c r="N25">
        <f>ROUND(IF(M16=0,0,M25*12/M16),2)</f>
        <v>0</v>
      </c>
      <c r="O25">
        <f t="shared" si="10"/>
        <v>0</v>
      </c>
      <c r="P25" t="str">
        <f t="shared" si="13"/>
        <v>N/A</v>
      </c>
      <c r="Q25">
        <v>0</v>
      </c>
      <c r="R25">
        <v>0</v>
      </c>
      <c r="S25">
        <v>0</v>
      </c>
      <c r="T25">
        <f t="shared" si="14"/>
        <v>0</v>
      </c>
      <c r="U25">
        <f t="shared" si="10"/>
        <v>0</v>
      </c>
      <c r="V25">
        <f>'Fannie Historical Ops'!Y14</f>
        <v>0</v>
      </c>
      <c r="W25">
        <f t="shared" si="10"/>
        <v>0</v>
      </c>
      <c r="X25">
        <v>0</v>
      </c>
      <c r="Y25">
        <f t="shared" si="10"/>
        <v>0</v>
      </c>
      <c r="Z25">
        <f>'Fannie Historical Ops'!AA14</f>
        <v>0</v>
      </c>
      <c r="AA25">
        <f t="shared" si="10"/>
        <v>0</v>
      </c>
      <c r="AB25">
        <v>0</v>
      </c>
      <c r="AC25">
        <f t="shared" si="10"/>
        <v>0</v>
      </c>
      <c r="AD25">
        <f t="shared" si="15"/>
        <v>0</v>
      </c>
      <c r="AE25">
        <f t="shared" si="16"/>
        <v>0</v>
      </c>
      <c r="AK25" t="s">
        <v>1789</v>
      </c>
      <c r="AL25">
        <v>1035.5296851818416</v>
      </c>
      <c r="AM25">
        <v>935</v>
      </c>
      <c r="AN25">
        <v>463.78157162652</v>
      </c>
    </row>
    <row r="26" ht="15.75" customHeight="1">
      <c r="C26" t="s">
        <v>1790</v>
      </c>
      <c r="E26">
        <v>0</v>
      </c>
      <c r="F26">
        <f t="shared" si="10"/>
        <v>0</v>
      </c>
      <c r="G26">
        <v>0</v>
      </c>
      <c r="H26">
        <f t="shared" si="10"/>
        <v>0</v>
      </c>
      <c r="I26" t="str">
        <f t="shared" si="11"/>
        <v>N/A</v>
      </c>
      <c r="J26">
        <v>0</v>
      </c>
      <c r="K26">
        <f t="shared" si="10"/>
        <v>0</v>
      </c>
      <c r="L26" t="str">
        <f t="shared" si="12"/>
        <v>N/A</v>
      </c>
      <c r="M26">
        <v>0</v>
      </c>
      <c r="N26">
        <f>ROUND(IF(M16=0,0,M26*12/M16),2)</f>
        <v>0</v>
      </c>
      <c r="O26">
        <f t="shared" si="10"/>
        <v>0</v>
      </c>
      <c r="P26" t="str">
        <f t="shared" si="13"/>
        <v>N/A</v>
      </c>
      <c r="Q26">
        <v>0</v>
      </c>
      <c r="R26">
        <v>0</v>
      </c>
      <c r="S26">
        <v>0</v>
      </c>
      <c r="T26">
        <f t="shared" si="14"/>
        <v>0</v>
      </c>
      <c r="U26">
        <f t="shared" si="10"/>
        <v>0</v>
      </c>
      <c r="V26">
        <v>0</v>
      </c>
      <c r="W26">
        <f t="shared" si="10"/>
        <v>0</v>
      </c>
      <c r="X26">
        <v>0</v>
      </c>
      <c r="Y26">
        <f t="shared" si="10"/>
        <v>0</v>
      </c>
      <c r="Z26">
        <v>0</v>
      </c>
      <c r="AA26">
        <f t="shared" si="10"/>
        <v>0</v>
      </c>
      <c r="AB26">
        <v>0</v>
      </c>
      <c r="AC26">
        <f t="shared" si="10"/>
        <v>0</v>
      </c>
      <c r="AD26">
        <f>AD25*0.1</f>
        <v>0</v>
      </c>
      <c r="AE26">
        <f t="shared" si="16"/>
        <v>0</v>
      </c>
      <c r="AK26" t="s">
        <v>1791</v>
      </c>
      <c r="AL26">
        <v>1254.5079850390075</v>
      </c>
      <c r="AM26">
        <v>1115</v>
      </c>
      <c r="AN26">
        <v>609.0094263337681</v>
      </c>
    </row>
    <row r="27" ht="15.75" customHeight="1">
      <c r="C27" t="s">
        <v>1792</v>
      </c>
      <c r="E27">
        <f t="shared" si="19" ref="E27:AB86">+E25-E26</f>
        <v>0</v>
      </c>
      <c r="F27">
        <f t="shared" si="10"/>
        <v>0</v>
      </c>
      <c r="G27">
        <f t="shared" si="19"/>
        <v>0</v>
      </c>
      <c r="H27">
        <f t="shared" si="10"/>
        <v>0</v>
      </c>
      <c r="I27" t="str">
        <f t="shared" si="11"/>
        <v>N/A</v>
      </c>
      <c r="J27">
        <f t="shared" si="19"/>
        <v>0</v>
      </c>
      <c r="K27">
        <f t="shared" si="10"/>
        <v>0</v>
      </c>
      <c r="L27" t="str">
        <f t="shared" si="12"/>
        <v>N/A</v>
      </c>
      <c r="M27">
        <f t="shared" si="19"/>
        <v>0</v>
      </c>
      <c r="N27">
        <f t="shared" si="19"/>
        <v>0</v>
      </c>
      <c r="O27">
        <f t="shared" si="10"/>
        <v>0</v>
      </c>
      <c r="P27" t="str">
        <f t="shared" si="13"/>
        <v>N/A</v>
      </c>
      <c r="Q27">
        <f t="shared" si="19"/>
        <v>0</v>
      </c>
      <c r="R27">
        <f t="shared" si="19"/>
        <v>0</v>
      </c>
      <c r="S27">
        <f t="shared" si="19"/>
        <v>0</v>
      </c>
      <c r="T27">
        <f t="shared" si="19"/>
        <v>0</v>
      </c>
      <c r="U27">
        <f t="shared" si="10"/>
        <v>0</v>
      </c>
      <c r="V27">
        <f t="shared" si="19"/>
        <v>0</v>
      </c>
      <c r="W27">
        <f t="shared" si="10"/>
        <v>0</v>
      </c>
      <c r="X27">
        <f t="shared" si="19"/>
        <v>0</v>
      </c>
      <c r="Y27">
        <f t="shared" si="10"/>
        <v>0</v>
      </c>
      <c r="Z27">
        <f t="shared" si="19"/>
        <v>0</v>
      </c>
      <c r="AA27">
        <f t="shared" si="10"/>
        <v>0</v>
      </c>
      <c r="AB27">
        <f t="shared" si="19"/>
        <v>0</v>
      </c>
      <c r="AC27">
        <f t="shared" si="10"/>
        <v>0</v>
      </c>
      <c r="AD27">
        <f t="shared" si="44" ref="AD27:AD86">AD25-AD26</f>
        <v>0</v>
      </c>
      <c r="AE27">
        <f t="shared" si="16"/>
        <v>0</v>
      </c>
      <c r="AG27" t="e">
        <f>GETPIVOTDATA("[Measures].[Average]",$AK$21,"[Summary Line Items].[Line Item Type]","[Summary Line Items].[Line Item Type].&amp;[Annual Commercial NRI/Unit]")</f>
        <v>#REF!</v>
      </c>
      <c r="AK27" t="s">
        <v>1793</v>
      </c>
      <c r="AL27">
        <v>1655.6729319587582</v>
      </c>
      <c r="AM27">
        <v>1416.375</v>
      </c>
      <c r="AN27">
        <v>888.202986619762</v>
      </c>
    </row>
    <row r="28" ht="15.75" customHeight="1">
      <c r="C28" t="s">
        <v>1794</v>
      </c>
      <c r="E28">
        <f t="shared" si="18"/>
        <v>0</v>
      </c>
      <c r="G28">
        <f t="shared" si="18"/>
        <v>0</v>
      </c>
      <c r="J28">
        <f t="shared" si="18"/>
        <v>0</v>
      </c>
      <c r="M28">
        <f>ROUND(+M27/M16,2)</f>
        <v>0</v>
      </c>
      <c r="N28">
        <f t="shared" si="18"/>
        <v>0</v>
      </c>
      <c r="Q28">
        <f t="shared" si="18"/>
        <v>0</v>
      </c>
      <c r="R28">
        <f t="shared" si="18"/>
        <v>0</v>
      </c>
      <c r="S28">
        <f t="shared" si="18"/>
        <v>0</v>
      </c>
      <c r="T28">
        <f t="shared" si="18"/>
        <v>0</v>
      </c>
      <c r="V28">
        <f t="shared" si="18"/>
        <v>0</v>
      </c>
      <c r="X28">
        <f t="shared" si="18"/>
        <v>0</v>
      </c>
      <c r="Z28">
        <f t="shared" si="18"/>
        <v>0</v>
      </c>
      <c r="AB28">
        <f t="shared" si="18"/>
        <v>0</v>
      </c>
      <c r="AD28">
        <f t="shared" si="20"/>
        <v>0</v>
      </c>
      <c r="AG28" t="e">
        <f t="shared" si="21"/>
        <v>#REF!</v>
      </c>
      <c r="AK28" t="s">
        <v>1795</v>
      </c>
      <c r="AL28">
        <v>2490.1906038647335</v>
      </c>
      <c r="AM28">
        <v>2202.69</v>
      </c>
      <c r="AN28">
        <v>1335.593523948775</v>
      </c>
    </row>
    <row r="29" ht="15" customHeight="1">
      <c r="C29" t="s">
        <v>1796</v>
      </c>
      <c r="E29">
        <v>0</v>
      </c>
      <c r="F29">
        <f t="shared" si="10"/>
        <v>0</v>
      </c>
      <c r="G29">
        <v>0</v>
      </c>
      <c r="H29">
        <f t="shared" si="10"/>
        <v>0</v>
      </c>
      <c r="I29" t="str">
        <f t="shared" si="11"/>
        <v>N/A</v>
      </c>
      <c r="J29">
        <v>0</v>
      </c>
      <c r="K29">
        <f t="shared" si="10"/>
        <v>0</v>
      </c>
      <c r="L29" t="str">
        <f t="shared" si="12"/>
        <v>N/A</v>
      </c>
      <c r="M29">
        <v>0</v>
      </c>
      <c r="N29">
        <f>ROUND(IF(M16=0,0,M29*12/M16),2)</f>
        <v>0</v>
      </c>
      <c r="O29">
        <f t="shared" si="10"/>
        <v>0</v>
      </c>
      <c r="P29" t="str">
        <f t="shared" si="13"/>
        <v>N/A</v>
      </c>
      <c r="Q29">
        <v>0</v>
      </c>
      <c r="R29">
        <v>0</v>
      </c>
      <c r="S29">
        <v>0</v>
      </c>
      <c r="T29">
        <f t="shared" si="14"/>
        <v>0</v>
      </c>
      <c r="U29">
        <f t="shared" si="10"/>
        <v>0</v>
      </c>
      <c r="V29">
        <v>0</v>
      </c>
      <c r="W29">
        <f t="shared" si="10"/>
        <v>0</v>
      </c>
      <c r="X29">
        <v>0</v>
      </c>
      <c r="Y29">
        <f t="shared" si="10"/>
        <v>0</v>
      </c>
      <c r="Z29">
        <v>0</v>
      </c>
      <c r="AA29">
        <f t="shared" si="10"/>
        <v>0</v>
      </c>
      <c r="AB29">
        <v>0</v>
      </c>
      <c r="AC29">
        <f t="shared" si="10"/>
        <v>0</v>
      </c>
      <c r="AD29">
        <f t="shared" si="15"/>
        <v>0</v>
      </c>
      <c r="AE29">
        <f t="shared" si="16"/>
        <v>0</v>
      </c>
      <c r="AK29" t="s">
        <v>1797</v>
      </c>
      <c r="AL29">
        <v>13639.266659880483</v>
      </c>
      <c r="AM29">
        <v>11863.49</v>
      </c>
      <c r="AN29">
        <v>7068.132460757109</v>
      </c>
    </row>
    <row r="30" ht="15" customHeight="1">
      <c r="C30" t="s">
        <v>1798</v>
      </c>
      <c r="E30">
        <f>'Fannie Historical Ops'!D16</f>
        <v>0</v>
      </c>
      <c r="F30">
        <f t="shared" si="10"/>
        <v>0</v>
      </c>
      <c r="G30">
        <f>'Fannie Historical Ops'!F16</f>
        <v>0</v>
      </c>
      <c r="H30">
        <f t="shared" si="10"/>
        <v>0</v>
      </c>
      <c r="I30" t="str">
        <f t="shared" si="11"/>
        <v>N/A</v>
      </c>
      <c r="J30">
        <f>'Fannie Historical Ops'!H16</f>
        <v>0</v>
      </c>
      <c r="K30">
        <f t="shared" si="10"/>
        <v>0</v>
      </c>
      <c r="L30" t="str">
        <f t="shared" si="12"/>
        <v>N/A</v>
      </c>
      <c r="M30">
        <f>'Fannie Historical Ops'!V16</f>
        <v>-254702</v>
      </c>
      <c r="N30">
        <f>ROUND(IF(M16=0,0,M30*12/M16),2)</f>
        <v>-254702</v>
      </c>
      <c r="O30">
        <f t="shared" si="10"/>
        <v>-2521.8</v>
      </c>
      <c r="P30" t="str">
        <f t="shared" si="13"/>
        <v>N/A</v>
      </c>
      <c r="Q30">
        <v>0</v>
      </c>
      <c r="R30">
        <v>0</v>
      </c>
      <c r="S30">
        <v>0</v>
      </c>
      <c r="T30">
        <f t="shared" si="14"/>
        <v>0</v>
      </c>
      <c r="U30">
        <f t="shared" si="10"/>
        <v>0</v>
      </c>
      <c r="V30">
        <f>'Fannie Historical Ops'!Y16</f>
        <v>0</v>
      </c>
      <c r="W30">
        <f t="shared" si="10"/>
        <v>0</v>
      </c>
      <c r="X30">
        <v>0</v>
      </c>
      <c r="Y30">
        <f t="shared" si="10"/>
        <v>0</v>
      </c>
      <c r="Z30">
        <f>'Fannie Historical Ops'!AA16</f>
        <v>0</v>
      </c>
      <c r="AA30">
        <f t="shared" si="10"/>
        <v>0</v>
      </c>
      <c r="AB30">
        <v>0</v>
      </c>
      <c r="AC30">
        <f t="shared" si="10"/>
        <v>0</v>
      </c>
      <c r="AD30">
        <f t="shared" si="15"/>
        <v>-254702</v>
      </c>
      <c r="AE30">
        <f t="shared" si="16"/>
        <v>-2521.8</v>
      </c>
      <c r="AK30" t="s">
        <v>1799</v>
      </c>
      <c r="AL30">
        <v>310.11700334931334</v>
      </c>
      <c r="AM30">
        <v>0</v>
      </c>
      <c r="AN30">
        <v>1616.3993520402475</v>
      </c>
    </row>
    <row r="31" ht="15" customHeight="1">
      <c r="C31" t="s">
        <v>1404</v>
      </c>
      <c r="E31">
        <f>'Fannie Historical Ops'!D12</f>
        <v>0</v>
      </c>
      <c r="F31">
        <f t="shared" si="10"/>
        <v>0</v>
      </c>
      <c r="G31">
        <f>'Fannie Historical Ops'!F12</f>
        <v>0</v>
      </c>
      <c r="H31">
        <f t="shared" si="10"/>
        <v>0</v>
      </c>
      <c r="I31" t="str">
        <f t="shared" si="11"/>
        <v>N/A</v>
      </c>
      <c r="J31">
        <f>'Fannie Historical Ops'!H12</f>
        <v>0</v>
      </c>
      <c r="K31">
        <f t="shared" si="10"/>
        <v>0</v>
      </c>
      <c r="L31" t="str">
        <f t="shared" si="12"/>
        <v>N/A</v>
      </c>
      <c r="M31">
        <f>'Fannie Historical Ops'!V12</f>
        <v>29692</v>
      </c>
      <c r="N31">
        <f>ROUND(IF(M16=0,0,M31*12/M16),2)</f>
        <v>29692</v>
      </c>
      <c r="O31">
        <f t="shared" si="10"/>
        <v>293.98</v>
      </c>
      <c r="P31" t="str">
        <f t="shared" si="13"/>
        <v>N/A</v>
      </c>
      <c r="Q31">
        <v>0</v>
      </c>
      <c r="R31">
        <v>0</v>
      </c>
      <c r="S31">
        <v>0</v>
      </c>
      <c r="T31">
        <f t="shared" si="14"/>
        <v>0</v>
      </c>
      <c r="U31">
        <f t="shared" si="10"/>
        <v>0</v>
      </c>
      <c r="V31">
        <f>'Fannie Historical Ops'!Y12</f>
        <v>0</v>
      </c>
      <c r="W31">
        <f t="shared" si="10"/>
        <v>0</v>
      </c>
      <c r="X31">
        <v>0</v>
      </c>
      <c r="Y31">
        <f t="shared" si="10"/>
        <v>0</v>
      </c>
      <c r="Z31">
        <f>'Fannie Historical Ops'!AA12</f>
        <v>0</v>
      </c>
      <c r="AA31">
        <f t="shared" si="10"/>
        <v>0</v>
      </c>
      <c r="AB31">
        <v>0</v>
      </c>
      <c r="AC31">
        <f t="shared" si="10"/>
        <v>0</v>
      </c>
      <c r="AD31">
        <f t="shared" si="15"/>
        <v>29692</v>
      </c>
      <c r="AE31">
        <f t="shared" si="16"/>
        <v>293.98</v>
      </c>
      <c r="AK31" t="s">
        <v>1409</v>
      </c>
      <c r="AL31">
        <v>14333.227180009279</v>
      </c>
      <c r="AM31">
        <v>12346.5</v>
      </c>
      <c r="AN31">
        <v>7597.37549736149</v>
      </c>
    </row>
    <row r="32" ht="15" customHeight="1">
      <c r="C32" t="s">
        <v>1405</v>
      </c>
      <c r="E32">
        <f>'Fannie Historical Ops'!D13</f>
        <v>0</v>
      </c>
      <c r="F32">
        <f t="shared" si="10"/>
        <v>0</v>
      </c>
      <c r="G32">
        <f>'Fannie Historical Ops'!F13</f>
        <v>0</v>
      </c>
      <c r="H32">
        <f t="shared" si="10"/>
        <v>0</v>
      </c>
      <c r="I32" t="str">
        <f t="shared" si="11"/>
        <v>N/A</v>
      </c>
      <c r="J32">
        <f>'Fannie Historical Ops'!H13</f>
        <v>0</v>
      </c>
      <c r="K32">
        <f t="shared" si="10"/>
        <v>0</v>
      </c>
      <c r="L32" t="str">
        <f t="shared" si="12"/>
        <v>N/A</v>
      </c>
      <c r="M32">
        <f>'Fannie Historical Ops'!V13</f>
        <v>0</v>
      </c>
      <c r="N32">
        <f>ROUND(IF(M16=0,0,M32*12/M16),2)</f>
        <v>0</v>
      </c>
      <c r="O32">
        <f t="shared" si="10"/>
        <v>0</v>
      </c>
      <c r="P32" t="str">
        <f t="shared" si="13"/>
        <v>N/A</v>
      </c>
      <c r="Q32">
        <v>0</v>
      </c>
      <c r="R32">
        <v>0</v>
      </c>
      <c r="S32">
        <v>0</v>
      </c>
      <c r="T32">
        <f t="shared" si="14"/>
        <v>0</v>
      </c>
      <c r="U32">
        <f t="shared" si="10"/>
        <v>0</v>
      </c>
      <c r="V32">
        <f>'Fannie Historical Ops'!Y13</f>
        <v>0</v>
      </c>
      <c r="W32">
        <f t="shared" si="10"/>
        <v>0</v>
      </c>
      <c r="X32">
        <v>0</v>
      </c>
      <c r="Y32">
        <f t="shared" si="10"/>
        <v>0</v>
      </c>
      <c r="Z32">
        <f>'Fannie Historical Ops'!AA13</f>
        <v>0</v>
      </c>
      <c r="AA32">
        <f t="shared" si="10"/>
        <v>0</v>
      </c>
      <c r="AB32">
        <v>0</v>
      </c>
      <c r="AC32">
        <f t="shared" si="10"/>
        <v>0</v>
      </c>
      <c r="AD32">
        <f t="shared" si="15"/>
        <v>0</v>
      </c>
      <c r="AE32">
        <f t="shared" si="16"/>
        <v>0</v>
      </c>
      <c r="AK32" t="s">
        <v>1800</v>
      </c>
      <c r="AL32">
        <v>1636.7359493005804</v>
      </c>
      <c r="AM32">
        <v>1368.53</v>
      </c>
      <c r="AN32">
        <v>1231.9261301625436</v>
      </c>
    </row>
    <row r="33" ht="15" customHeight="1">
      <c r="C33" t="s">
        <v>1801</v>
      </c>
      <c r="E33">
        <v>0</v>
      </c>
      <c r="F33">
        <f t="shared" si="10"/>
        <v>0</v>
      </c>
      <c r="G33">
        <v>0</v>
      </c>
      <c r="H33">
        <f t="shared" si="10"/>
        <v>0</v>
      </c>
      <c r="I33" t="str">
        <f t="shared" si="11"/>
        <v>N/A</v>
      </c>
      <c r="J33">
        <v>0</v>
      </c>
      <c r="K33">
        <f t="shared" si="10"/>
        <v>0</v>
      </c>
      <c r="L33" t="str">
        <f t="shared" si="12"/>
        <v>N/A</v>
      </c>
      <c r="M33">
        <v>0</v>
      </c>
      <c r="N33">
        <f>ROUND(IF(M16=0,0,M33*12/M16),2)</f>
        <v>0</v>
      </c>
      <c r="O33">
        <f t="shared" si="10"/>
        <v>0</v>
      </c>
      <c r="P33" t="str">
        <f t="shared" si="13"/>
        <v>N/A</v>
      </c>
      <c r="Q33">
        <v>0</v>
      </c>
      <c r="R33">
        <v>0</v>
      </c>
      <c r="S33">
        <v>0</v>
      </c>
      <c r="T33">
        <f t="shared" si="14"/>
        <v>0</v>
      </c>
      <c r="U33">
        <f t="shared" si="10"/>
        <v>0</v>
      </c>
      <c r="V33">
        <v>0</v>
      </c>
      <c r="W33">
        <f t="shared" si="10"/>
        <v>0</v>
      </c>
      <c r="X33">
        <v>0</v>
      </c>
      <c r="Y33">
        <f t="shared" si="10"/>
        <v>0</v>
      </c>
      <c r="Z33">
        <v>0</v>
      </c>
      <c r="AA33">
        <f t="shared" si="10"/>
        <v>0</v>
      </c>
      <c r="AB33">
        <v>0</v>
      </c>
      <c r="AC33">
        <f t="shared" si="10"/>
        <v>0</v>
      </c>
      <c r="AD33">
        <f t="shared" si="15"/>
        <v>0</v>
      </c>
      <c r="AE33">
        <f t="shared" si="16"/>
        <v>0</v>
      </c>
      <c r="AK33" t="s">
        <v>1802</v>
      </c>
      <c r="AL33">
        <v>482.12980495172656</v>
      </c>
      <c r="AM33">
        <v>406.8</v>
      </c>
      <c r="AN33">
        <v>289.9541846456693</v>
      </c>
    </row>
    <row r="34" ht="15.75" customHeight="1">
      <c r="C34" t="s">
        <v>1803</v>
      </c>
      <c r="E34">
        <f>SUM('Fannie Historical Ops'!D17:D21,'Fannie Historical Ops'!D23:D27)</f>
        <v>0</v>
      </c>
      <c r="F34">
        <f t="shared" si="10"/>
        <v>0</v>
      </c>
      <c r="G34">
        <f>SUM('Fannie Historical Ops'!F17:F21,'Fannie Historical Ops'!F23:F27)</f>
        <v>0</v>
      </c>
      <c r="H34">
        <f t="shared" si="10"/>
        <v>0</v>
      </c>
      <c r="I34" t="str">
        <f t="shared" si="11"/>
        <v>N/A</v>
      </c>
      <c r="J34">
        <f>SUM('Fannie Historical Ops'!H17:H21,'Fannie Historical Ops'!H23:H27)</f>
        <v>0</v>
      </c>
      <c r="K34">
        <f t="shared" si="10"/>
        <v>0</v>
      </c>
      <c r="L34" t="str">
        <f t="shared" si="12"/>
        <v>N/A</v>
      </c>
      <c r="M34">
        <f>SUM('Fannie Historical Ops'!V17:V21,'Fannie Historical Ops'!V23:V27)</f>
        <v>8960</v>
      </c>
      <c r="N34">
        <f>ROUND(IF(M16=0,0,M34*12/M16),2)</f>
        <v>8960</v>
      </c>
      <c r="O34">
        <f t="shared" si="10"/>
        <v>88.71</v>
      </c>
      <c r="P34" t="str">
        <f t="shared" si="13"/>
        <v>N/A</v>
      </c>
      <c r="Q34">
        <v>0</v>
      </c>
      <c r="R34">
        <v>0</v>
      </c>
      <c r="S34">
        <v>0</v>
      </c>
      <c r="T34">
        <f t="shared" si="14"/>
        <v>0</v>
      </c>
      <c r="U34">
        <f t="shared" si="10"/>
        <v>0</v>
      </c>
      <c r="V34">
        <f>SUM('Fannie Historical Ops'!Y17:Y21,'Fannie Historical Ops'!Y23:Y27)</f>
        <v>0</v>
      </c>
      <c r="W34">
        <f t="shared" si="10"/>
        <v>0</v>
      </c>
      <c r="X34">
        <v>0</v>
      </c>
      <c r="Y34">
        <f t="shared" si="10"/>
        <v>0</v>
      </c>
      <c r="Z34">
        <f>SUM('Fannie Historical Ops'!AA17:AA21,'Fannie Historical Ops'!AA23:AA27)</f>
        <v>0</v>
      </c>
      <c r="AA34">
        <f t="shared" si="10"/>
        <v>0</v>
      </c>
      <c r="AB34">
        <v>0</v>
      </c>
      <c r="AC34">
        <f t="shared" si="10"/>
        <v>0</v>
      </c>
      <c r="AD34">
        <f t="shared" si="15"/>
        <v>8960</v>
      </c>
      <c r="AE34">
        <f t="shared" si="16"/>
        <v>88.71</v>
      </c>
      <c r="AK34" t="s">
        <v>1804</v>
      </c>
      <c r="AL34">
        <v>994.9597543836636</v>
      </c>
      <c r="AM34">
        <v>901.08</v>
      </c>
      <c r="AN34">
        <v>538.4752798898713</v>
      </c>
    </row>
    <row r="35" ht="15.75" customHeight="1">
      <c r="C35" t="s">
        <v>1805</v>
      </c>
      <c r="E35">
        <f t="shared" si="22" ref="E35:AD35">SUM(E29:E34)</f>
        <v>0</v>
      </c>
      <c r="F35">
        <f t="shared" si="23" ref="F35:AE86">IF(number_units=0,0,ROUND(E35/number_units,2))</f>
        <v>0</v>
      </c>
      <c r="G35">
        <f t="shared" si="22"/>
        <v>0</v>
      </c>
      <c r="H35">
        <f t="shared" si="23"/>
        <v>0</v>
      </c>
      <c r="I35" t="str">
        <f t="shared" si="11"/>
        <v>N/A</v>
      </c>
      <c r="J35">
        <f t="shared" si="22"/>
        <v>0</v>
      </c>
      <c r="K35">
        <f t="shared" si="23"/>
        <v>0</v>
      </c>
      <c r="L35" t="str">
        <f t="shared" si="12"/>
        <v>N/A</v>
      </c>
      <c r="M35">
        <f t="shared" si="22"/>
        <v>-216050</v>
      </c>
      <c r="N35">
        <f t="shared" si="22"/>
        <v>-216050</v>
      </c>
      <c r="O35">
        <f t="shared" si="23"/>
        <v>-2139.11</v>
      </c>
      <c r="P35" t="str">
        <f t="shared" si="13"/>
        <v>N/A</v>
      </c>
      <c r="Q35">
        <f t="shared" si="24" ref="Q35:T35">IF(SUM(Q29:Q34)=0,0,SUM(Q29:Q34))</f>
        <v>0</v>
      </c>
      <c r="R35">
        <f t="shared" si="24"/>
        <v>0</v>
      </c>
      <c r="S35">
        <f t="shared" si="24"/>
        <v>0</v>
      </c>
      <c r="T35">
        <f t="shared" si="24"/>
        <v>0</v>
      </c>
      <c r="U35">
        <f t="shared" si="10"/>
        <v>0</v>
      </c>
      <c r="V35">
        <f t="shared" si="22"/>
        <v>0</v>
      </c>
      <c r="W35">
        <f t="shared" si="23"/>
        <v>0</v>
      </c>
      <c r="X35">
        <f t="shared" si="22"/>
        <v>0</v>
      </c>
      <c r="Y35">
        <f t="shared" si="23"/>
        <v>0</v>
      </c>
      <c r="Z35">
        <f t="shared" si="22"/>
        <v>0</v>
      </c>
      <c r="AA35">
        <f t="shared" si="23"/>
        <v>0</v>
      </c>
      <c r="AB35">
        <f t="shared" si="22"/>
        <v>0</v>
      </c>
      <c r="AC35">
        <f t="shared" si="23"/>
        <v>0</v>
      </c>
      <c r="AD35">
        <f t="shared" si="22"/>
        <v>-216050</v>
      </c>
      <c r="AE35">
        <f t="shared" si="23"/>
        <v>-2139.11</v>
      </c>
      <c r="AK35" t="s">
        <v>1806</v>
      </c>
      <c r="AL35">
        <v>3113.817732317592</v>
      </c>
      <c r="AM35">
        <v>2839.48</v>
      </c>
      <c r="AN35">
        <v>1544.5404876852485</v>
      </c>
    </row>
    <row r="36" ht="15.75" customHeight="1">
      <c r="C36" t="s">
        <v>1409</v>
      </c>
      <c r="E36">
        <f t="shared" si="25" ref="E36:AD36">E23+E27+E35</f>
        <v>0</v>
      </c>
      <c r="F36">
        <f t="shared" si="23"/>
        <v>0</v>
      </c>
      <c r="G36">
        <f t="shared" si="25"/>
        <v>0</v>
      </c>
      <c r="H36">
        <f t="shared" si="23"/>
        <v>0</v>
      </c>
      <c r="I36" t="str">
        <f t="shared" si="11"/>
        <v>N/A</v>
      </c>
      <c r="J36">
        <f t="shared" si="25"/>
        <v>0</v>
      </c>
      <c r="K36">
        <f t="shared" si="23"/>
        <v>0</v>
      </c>
      <c r="L36" t="str">
        <f t="shared" si="12"/>
        <v>N/A</v>
      </c>
      <c r="M36">
        <f t="shared" si="25"/>
        <v>4591082</v>
      </c>
      <c r="N36">
        <f t="shared" si="25"/>
        <v>4591082</v>
      </c>
      <c r="O36">
        <f t="shared" si="23"/>
        <v>45456.26</v>
      </c>
      <c r="P36" t="str">
        <f t="shared" si="13"/>
        <v>N/A</v>
      </c>
      <c r="Q36">
        <f t="shared" si="26" ref="Q36:T36">Q23+Q27+SUM(Q29:Q34)</f>
        <v>0</v>
      </c>
      <c r="R36">
        <f t="shared" si="26"/>
        <v>0</v>
      </c>
      <c r="S36">
        <f t="shared" si="26"/>
        <v>0</v>
      </c>
      <c r="T36">
        <f t="shared" si="26"/>
        <v>0</v>
      </c>
      <c r="U36">
        <f t="shared" si="10"/>
        <v>0</v>
      </c>
      <c r="V36">
        <f t="shared" si="25"/>
        <v>0</v>
      </c>
      <c r="W36">
        <f t="shared" si="23"/>
        <v>0</v>
      </c>
      <c r="X36">
        <f t="shared" si="25"/>
        <v>0</v>
      </c>
      <c r="Y36">
        <f t="shared" si="23"/>
        <v>0</v>
      </c>
      <c r="Z36">
        <f t="shared" si="25"/>
        <v>0</v>
      </c>
      <c r="AA36">
        <f t="shared" si="23"/>
        <v>0</v>
      </c>
      <c r="AB36">
        <f t="shared" si="25"/>
        <v>0</v>
      </c>
      <c r="AC36">
        <f t="shared" si="23"/>
        <v>0</v>
      </c>
      <c r="AD36">
        <f t="shared" si="25"/>
        <v>1216347</v>
      </c>
      <c r="AE36">
        <f t="shared" si="23"/>
        <v>12043.04</v>
      </c>
      <c r="AG36" t="e">
        <f>GETPIVOTDATA("[Measures].[Average]",$AK$21,"[Summary Line Items].[Line Item Type]","[Summary Line Items].[Line Item Type].&amp;[EGI]")</f>
        <v>#REF!</v>
      </c>
      <c r="AK36" t="s">
        <v>1807</v>
      </c>
      <c r="AL36">
        <v>914.1702337952349</v>
      </c>
      <c r="AM36">
        <v>816.65</v>
      </c>
      <c r="AN36">
        <v>402.4525959360049</v>
      </c>
    </row>
    <row r="37" ht="15" customHeight="1">
      <c r="AK37" t="s">
        <v>1808</v>
      </c>
      <c r="AL37">
        <v>612.8948965653121</v>
      </c>
      <c r="AM37">
        <v>537.06</v>
      </c>
      <c r="AN37">
        <v>317.28703903855876</v>
      </c>
    </row>
    <row r="38" ht="15" customHeight="1">
      <c r="C38" t="s">
        <v>1809</v>
      </c>
      <c r="AD38">
        <v>1.03</v>
      </c>
      <c r="AK38" t="s">
        <v>1810</v>
      </c>
      <c r="AL38">
        <v>522.4655716818805</v>
      </c>
      <c r="AM38">
        <v>454.22</v>
      </c>
      <c r="AN38">
        <v>445.5826220227684</v>
      </c>
    </row>
    <row r="39" ht="15" customHeight="1">
      <c r="C39" t="s">
        <v>1800</v>
      </c>
      <c r="E39">
        <f>'Fannie Historical Ops'!D33</f>
        <v>0</v>
      </c>
      <c r="F39">
        <f t="shared" si="10"/>
        <v>0</v>
      </c>
      <c r="G39">
        <f>'Fannie Historical Ops'!F33</f>
        <v>0</v>
      </c>
      <c r="H39">
        <f t="shared" si="10"/>
        <v>0</v>
      </c>
      <c r="I39" t="str">
        <f t="shared" si="11"/>
        <v>N/A</v>
      </c>
      <c r="J39">
        <f>'Fannie Historical Ops'!H33</f>
        <v>0</v>
      </c>
      <c r="K39">
        <f t="shared" si="10"/>
        <v>0</v>
      </c>
      <c r="L39" t="str">
        <f t="shared" si="12"/>
        <v>N/A</v>
      </c>
      <c r="M39">
        <f>'Fannie Historical Ops'!V33</f>
        <v>1006197</v>
      </c>
      <c r="N39">
        <f>ROUND(IF(M39&gt;0,(M39/M16)*12,0),2)</f>
        <v>1006197</v>
      </c>
      <c r="O39">
        <f t="shared" si="10"/>
        <v>9962.35</v>
      </c>
      <c r="P39" t="str">
        <f t="shared" si="13"/>
        <v>N/A</v>
      </c>
      <c r="Q39">
        <v>0</v>
      </c>
      <c r="R39">
        <v>0</v>
      </c>
      <c r="S39">
        <v>0</v>
      </c>
      <c r="T39">
        <f t="shared" si="14"/>
        <v>0</v>
      </c>
      <c r="U39">
        <f t="shared" si="10"/>
        <v>0</v>
      </c>
      <c r="V39">
        <f>'Fannie Historical Ops'!Y33</f>
        <v>0</v>
      </c>
      <c r="W39">
        <f t="shared" si="10"/>
        <v>0</v>
      </c>
      <c r="X39">
        <v>0</v>
      </c>
      <c r="Y39">
        <f t="shared" si="10"/>
        <v>0</v>
      </c>
      <c r="Z39">
        <f>'Fannie Historical Ops'!AA33</f>
        <v>0</v>
      </c>
      <c r="AA39">
        <f t="shared" si="10"/>
        <v>0</v>
      </c>
      <c r="AB39">
        <v>0</v>
      </c>
      <c r="AC39">
        <f t="shared" si="10"/>
        <v>0</v>
      </c>
      <c r="AD39">
        <f t="shared" si="27" ref="AD39:AD81">N39*FreddieIE_ExpenseGrowthRate</f>
        <v>1036382.91</v>
      </c>
      <c r="AE39">
        <f t="shared" si="23"/>
        <v>10261.22</v>
      </c>
      <c r="AG39" t="e">
        <f>GETPIVOTDATA("[Measures].[Average]",$AK$21,"[Summary Line Items].[Line Item Type]","[Summary Line Items].[Line Item Type].&amp;[Real Estate Taxes]")</f>
        <v>#REF!</v>
      </c>
      <c r="AK39" t="s">
        <v>1811</v>
      </c>
      <c r="AL39">
        <v>265.2086156169961</v>
      </c>
      <c r="AM39">
        <v>220</v>
      </c>
      <c r="AN39">
        <v>191.11796237043998</v>
      </c>
    </row>
    <row r="40" ht="15" customHeight="1">
      <c r="C40" t="s">
        <v>1802</v>
      </c>
      <c r="E40">
        <f>'Fannie Historical Ops'!D35</f>
        <v>0</v>
      </c>
      <c r="F40">
        <f t="shared" si="10"/>
        <v>0</v>
      </c>
      <c r="G40">
        <f>'Fannie Historical Ops'!F35</f>
        <v>0</v>
      </c>
      <c r="H40">
        <f t="shared" si="10"/>
        <v>0</v>
      </c>
      <c r="I40" t="str">
        <f t="shared" si="11"/>
        <v>N/A</v>
      </c>
      <c r="J40">
        <f>'Fannie Historical Ops'!H35</f>
        <v>0</v>
      </c>
      <c r="K40">
        <f t="shared" si="10"/>
        <v>0</v>
      </c>
      <c r="L40" t="str">
        <f t="shared" si="12"/>
        <v>N/A</v>
      </c>
      <c r="M40">
        <f>'Fannie Historical Ops'!V35</f>
        <v>243093</v>
      </c>
      <c r="N40">
        <f>ROUND(IF(M40&lt;&gt;0,(M40/M16)*12,0),2)</f>
        <v>243093</v>
      </c>
      <c r="O40">
        <f t="shared" si="10"/>
        <v>2406.86</v>
      </c>
      <c r="P40" t="str">
        <f t="shared" si="13"/>
        <v>N/A</v>
      </c>
      <c r="Q40">
        <v>0</v>
      </c>
      <c r="R40">
        <v>0</v>
      </c>
      <c r="S40">
        <v>0</v>
      </c>
      <c r="T40">
        <f t="shared" si="14"/>
        <v>0</v>
      </c>
      <c r="U40">
        <f t="shared" si="10"/>
        <v>0</v>
      </c>
      <c r="V40">
        <f>'Fannie Historical Ops'!Y35</f>
        <v>0</v>
      </c>
      <c r="W40">
        <f t="shared" si="10"/>
        <v>0</v>
      </c>
      <c r="X40">
        <v>0</v>
      </c>
      <c r="Y40">
        <f t="shared" si="10"/>
        <v>0</v>
      </c>
      <c r="Z40">
        <f>'Fannie Historical Ops'!AA35</f>
        <v>0</v>
      </c>
      <c r="AA40">
        <f t="shared" si="10"/>
        <v>0</v>
      </c>
      <c r="AB40">
        <v>0</v>
      </c>
      <c r="AC40">
        <f t="shared" si="10"/>
        <v>0</v>
      </c>
      <c r="AD40">
        <f t="shared" si="27"/>
        <v>250385.79</v>
      </c>
      <c r="AE40">
        <f t="shared" si="23"/>
        <v>2479.07</v>
      </c>
      <c r="AG40" t="e">
        <f>GETPIVOTDATA("[Measures].[Average]",$AK$21,"[Summary Line Items].[Line Item Type]","[Summary Line Items].[Line Item Type].&amp;[Total Insurance]")</f>
        <v>#REF!</v>
      </c>
      <c r="AK40" t="s">
        <v>1812</v>
      </c>
      <c r="AL40">
        <v>3.2544348854009324</v>
      </c>
      <c r="AM40">
        <v>0</v>
      </c>
      <c r="AN40">
        <v>34.25744501046779</v>
      </c>
    </row>
    <row r="41" ht="15" customHeight="1">
      <c r="C41" t="s">
        <v>1813</v>
      </c>
      <c r="E41">
        <f t="shared" si="28" ref="E41:Z41">0</f>
        <v>0</v>
      </c>
      <c r="F41">
        <f t="shared" si="10"/>
        <v>0</v>
      </c>
      <c r="G41">
        <f t="shared" si="28"/>
        <v>0</v>
      </c>
      <c r="H41">
        <f t="shared" si="10"/>
        <v>0</v>
      </c>
      <c r="I41" t="str">
        <f t="shared" si="11"/>
        <v>N/A</v>
      </c>
      <c r="J41">
        <f t="shared" si="28"/>
        <v>0</v>
      </c>
      <c r="K41">
        <f t="shared" si="10"/>
        <v>0</v>
      </c>
      <c r="L41" t="str">
        <f t="shared" si="12"/>
        <v>N/A</v>
      </c>
      <c r="M41">
        <f t="shared" si="28"/>
        <v>0</v>
      </c>
      <c r="N41">
        <f>ROUND(IF(M41&lt;&gt;0,(M41/M16)*12,0),2)</f>
        <v>0</v>
      </c>
      <c r="O41">
        <f t="shared" si="10"/>
        <v>0</v>
      </c>
      <c r="P41" t="str">
        <f t="shared" si="13"/>
        <v>N/A</v>
      </c>
      <c r="Q41">
        <v>0</v>
      </c>
      <c r="R41">
        <v>0</v>
      </c>
      <c r="S41">
        <v>0</v>
      </c>
      <c r="T41">
        <f t="shared" si="14"/>
        <v>0</v>
      </c>
      <c r="U41">
        <f t="shared" si="10"/>
        <v>0</v>
      </c>
      <c r="V41">
        <f t="shared" si="28"/>
        <v>0</v>
      </c>
      <c r="W41">
        <f t="shared" si="10"/>
        <v>0</v>
      </c>
      <c r="X41">
        <v>0</v>
      </c>
      <c r="Y41">
        <f t="shared" si="10"/>
        <v>0</v>
      </c>
      <c r="Z41">
        <f t="shared" si="28"/>
        <v>0</v>
      </c>
      <c r="AA41">
        <f t="shared" si="10"/>
        <v>0</v>
      </c>
      <c r="AB41">
        <v>0</v>
      </c>
      <c r="AC41">
        <f t="shared" si="10"/>
        <v>0</v>
      </c>
      <c r="AD41">
        <f t="shared" si="27"/>
        <v>0</v>
      </c>
      <c r="AE41">
        <f t="shared" si="23"/>
        <v>0</v>
      </c>
      <c r="AK41" t="s">
        <v>1814</v>
      </c>
      <c r="AL41">
        <v>2317.971483548957</v>
      </c>
      <c r="AM41">
        <v>2181.79</v>
      </c>
      <c r="AN41">
        <v>777.073918135912</v>
      </c>
    </row>
    <row r="42" ht="15" customHeight="1">
      <c r="C42" t="s">
        <v>1815</v>
      </c>
      <c r="E42">
        <f>'Fannie Historical Ops'!D41</f>
        <v>0</v>
      </c>
      <c r="F42">
        <f t="shared" si="10"/>
        <v>0</v>
      </c>
      <c r="G42">
        <f>'Fannie Historical Ops'!F41</f>
        <v>0</v>
      </c>
      <c r="H42">
        <f t="shared" si="10"/>
        <v>0</v>
      </c>
      <c r="I42" t="str">
        <f t="shared" si="11"/>
        <v>N/A</v>
      </c>
      <c r="J42">
        <f>'Fannie Historical Ops'!H41</f>
        <v>0</v>
      </c>
      <c r="K42">
        <f t="shared" si="10"/>
        <v>0</v>
      </c>
      <c r="L42" t="str">
        <f t="shared" si="12"/>
        <v>N/A</v>
      </c>
      <c r="M42">
        <f>'Fannie Historical Ops'!V41</f>
        <v>121255</v>
      </c>
      <c r="N42">
        <f>ROUND(IF(M16=0,0,M42*12/M16),2)</f>
        <v>121255</v>
      </c>
      <c r="O42">
        <f t="shared" si="10"/>
        <v>1200.54</v>
      </c>
      <c r="P42" t="str">
        <f t="shared" si="13"/>
        <v>N/A</v>
      </c>
      <c r="Q42">
        <v>0</v>
      </c>
      <c r="R42">
        <v>0</v>
      </c>
      <c r="S42">
        <v>0</v>
      </c>
      <c r="T42">
        <f t="shared" si="14"/>
        <v>0</v>
      </c>
      <c r="U42">
        <f t="shared" si="10"/>
        <v>0</v>
      </c>
      <c r="V42">
        <f>'Fannie Historical Ops'!Y41</f>
        <v>0</v>
      </c>
      <c r="W42">
        <f t="shared" si="10"/>
        <v>0</v>
      </c>
      <c r="X42">
        <v>0</v>
      </c>
      <c r="Y42">
        <f t="shared" si="10"/>
        <v>0</v>
      </c>
      <c r="Z42">
        <f>'Fannie Historical Ops'!AA41</f>
        <v>0</v>
      </c>
      <c r="AA42">
        <f t="shared" si="10"/>
        <v>0</v>
      </c>
      <c r="AB42">
        <v>0</v>
      </c>
      <c r="AC42">
        <f t="shared" si="10"/>
        <v>0</v>
      </c>
      <c r="AD42">
        <f t="shared" si="27"/>
        <v>124892.65000000001</v>
      </c>
      <c r="AE42">
        <f t="shared" si="23"/>
        <v>1236.56</v>
      </c>
      <c r="AK42" t="s">
        <v>1816</v>
      </c>
      <c r="AL42">
        <v>5431.789107506374</v>
      </c>
      <c r="AM42">
        <v>5106.52</v>
      </c>
      <c r="AN42">
        <v>1855.0912242241698</v>
      </c>
    </row>
    <row r="43" ht="15" customHeight="1">
      <c r="C43" t="s">
        <v>1817</v>
      </c>
      <c r="E43">
        <f>'Fannie Historical Ops'!D42</f>
        <v>0</v>
      </c>
      <c r="F43">
        <f t="shared" si="10"/>
        <v>0</v>
      </c>
      <c r="G43">
        <f>'Fannie Historical Ops'!F42</f>
        <v>0</v>
      </c>
      <c r="H43">
        <f t="shared" si="10"/>
        <v>0</v>
      </c>
      <c r="I43" t="str">
        <f t="shared" si="11"/>
        <v>N/A</v>
      </c>
      <c r="J43">
        <f>'Fannie Historical Ops'!H42</f>
        <v>0</v>
      </c>
      <c r="K43">
        <f t="shared" si="10"/>
        <v>0</v>
      </c>
      <c r="L43" t="str">
        <f t="shared" si="12"/>
        <v>N/A</v>
      </c>
      <c r="M43">
        <f>'Fannie Historical Ops'!V42</f>
        <v>13876</v>
      </c>
      <c r="N43">
        <f>ROUND(IF(M16=0,0,M43*12/M16),2)</f>
        <v>13876</v>
      </c>
      <c r="O43">
        <f t="shared" si="10"/>
        <v>137.39</v>
      </c>
      <c r="P43" t="str">
        <f t="shared" si="13"/>
        <v>N/A</v>
      </c>
      <c r="Q43">
        <v>0</v>
      </c>
      <c r="R43">
        <v>0</v>
      </c>
      <c r="S43">
        <v>0</v>
      </c>
      <c r="T43">
        <f t="shared" si="14"/>
        <v>0</v>
      </c>
      <c r="U43">
        <f t="shared" si="10"/>
        <v>0</v>
      </c>
      <c r="V43">
        <f>'Fannie Historical Ops'!Y42</f>
        <v>0</v>
      </c>
      <c r="W43">
        <f t="shared" si="10"/>
        <v>0</v>
      </c>
      <c r="X43">
        <v>0</v>
      </c>
      <c r="Y43">
        <f t="shared" si="10"/>
        <v>0</v>
      </c>
      <c r="Z43">
        <f>'Fannie Historical Ops'!AA42</f>
        <v>0</v>
      </c>
      <c r="AA43">
        <f t="shared" si="10"/>
        <v>0</v>
      </c>
      <c r="AB43">
        <v>0</v>
      </c>
      <c r="AC43">
        <f t="shared" si="10"/>
        <v>0</v>
      </c>
      <c r="AD43">
        <f t="shared" si="27"/>
        <v>14292.28</v>
      </c>
      <c r="AE43">
        <f t="shared" si="23"/>
        <v>141.51</v>
      </c>
      <c r="AK43" t="s">
        <v>1425</v>
      </c>
      <c r="AL43">
        <v>258.4609102252578</v>
      </c>
      <c r="AM43">
        <v>250</v>
      </c>
      <c r="AN43">
        <v>81.01839048208663</v>
      </c>
    </row>
    <row r="44" ht="15.75" customHeight="1">
      <c r="C44" t="s">
        <v>1419</v>
      </c>
      <c r="E44">
        <f>'Fannie Historical Ops'!D43</f>
        <v>0</v>
      </c>
      <c r="F44">
        <f t="shared" si="10"/>
        <v>0</v>
      </c>
      <c r="G44">
        <f>'Fannie Historical Ops'!F43</f>
        <v>0</v>
      </c>
      <c r="H44">
        <f t="shared" si="10"/>
        <v>0</v>
      </c>
      <c r="I44" t="str">
        <f t="shared" si="11"/>
        <v>N/A</v>
      </c>
      <c r="J44">
        <f>'Fannie Historical Ops'!H43</f>
        <v>0</v>
      </c>
      <c r="K44">
        <f t="shared" si="10"/>
        <v>0</v>
      </c>
      <c r="L44" t="str">
        <f t="shared" si="12"/>
        <v>N/A</v>
      </c>
      <c r="M44">
        <f>'Fannie Historical Ops'!V43</f>
        <v>114174</v>
      </c>
      <c r="N44">
        <f>ROUND(IF(M44&gt;0,(M44/M16)*12,0),2)</f>
        <v>114174</v>
      </c>
      <c r="O44">
        <f t="shared" si="10"/>
        <v>1130.44</v>
      </c>
      <c r="P44" t="str">
        <f t="shared" si="13"/>
        <v>N/A</v>
      </c>
      <c r="Q44">
        <v>0</v>
      </c>
      <c r="R44">
        <v>0</v>
      </c>
      <c r="S44">
        <v>0</v>
      </c>
      <c r="T44">
        <f t="shared" si="14"/>
        <v>0</v>
      </c>
      <c r="U44">
        <f t="shared" si="10"/>
        <v>0</v>
      </c>
      <c r="V44">
        <f>'Fannie Historical Ops'!Y43</f>
        <v>0</v>
      </c>
      <c r="W44">
        <f t="shared" si="10"/>
        <v>0</v>
      </c>
      <c r="X44">
        <v>0</v>
      </c>
      <c r="Y44">
        <f t="shared" si="10"/>
        <v>0</v>
      </c>
      <c r="Z44">
        <f>'Fannie Historical Ops'!AA43</f>
        <v>0</v>
      </c>
      <c r="AA44">
        <f t="shared" si="10"/>
        <v>0</v>
      </c>
      <c r="AB44">
        <v>0</v>
      </c>
      <c r="AC44">
        <f t="shared" si="10"/>
        <v>0</v>
      </c>
      <c r="AD44">
        <f t="shared" si="27"/>
        <v>117599.22</v>
      </c>
      <c r="AE44">
        <f t="shared" si="23"/>
        <v>1164.35</v>
      </c>
      <c r="AK44" t="s">
        <v>1818</v>
      </c>
      <c r="AL44">
        <v>5690.233574571453</v>
      </c>
      <c r="AM44">
        <v>5356.52</v>
      </c>
      <c r="AN44">
        <v>1876.648342910158</v>
      </c>
    </row>
    <row r="45" ht="15.75" customHeight="1">
      <c r="C45" t="s">
        <v>1804</v>
      </c>
      <c r="E45">
        <f t="shared" si="29" ref="E45:AB45">IF(SUM(E41:E44)=0,0,SUM(E41:E44))</f>
        <v>0</v>
      </c>
      <c r="F45">
        <f t="shared" si="30" ref="F45:AC84">ROUND(IF(E45=0,0,(E45)/number_units),0)</f>
        <v>0</v>
      </c>
      <c r="G45">
        <f t="shared" si="29"/>
        <v>0</v>
      </c>
      <c r="H45">
        <f t="shared" si="30"/>
        <v>0</v>
      </c>
      <c r="I45" t="str">
        <f t="shared" si="11"/>
        <v>N/A</v>
      </c>
      <c r="J45">
        <f t="shared" si="29"/>
        <v>0</v>
      </c>
      <c r="K45">
        <f t="shared" si="30"/>
        <v>0</v>
      </c>
      <c r="L45" t="str">
        <f>IF(H45=0,"N/A",(J45-G45)/G45)</f>
        <v>N/A</v>
      </c>
      <c r="M45">
        <f t="shared" si="29"/>
        <v>249305</v>
      </c>
      <c r="N45">
        <f t="shared" si="29"/>
        <v>249305</v>
      </c>
      <c r="O45">
        <f t="shared" si="30"/>
        <v>2468</v>
      </c>
      <c r="P45" t="str">
        <f t="shared" si="13"/>
        <v>N/A</v>
      </c>
      <c r="Q45">
        <f t="shared" si="29"/>
        <v>0</v>
      </c>
      <c r="R45">
        <f t="shared" si="29"/>
        <v>0</v>
      </c>
      <c r="S45">
        <f t="shared" si="29"/>
        <v>0</v>
      </c>
      <c r="T45">
        <f t="shared" si="29"/>
        <v>0</v>
      </c>
      <c r="U45">
        <f t="shared" si="30"/>
        <v>0</v>
      </c>
      <c r="V45">
        <f t="shared" si="29"/>
        <v>0</v>
      </c>
      <c r="W45">
        <f t="shared" si="30"/>
        <v>0</v>
      </c>
      <c r="X45">
        <f t="shared" si="29"/>
        <v>0</v>
      </c>
      <c r="Y45">
        <f t="shared" si="30"/>
        <v>0</v>
      </c>
      <c r="Z45">
        <f t="shared" si="29"/>
        <v>0</v>
      </c>
      <c r="AA45">
        <f t="shared" si="30"/>
        <v>0</v>
      </c>
      <c r="AB45">
        <f t="shared" si="29"/>
        <v>0</v>
      </c>
      <c r="AC45">
        <f t="shared" si="30"/>
        <v>0</v>
      </c>
      <c r="AD45">
        <f>SUM(AD41:AD44)</f>
        <v>256784.15000000002</v>
      </c>
      <c r="AE45">
        <f t="shared" si="23"/>
        <v>2542.42</v>
      </c>
      <c r="AG45" t="e">
        <f>GETPIVOTDATA("[Measures].[Average]",$AK$21,"[Summary Line Items].[Line Item Type]","[Summary Line Items].[Line Item Type].&amp;[Sub-Total, Utilities/Water &amp; Sewer]")</f>
        <v>#REF!</v>
      </c>
      <c r="AK45" t="s">
        <v>1819</v>
      </c>
      <c r="AL45">
        <v>0.44264504235896773</v>
      </c>
      <c r="AM45">
        <v>0.43939</v>
      </c>
      <c r="AN45">
        <v>0.12188040767395844</v>
      </c>
    </row>
    <row r="46" ht="15.75" customHeight="1">
      <c r="C46" t="s">
        <v>1806</v>
      </c>
      <c r="E46">
        <f t="shared" si="31" ref="E46:AB46">+E39+E40+E45</f>
        <v>0</v>
      </c>
      <c r="F46">
        <f t="shared" si="32" ref="F46:AC82">ROUND(IF(E46&gt;0,+E46/number_units,0),2)</f>
        <v>0</v>
      </c>
      <c r="G46">
        <f t="shared" si="31"/>
        <v>0</v>
      </c>
      <c r="H46">
        <f t="shared" si="32"/>
        <v>0</v>
      </c>
      <c r="I46" t="str">
        <f t="shared" si="11"/>
        <v>N/A</v>
      </c>
      <c r="J46">
        <f t="shared" si="31"/>
        <v>0</v>
      </c>
      <c r="K46">
        <f t="shared" si="32"/>
        <v>0</v>
      </c>
      <c r="L46" t="str">
        <f t="shared" si="12"/>
        <v>N/A</v>
      </c>
      <c r="M46">
        <f t="shared" si="31"/>
        <v>1498595</v>
      </c>
      <c r="N46">
        <f t="shared" si="31"/>
        <v>1498595</v>
      </c>
      <c r="O46">
        <f t="shared" si="32"/>
        <v>14837.57</v>
      </c>
      <c r="P46" t="str">
        <f t="shared" si="13"/>
        <v>N/A</v>
      </c>
      <c r="Q46">
        <f t="shared" si="31"/>
        <v>0</v>
      </c>
      <c r="R46">
        <f t="shared" si="31"/>
        <v>0</v>
      </c>
      <c r="S46">
        <f t="shared" si="31"/>
        <v>0</v>
      </c>
      <c r="T46">
        <f t="shared" si="31"/>
        <v>0</v>
      </c>
      <c r="U46">
        <f t="shared" si="32"/>
        <v>0</v>
      </c>
      <c r="V46">
        <f t="shared" si="31"/>
        <v>0</v>
      </c>
      <c r="W46">
        <f t="shared" si="32"/>
        <v>0</v>
      </c>
      <c r="X46">
        <f t="shared" si="31"/>
        <v>0</v>
      </c>
      <c r="Y46">
        <f t="shared" si="32"/>
        <v>0</v>
      </c>
      <c r="Z46">
        <f t="shared" si="31"/>
        <v>0</v>
      </c>
      <c r="AA46">
        <f t="shared" si="32"/>
        <v>0</v>
      </c>
      <c r="AB46">
        <f t="shared" si="31"/>
        <v>0</v>
      </c>
      <c r="AC46">
        <f t="shared" si="32"/>
        <v>0</v>
      </c>
      <c r="AD46">
        <f>AD39+AD40+AD45</f>
        <v>1543552.85</v>
      </c>
      <c r="AE46">
        <f t="shared" si="23"/>
        <v>15282.7</v>
      </c>
      <c r="AG46" t="e">
        <f>GETPIVOTDATA("[Measures].[Average]",$AK$21,"[Summary Line Items].[Line Item Type]","[Summary Line Items].[Line Item Type].&amp;[TOTAL FIXED EXPENSES]")</f>
        <v>#REF!</v>
      </c>
      <c r="AK46" t="s">
        <v>1356</v>
      </c>
      <c r="AL46">
        <v>8639.849150193719</v>
      </c>
      <c r="AM46">
        <v>6889.25</v>
      </c>
      <c r="AN46">
        <v>6345.722261446249</v>
      </c>
    </row>
    <row r="47" ht="15.75" customHeight="1">
      <c r="C47" t="s">
        <v>1820</v>
      </c>
      <c r="AK47" t="s">
        <v>1821</v>
      </c>
      <c r="AL47">
        <v>0.044519171865764755</v>
      </c>
      <c r="AM47">
        <v>0.04</v>
      </c>
      <c r="AN47">
        <v>0.014320254543533658</v>
      </c>
    </row>
    <row r="48" ht="15" customHeight="1">
      <c r="C48" t="s">
        <v>1822</v>
      </c>
      <c r="E48">
        <f>'Fannie Historical Ops'!D40</f>
        <v>0</v>
      </c>
      <c r="F48">
        <f t="shared" si="10"/>
        <v>0</v>
      </c>
      <c r="G48">
        <f>'Fannie Historical Ops'!F40</f>
        <v>0</v>
      </c>
      <c r="H48">
        <f t="shared" si="10"/>
        <v>0</v>
      </c>
      <c r="I48" t="str">
        <f t="shared" si="11"/>
        <v>N/A</v>
      </c>
      <c r="J48">
        <f>'Fannie Historical Ops'!H40</f>
        <v>0</v>
      </c>
      <c r="K48">
        <f t="shared" si="10"/>
        <v>0</v>
      </c>
      <c r="L48" t="str">
        <f t="shared" si="12"/>
        <v>N/A</v>
      </c>
      <c r="M48">
        <f>'Fannie Historical Ops'!V40</f>
        <v>42628</v>
      </c>
      <c r="N48">
        <f>ROUND(IF(M48&lt;&gt;0,(M48/M16)*12,0),2)</f>
        <v>42628</v>
      </c>
      <c r="O48">
        <f t="shared" si="10"/>
        <v>422.06</v>
      </c>
      <c r="P48" t="str">
        <f t="shared" si="13"/>
        <v>N/A</v>
      </c>
      <c r="Q48">
        <v>0</v>
      </c>
      <c r="R48">
        <v>0</v>
      </c>
      <c r="S48">
        <v>0</v>
      </c>
      <c r="T48">
        <f t="shared" si="14"/>
        <v>0</v>
      </c>
      <c r="U48">
        <f t="shared" si="10"/>
        <v>0</v>
      </c>
      <c r="V48">
        <f>'Fannie Historical Ops'!Y40</f>
        <v>0</v>
      </c>
      <c r="W48">
        <f t="shared" si="10"/>
        <v>0</v>
      </c>
      <c r="X48">
        <v>0</v>
      </c>
      <c r="Y48">
        <f t="shared" si="10"/>
        <v>0</v>
      </c>
      <c r="Z48">
        <f>'Fannie Historical Ops'!AA40</f>
        <v>0</v>
      </c>
      <c r="AA48">
        <f t="shared" si="10"/>
        <v>0</v>
      </c>
      <c r="AB48">
        <v>0</v>
      </c>
      <c r="AC48">
        <f t="shared" si="10"/>
        <v>0</v>
      </c>
      <c r="AD48">
        <f t="shared" si="27"/>
        <v>43906.840000000004</v>
      </c>
      <c r="AE48">
        <f t="shared" si="23"/>
        <v>434.72</v>
      </c>
    </row>
    <row r="49" ht="15" customHeight="1">
      <c r="C49" t="s">
        <v>1823</v>
      </c>
      <c r="E49">
        <f>'Fannie Historical Ops'!D44</f>
        <v>0</v>
      </c>
      <c r="F49">
        <f t="shared" si="10"/>
        <v>0</v>
      </c>
      <c r="G49">
        <f>'Fannie Historical Ops'!F44</f>
        <v>0</v>
      </c>
      <c r="H49">
        <f t="shared" si="10"/>
        <v>0</v>
      </c>
      <c r="I49" t="str">
        <f t="shared" si="11"/>
        <v>N/A</v>
      </c>
      <c r="J49">
        <f>'Fannie Historical Ops'!H44</f>
        <v>0</v>
      </c>
      <c r="K49">
        <f t="shared" si="10"/>
        <v>0</v>
      </c>
      <c r="L49" t="str">
        <f t="shared" si="12"/>
        <v>N/A</v>
      </c>
      <c r="M49">
        <f>'Fannie Historical Ops'!V44</f>
        <v>6928</v>
      </c>
      <c r="N49">
        <f>ROUND(IF(M49&lt;&gt;0,(M49/M16)*12,0),2)</f>
        <v>6928</v>
      </c>
      <c r="O49">
        <f t="shared" si="10"/>
        <v>68.59</v>
      </c>
      <c r="P49" t="str">
        <f t="shared" si="13"/>
        <v>N/A</v>
      </c>
      <c r="Q49">
        <v>0</v>
      </c>
      <c r="R49">
        <v>0</v>
      </c>
      <c r="S49">
        <v>0</v>
      </c>
      <c r="T49">
        <f t="shared" si="14"/>
        <v>0</v>
      </c>
      <c r="U49">
        <f t="shared" si="10"/>
        <v>0</v>
      </c>
      <c r="V49">
        <f>'Fannie Historical Ops'!Y44</f>
        <v>0</v>
      </c>
      <c r="W49">
        <f t="shared" si="10"/>
        <v>0</v>
      </c>
      <c r="X49">
        <v>0</v>
      </c>
      <c r="Y49">
        <f t="shared" si="10"/>
        <v>0</v>
      </c>
      <c r="Z49">
        <f>'Fannie Historical Ops'!AA44</f>
        <v>0</v>
      </c>
      <c r="AA49">
        <f t="shared" si="10"/>
        <v>0</v>
      </c>
      <c r="AB49">
        <v>0</v>
      </c>
      <c r="AC49">
        <f t="shared" si="10"/>
        <v>0</v>
      </c>
      <c r="AD49">
        <f t="shared" si="27"/>
        <v>7135.84</v>
      </c>
      <c r="AE49">
        <f t="shared" si="23"/>
        <v>70.65</v>
      </c>
    </row>
    <row r="50" ht="15" customHeight="1">
      <c r="C50" t="s">
        <v>1824</v>
      </c>
      <c r="E50">
        <f>'Fannie Historical Ops'!D45</f>
        <v>0</v>
      </c>
      <c r="F50">
        <f t="shared" si="10"/>
        <v>0</v>
      </c>
      <c r="G50">
        <f>'Fannie Historical Ops'!F45</f>
        <v>0</v>
      </c>
      <c r="H50">
        <f t="shared" si="10"/>
        <v>0</v>
      </c>
      <c r="I50" t="str">
        <f t="shared" si="11"/>
        <v>N/A</v>
      </c>
      <c r="J50">
        <f>'Fannie Historical Ops'!H45</f>
        <v>0</v>
      </c>
      <c r="K50">
        <f t="shared" si="10"/>
        <v>0</v>
      </c>
      <c r="L50" t="str">
        <f t="shared" si="12"/>
        <v>N/A</v>
      </c>
      <c r="M50">
        <f>'Fannie Historical Ops'!V45</f>
        <v>188637</v>
      </c>
      <c r="N50">
        <f>ROUND(IF(M50&lt;&gt;0,(M50/M16)*12,0),2)</f>
        <v>188637</v>
      </c>
      <c r="O50">
        <f t="shared" si="10"/>
        <v>1867.69</v>
      </c>
      <c r="P50" t="str">
        <f t="shared" si="13"/>
        <v>N/A</v>
      </c>
      <c r="Q50">
        <v>0</v>
      </c>
      <c r="R50">
        <v>0</v>
      </c>
      <c r="S50">
        <v>0</v>
      </c>
      <c r="T50">
        <f t="shared" si="14"/>
        <v>0</v>
      </c>
      <c r="U50">
        <f t="shared" si="10"/>
        <v>0</v>
      </c>
      <c r="V50">
        <f>'Fannie Historical Ops'!Y45</f>
        <v>0</v>
      </c>
      <c r="W50">
        <f t="shared" si="10"/>
        <v>0</v>
      </c>
      <c r="X50">
        <v>0</v>
      </c>
      <c r="Y50">
        <f t="shared" si="10"/>
        <v>0</v>
      </c>
      <c r="Z50">
        <f>'Fannie Historical Ops'!AA45</f>
        <v>0</v>
      </c>
      <c r="AA50">
        <f t="shared" si="10"/>
        <v>0</v>
      </c>
      <c r="AB50">
        <v>0</v>
      </c>
      <c r="AC50">
        <f t="shared" si="10"/>
        <v>0</v>
      </c>
      <c r="AD50">
        <f t="shared" si="27"/>
        <v>194296.11000000002</v>
      </c>
      <c r="AE50">
        <f t="shared" si="23"/>
        <v>1923.72</v>
      </c>
    </row>
    <row r="51" ht="15" customHeight="1">
      <c r="C51" t="s">
        <v>1825</v>
      </c>
      <c r="E51">
        <f>'Fannie Historical Ops'!D46</f>
        <v>0</v>
      </c>
      <c r="F51">
        <f t="shared" si="10"/>
        <v>0</v>
      </c>
      <c r="G51">
        <f>'Fannie Historical Ops'!F46</f>
        <v>0</v>
      </c>
      <c r="H51">
        <f t="shared" si="10"/>
        <v>0</v>
      </c>
      <c r="I51" t="str">
        <f t="shared" si="11"/>
        <v>N/A</v>
      </c>
      <c r="J51">
        <f>'Fannie Historical Ops'!H46</f>
        <v>0</v>
      </c>
      <c r="K51">
        <f t="shared" si="10"/>
        <v>0</v>
      </c>
      <c r="L51" t="str">
        <f t="shared" si="12"/>
        <v>N/A</v>
      </c>
      <c r="M51">
        <f>'Fannie Historical Ops'!V46</f>
        <v>115069</v>
      </c>
      <c r="N51">
        <f>ROUND(IF(M51&gt;0,(M51/M16)*12,0),2)</f>
        <v>115069</v>
      </c>
      <c r="O51">
        <f t="shared" si="10"/>
        <v>1139.3</v>
      </c>
      <c r="P51" t="str">
        <f t="shared" si="13"/>
        <v>N/A</v>
      </c>
      <c r="Q51">
        <v>0</v>
      </c>
      <c r="R51">
        <v>0</v>
      </c>
      <c r="S51">
        <v>0</v>
      </c>
      <c r="T51">
        <f t="shared" si="14"/>
        <v>0</v>
      </c>
      <c r="U51">
        <f t="shared" si="10"/>
        <v>0</v>
      </c>
      <c r="V51">
        <f>'Fannie Historical Ops'!Y46</f>
        <v>0</v>
      </c>
      <c r="W51">
        <f t="shared" si="10"/>
        <v>0</v>
      </c>
      <c r="X51">
        <v>0</v>
      </c>
      <c r="Y51">
        <f t="shared" si="10"/>
        <v>0</v>
      </c>
      <c r="Z51">
        <f>'Fannie Historical Ops'!AA46</f>
        <v>0</v>
      </c>
      <c r="AA51">
        <f t="shared" si="10"/>
        <v>0</v>
      </c>
      <c r="AB51">
        <v>0</v>
      </c>
      <c r="AC51">
        <f t="shared" si="10"/>
        <v>0</v>
      </c>
      <c r="AD51">
        <f t="shared" si="27"/>
        <v>118521.07</v>
      </c>
      <c r="AE51">
        <f t="shared" si="23"/>
        <v>1173.48</v>
      </c>
    </row>
    <row r="52" ht="15" customHeight="1">
      <c r="C52" t="s">
        <v>1826</v>
      </c>
      <c r="E52">
        <v>0</v>
      </c>
      <c r="F52">
        <f t="shared" si="10"/>
        <v>0</v>
      </c>
      <c r="G52">
        <v>0</v>
      </c>
      <c r="H52">
        <f t="shared" si="10"/>
        <v>0</v>
      </c>
      <c r="I52" t="str">
        <f t="shared" si="11"/>
        <v>N/A</v>
      </c>
      <c r="J52">
        <v>0</v>
      </c>
      <c r="K52">
        <f t="shared" si="10"/>
        <v>0</v>
      </c>
      <c r="L52" t="str">
        <f t="shared" si="12"/>
        <v>N/A</v>
      </c>
      <c r="M52">
        <v>0</v>
      </c>
      <c r="N52">
        <f>ROUND(IF(M52&gt;0,(M52/M16)*12,0),2)</f>
        <v>0</v>
      </c>
      <c r="O52">
        <f t="shared" si="10"/>
        <v>0</v>
      </c>
      <c r="P52" t="str">
        <f t="shared" si="13"/>
        <v>N/A</v>
      </c>
      <c r="Q52">
        <v>0</v>
      </c>
      <c r="R52">
        <v>0</v>
      </c>
      <c r="S52">
        <v>0</v>
      </c>
      <c r="T52">
        <f t="shared" si="14"/>
        <v>0</v>
      </c>
      <c r="U52">
        <f t="shared" si="10"/>
        <v>0</v>
      </c>
      <c r="V52">
        <v>0</v>
      </c>
      <c r="W52">
        <f t="shared" si="10"/>
        <v>0</v>
      </c>
      <c r="X52">
        <v>0</v>
      </c>
      <c r="Y52">
        <f t="shared" si="10"/>
        <v>0</v>
      </c>
      <c r="Z52">
        <v>0</v>
      </c>
      <c r="AA52">
        <f t="shared" si="10"/>
        <v>0</v>
      </c>
      <c r="AB52">
        <v>0</v>
      </c>
      <c r="AC52">
        <f t="shared" si="10"/>
        <v>0</v>
      </c>
      <c r="AD52">
        <f t="shared" si="27"/>
        <v>0</v>
      </c>
      <c r="AE52">
        <f t="shared" si="23"/>
        <v>0</v>
      </c>
    </row>
    <row r="53" ht="15" customHeight="1">
      <c r="C53" t="s">
        <v>1827</v>
      </c>
      <c r="E53">
        <f>'Fannie Historical Ops'!D47</f>
        <v>0</v>
      </c>
      <c r="F53">
        <f t="shared" si="10"/>
        <v>0</v>
      </c>
      <c r="G53">
        <f>'Fannie Historical Ops'!F47</f>
        <v>0</v>
      </c>
      <c r="H53">
        <f t="shared" si="10"/>
        <v>0</v>
      </c>
      <c r="I53" t="str">
        <f t="shared" si="11"/>
        <v>N/A</v>
      </c>
      <c r="J53">
        <f>'Fannie Historical Ops'!H47</f>
        <v>0</v>
      </c>
      <c r="K53">
        <f t="shared" si="10"/>
        <v>0</v>
      </c>
      <c r="L53" t="str">
        <f t="shared" si="12"/>
        <v>N/A</v>
      </c>
      <c r="M53">
        <f>'Fannie Historical Ops'!V47</f>
        <v>0</v>
      </c>
      <c r="N53">
        <f>ROUND(IF(M53&gt;0,(M53/M16)*12,0),2)</f>
        <v>0</v>
      </c>
      <c r="O53">
        <f t="shared" si="10"/>
        <v>0</v>
      </c>
      <c r="P53" t="str">
        <f t="shared" si="13"/>
        <v>N/A</v>
      </c>
      <c r="Q53">
        <v>0</v>
      </c>
      <c r="R53">
        <v>0</v>
      </c>
      <c r="S53">
        <v>0</v>
      </c>
      <c r="T53">
        <f t="shared" si="14"/>
        <v>0</v>
      </c>
      <c r="U53">
        <f t="shared" si="10"/>
        <v>0</v>
      </c>
      <c r="V53">
        <f>'Fannie Historical Ops'!Y47</f>
        <v>0</v>
      </c>
      <c r="W53">
        <f t="shared" si="10"/>
        <v>0</v>
      </c>
      <c r="X53">
        <v>0</v>
      </c>
      <c r="Y53">
        <f t="shared" si="10"/>
        <v>0</v>
      </c>
      <c r="Z53">
        <f>'Fannie Historical Ops'!AA47</f>
        <v>0</v>
      </c>
      <c r="AA53">
        <f t="shared" si="10"/>
        <v>0</v>
      </c>
      <c r="AB53">
        <v>0</v>
      </c>
      <c r="AC53">
        <f t="shared" si="10"/>
        <v>0</v>
      </c>
      <c r="AD53">
        <f t="shared" si="27"/>
        <v>0</v>
      </c>
      <c r="AE53">
        <f t="shared" si="23"/>
        <v>0</v>
      </c>
    </row>
    <row r="54" ht="15" customHeight="1">
      <c r="C54" t="s">
        <v>1828</v>
      </c>
      <c r="E54">
        <f>'Fannie Historical Ops'!D48</f>
        <v>0</v>
      </c>
      <c r="F54">
        <f t="shared" si="10"/>
        <v>0</v>
      </c>
      <c r="G54">
        <f>'Fannie Historical Ops'!F48</f>
        <v>0</v>
      </c>
      <c r="H54">
        <f t="shared" si="10"/>
        <v>0</v>
      </c>
      <c r="I54" t="str">
        <f t="shared" si="11"/>
        <v>N/A</v>
      </c>
      <c r="J54">
        <f>'Fannie Historical Ops'!H48</f>
        <v>0</v>
      </c>
      <c r="K54">
        <f t="shared" si="10"/>
        <v>0</v>
      </c>
      <c r="L54" t="str">
        <f t="shared" si="12"/>
        <v>N/A</v>
      </c>
      <c r="M54">
        <f>'Fannie Historical Ops'!V48</f>
        <v>10154</v>
      </c>
      <c r="N54">
        <f>ROUND(IF(M54&gt;0,(M54/M16)*12,0),2)</f>
        <v>10154</v>
      </c>
      <c r="O54">
        <f t="shared" si="10"/>
        <v>100.53</v>
      </c>
      <c r="P54" t="str">
        <f t="shared" si="13"/>
        <v>N/A</v>
      </c>
      <c r="Q54">
        <v>0</v>
      </c>
      <c r="R54">
        <v>0</v>
      </c>
      <c r="S54">
        <v>0</v>
      </c>
      <c r="T54">
        <f t="shared" si="14"/>
        <v>0</v>
      </c>
      <c r="U54">
        <f t="shared" si="10"/>
        <v>0</v>
      </c>
      <c r="V54">
        <f>'Fannie Historical Ops'!Y48</f>
        <v>0</v>
      </c>
      <c r="W54">
        <f t="shared" si="10"/>
        <v>0</v>
      </c>
      <c r="X54">
        <v>0</v>
      </c>
      <c r="Y54">
        <f t="shared" si="10"/>
        <v>0</v>
      </c>
      <c r="Z54">
        <f>'Fannie Historical Ops'!AA48</f>
        <v>0</v>
      </c>
      <c r="AA54">
        <f t="shared" si="10"/>
        <v>0</v>
      </c>
      <c r="AB54">
        <v>0</v>
      </c>
      <c r="AC54">
        <f t="shared" si="10"/>
        <v>0</v>
      </c>
      <c r="AD54">
        <f t="shared" si="27"/>
        <v>10458.62</v>
      </c>
      <c r="AE54">
        <f t="shared" si="23"/>
        <v>103.55</v>
      </c>
    </row>
    <row r="55" ht="15" customHeight="1">
      <c r="C55" t="s">
        <v>1829</v>
      </c>
      <c r="E55">
        <f>'Fannie Historical Ops'!D49</f>
        <v>0</v>
      </c>
      <c r="F55">
        <f t="shared" si="10"/>
        <v>0</v>
      </c>
      <c r="G55">
        <f>'Fannie Historical Ops'!F49</f>
        <v>0</v>
      </c>
      <c r="H55">
        <f t="shared" si="10"/>
        <v>0</v>
      </c>
      <c r="I55" t="str">
        <f t="shared" si="11"/>
        <v>N/A</v>
      </c>
      <c r="J55">
        <f>'Fannie Historical Ops'!H49</f>
        <v>0</v>
      </c>
      <c r="K55">
        <f t="shared" si="10"/>
        <v>0</v>
      </c>
      <c r="L55" t="str">
        <f t="shared" si="12"/>
        <v>N/A</v>
      </c>
      <c r="M55">
        <f>'Fannie Historical Ops'!V49</f>
        <v>26934</v>
      </c>
      <c r="N55">
        <f>ROUND(IF(M55&gt;0,(M55/M16)*12,0),2)</f>
        <v>26934</v>
      </c>
      <c r="O55">
        <f t="shared" si="10"/>
        <v>266.67</v>
      </c>
      <c r="P55" t="str">
        <f t="shared" si="13"/>
        <v>N/A</v>
      </c>
      <c r="Q55">
        <v>0</v>
      </c>
      <c r="R55">
        <v>0</v>
      </c>
      <c r="S55">
        <v>0</v>
      </c>
      <c r="T55">
        <f t="shared" si="14"/>
        <v>0</v>
      </c>
      <c r="U55">
        <f t="shared" si="10"/>
        <v>0</v>
      </c>
      <c r="V55">
        <f>'Fannie Historical Ops'!Y49</f>
        <v>0</v>
      </c>
      <c r="W55">
        <f t="shared" si="10"/>
        <v>0</v>
      </c>
      <c r="X55">
        <v>0</v>
      </c>
      <c r="Y55">
        <f t="shared" si="10"/>
        <v>0</v>
      </c>
      <c r="Z55">
        <f>'Fannie Historical Ops'!AA49</f>
        <v>0</v>
      </c>
      <c r="AA55">
        <f t="shared" si="10"/>
        <v>0</v>
      </c>
      <c r="AB55">
        <v>0</v>
      </c>
      <c r="AC55">
        <f t="shared" si="10"/>
        <v>0</v>
      </c>
      <c r="AD55">
        <f t="shared" si="27"/>
        <v>27742.02</v>
      </c>
      <c r="AE55">
        <f t="shared" si="23"/>
        <v>274.67</v>
      </c>
    </row>
    <row r="56" ht="15.75" customHeight="1">
      <c r="C56" t="s">
        <v>1830</v>
      </c>
      <c r="E56">
        <f>'Fannie Historical Ops'!D50</f>
        <v>0</v>
      </c>
      <c r="F56">
        <f t="shared" si="10"/>
        <v>0</v>
      </c>
      <c r="G56">
        <f>'Fannie Historical Ops'!F50</f>
        <v>0</v>
      </c>
      <c r="H56">
        <f t="shared" si="10"/>
        <v>0</v>
      </c>
      <c r="I56" t="str">
        <f t="shared" si="11"/>
        <v>N/A</v>
      </c>
      <c r="J56">
        <f>'Fannie Historical Ops'!H50</f>
        <v>0</v>
      </c>
      <c r="K56">
        <f t="shared" si="10"/>
        <v>0</v>
      </c>
      <c r="L56" t="str">
        <f t="shared" si="12"/>
        <v>N/A</v>
      </c>
      <c r="M56">
        <f>'Fannie Historical Ops'!V50</f>
        <v>36517</v>
      </c>
      <c r="N56">
        <f>ROUND(IF(M56&gt;0,(M56/M16)*12,0),2)</f>
        <v>36517</v>
      </c>
      <c r="O56">
        <f t="shared" si="10"/>
        <v>361.55</v>
      </c>
      <c r="P56" t="str">
        <f t="shared" si="13"/>
        <v>N/A</v>
      </c>
      <c r="Q56">
        <v>0</v>
      </c>
      <c r="R56">
        <v>0</v>
      </c>
      <c r="S56">
        <v>0</v>
      </c>
      <c r="T56">
        <f t="shared" si="14"/>
        <v>0</v>
      </c>
      <c r="U56">
        <f t="shared" si="10"/>
        <v>0</v>
      </c>
      <c r="V56">
        <f>'Fannie Historical Ops'!Y50</f>
        <v>0</v>
      </c>
      <c r="W56">
        <f t="shared" si="10"/>
        <v>0</v>
      </c>
      <c r="X56">
        <v>0</v>
      </c>
      <c r="Y56">
        <f t="shared" si="10"/>
        <v>0</v>
      </c>
      <c r="Z56">
        <f>'Fannie Historical Ops'!AA50</f>
        <v>0</v>
      </c>
      <c r="AA56">
        <f t="shared" si="10"/>
        <v>0</v>
      </c>
      <c r="AB56">
        <v>0</v>
      </c>
      <c r="AC56">
        <f t="shared" si="10"/>
        <v>0</v>
      </c>
      <c r="AD56">
        <f t="shared" si="27"/>
        <v>37612.51</v>
      </c>
      <c r="AE56">
        <f t="shared" si="23"/>
        <v>372.4</v>
      </c>
    </row>
    <row r="57" ht="15.75" customHeight="1">
      <c r="C57" t="s">
        <v>1807</v>
      </c>
      <c r="E57">
        <f t="shared" si="33" ref="E57:AD57">IF(SUM(E48:E56)=0,0,SUM(E48:E56))</f>
        <v>0</v>
      </c>
      <c r="F57">
        <f t="shared" si="10"/>
        <v>0</v>
      </c>
      <c r="G57">
        <f t="shared" si="33"/>
        <v>0</v>
      </c>
      <c r="H57">
        <f t="shared" si="10"/>
        <v>0</v>
      </c>
      <c r="I57" t="str">
        <f t="shared" si="11"/>
        <v>N/A</v>
      </c>
      <c r="J57">
        <f t="shared" si="33"/>
        <v>0</v>
      </c>
      <c r="K57">
        <f t="shared" si="10"/>
        <v>0</v>
      </c>
      <c r="L57" t="str">
        <f t="shared" si="12"/>
        <v>N/A</v>
      </c>
      <c r="M57">
        <f t="shared" si="33"/>
        <v>426867</v>
      </c>
      <c r="N57">
        <f t="shared" si="33"/>
        <v>426867</v>
      </c>
      <c r="O57">
        <f t="shared" si="10"/>
        <v>4226.41</v>
      </c>
      <c r="P57" t="str">
        <f t="shared" si="13"/>
        <v>N/A</v>
      </c>
      <c r="Q57">
        <f t="shared" si="33"/>
        <v>0</v>
      </c>
      <c r="R57">
        <f t="shared" si="33"/>
        <v>0</v>
      </c>
      <c r="S57">
        <f t="shared" si="33"/>
        <v>0</v>
      </c>
      <c r="T57">
        <f t="shared" si="33"/>
        <v>0</v>
      </c>
      <c r="U57">
        <f t="shared" si="10"/>
        <v>0</v>
      </c>
      <c r="V57">
        <f t="shared" si="33"/>
        <v>0</v>
      </c>
      <c r="W57">
        <f t="shared" si="10"/>
        <v>0</v>
      </c>
      <c r="X57">
        <f t="shared" si="33"/>
        <v>0</v>
      </c>
      <c r="Y57">
        <f t="shared" si="10"/>
        <v>0</v>
      </c>
      <c r="Z57">
        <f t="shared" si="33"/>
        <v>0</v>
      </c>
      <c r="AA57">
        <f t="shared" si="10"/>
        <v>0</v>
      </c>
      <c r="AB57">
        <f t="shared" si="33"/>
        <v>0</v>
      </c>
      <c r="AC57">
        <f t="shared" si="10"/>
        <v>0</v>
      </c>
      <c r="AD57">
        <f t="shared" si="33"/>
        <v>439673.01000000007</v>
      </c>
      <c r="AE57">
        <f t="shared" si="23"/>
        <v>4353.2</v>
      </c>
      <c r="AG57" t="e">
        <f>GETPIVOTDATA("[Measures].[Average]",$AK$21,"[Summary Line Items].[Line Item Type]","[Summary Line Items].[Line Item Type].&amp;[Repair and Maintenance]")</f>
        <v>#REF!</v>
      </c>
    </row>
    <row r="58" ht="15" customHeight="1">
      <c r="C58" t="s">
        <v>1808</v>
      </c>
      <c r="E58">
        <f>'Fannie Historical Ops'!D51</f>
        <v>0</v>
      </c>
      <c r="F58" t="e">
        <f t="shared" si="34" ref="F58:AE58">E58/E36</f>
        <v>#DIV/0!</v>
      </c>
      <c r="G58">
        <f>'Fannie Historical Ops'!F51</f>
        <v>0</v>
      </c>
      <c r="H58" t="e">
        <f t="shared" si="34"/>
        <v>#DIV/0!</v>
      </c>
      <c r="I58" t="str">
        <f t="shared" si="11"/>
        <v>N/A</v>
      </c>
      <c r="J58">
        <f>'Fannie Historical Ops'!H51</f>
        <v>0</v>
      </c>
      <c r="K58" t="e">
        <f t="shared" si="34"/>
        <v>#DIV/0!</v>
      </c>
      <c r="L58" t="str">
        <f t="shared" si="12"/>
        <v>N/A</v>
      </c>
      <c r="M58">
        <f>'Fannie Historical Ops'!V51</f>
        <v>173577</v>
      </c>
      <c r="N58">
        <f>ROUND(IF(M58&gt;0,(M58/M16)*12,0),2)</f>
        <v>173577</v>
      </c>
      <c r="O58">
        <f t="shared" si="34"/>
        <v>0.0378074275301552</v>
      </c>
      <c r="P58" t="str">
        <f t="shared" si="13"/>
        <v>N/A</v>
      </c>
      <c r="Q58">
        <v>0</v>
      </c>
      <c r="R58">
        <v>0</v>
      </c>
      <c r="S58">
        <v>0</v>
      </c>
      <c r="T58">
        <f t="shared" si="14"/>
        <v>0</v>
      </c>
      <c r="U58" t="e">
        <f t="shared" si="34"/>
        <v>#DIV/0!</v>
      </c>
      <c r="V58">
        <f>'Fannie Historical Ops'!Y51</f>
        <v>0</v>
      </c>
      <c r="W58" t="e">
        <f t="shared" si="34"/>
        <v>#DIV/0!</v>
      </c>
      <c r="X58">
        <v>0</v>
      </c>
      <c r="Y58" t="e">
        <f t="shared" si="34"/>
        <v>#DIV/0!</v>
      </c>
      <c r="Z58">
        <f>'Fannie Historical Ops'!AA51</f>
        <v>0</v>
      </c>
      <c r="AA58" t="e">
        <f t="shared" si="34"/>
        <v>#DIV/0!</v>
      </c>
      <c r="AB58">
        <v>0</v>
      </c>
      <c r="AC58" t="e">
        <f t="shared" si="34"/>
        <v>#DIV/0!</v>
      </c>
      <c r="AD58">
        <f>AD36*$AE$10</f>
        <v>36490.409999999996</v>
      </c>
      <c r="AE58">
        <f t="shared" si="34"/>
        <v>0.029999999999999995</v>
      </c>
      <c r="AG58" t="e">
        <f>TEXT(GETPIVOTDATA("[Measures].[Average]",$AK$21,"[Summary Line Items].[Line Item Type]","[Summary Line Items].[Line Item Type].&amp;[Nonresident Mgt.]"),"$0")&amp;" ("&amp;TEXT(GETPIVOTDATA("[Measures].[Average]",$AK$21,"[Summary Line Items].[Line Item Type]","[Summary Line Items].[Line Item Type].&amp;[Management Fee (% of EGI)]"),"0.00%")&amp;")"</f>
        <v>#REF!</v>
      </c>
    </row>
    <row r="59" ht="15" customHeight="1">
      <c r="C59" t="s">
        <v>1831</v>
      </c>
      <c r="E59">
        <f>'Fannie Historical Ops'!D52+'Fannie Historical Ops'!D53</f>
        <v>0</v>
      </c>
      <c r="F59">
        <f t="shared" si="10"/>
        <v>0</v>
      </c>
      <c r="G59">
        <f>'Fannie Historical Ops'!F52+'Fannie Historical Ops'!F53</f>
        <v>0</v>
      </c>
      <c r="H59">
        <f t="shared" si="10"/>
        <v>0</v>
      </c>
      <c r="I59" t="str">
        <f t="shared" si="11"/>
        <v>N/A</v>
      </c>
      <c r="J59">
        <f>'Fannie Historical Ops'!H52+'Fannie Historical Ops'!H53</f>
        <v>0</v>
      </c>
      <c r="K59">
        <f t="shared" si="10"/>
        <v>0</v>
      </c>
      <c r="L59" t="str">
        <f t="shared" si="12"/>
        <v>N/A</v>
      </c>
      <c r="M59">
        <f>'Fannie Historical Ops'!V52+'Fannie Historical Ops'!V53</f>
        <v>193726</v>
      </c>
      <c r="N59">
        <f>ROUND(IF(M59&gt;0,(M59/M16)*12,0),2)</f>
        <v>193726</v>
      </c>
      <c r="O59">
        <f t="shared" si="10"/>
        <v>1918.08</v>
      </c>
      <c r="P59" t="str">
        <f t="shared" si="13"/>
        <v>N/A</v>
      </c>
      <c r="Q59">
        <v>0</v>
      </c>
      <c r="R59">
        <v>0</v>
      </c>
      <c r="S59">
        <v>0</v>
      </c>
      <c r="T59">
        <f t="shared" si="14"/>
        <v>0</v>
      </c>
      <c r="U59">
        <f t="shared" si="10"/>
        <v>0</v>
      </c>
      <c r="V59">
        <f>'Fannie Historical Ops'!Y52+'Fannie Historical Ops'!Y53</f>
        <v>0</v>
      </c>
      <c r="W59">
        <f t="shared" si="10"/>
        <v>0</v>
      </c>
      <c r="X59">
        <v>0</v>
      </c>
      <c r="Y59">
        <f t="shared" si="10"/>
        <v>0</v>
      </c>
      <c r="Z59">
        <f>'Fannie Historical Ops'!AA52+'Fannie Historical Ops'!AA53</f>
        <v>0</v>
      </c>
      <c r="AA59">
        <f t="shared" si="10"/>
        <v>0</v>
      </c>
      <c r="AB59">
        <v>0</v>
      </c>
      <c r="AC59">
        <f t="shared" si="10"/>
        <v>0</v>
      </c>
      <c r="AD59">
        <f t="shared" si="27"/>
        <v>199537.78</v>
      </c>
      <c r="AE59">
        <f t="shared" si="23"/>
        <v>1975.62</v>
      </c>
    </row>
    <row r="60" ht="15" customHeight="1">
      <c r="C60" t="s">
        <v>1832</v>
      </c>
      <c r="E60">
        <f>'Fannie Historical Ops'!D66</f>
        <v>0</v>
      </c>
      <c r="F60">
        <f t="shared" si="10"/>
        <v>0</v>
      </c>
      <c r="G60">
        <f>'Fannie Historical Ops'!F66</f>
        <v>0</v>
      </c>
      <c r="H60">
        <f t="shared" si="10"/>
        <v>0</v>
      </c>
      <c r="I60" t="str">
        <f t="shared" si="11"/>
        <v>N/A</v>
      </c>
      <c r="J60">
        <f>'Fannie Historical Ops'!H66</f>
        <v>0</v>
      </c>
      <c r="K60">
        <f t="shared" si="10"/>
        <v>0</v>
      </c>
      <c r="L60" t="str">
        <f t="shared" si="12"/>
        <v>N/A</v>
      </c>
      <c r="M60">
        <f>'Fannie Historical Ops'!V66</f>
        <v>0</v>
      </c>
      <c r="N60">
        <f>ROUND(IF(M60&gt;0,(M60/M16)*12,0),2)</f>
        <v>0</v>
      </c>
      <c r="O60">
        <f t="shared" si="10"/>
        <v>0</v>
      </c>
      <c r="P60" t="str">
        <f t="shared" si="13"/>
        <v>N/A</v>
      </c>
      <c r="Q60">
        <v>0</v>
      </c>
      <c r="R60">
        <v>0</v>
      </c>
      <c r="S60">
        <v>0</v>
      </c>
      <c r="T60">
        <f t="shared" si="14"/>
        <v>0</v>
      </c>
      <c r="U60">
        <f t="shared" si="10"/>
        <v>0</v>
      </c>
      <c r="V60">
        <f>'Fannie Historical Ops'!Y66</f>
        <v>0</v>
      </c>
      <c r="W60">
        <f t="shared" si="10"/>
        <v>0</v>
      </c>
      <c r="X60">
        <v>0</v>
      </c>
      <c r="Y60">
        <f t="shared" si="10"/>
        <v>0</v>
      </c>
      <c r="Z60">
        <f>'Fannie Historical Ops'!AA66</f>
        <v>0</v>
      </c>
      <c r="AA60">
        <f t="shared" si="10"/>
        <v>0</v>
      </c>
      <c r="AB60">
        <v>0</v>
      </c>
      <c r="AC60">
        <f t="shared" si="10"/>
        <v>0</v>
      </c>
      <c r="AD60">
        <f t="shared" si="27"/>
        <v>0</v>
      </c>
      <c r="AE60">
        <f t="shared" si="23"/>
        <v>0</v>
      </c>
    </row>
    <row r="61" ht="15" customHeight="1">
      <c r="C61" t="s">
        <v>1833</v>
      </c>
      <c r="E61">
        <f>SUM('Fannie Historical Ops'!D54:D55,'Fannie Historical Ops'!D57)</f>
        <v>0</v>
      </c>
      <c r="F61">
        <f t="shared" si="10"/>
        <v>0</v>
      </c>
      <c r="G61">
        <f>SUM('Fannie Historical Ops'!F54:F55,'Fannie Historical Ops'!F57)</f>
        <v>0</v>
      </c>
      <c r="H61">
        <f t="shared" si="10"/>
        <v>0</v>
      </c>
      <c r="I61" t="str">
        <f t="shared" si="11"/>
        <v>N/A</v>
      </c>
      <c r="J61">
        <f>SUM('Fannie Historical Ops'!H54:H55,'Fannie Historical Ops'!H57)</f>
        <v>0</v>
      </c>
      <c r="K61">
        <f t="shared" si="10"/>
        <v>0</v>
      </c>
      <c r="L61" t="str">
        <f t="shared" si="12"/>
        <v>N/A</v>
      </c>
      <c r="M61">
        <f>SUM('Fannie Historical Ops'!V54:V55,'Fannie Historical Ops'!V57)</f>
        <v>212857</v>
      </c>
      <c r="N61">
        <f>ROUND(IF(M61&gt;0,(M61/M16)*12,0),2)</f>
        <v>212857</v>
      </c>
      <c r="O61">
        <f t="shared" si="10"/>
        <v>2107.5</v>
      </c>
      <c r="P61" t="str">
        <f t="shared" si="13"/>
        <v>N/A</v>
      </c>
      <c r="Q61">
        <v>0</v>
      </c>
      <c r="R61">
        <v>0</v>
      </c>
      <c r="S61">
        <v>0</v>
      </c>
      <c r="T61">
        <f t="shared" si="14"/>
        <v>0</v>
      </c>
      <c r="U61">
        <f t="shared" si="10"/>
        <v>0</v>
      </c>
      <c r="V61">
        <f>SUM('Fannie Historical Ops'!Y54:Y55,'Fannie Historical Ops'!Y57)</f>
        <v>0</v>
      </c>
      <c r="W61">
        <f t="shared" si="10"/>
        <v>0</v>
      </c>
      <c r="X61">
        <v>0</v>
      </c>
      <c r="Y61">
        <f t="shared" si="10"/>
        <v>0</v>
      </c>
      <c r="Z61">
        <f>SUM('Fannie Historical Ops'!AA54:AA55,'Fannie Historical Ops'!AA57)</f>
        <v>0</v>
      </c>
      <c r="AA61">
        <f t="shared" si="10"/>
        <v>0</v>
      </c>
      <c r="AB61">
        <v>0</v>
      </c>
      <c r="AC61">
        <f t="shared" si="10"/>
        <v>0</v>
      </c>
      <c r="AD61">
        <f t="shared" si="27"/>
        <v>219242.71</v>
      </c>
      <c r="AE61">
        <f t="shared" si="23"/>
        <v>2170.72</v>
      </c>
    </row>
    <row r="62" ht="15" customHeight="1">
      <c r="C62" t="s">
        <v>1834</v>
      </c>
      <c r="E62">
        <f>'Fannie Historical Ops'!D58</f>
        <v>0</v>
      </c>
      <c r="F62">
        <f t="shared" si="10"/>
        <v>0</v>
      </c>
      <c r="G62">
        <f>'Fannie Historical Ops'!F58</f>
        <v>0</v>
      </c>
      <c r="H62">
        <f t="shared" si="10"/>
        <v>0</v>
      </c>
      <c r="I62" t="str">
        <f t="shared" si="11"/>
        <v>N/A</v>
      </c>
      <c r="J62">
        <f>'Fannie Historical Ops'!H58</f>
        <v>0</v>
      </c>
      <c r="K62">
        <f t="shared" si="10"/>
        <v>0</v>
      </c>
      <c r="L62" t="str">
        <f t="shared" si="12"/>
        <v>N/A</v>
      </c>
      <c r="M62">
        <f>'Fannie Historical Ops'!V58</f>
        <v>71566</v>
      </c>
      <c r="N62">
        <f>ROUND(IF(M62&gt;0,(M62/M16)*12,0),2)</f>
        <v>71566</v>
      </c>
      <c r="O62">
        <f t="shared" si="10"/>
        <v>708.57</v>
      </c>
      <c r="P62" t="str">
        <f t="shared" si="13"/>
        <v>N/A</v>
      </c>
      <c r="Q62">
        <v>0</v>
      </c>
      <c r="R62">
        <v>0</v>
      </c>
      <c r="S62">
        <v>0</v>
      </c>
      <c r="T62">
        <f t="shared" si="14"/>
        <v>0</v>
      </c>
      <c r="U62">
        <f t="shared" si="10"/>
        <v>0</v>
      </c>
      <c r="V62">
        <f>'Fannie Historical Ops'!Y58</f>
        <v>0</v>
      </c>
      <c r="W62">
        <f t="shared" si="10"/>
        <v>0</v>
      </c>
      <c r="X62">
        <v>0</v>
      </c>
      <c r="Y62">
        <f t="shared" si="10"/>
        <v>0</v>
      </c>
      <c r="Z62">
        <f>'Fannie Historical Ops'!AA58</f>
        <v>0</v>
      </c>
      <c r="AA62">
        <f t="shared" si="10"/>
        <v>0</v>
      </c>
      <c r="AB62">
        <v>0</v>
      </c>
      <c r="AC62">
        <f t="shared" si="10"/>
        <v>0</v>
      </c>
      <c r="AD62">
        <f t="shared" si="27"/>
        <v>73712.98</v>
      </c>
      <c r="AE62">
        <f t="shared" si="23"/>
        <v>729.83</v>
      </c>
    </row>
    <row r="63" ht="15.75" customHeight="1">
      <c r="C63" t="s">
        <v>1835</v>
      </c>
      <c r="E63">
        <f>'Fannie Historical Ops'!D56</f>
        <v>0</v>
      </c>
      <c r="F63">
        <f t="shared" si="10"/>
        <v>0</v>
      </c>
      <c r="G63">
        <f>'Fannie Historical Ops'!F56</f>
        <v>0</v>
      </c>
      <c r="H63">
        <f t="shared" si="10"/>
        <v>0</v>
      </c>
      <c r="I63" t="str">
        <f t="shared" si="11"/>
        <v>N/A</v>
      </c>
      <c r="J63">
        <f>'Fannie Historical Ops'!H56</f>
        <v>0</v>
      </c>
      <c r="K63">
        <f t="shared" si="10"/>
        <v>0</v>
      </c>
      <c r="L63" t="str">
        <f t="shared" si="12"/>
        <v>N/A</v>
      </c>
      <c r="M63">
        <f>'Fannie Historical Ops'!V56</f>
        <v>0</v>
      </c>
      <c r="N63">
        <f>ROUND(IF(M63&gt;0,(M63/M16)*12,0),2)</f>
        <v>0</v>
      </c>
      <c r="O63">
        <f t="shared" si="10"/>
        <v>0</v>
      </c>
      <c r="P63" t="str">
        <f t="shared" si="13"/>
        <v>N/A</v>
      </c>
      <c r="Q63">
        <v>0</v>
      </c>
      <c r="R63">
        <v>0</v>
      </c>
      <c r="S63">
        <v>0</v>
      </c>
      <c r="T63">
        <f t="shared" si="14"/>
        <v>0</v>
      </c>
      <c r="U63">
        <f t="shared" si="10"/>
        <v>0</v>
      </c>
      <c r="V63">
        <f>'Fannie Historical Ops'!Y56</f>
        <v>0</v>
      </c>
      <c r="W63">
        <f t="shared" si="10"/>
        <v>0</v>
      </c>
      <c r="X63">
        <v>0</v>
      </c>
      <c r="Y63">
        <f t="shared" si="10"/>
        <v>0</v>
      </c>
      <c r="Z63">
        <f>'Fannie Historical Ops'!AA56</f>
        <v>0</v>
      </c>
      <c r="AA63">
        <f t="shared" si="10"/>
        <v>0</v>
      </c>
      <c r="AB63">
        <v>0</v>
      </c>
      <c r="AC63">
        <f t="shared" si="10"/>
        <v>0</v>
      </c>
      <c r="AD63">
        <f t="shared" si="27"/>
        <v>0</v>
      </c>
      <c r="AE63">
        <f t="shared" si="23"/>
        <v>0</v>
      </c>
    </row>
    <row r="64" ht="15.75" customHeight="1">
      <c r="C64" t="s">
        <v>1810</v>
      </c>
      <c r="E64">
        <f t="shared" si="35" ref="E64:AB64">IF(SUM(E59:E63)=0,0,SUM(E59:E63))</f>
        <v>0</v>
      </c>
      <c r="F64">
        <f t="shared" si="10"/>
        <v>0</v>
      </c>
      <c r="G64">
        <f t="shared" si="35"/>
        <v>0</v>
      </c>
      <c r="H64">
        <f t="shared" si="10"/>
        <v>0</v>
      </c>
      <c r="I64" t="str">
        <f t="shared" si="11"/>
        <v>N/A</v>
      </c>
      <c r="J64">
        <f t="shared" si="35"/>
        <v>0</v>
      </c>
      <c r="K64">
        <f t="shared" si="10"/>
        <v>0</v>
      </c>
      <c r="L64" t="str">
        <f t="shared" si="12"/>
        <v>N/A</v>
      </c>
      <c r="M64">
        <f t="shared" si="35"/>
        <v>478149</v>
      </c>
      <c r="N64">
        <f t="shared" si="35"/>
        <v>478149</v>
      </c>
      <c r="O64">
        <f t="shared" si="10"/>
        <v>4734.15</v>
      </c>
      <c r="P64" t="str">
        <f t="shared" si="13"/>
        <v>N/A</v>
      </c>
      <c r="Q64">
        <f t="shared" si="35"/>
        <v>0</v>
      </c>
      <c r="R64">
        <f t="shared" si="35"/>
        <v>0</v>
      </c>
      <c r="S64">
        <f t="shared" si="35"/>
        <v>0</v>
      </c>
      <c r="T64">
        <f t="shared" si="35"/>
        <v>0</v>
      </c>
      <c r="U64">
        <f t="shared" si="10"/>
        <v>0</v>
      </c>
      <c r="V64">
        <f t="shared" si="35"/>
        <v>0</v>
      </c>
      <c r="W64">
        <f t="shared" si="10"/>
        <v>0</v>
      </c>
      <c r="X64">
        <f t="shared" si="35"/>
        <v>0</v>
      </c>
      <c r="Y64">
        <f t="shared" si="10"/>
        <v>0</v>
      </c>
      <c r="Z64">
        <f t="shared" si="35"/>
        <v>0</v>
      </c>
      <c r="AA64">
        <f t="shared" si="10"/>
        <v>0</v>
      </c>
      <c r="AB64">
        <f t="shared" si="35"/>
        <v>0</v>
      </c>
      <c r="AC64">
        <f t="shared" si="10"/>
        <v>0</v>
      </c>
      <c r="AD64">
        <f>SUM(AD59:AD63)</f>
        <v>492493.47</v>
      </c>
      <c r="AE64">
        <f t="shared" si="23"/>
        <v>4876.17</v>
      </c>
      <c r="AG64" t="e">
        <f>GETPIVOTDATA("[Measures].[Average]",$AK$21,"[Summary Line Items].[Line Item Type]","[Summary Line Items].[Line Item Type].&amp;[Total Payroll]")</f>
        <v>#REF!</v>
      </c>
    </row>
    <row r="65" ht="15" customHeight="1">
      <c r="C65" t="s">
        <v>1836</v>
      </c>
      <c r="E65">
        <f>'Fannie Historical Ops'!D59</f>
        <v>0</v>
      </c>
      <c r="F65">
        <f t="shared" si="10"/>
        <v>0</v>
      </c>
      <c r="G65">
        <f>'Fannie Historical Ops'!F59</f>
        <v>0</v>
      </c>
      <c r="H65">
        <f t="shared" si="10"/>
        <v>0</v>
      </c>
      <c r="I65" t="str">
        <f t="shared" si="11"/>
        <v>N/A</v>
      </c>
      <c r="J65">
        <f>'Fannie Historical Ops'!H59</f>
        <v>0</v>
      </c>
      <c r="K65">
        <f t="shared" si="10"/>
        <v>0</v>
      </c>
      <c r="L65" t="str">
        <f t="shared" si="12"/>
        <v>N/A</v>
      </c>
      <c r="M65">
        <f>'Fannie Historical Ops'!V59</f>
        <v>49624</v>
      </c>
      <c r="N65">
        <f>ROUND(IF(M65&gt;0,(M65/M16)*12,0),2)</f>
        <v>49624</v>
      </c>
      <c r="O65">
        <f t="shared" si="10"/>
        <v>491.33</v>
      </c>
      <c r="P65" t="str">
        <f t="shared" si="13"/>
        <v>N/A</v>
      </c>
      <c r="Q65">
        <v>0</v>
      </c>
      <c r="R65">
        <v>0</v>
      </c>
      <c r="S65">
        <v>0</v>
      </c>
      <c r="T65">
        <f t="shared" si="14"/>
        <v>0</v>
      </c>
      <c r="U65">
        <f t="shared" si="10"/>
        <v>0</v>
      </c>
      <c r="V65">
        <f>'Fannie Historical Ops'!Y59</f>
        <v>0</v>
      </c>
      <c r="W65">
        <f t="shared" si="10"/>
        <v>0</v>
      </c>
      <c r="X65">
        <v>0</v>
      </c>
      <c r="Y65">
        <f t="shared" si="10"/>
        <v>0</v>
      </c>
      <c r="Z65">
        <f>'Fannie Historical Ops'!AA59</f>
        <v>0</v>
      </c>
      <c r="AA65">
        <f t="shared" si="10"/>
        <v>0</v>
      </c>
      <c r="AB65">
        <v>0</v>
      </c>
      <c r="AC65">
        <f t="shared" si="10"/>
        <v>0</v>
      </c>
      <c r="AD65">
        <f t="shared" si="27"/>
        <v>51112.72</v>
      </c>
      <c r="AE65">
        <f t="shared" si="23"/>
        <v>506.07</v>
      </c>
    </row>
    <row r="66" ht="15" customHeight="1">
      <c r="C66" t="s">
        <v>1837</v>
      </c>
      <c r="E66">
        <f>'Fannie Historical Ops'!D64</f>
        <v>0</v>
      </c>
      <c r="F66">
        <f t="shared" si="10"/>
        <v>0</v>
      </c>
      <c r="G66">
        <f>'Fannie Historical Ops'!F64</f>
        <v>0</v>
      </c>
      <c r="H66">
        <f t="shared" si="10"/>
        <v>0</v>
      </c>
      <c r="I66" t="str">
        <f t="shared" si="11"/>
        <v>N/A</v>
      </c>
      <c r="J66">
        <f>'Fannie Historical Ops'!H64</f>
        <v>0</v>
      </c>
      <c r="K66">
        <f t="shared" si="10"/>
        <v>0</v>
      </c>
      <c r="L66" t="str">
        <f t="shared" si="12"/>
        <v>N/A</v>
      </c>
      <c r="M66">
        <f>'Fannie Historical Ops'!V64</f>
        <v>0</v>
      </c>
      <c r="N66">
        <f>ROUND(IF(M66&gt;0,(M66/M16)*12,0),2)</f>
        <v>0</v>
      </c>
      <c r="O66">
        <f t="shared" si="10"/>
        <v>0</v>
      </c>
      <c r="P66" t="str">
        <f t="shared" si="13"/>
        <v>N/A</v>
      </c>
      <c r="Q66">
        <v>0</v>
      </c>
      <c r="R66">
        <v>0</v>
      </c>
      <c r="S66">
        <v>0</v>
      </c>
      <c r="T66">
        <f t="shared" si="14"/>
        <v>0</v>
      </c>
      <c r="U66">
        <f t="shared" si="10"/>
        <v>0</v>
      </c>
      <c r="V66">
        <f>'Fannie Historical Ops'!Y64</f>
        <v>0</v>
      </c>
      <c r="W66">
        <f t="shared" si="10"/>
        <v>0</v>
      </c>
      <c r="X66">
        <v>0</v>
      </c>
      <c r="Y66">
        <f t="shared" si="10"/>
        <v>0</v>
      </c>
      <c r="Z66">
        <f>'Fannie Historical Ops'!AA64</f>
        <v>0</v>
      </c>
      <c r="AA66">
        <f t="shared" si="10"/>
        <v>0</v>
      </c>
      <c r="AB66">
        <v>0</v>
      </c>
      <c r="AC66">
        <f t="shared" si="10"/>
        <v>0</v>
      </c>
      <c r="AD66">
        <f t="shared" si="27"/>
        <v>0</v>
      </c>
      <c r="AE66">
        <f t="shared" si="23"/>
        <v>0</v>
      </c>
    </row>
    <row r="67" ht="15" customHeight="1">
      <c r="C67" t="s">
        <v>1838</v>
      </c>
      <c r="E67">
        <f>SUM('Fannie Historical Ops'!D61:D63,'Fannie Historical Ops'!D65,'Fannie Historical Ops'!D67:D68)</f>
        <v>0</v>
      </c>
      <c r="F67">
        <f t="shared" si="10"/>
        <v>0</v>
      </c>
      <c r="G67">
        <f>SUM('Fannie Historical Ops'!F61:F63,'Fannie Historical Ops'!F65,'Fannie Historical Ops'!F67:F68)</f>
        <v>0</v>
      </c>
      <c r="H67">
        <f t="shared" si="10"/>
        <v>0</v>
      </c>
      <c r="I67" t="str">
        <f t="shared" si="11"/>
        <v>N/A</v>
      </c>
      <c r="J67">
        <f>SUM('Fannie Historical Ops'!H61:H63,'Fannie Historical Ops'!H65,'Fannie Historical Ops'!H67:H68)</f>
        <v>0</v>
      </c>
      <c r="K67">
        <f t="shared" si="10"/>
        <v>0</v>
      </c>
      <c r="L67" t="str">
        <f t="shared" si="12"/>
        <v>N/A</v>
      </c>
      <c r="M67">
        <f>SUM('Fannie Historical Ops'!V61:V63,'Fannie Historical Ops'!V65,'Fannie Historical Ops'!V67:V68)</f>
        <v>215652</v>
      </c>
      <c r="N67">
        <f>ROUND(IF(M67&gt;0,(M67/M16)*12,0),2)</f>
        <v>215652</v>
      </c>
      <c r="O67">
        <f t="shared" si="10"/>
        <v>2135.17</v>
      </c>
      <c r="P67" t="str">
        <f t="shared" si="13"/>
        <v>N/A</v>
      </c>
      <c r="Q67">
        <v>0</v>
      </c>
      <c r="R67">
        <v>0</v>
      </c>
      <c r="S67">
        <v>0</v>
      </c>
      <c r="T67">
        <f t="shared" si="14"/>
        <v>0</v>
      </c>
      <c r="U67">
        <f t="shared" si="10"/>
        <v>0</v>
      </c>
      <c r="V67">
        <f>SUM('Fannie Historical Ops'!Y61:Y63,'Fannie Historical Ops'!Y65,'Fannie Historical Ops'!Y67:Y68)</f>
        <v>0</v>
      </c>
      <c r="W67">
        <f t="shared" si="10"/>
        <v>0</v>
      </c>
      <c r="X67">
        <v>0</v>
      </c>
      <c r="Y67">
        <f t="shared" si="10"/>
        <v>0</v>
      </c>
      <c r="Z67">
        <f>SUM('Fannie Historical Ops'!AA61:AA63,'Fannie Historical Ops'!AA65,'Fannie Historical Ops'!AA67:AA68)</f>
        <v>0</v>
      </c>
      <c r="AA67">
        <f t="shared" si="10"/>
        <v>0</v>
      </c>
      <c r="AB67">
        <v>0</v>
      </c>
      <c r="AC67">
        <f t="shared" si="10"/>
        <v>0</v>
      </c>
      <c r="AD67">
        <f t="shared" si="27"/>
        <v>222121.56</v>
      </c>
      <c r="AE67">
        <f t="shared" si="23"/>
        <v>2199.22</v>
      </c>
    </row>
    <row r="68" ht="15" customHeight="1">
      <c r="C68" t="s">
        <v>1839</v>
      </c>
      <c r="E68">
        <f>'Fannie Historical Ops'!D60</f>
        <v>0</v>
      </c>
      <c r="F68">
        <f t="shared" si="10"/>
        <v>0</v>
      </c>
      <c r="G68">
        <f>'Fannie Historical Ops'!F60</f>
        <v>0</v>
      </c>
      <c r="H68">
        <f t="shared" si="10"/>
        <v>0</v>
      </c>
      <c r="I68" t="str">
        <f t="shared" si="11"/>
        <v>N/A</v>
      </c>
      <c r="J68">
        <f>'Fannie Historical Ops'!H60</f>
        <v>0</v>
      </c>
      <c r="K68">
        <f t="shared" si="10"/>
        <v>0</v>
      </c>
      <c r="L68" t="str">
        <f t="shared" si="12"/>
        <v>N/A</v>
      </c>
      <c r="M68">
        <f>'Fannie Historical Ops'!V60</f>
        <v>18386</v>
      </c>
      <c r="N68">
        <f>ROUND(IF(M68&gt;0,(M68/M16)*12,0),2)</f>
        <v>18386</v>
      </c>
      <c r="O68">
        <f t="shared" si="10"/>
        <v>182.04</v>
      </c>
      <c r="P68" t="str">
        <f t="shared" si="13"/>
        <v>N/A</v>
      </c>
      <c r="Q68">
        <v>0</v>
      </c>
      <c r="R68">
        <v>0</v>
      </c>
      <c r="S68">
        <v>0</v>
      </c>
      <c r="T68">
        <f t="shared" si="14"/>
        <v>0</v>
      </c>
      <c r="U68">
        <f t="shared" si="10"/>
        <v>0</v>
      </c>
      <c r="V68">
        <f>'Fannie Historical Ops'!Y60</f>
        <v>0</v>
      </c>
      <c r="W68">
        <f t="shared" si="10"/>
        <v>0</v>
      </c>
      <c r="X68">
        <v>0</v>
      </c>
      <c r="Y68">
        <f t="shared" si="10"/>
        <v>0</v>
      </c>
      <c r="Z68">
        <f>'Fannie Historical Ops'!AA60</f>
        <v>0</v>
      </c>
      <c r="AA68">
        <f t="shared" si="10"/>
        <v>0</v>
      </c>
      <c r="AB68">
        <v>0</v>
      </c>
      <c r="AC68">
        <f t="shared" si="10"/>
        <v>0</v>
      </c>
      <c r="AD68">
        <f t="shared" si="27"/>
        <v>18937.58</v>
      </c>
      <c r="AE68">
        <f t="shared" si="23"/>
        <v>187.5</v>
      </c>
    </row>
    <row r="69" ht="15" customHeight="1">
      <c r="C69" t="s">
        <v>1840</v>
      </c>
      <c r="E69">
        <v>0</v>
      </c>
      <c r="F69">
        <f t="shared" si="10"/>
        <v>0</v>
      </c>
      <c r="G69">
        <v>0</v>
      </c>
      <c r="H69">
        <f t="shared" si="10"/>
        <v>0</v>
      </c>
      <c r="I69" t="str">
        <f t="shared" si="11"/>
        <v>N/A</v>
      </c>
      <c r="J69">
        <v>0</v>
      </c>
      <c r="K69">
        <f t="shared" si="10"/>
        <v>0</v>
      </c>
      <c r="L69" t="str">
        <f t="shared" si="12"/>
        <v>N/A</v>
      </c>
      <c r="M69">
        <v>0</v>
      </c>
      <c r="N69">
        <f>ROUND(IF(M69&gt;0,(M69/M16)*12,0),2)</f>
        <v>0</v>
      </c>
      <c r="O69">
        <f t="shared" si="10"/>
        <v>0</v>
      </c>
      <c r="P69" t="str">
        <f t="shared" si="13"/>
        <v>N/A</v>
      </c>
      <c r="Q69">
        <v>0</v>
      </c>
      <c r="R69">
        <v>0</v>
      </c>
      <c r="S69">
        <v>0</v>
      </c>
      <c r="T69">
        <f t="shared" si="14"/>
        <v>0</v>
      </c>
      <c r="U69">
        <f t="shared" si="10"/>
        <v>0</v>
      </c>
      <c r="V69">
        <v>0</v>
      </c>
      <c r="W69">
        <f t="shared" si="10"/>
        <v>0</v>
      </c>
      <c r="X69">
        <v>0</v>
      </c>
      <c r="Y69">
        <f t="shared" si="10"/>
        <v>0</v>
      </c>
      <c r="Z69">
        <v>0</v>
      </c>
      <c r="AA69">
        <f t="shared" si="10"/>
        <v>0</v>
      </c>
      <c r="AB69">
        <v>0</v>
      </c>
      <c r="AC69">
        <f t="shared" si="10"/>
        <v>0</v>
      </c>
      <c r="AD69">
        <f t="shared" si="27"/>
        <v>0</v>
      </c>
      <c r="AE69">
        <f t="shared" si="23"/>
        <v>0</v>
      </c>
    </row>
    <row r="70" ht="15" customHeight="1">
      <c r="C70" t="s">
        <v>1841</v>
      </c>
      <c r="E70">
        <f>'Fannie Historical Ops'!D36</f>
        <v>0</v>
      </c>
      <c r="F70">
        <f t="shared" si="10"/>
        <v>0</v>
      </c>
      <c r="G70">
        <f>'Fannie Historical Ops'!F36</f>
        <v>0</v>
      </c>
      <c r="H70">
        <f t="shared" si="10"/>
        <v>0</v>
      </c>
      <c r="I70" t="str">
        <f t="shared" si="11"/>
        <v>N/A</v>
      </c>
      <c r="J70">
        <f>'Fannie Historical Ops'!H36</f>
        <v>0</v>
      </c>
      <c r="K70">
        <f t="shared" si="10"/>
        <v>0</v>
      </c>
      <c r="L70" t="str">
        <f t="shared" si="12"/>
        <v>N/A</v>
      </c>
      <c r="M70">
        <f>'Fannie Historical Ops'!V36</f>
        <v>2723</v>
      </c>
      <c r="N70">
        <f>ROUND(IF(M70&gt;0,(M70/M16)*12,0),2)</f>
        <v>2723</v>
      </c>
      <c r="O70">
        <f t="shared" si="10"/>
        <v>26.96</v>
      </c>
      <c r="P70" t="str">
        <f t="shared" si="13"/>
        <v>N/A</v>
      </c>
      <c r="Q70">
        <v>0</v>
      </c>
      <c r="R70">
        <v>0</v>
      </c>
      <c r="S70">
        <v>0</v>
      </c>
      <c r="T70">
        <f t="shared" si="14"/>
        <v>0</v>
      </c>
      <c r="U70">
        <f t="shared" si="10"/>
        <v>0</v>
      </c>
      <c r="V70">
        <f>'Fannie Historical Ops'!Y36</f>
        <v>0</v>
      </c>
      <c r="W70">
        <f t="shared" si="10"/>
        <v>0</v>
      </c>
      <c r="X70">
        <v>0</v>
      </c>
      <c r="Y70">
        <f t="shared" si="10"/>
        <v>0</v>
      </c>
      <c r="Z70">
        <f>'Fannie Historical Ops'!AA36</f>
        <v>0</v>
      </c>
      <c r="AA70">
        <f t="shared" si="10"/>
        <v>0</v>
      </c>
      <c r="AB70">
        <v>0</v>
      </c>
      <c r="AC70">
        <f t="shared" si="10"/>
        <v>0</v>
      </c>
      <c r="AD70">
        <f t="shared" si="27"/>
        <v>2804.69</v>
      </c>
      <c r="AE70">
        <f t="shared" si="23"/>
        <v>27.77</v>
      </c>
    </row>
    <row r="71" ht="15" customHeight="1">
      <c r="C71" t="s">
        <v>1842</v>
      </c>
      <c r="E71">
        <f>'Fannie Historical Ops'!D34</f>
        <v>0</v>
      </c>
      <c r="F71">
        <f t="shared" si="10"/>
        <v>0</v>
      </c>
      <c r="G71">
        <f>'Fannie Historical Ops'!F34</f>
        <v>0</v>
      </c>
      <c r="H71">
        <f t="shared" si="10"/>
        <v>0</v>
      </c>
      <c r="I71" t="str">
        <f t="shared" si="11"/>
        <v>N/A</v>
      </c>
      <c r="J71">
        <f>'Fannie Historical Ops'!H34</f>
        <v>0</v>
      </c>
      <c r="K71">
        <f t="shared" si="10"/>
        <v>0</v>
      </c>
      <c r="L71" t="str">
        <f t="shared" si="12"/>
        <v>N/A</v>
      </c>
      <c r="M71">
        <f>'Fannie Historical Ops'!V34</f>
        <v>0</v>
      </c>
      <c r="N71">
        <f>ROUND(IF(M71&gt;0,(M71/M16)*12,0),2)</f>
        <v>0</v>
      </c>
      <c r="O71">
        <f t="shared" si="10"/>
        <v>0</v>
      </c>
      <c r="P71" t="str">
        <f t="shared" si="13"/>
        <v>N/A</v>
      </c>
      <c r="Q71">
        <v>0</v>
      </c>
      <c r="R71">
        <v>0</v>
      </c>
      <c r="S71">
        <v>0</v>
      </c>
      <c r="T71">
        <f t="shared" si="14"/>
        <v>0</v>
      </c>
      <c r="U71">
        <f t="shared" si="10"/>
        <v>0</v>
      </c>
      <c r="V71">
        <f>'Fannie Historical Ops'!Y34</f>
        <v>0</v>
      </c>
      <c r="W71">
        <f t="shared" si="10"/>
        <v>0</v>
      </c>
      <c r="X71">
        <v>0</v>
      </c>
      <c r="Y71">
        <f t="shared" si="10"/>
        <v>0</v>
      </c>
      <c r="Z71">
        <f>'Fannie Historical Ops'!AA34</f>
        <v>0</v>
      </c>
      <c r="AA71">
        <f t="shared" si="10"/>
        <v>0</v>
      </c>
      <c r="AB71">
        <v>0</v>
      </c>
      <c r="AC71">
        <f t="shared" si="10"/>
        <v>0</v>
      </c>
      <c r="AD71">
        <f t="shared" si="27"/>
        <v>0</v>
      </c>
      <c r="AE71">
        <f t="shared" si="23"/>
        <v>0</v>
      </c>
    </row>
    <row r="72" ht="15.75" customHeight="1">
      <c r="C72" t="s">
        <v>1843</v>
      </c>
      <c r="E72">
        <v>0</v>
      </c>
      <c r="F72">
        <f t="shared" si="10"/>
        <v>0</v>
      </c>
      <c r="G72">
        <v>0</v>
      </c>
      <c r="H72">
        <f t="shared" si="10"/>
        <v>0</v>
      </c>
      <c r="I72" t="str">
        <f t="shared" si="11"/>
        <v>N/A</v>
      </c>
      <c r="J72">
        <v>0</v>
      </c>
      <c r="K72">
        <f t="shared" si="10"/>
        <v>0</v>
      </c>
      <c r="L72" t="str">
        <f t="shared" si="12"/>
        <v>N/A</v>
      </c>
      <c r="M72">
        <v>0</v>
      </c>
      <c r="N72">
        <f>ROUND(IF(M72&gt;0,(M72/M16)*12,0),2)</f>
        <v>0</v>
      </c>
      <c r="O72">
        <f t="shared" si="10"/>
        <v>0</v>
      </c>
      <c r="P72" t="str">
        <f t="shared" si="13"/>
        <v>N/A</v>
      </c>
      <c r="Q72">
        <v>0</v>
      </c>
      <c r="R72">
        <v>0</v>
      </c>
      <c r="S72">
        <v>0</v>
      </c>
      <c r="T72">
        <f t="shared" si="14"/>
        <v>0</v>
      </c>
      <c r="U72">
        <f t="shared" si="10"/>
        <v>0</v>
      </c>
      <c r="V72">
        <v>0</v>
      </c>
      <c r="W72">
        <f t="shared" si="10"/>
        <v>0</v>
      </c>
      <c r="X72">
        <v>0</v>
      </c>
      <c r="Y72">
        <f t="shared" si="10"/>
        <v>0</v>
      </c>
      <c r="Z72">
        <v>0</v>
      </c>
      <c r="AA72">
        <f t="shared" si="10"/>
        <v>0</v>
      </c>
      <c r="AB72">
        <v>0</v>
      </c>
      <c r="AC72">
        <f t="shared" si="10"/>
        <v>0</v>
      </c>
      <c r="AD72">
        <f t="shared" si="27"/>
        <v>0</v>
      </c>
      <c r="AE72">
        <f t="shared" si="23"/>
        <v>0</v>
      </c>
    </row>
    <row r="73" ht="15.75" customHeight="1">
      <c r="C73" t="s">
        <v>1811</v>
      </c>
      <c r="E73">
        <f t="shared" si="36" ref="E73:AB73">IF(SUM(E65:E72)=0,0,SUM(E65:E72))</f>
        <v>0</v>
      </c>
      <c r="F73">
        <f t="shared" si="10"/>
        <v>0</v>
      </c>
      <c r="G73">
        <f t="shared" si="36"/>
        <v>0</v>
      </c>
      <c r="H73">
        <f t="shared" si="10"/>
        <v>0</v>
      </c>
      <c r="I73" t="str">
        <f t="shared" si="11"/>
        <v>N/A</v>
      </c>
      <c r="J73">
        <f t="shared" si="36"/>
        <v>0</v>
      </c>
      <c r="K73">
        <f t="shared" si="10"/>
        <v>0</v>
      </c>
      <c r="L73" t="str">
        <f t="shared" si="12"/>
        <v>N/A</v>
      </c>
      <c r="M73">
        <f t="shared" si="36"/>
        <v>286385</v>
      </c>
      <c r="N73">
        <f t="shared" si="36"/>
        <v>286385</v>
      </c>
      <c r="O73">
        <f t="shared" si="10"/>
        <v>2835.5</v>
      </c>
      <c r="P73" t="str">
        <f t="shared" si="13"/>
        <v>N/A</v>
      </c>
      <c r="Q73">
        <f t="shared" si="36"/>
        <v>0</v>
      </c>
      <c r="R73">
        <f t="shared" si="36"/>
        <v>0</v>
      </c>
      <c r="S73">
        <f t="shared" si="36"/>
        <v>0</v>
      </c>
      <c r="T73">
        <f t="shared" si="36"/>
        <v>0</v>
      </c>
      <c r="U73">
        <f t="shared" si="10"/>
        <v>0</v>
      </c>
      <c r="V73">
        <f t="shared" si="36"/>
        <v>0</v>
      </c>
      <c r="W73">
        <f t="shared" si="10"/>
        <v>0</v>
      </c>
      <c r="X73">
        <f t="shared" si="36"/>
        <v>0</v>
      </c>
      <c r="Y73">
        <f t="shared" si="10"/>
        <v>0</v>
      </c>
      <c r="Z73">
        <f t="shared" si="36"/>
        <v>0</v>
      </c>
      <c r="AA73">
        <f t="shared" si="10"/>
        <v>0</v>
      </c>
      <c r="AB73">
        <f t="shared" si="36"/>
        <v>0</v>
      </c>
      <c r="AC73">
        <f t="shared" si="10"/>
        <v>0</v>
      </c>
      <c r="AD73">
        <f>SUM(AD65:AD72)</f>
        <v>294976.55000000005</v>
      </c>
      <c r="AE73">
        <f t="shared" si="23"/>
        <v>2920.56</v>
      </c>
      <c r="AG73" t="e">
        <f>GETPIVOTDATA("[Measures].[Average]",$AK$21,"[Summary Line Items].[Line Item Type]","[Summary Line Items].[Line Item Type].&amp;[Total Gen &amp; Admin Expenses]")</f>
        <v>#REF!</v>
      </c>
    </row>
    <row r="74" ht="15" customHeight="1">
      <c r="C74" t="s">
        <v>1844</v>
      </c>
      <c r="E74">
        <v>0</v>
      </c>
      <c r="F74">
        <f t="shared" si="10"/>
        <v>0</v>
      </c>
      <c r="G74">
        <v>0</v>
      </c>
      <c r="H74">
        <f t="shared" si="10"/>
        <v>0</v>
      </c>
      <c r="I74" t="str">
        <f t="shared" si="11"/>
        <v>N/A</v>
      </c>
      <c r="J74">
        <v>0</v>
      </c>
      <c r="K74">
        <f t="shared" si="10"/>
        <v>0</v>
      </c>
      <c r="L74" t="str">
        <f t="shared" si="12"/>
        <v>N/A</v>
      </c>
      <c r="M74">
        <v>0</v>
      </c>
      <c r="N74">
        <f>ROUND(IF(M74&gt;0,(M74/M16)*12,0),2)</f>
        <v>0</v>
      </c>
      <c r="O74">
        <f t="shared" si="10"/>
        <v>0</v>
      </c>
      <c r="P74" t="str">
        <f t="shared" si="13"/>
        <v>N/A</v>
      </c>
      <c r="Q74">
        <v>0</v>
      </c>
      <c r="R74">
        <v>0</v>
      </c>
      <c r="S74">
        <v>0</v>
      </c>
      <c r="T74">
        <f t="shared" si="14"/>
        <v>0</v>
      </c>
      <c r="U74">
        <f t="shared" si="10"/>
        <v>0</v>
      </c>
      <c r="V74">
        <v>0</v>
      </c>
      <c r="W74">
        <f t="shared" si="10"/>
        <v>0</v>
      </c>
      <c r="X74">
        <v>0</v>
      </c>
      <c r="Y74">
        <f t="shared" si="10"/>
        <v>0</v>
      </c>
      <c r="Z74">
        <v>0</v>
      </c>
      <c r="AA74">
        <f t="shared" si="10"/>
        <v>0</v>
      </c>
      <c r="AB74">
        <v>0</v>
      </c>
      <c r="AC74">
        <f t="shared" si="10"/>
        <v>0</v>
      </c>
      <c r="AD74">
        <f t="shared" si="27"/>
        <v>0</v>
      </c>
      <c r="AE74">
        <f t="shared" si="23"/>
        <v>0</v>
      </c>
    </row>
    <row r="75" ht="15.75" customHeight="1">
      <c r="C75" t="s">
        <v>1812</v>
      </c>
      <c r="E75">
        <v>0</v>
      </c>
      <c r="F75">
        <f t="shared" si="10"/>
        <v>0</v>
      </c>
      <c r="G75">
        <v>0</v>
      </c>
      <c r="H75">
        <f t="shared" si="10"/>
        <v>0</v>
      </c>
      <c r="I75" t="str">
        <f t="shared" si="11"/>
        <v>N/A</v>
      </c>
      <c r="J75">
        <v>0</v>
      </c>
      <c r="K75">
        <f t="shared" si="10"/>
        <v>0</v>
      </c>
      <c r="L75" t="str">
        <f t="shared" si="12"/>
        <v>N/A</v>
      </c>
      <c r="M75">
        <v>0</v>
      </c>
      <c r="N75">
        <f>ROUND(IF(M75&gt;0,(M75/M16)*12,0),2)</f>
        <v>0</v>
      </c>
      <c r="O75">
        <f t="shared" si="10"/>
        <v>0</v>
      </c>
      <c r="P75" t="str">
        <f t="shared" si="13"/>
        <v>N/A</v>
      </c>
      <c r="Q75">
        <v>0</v>
      </c>
      <c r="R75">
        <v>0</v>
      </c>
      <c r="S75">
        <v>0</v>
      </c>
      <c r="T75">
        <f t="shared" si="14"/>
        <v>0</v>
      </c>
      <c r="U75">
        <f t="shared" si="10"/>
        <v>0</v>
      </c>
      <c r="V75">
        <v>0</v>
      </c>
      <c r="W75">
        <f t="shared" si="10"/>
        <v>0</v>
      </c>
      <c r="X75">
        <v>0</v>
      </c>
      <c r="Y75">
        <f t="shared" si="10"/>
        <v>0</v>
      </c>
      <c r="Z75">
        <v>0</v>
      </c>
      <c r="AA75">
        <f t="shared" si="10"/>
        <v>0</v>
      </c>
      <c r="AB75">
        <v>0</v>
      </c>
      <c r="AC75">
        <f t="shared" si="10"/>
        <v>0</v>
      </c>
      <c r="AD75">
        <f t="shared" si="27"/>
        <v>0</v>
      </c>
      <c r="AE75">
        <f t="shared" si="23"/>
        <v>0</v>
      </c>
      <c r="AG75" t="e">
        <f>GETPIVOTDATA("[Measures].[Average]",$AK$21,"[Summary Line Items].[Line Item Type]","[Summary Line Items].[Line Item Type].&amp;[Miscellaneous Expenses]")</f>
        <v>#REF!</v>
      </c>
    </row>
    <row r="76" ht="15.75" customHeight="1">
      <c r="C76" t="s">
        <v>1814</v>
      </c>
      <c r="E76">
        <f t="shared" si="37" ref="E76:AB76">+E75+E73+E74+E64+E58+E57</f>
        <v>0</v>
      </c>
      <c r="F76">
        <f t="shared" si="32"/>
        <v>0</v>
      </c>
      <c r="G76">
        <f t="shared" si="37"/>
        <v>0</v>
      </c>
      <c r="H76">
        <f t="shared" si="32"/>
        <v>0</v>
      </c>
      <c r="I76" t="str">
        <f t="shared" si="11"/>
        <v>N/A</v>
      </c>
      <c r="J76">
        <f t="shared" si="37"/>
        <v>0</v>
      </c>
      <c r="K76">
        <f t="shared" si="32"/>
        <v>0</v>
      </c>
      <c r="L76" t="str">
        <f t="shared" si="12"/>
        <v>N/A</v>
      </c>
      <c r="M76">
        <f t="shared" si="37"/>
        <v>1364978</v>
      </c>
      <c r="N76">
        <f t="shared" si="37"/>
        <v>1364978</v>
      </c>
      <c r="O76">
        <f t="shared" si="38" ref="O76:Y84">ROUND(IF(N76&gt;0,+N76/number_units,0),0)</f>
        <v>13515</v>
      </c>
      <c r="P76" t="str">
        <f t="shared" si="13"/>
        <v>N/A</v>
      </c>
      <c r="Q76">
        <f t="shared" si="37"/>
        <v>0</v>
      </c>
      <c r="R76">
        <f t="shared" si="37"/>
        <v>0</v>
      </c>
      <c r="S76">
        <f t="shared" si="37"/>
        <v>0</v>
      </c>
      <c r="T76">
        <f t="shared" si="37"/>
        <v>0</v>
      </c>
      <c r="U76">
        <f t="shared" si="32"/>
        <v>0</v>
      </c>
      <c r="V76">
        <f t="shared" si="37"/>
        <v>0</v>
      </c>
      <c r="W76">
        <f t="shared" si="38"/>
        <v>0</v>
      </c>
      <c r="X76">
        <f t="shared" si="37"/>
        <v>0</v>
      </c>
      <c r="Y76">
        <f t="shared" si="38"/>
        <v>0</v>
      </c>
      <c r="Z76">
        <f t="shared" si="37"/>
        <v>0</v>
      </c>
      <c r="AA76">
        <f t="shared" si="32"/>
        <v>0</v>
      </c>
      <c r="AB76">
        <f t="shared" si="37"/>
        <v>0</v>
      </c>
      <c r="AC76">
        <f t="shared" si="32"/>
        <v>0</v>
      </c>
      <c r="AD76">
        <f>AD75+AD73+AD74+AD64+AD58+AD57</f>
        <v>1263633.4400000002</v>
      </c>
      <c r="AE76">
        <f t="shared" si="23"/>
        <v>12511.22</v>
      </c>
      <c r="AG76" t="e">
        <f>GETPIVOTDATA("[Measures].[Average]",$AK$21,"[Summary Line Items].[Line Item Type]","[Summary Line Items].[Line Item Type].&amp;[TOTAL OPERATING EXPENSES]")</f>
        <v>#REF!</v>
      </c>
    </row>
    <row r="77" ht="15.75" customHeight="1"/>
    <row r="78" ht="15.75" customHeight="1">
      <c r="C78" t="s">
        <v>1816</v>
      </c>
      <c r="E78">
        <f t="shared" si="39" ref="E78:AD78">E46+E76</f>
        <v>0</v>
      </c>
      <c r="F78">
        <f t="shared" si="32"/>
        <v>0</v>
      </c>
      <c r="G78">
        <f t="shared" si="39"/>
        <v>0</v>
      </c>
      <c r="H78">
        <f t="shared" si="32"/>
        <v>0</v>
      </c>
      <c r="I78" t="str">
        <f t="shared" si="11"/>
        <v>N/A</v>
      </c>
      <c r="J78">
        <f t="shared" si="39"/>
        <v>0</v>
      </c>
      <c r="K78">
        <f t="shared" si="32"/>
        <v>0</v>
      </c>
      <c r="L78" t="str">
        <f t="shared" si="12"/>
        <v>N/A</v>
      </c>
      <c r="M78">
        <f t="shared" si="39"/>
        <v>2863573</v>
      </c>
      <c r="N78">
        <f t="shared" si="39"/>
        <v>2863573</v>
      </c>
      <c r="O78">
        <f t="shared" si="32"/>
        <v>28352.21</v>
      </c>
      <c r="P78" t="str">
        <f t="shared" si="13"/>
        <v>N/A</v>
      </c>
      <c r="Q78">
        <f t="shared" si="39"/>
        <v>0</v>
      </c>
      <c r="R78">
        <f t="shared" si="39"/>
        <v>0</v>
      </c>
      <c r="S78">
        <f t="shared" si="39"/>
        <v>0</v>
      </c>
      <c r="T78">
        <f t="shared" si="39"/>
        <v>0</v>
      </c>
      <c r="U78">
        <f t="shared" si="32"/>
        <v>0</v>
      </c>
      <c r="V78">
        <f t="shared" si="39"/>
        <v>0</v>
      </c>
      <c r="W78">
        <f t="shared" si="32"/>
        <v>0</v>
      </c>
      <c r="X78">
        <f t="shared" si="39"/>
        <v>0</v>
      </c>
      <c r="Y78">
        <f t="shared" si="32"/>
        <v>0</v>
      </c>
      <c r="Z78">
        <f t="shared" si="39"/>
        <v>0</v>
      </c>
      <c r="AA78">
        <f t="shared" si="32"/>
        <v>0</v>
      </c>
      <c r="AB78">
        <f t="shared" si="39"/>
        <v>0</v>
      </c>
      <c r="AC78">
        <f t="shared" si="32"/>
        <v>0</v>
      </c>
      <c r="AD78">
        <f t="shared" si="39"/>
        <v>2807186.29</v>
      </c>
      <c r="AE78">
        <f t="shared" si="23"/>
        <v>27793.92</v>
      </c>
      <c r="AG78" t="e">
        <f>GETPIVOTDATA("[Measures].[Average]",$AK$21,"[Summary Line Items].[Line Item Type]","[Summary Line Items].[Line Item Type].&amp;[TOTAL EXPENSES]")</f>
        <v>#REF!</v>
      </c>
    </row>
    <row r="79" ht="15" customHeight="1">
      <c r="C79" t="s">
        <v>1845</v>
      </c>
      <c r="E79">
        <f>'Fannie Historical Ops'!D37</f>
        <v>0</v>
      </c>
      <c r="F79">
        <f t="shared" si="10"/>
        <v>0</v>
      </c>
      <c r="G79">
        <f>'Fannie Historical Ops'!F37</f>
        <v>0</v>
      </c>
      <c r="H79">
        <f t="shared" si="10"/>
        <v>0</v>
      </c>
      <c r="I79" t="str">
        <f t="shared" si="11"/>
        <v>N/A</v>
      </c>
      <c r="J79">
        <f>'Fannie Historical Ops'!H37</f>
        <v>0</v>
      </c>
      <c r="K79">
        <f t="shared" si="10"/>
        <v>0</v>
      </c>
      <c r="L79" t="str">
        <f t="shared" si="12"/>
        <v>N/A</v>
      </c>
      <c r="M79">
        <f>'Fannie Historical Ops'!V37</f>
        <v>0</v>
      </c>
      <c r="N79">
        <f>ROUND(IF(M79&lt;&gt;0,(M79/M16)*12,0),2)</f>
        <v>0</v>
      </c>
      <c r="O79">
        <f t="shared" si="10"/>
        <v>0</v>
      </c>
      <c r="P79" t="str">
        <f t="shared" si="13"/>
        <v>N/A</v>
      </c>
      <c r="Q79">
        <v>0</v>
      </c>
      <c r="R79">
        <v>0</v>
      </c>
      <c r="S79">
        <v>0</v>
      </c>
      <c r="T79">
        <f t="shared" si="14"/>
        <v>0</v>
      </c>
      <c r="U79">
        <f t="shared" si="10"/>
        <v>0</v>
      </c>
      <c r="V79">
        <f>'Fannie Historical Ops'!Y37</f>
        <v>0</v>
      </c>
      <c r="W79">
        <f t="shared" si="10"/>
        <v>0</v>
      </c>
      <c r="X79">
        <v>0</v>
      </c>
      <c r="Y79">
        <f t="shared" si="10"/>
        <v>0</v>
      </c>
      <c r="Z79">
        <f>'Fannie Historical Ops'!AA37</f>
        <v>0</v>
      </c>
      <c r="AA79">
        <f t="shared" si="10"/>
        <v>0</v>
      </c>
      <c r="AB79">
        <v>0</v>
      </c>
      <c r="AC79">
        <f t="shared" si="10"/>
        <v>0</v>
      </c>
      <c r="AD79">
        <f t="shared" si="27"/>
        <v>0</v>
      </c>
      <c r="AE79">
        <f t="shared" si="23"/>
        <v>0</v>
      </c>
    </row>
    <row r="80" ht="15" customHeight="1">
      <c r="C80" t="s">
        <v>1425</v>
      </c>
      <c r="E80">
        <v>0</v>
      </c>
      <c r="F80">
        <f t="shared" si="10"/>
        <v>0</v>
      </c>
      <c r="G80">
        <v>0</v>
      </c>
      <c r="H80">
        <f t="shared" si="10"/>
        <v>0</v>
      </c>
      <c r="I80" t="str">
        <f t="shared" si="11"/>
        <v>N/A</v>
      </c>
      <c r="J80">
        <v>0</v>
      </c>
      <c r="K80">
        <f t="shared" si="10"/>
        <v>0</v>
      </c>
      <c r="L80" t="str">
        <f t="shared" si="12"/>
        <v>N/A</v>
      </c>
      <c r="M80">
        <v>0</v>
      </c>
      <c r="N80">
        <f>ROUND(IF(M80&lt;&gt;0,(M80/M16)*12,0),2)</f>
        <v>0</v>
      </c>
      <c r="O80">
        <f t="shared" si="10"/>
        <v>0</v>
      </c>
      <c r="P80" t="str">
        <f t="shared" si="13"/>
        <v>N/A</v>
      </c>
      <c r="Q80">
        <v>0</v>
      </c>
      <c r="R80">
        <v>0</v>
      </c>
      <c r="S80">
        <v>0</v>
      </c>
      <c r="T80">
        <f t="shared" si="14"/>
        <v>0</v>
      </c>
      <c r="U80">
        <f t="shared" si="10"/>
        <v>0</v>
      </c>
      <c r="V80">
        <v>0</v>
      </c>
      <c r="W80">
        <f t="shared" si="10"/>
        <v>0</v>
      </c>
      <c r="X80">
        <v>0</v>
      </c>
      <c r="Y80">
        <f t="shared" si="10"/>
        <v>0</v>
      </c>
      <c r="Z80">
        <f t="shared" si="40" ref="Z80:AB80">ROUND(AA80*number_units,2)</f>
        <v>0</v>
      </c>
      <c r="AA80">
        <v>0</v>
      </c>
      <c r="AB80">
        <f t="shared" si="40"/>
        <v>0</v>
      </c>
      <c r="AC80">
        <v>0</v>
      </c>
      <c r="AD80">
        <f>ROUND(AE80*AE8,2)</f>
        <v>25250</v>
      </c>
      <c r="AE80">
        <f>AE11</f>
        <v>250</v>
      </c>
      <c r="AG80" t="e">
        <f>GETPIVOTDATA("[Measures].[Average]",$AK$21,"[Summary Line Items].[Line Item Type]","[Summary Line Items].[Line Item Type].&amp;[Replacement Reserves]")</f>
        <v>#REF!</v>
      </c>
    </row>
    <row r="81" ht="15.75" customHeight="1">
      <c r="C81" t="s">
        <v>1846</v>
      </c>
      <c r="E81">
        <v>0</v>
      </c>
      <c r="F81">
        <f t="shared" si="10"/>
        <v>0</v>
      </c>
      <c r="G81">
        <v>0</v>
      </c>
      <c r="H81">
        <f t="shared" si="10"/>
        <v>0</v>
      </c>
      <c r="I81" t="str">
        <f t="shared" si="11"/>
        <v>N/A</v>
      </c>
      <c r="J81">
        <v>0</v>
      </c>
      <c r="K81">
        <f t="shared" si="10"/>
        <v>0</v>
      </c>
      <c r="L81" t="str">
        <f t="shared" si="12"/>
        <v>N/A</v>
      </c>
      <c r="M81">
        <v>0</v>
      </c>
      <c r="N81">
        <f>ROUND(IF(M81&lt;&gt;0,(M81/M16)*12,0),2)</f>
        <v>0</v>
      </c>
      <c r="O81">
        <f t="shared" si="10"/>
        <v>0</v>
      </c>
      <c r="P81" t="str">
        <f t="shared" si="13"/>
        <v>N/A</v>
      </c>
      <c r="Q81">
        <v>0</v>
      </c>
      <c r="R81">
        <v>0</v>
      </c>
      <c r="S81">
        <v>0</v>
      </c>
      <c r="T81">
        <f t="shared" si="14"/>
        <v>0</v>
      </c>
      <c r="U81">
        <f t="shared" si="10"/>
        <v>0</v>
      </c>
      <c r="V81">
        <v>0</v>
      </c>
      <c r="W81">
        <f t="shared" si="10"/>
        <v>0</v>
      </c>
      <c r="X81">
        <v>0</v>
      </c>
      <c r="Y81">
        <f t="shared" si="10"/>
        <v>0</v>
      </c>
      <c r="Z81">
        <v>0</v>
      </c>
      <c r="AA81">
        <f t="shared" si="10"/>
        <v>0</v>
      </c>
      <c r="AB81">
        <v>0</v>
      </c>
      <c r="AC81">
        <f t="shared" si="10"/>
        <v>0</v>
      </c>
      <c r="AD81">
        <f t="shared" si="27"/>
        <v>0</v>
      </c>
      <c r="AE81">
        <f t="shared" si="23"/>
        <v>0</v>
      </c>
    </row>
    <row r="82" ht="15.75" customHeight="1">
      <c r="C82" t="s">
        <v>1818</v>
      </c>
      <c r="E82">
        <f t="shared" si="41" ref="E82:AB82">(E78+E79+E80+E81)</f>
        <v>0</v>
      </c>
      <c r="F82">
        <f t="shared" si="32"/>
        <v>0</v>
      </c>
      <c r="G82">
        <f t="shared" si="41"/>
        <v>0</v>
      </c>
      <c r="H82">
        <f t="shared" si="32"/>
        <v>0</v>
      </c>
      <c r="I82" t="str">
        <f t="shared" si="11"/>
        <v>N/A</v>
      </c>
      <c r="J82">
        <f t="shared" si="41"/>
        <v>0</v>
      </c>
      <c r="K82">
        <f t="shared" si="32"/>
        <v>0</v>
      </c>
      <c r="L82" t="str">
        <f t="shared" si="12"/>
        <v>N/A</v>
      </c>
      <c r="M82">
        <f t="shared" si="41"/>
        <v>2863573</v>
      </c>
      <c r="N82">
        <f t="shared" si="41"/>
        <v>2863573</v>
      </c>
      <c r="O82">
        <f t="shared" si="32"/>
        <v>28352.21</v>
      </c>
      <c r="P82" t="str">
        <f t="shared" si="13"/>
        <v>N/A</v>
      </c>
      <c r="Q82">
        <f t="shared" si="41"/>
        <v>0</v>
      </c>
      <c r="R82">
        <f t="shared" si="41"/>
        <v>0</v>
      </c>
      <c r="S82">
        <f t="shared" si="41"/>
        <v>0</v>
      </c>
      <c r="T82">
        <f t="shared" si="41"/>
        <v>0</v>
      </c>
      <c r="U82">
        <f t="shared" si="32"/>
        <v>0</v>
      </c>
      <c r="V82">
        <f t="shared" si="41"/>
        <v>0</v>
      </c>
      <c r="W82">
        <f t="shared" si="32"/>
        <v>0</v>
      </c>
      <c r="X82">
        <f t="shared" si="41"/>
        <v>0</v>
      </c>
      <c r="Y82">
        <f t="shared" si="32"/>
        <v>0</v>
      </c>
      <c r="Z82">
        <f t="shared" si="41"/>
        <v>0</v>
      </c>
      <c r="AA82">
        <f t="shared" si="32"/>
        <v>0</v>
      </c>
      <c r="AB82">
        <f t="shared" si="41"/>
        <v>0</v>
      </c>
      <c r="AC82">
        <f t="shared" si="32"/>
        <v>0</v>
      </c>
      <c r="AD82">
        <f>AD78+AD79+AD80+AD81</f>
        <v>2832436.29</v>
      </c>
      <c r="AE82">
        <f t="shared" si="23"/>
        <v>28043.92</v>
      </c>
      <c r="AG82" t="e">
        <f>GETPIVOTDATA("[Measures].[Average]",$AK$21,"[Summary Line Items].[Line Item Type]","[Summary Line Items].[Line Item Type].&amp;[Total Expenses &amp; Reserves]")</f>
        <v>#REF!</v>
      </c>
    </row>
    <row r="83" ht="15.75" customHeight="1">
      <c r="D83" t="s">
        <v>1847</v>
      </c>
      <c r="F83">
        <f t="shared" si="42" ref="F83:AE83">ROUND(IF(F36&gt;0,+F82/F36,0),10)</f>
        <v>0</v>
      </c>
      <c r="H83">
        <f t="shared" si="42"/>
        <v>0</v>
      </c>
      <c r="K83">
        <f t="shared" si="42"/>
        <v>0</v>
      </c>
      <c r="O83">
        <f t="shared" si="42"/>
        <v>0.6237250931</v>
      </c>
      <c r="U83">
        <f t="shared" si="42"/>
        <v>0</v>
      </c>
      <c r="W83">
        <f t="shared" si="42"/>
        <v>0</v>
      </c>
      <c r="Y83">
        <f t="shared" si="42"/>
        <v>0</v>
      </c>
      <c r="AA83">
        <f t="shared" si="42"/>
        <v>0</v>
      </c>
      <c r="AC83">
        <f t="shared" si="42"/>
        <v>0</v>
      </c>
      <c r="AE83">
        <f t="shared" si="42"/>
        <v>2.3286412733</v>
      </c>
      <c r="AG83" t="e">
        <f>GETPIVOTDATA("[Measures].[Average]",$AK$21,"[Summary Line Items].[Line Item Type]","[Summary Line Items].[Line Item Type].&amp;[Expense Ratio]")</f>
        <v>#REF!</v>
      </c>
    </row>
    <row r="84" ht="15.75" customHeight="1">
      <c r="C84" t="s">
        <v>1848</v>
      </c>
      <c r="E84">
        <f t="shared" si="43" ref="E84:AD84">E36-E82</f>
        <v>0</v>
      </c>
      <c r="F84">
        <f t="shared" si="10"/>
        <v>0</v>
      </c>
      <c r="G84">
        <f t="shared" si="43"/>
        <v>0</v>
      </c>
      <c r="H84">
        <f t="shared" si="10"/>
        <v>0</v>
      </c>
      <c r="I84" t="str">
        <f t="shared" si="11"/>
        <v>N/A</v>
      </c>
      <c r="J84">
        <f t="shared" si="43"/>
        <v>0</v>
      </c>
      <c r="K84">
        <f t="shared" si="10"/>
        <v>0</v>
      </c>
      <c r="L84" t="str">
        <f t="shared" si="12"/>
        <v>N/A</v>
      </c>
      <c r="M84">
        <f t="shared" si="43"/>
        <v>1727509</v>
      </c>
      <c r="N84">
        <f t="shared" si="43"/>
        <v>1727509</v>
      </c>
      <c r="O84">
        <f t="shared" si="38"/>
        <v>17104</v>
      </c>
      <c r="P84" t="str">
        <f t="shared" si="13"/>
        <v>N/A</v>
      </c>
      <c r="Q84">
        <f t="shared" si="43"/>
        <v>0</v>
      </c>
      <c r="R84">
        <f t="shared" si="43"/>
        <v>0</v>
      </c>
      <c r="S84">
        <f t="shared" si="43"/>
        <v>0</v>
      </c>
      <c r="T84">
        <f t="shared" si="43"/>
        <v>0</v>
      </c>
      <c r="U84">
        <f t="shared" si="30"/>
        <v>0</v>
      </c>
      <c r="V84">
        <f t="shared" si="43"/>
        <v>0</v>
      </c>
      <c r="W84">
        <f t="shared" si="10"/>
        <v>0</v>
      </c>
      <c r="X84">
        <f t="shared" si="43"/>
        <v>0</v>
      </c>
      <c r="Y84">
        <f t="shared" si="10"/>
        <v>0</v>
      </c>
      <c r="Z84">
        <f t="shared" si="43"/>
        <v>0</v>
      </c>
      <c r="AA84">
        <f t="shared" si="30"/>
        <v>0</v>
      </c>
      <c r="AB84">
        <f t="shared" si="43"/>
        <v>0</v>
      </c>
      <c r="AC84">
        <f t="shared" si="30"/>
        <v>0</v>
      </c>
      <c r="AD84">
        <f t="shared" si="43"/>
        <v>-1616089.29</v>
      </c>
      <c r="AE84">
        <f t="shared" si="23"/>
        <v>-16000.88</v>
      </c>
      <c r="AG84" t="e">
        <f>GETPIVOTDATA("[Measures].[Average]",$AK$21,"[Summary Line Items].[Line Item Type]","[Summary Line Items].[Line Item Type].&amp;[NOI]")</f>
        <v>#REF!</v>
      </c>
    </row>
    <row r="85" ht="15.75" customHeight="1">
      <c r="C85" t="s">
        <v>1849</v>
      </c>
      <c r="E85">
        <f>'Fannie Historical Ops'!D73</f>
        <v>0</v>
      </c>
      <c r="F85">
        <f t="shared" si="10"/>
        <v>0</v>
      </c>
      <c r="G85">
        <f>'Fannie Historical Ops'!F73</f>
        <v>0</v>
      </c>
      <c r="H85">
        <f t="shared" si="10"/>
        <v>0</v>
      </c>
      <c r="I85" t="str">
        <f t="shared" si="11"/>
        <v>N/A</v>
      </c>
      <c r="J85">
        <f>'Fannie Historical Ops'!H73</f>
        <v>0</v>
      </c>
      <c r="K85">
        <f t="shared" si="10"/>
        <v>0</v>
      </c>
      <c r="L85" t="str">
        <f t="shared" si="12"/>
        <v>N/A</v>
      </c>
      <c r="M85">
        <f>'Fannie Historical Ops'!V73</f>
        <v>0</v>
      </c>
      <c r="N85">
        <f>ROUND(IF(M85&lt;&gt;0,(M85/M16)*12,0),2)</f>
        <v>0</v>
      </c>
      <c r="O85">
        <f t="shared" si="10"/>
        <v>0</v>
      </c>
      <c r="P85" t="str">
        <f t="shared" si="13"/>
        <v>N/A</v>
      </c>
      <c r="Q85">
        <v>0</v>
      </c>
      <c r="R85">
        <v>0</v>
      </c>
      <c r="S85">
        <v>0</v>
      </c>
      <c r="T85">
        <f t="shared" si="14"/>
        <v>0</v>
      </c>
      <c r="U85">
        <f t="shared" si="10"/>
        <v>0</v>
      </c>
      <c r="V85">
        <v>0</v>
      </c>
      <c r="W85">
        <f t="shared" si="10"/>
        <v>0</v>
      </c>
      <c r="X85">
        <v>0</v>
      </c>
      <c r="Y85">
        <f t="shared" si="10"/>
        <v>0</v>
      </c>
      <c r="Z85">
        <v>0</v>
      </c>
      <c r="AA85">
        <f t="shared" si="10"/>
        <v>0</v>
      </c>
      <c r="AB85">
        <v>0</v>
      </c>
      <c r="AC85">
        <f t="shared" si="10"/>
        <v>0</v>
      </c>
      <c r="AD85">
        <f t="shared" si="15"/>
        <v>0</v>
      </c>
      <c r="AE85">
        <f t="shared" si="23"/>
        <v>0</v>
      </c>
    </row>
    <row r="86" ht="15.75" customHeight="1">
      <c r="C86" t="s">
        <v>1850</v>
      </c>
      <c r="E86">
        <f t="shared" si="19"/>
        <v>0</v>
      </c>
      <c r="F86">
        <f t="shared" si="10"/>
        <v>0</v>
      </c>
      <c r="G86">
        <f t="shared" si="19"/>
        <v>0</v>
      </c>
      <c r="H86">
        <f t="shared" si="10"/>
        <v>0</v>
      </c>
      <c r="I86" t="str">
        <f t="shared" si="11"/>
        <v>N/A</v>
      </c>
      <c r="J86">
        <f t="shared" si="19"/>
        <v>0</v>
      </c>
      <c r="K86">
        <f t="shared" si="10"/>
        <v>0</v>
      </c>
      <c r="L86" t="str">
        <f t="shared" si="12"/>
        <v>N/A</v>
      </c>
      <c r="M86">
        <f t="shared" si="19"/>
        <v>1727509</v>
      </c>
      <c r="N86">
        <f t="shared" si="19"/>
        <v>1727509</v>
      </c>
      <c r="O86">
        <f t="shared" si="10"/>
        <v>17104.05</v>
      </c>
      <c r="P86" t="str">
        <f t="shared" si="13"/>
        <v>N/A</v>
      </c>
      <c r="Q86">
        <f t="shared" si="19"/>
        <v>0</v>
      </c>
      <c r="R86">
        <f t="shared" si="19"/>
        <v>0</v>
      </c>
      <c r="S86">
        <f t="shared" si="19"/>
        <v>0</v>
      </c>
      <c r="T86">
        <f t="shared" si="19"/>
        <v>0</v>
      </c>
      <c r="U86">
        <f t="shared" si="10"/>
        <v>0</v>
      </c>
      <c r="V86">
        <f t="shared" si="19"/>
        <v>0</v>
      </c>
      <c r="W86">
        <f t="shared" si="10"/>
        <v>0</v>
      </c>
      <c r="X86">
        <f t="shared" si="19"/>
        <v>0</v>
      </c>
      <c r="Y86">
        <f t="shared" si="10"/>
        <v>0</v>
      </c>
      <c r="Z86">
        <f t="shared" si="19"/>
        <v>0</v>
      </c>
      <c r="AA86">
        <f t="shared" si="10"/>
        <v>0</v>
      </c>
      <c r="AB86">
        <f t="shared" si="19"/>
        <v>0</v>
      </c>
      <c r="AC86">
        <f t="shared" si="10"/>
        <v>0</v>
      </c>
      <c r="AD86">
        <f t="shared" si="44"/>
        <v>-1616089.29</v>
      </c>
      <c r="AE86">
        <f t="shared" si="23"/>
        <v>-16000.88</v>
      </c>
    </row>
    <row r="87" ht="14.25" customHeight="1"/>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97F0961-6AAB-C08D-8122-CD73CD1C1BAE}" mc:Ignorable="x14ac xr xr2 xr3">
  <sheetPr>
    <tabColor rgb="FF00B050"/>
    <pageSetUpPr fitToPage="1"/>
  </sheetPr>
  <dimension ref="A1:AY98"/>
  <sheetViews>
    <sheetView topLeftCell="A1" zoomScale="80" workbookViewId="0">
      <selection activeCell="V2" sqref="V2"/>
    </sheetView>
  </sheetViews>
  <sheetFormatPr defaultRowHeight="14.002500000000003" defaultColWidth="9.57421875" customHeight="1"/>
  <cols>
    <col min="1" max="1" width="10.00390625" customWidth="1"/>
    <col min="2" max="2" width="37.140625" customWidth="1"/>
    <col min="3" max="3" width="6.140625" customWidth="1"/>
    <col min="4" max="4" width="11.8515625" customWidth="1"/>
    <col min="5" max="5" width="8.7109375" customWidth="1"/>
    <col min="6" max="6" width="11.8515625" customWidth="1"/>
    <col min="7" max="7" width="8.7109375" customWidth="1"/>
    <col min="8" max="8" width="11.8515625" customWidth="1"/>
    <col min="9" max="9" width="8.7109375" customWidth="1"/>
    <col min="10" max="21" width="11.8515625" customWidth="1"/>
    <col min="22" max="22" width="13.140625" customWidth="1"/>
    <col min="23" max="23" width="14.8515625" customWidth="1"/>
    <col min="24" max="24" width="8.7109375" customWidth="1"/>
    <col min="25" max="25" width="11.8515625" customWidth="1"/>
    <col min="26" max="26" width="8.7109375" customWidth="1"/>
    <col min="27" max="27" width="11.8515625" customWidth="1"/>
    <col min="28" max="28" width="8.7109375" customWidth="1"/>
    <col min="29" max="29" width="11.8515625" customWidth="1"/>
    <col min="30" max="30" width="8.7109375" customWidth="1"/>
    <col min="31" max="31" width="11.8515625" customWidth="1"/>
    <col min="32" max="32" width="8.7109375" customWidth="1"/>
    <col min="33" max="33" width="11.8515625" customWidth="1"/>
    <col min="34" max="34" width="8.7109375" customWidth="1"/>
    <col min="35" max="35" width="11.8515625" customWidth="1"/>
    <col min="36" max="36" width="8.7109375" customWidth="1"/>
    <col min="37" max="37" width="11.8515625" customWidth="1"/>
    <col min="38" max="38" width="8.7109375" customWidth="1"/>
    <col min="39" max="39" width="11.8515625" customWidth="1"/>
    <col min="40" max="40" width="8.7109375" customWidth="1"/>
    <col min="41" max="41" width="2.7109375" customWidth="1"/>
    <col min="42" max="42" width="8.28125" customWidth="1"/>
    <col min="43" max="43" width="44.57421875" customWidth="1"/>
    <col min="44" max="44" width="28.7109375" customWidth="1"/>
    <col min="45" max="45" width="3.57421875" customWidth="1"/>
    <col min="46" max="46" width="11.57421875" customWidth="1"/>
    <col min="47" max="47" width="4.00390625" hidden="1" customWidth="1"/>
    <col min="48" max="48" width="11.57421875" customWidth="1"/>
    <col min="49" max="49" width="7.57421875" customWidth="1"/>
    <col min="50" max="50" width="3.57421875" customWidth="1"/>
    <col min="51" max="51" width="7.57421875" customWidth="1"/>
  </cols>
  <sheetData>
    <row r="1" ht="15" customHeight="1">
      <c r="A1" t="str">
        <f>IF(AND(LEN(property_name)&gt;0,property_name&lt;&gt;"XXXX"),property_name,"Property: XXXX")</f>
        <v>Property: XXXX</v>
      </c>
      <c r="F1" t="s">
        <v>1852</v>
      </c>
      <c r="V1">
        <f>number_units</f>
        <v>101</v>
      </c>
      <c r="AK1" s="1">
        <f t="shared" si="0" ref="AK1:AL1">NOW()</f>
        <v>45189.64865582176</v>
      </c>
      <c r="AL1" s="1">
        <f t="shared" si="0"/>
        <v>45189.64865582176</v>
      </c>
      <c r="AR1" t="str">
        <f t="shared" si="1" ref="AR1:AT1">A1</f>
        <v>Property: XXXX</v>
      </c>
      <c r="AT1">
        <f t="shared" si="1"/>
        <v>0</v>
      </c>
    </row>
    <row r="2" ht="14.25" customHeight="1">
      <c r="B2" t="s">
        <v>1853</v>
      </c>
      <c r="D2" t="s">
        <v>1854</v>
      </c>
      <c r="F2" t="s">
        <v>1854</v>
      </c>
      <c r="H2" t="s">
        <v>1854</v>
      </c>
      <c r="J2" t="s">
        <v>1738</v>
      </c>
      <c r="K2" t="s">
        <v>1855</v>
      </c>
      <c r="L2" t="s">
        <v>1856</v>
      </c>
      <c r="M2" t="s">
        <v>1857</v>
      </c>
      <c r="N2" t="s">
        <v>1858</v>
      </c>
      <c r="O2" t="s">
        <v>1859</v>
      </c>
      <c r="P2" t="s">
        <v>1737</v>
      </c>
      <c r="Q2" t="s">
        <v>1860</v>
      </c>
      <c r="R2" t="s">
        <v>1861</v>
      </c>
      <c r="S2" t="s">
        <v>1736</v>
      </c>
      <c r="T2" t="s">
        <v>1862</v>
      </c>
      <c r="U2" t="s">
        <v>1735</v>
      </c>
      <c r="V2" t="s">
        <v>1863</v>
      </c>
      <c r="W2" t="str">
        <f>IF(HOps_YTD_or_TR_DropDown="YTD",HOps_YTD_or_TR_DropDown,"TR-"&amp;HOps_YTD_or_TR_Months)&amp;IF(V2="YTD"," Annualized ("&amp;TEXT('OS Analysis'!P2,"m/yyyy")&amp;")"," Statement ("&amp;TEXT('OS Analysis'!P2,"m/yyyy")&amp;")")</f>
        <v>TR-12 Statement (9/2022)</v>
      </c>
      <c r="Y2" t="s">
        <v>1865</v>
      </c>
      <c r="AA2" t="s">
        <v>1866</v>
      </c>
      <c r="AC2" t="s">
        <v>1866</v>
      </c>
      <c r="AE2" t="s">
        <v>1867</v>
      </c>
      <c r="AG2" t="s">
        <v>1868</v>
      </c>
      <c r="AI2" t="s">
        <v>1869</v>
      </c>
      <c r="AK2" t="s">
        <v>1870</v>
      </c>
      <c r="AM2" t="s">
        <v>1871</v>
      </c>
      <c r="AQ2" t="str">
        <f t="shared" si="3" ref="AQ2:AQ79">B2</f>
        <v>Data Source</v>
      </c>
      <c r="AR2" t="s">
        <v>1872</v>
      </c>
      <c r="AT2" t="s">
        <v>1873</v>
      </c>
      <c r="AV2" t="s">
        <v>1874</v>
      </c>
      <c r="AX2">
        <v>2011</v>
      </c>
    </row>
    <row r="3" ht="14.25" customHeight="1">
      <c r="B3" t="s">
        <v>1875</v>
      </c>
      <c r="J3" t="s">
        <v>1876</v>
      </c>
      <c r="K3" t="s">
        <v>1876</v>
      </c>
      <c r="L3" t="s">
        <v>1876</v>
      </c>
      <c r="M3" t="s">
        <v>1876</v>
      </c>
      <c r="N3" t="s">
        <v>1876</v>
      </c>
      <c r="O3" t="s">
        <v>1876</v>
      </c>
      <c r="P3" t="s">
        <v>1876</v>
      </c>
      <c r="Q3" t="s">
        <v>1876</v>
      </c>
      <c r="R3" t="s">
        <v>1876</v>
      </c>
      <c r="S3" t="s">
        <v>1876</v>
      </c>
      <c r="T3" t="s">
        <v>1876</v>
      </c>
      <c r="U3" t="s">
        <v>1876</v>
      </c>
      <c r="V3" t="s">
        <v>1877</v>
      </c>
    </row>
    <row r="4" ht="15" customHeight="1">
      <c r="B4" t="s">
        <v>1763</v>
      </c>
      <c r="D4">
        <f>IF(ISBLANK(D3),HOps_CurrentYear-3,"Using TR Figures")</f>
        <v>2019</v>
      </c>
      <c r="E4" t="s">
        <v>1878</v>
      </c>
      <c r="F4">
        <f>IF(ISBLANK(F3),HOps_CurrentYear-2,"Using TR Figures")</f>
        <v>2020</v>
      </c>
      <c r="G4" t="s">
        <v>1878</v>
      </c>
      <c r="H4">
        <f>IF(ISBLANK(H3),HOps_CurrentYear-1,"Using TR Figures")</f>
        <v>2021</v>
      </c>
      <c r="I4" t="s">
        <v>1878</v>
      </c>
      <c r="V4">
        <v>12</v>
      </c>
      <c r="W4">
        <f>YEAR(OSAnalysis_MostRecentMonth)</f>
        <v>2022</v>
      </c>
      <c r="X4" t="s">
        <v>1878</v>
      </c>
      <c r="Y4">
        <f>W4</f>
        <v>2022</v>
      </c>
      <c r="Z4" t="s">
        <v>1878</v>
      </c>
      <c r="AA4" t="s">
        <v>1879</v>
      </c>
      <c r="AB4" t="s">
        <v>1878</v>
      </c>
      <c r="AC4" t="s">
        <v>1880</v>
      </c>
      <c r="AD4" t="s">
        <v>1878</v>
      </c>
      <c r="AE4" t="s">
        <v>1881</v>
      </c>
      <c r="AF4" t="s">
        <v>1878</v>
      </c>
      <c r="AG4" t="s">
        <v>1881</v>
      </c>
      <c r="AH4" t="s">
        <v>1878</v>
      </c>
      <c r="AI4" t="s">
        <v>1881</v>
      </c>
      <c r="AJ4" t="s">
        <v>1878</v>
      </c>
      <c r="AK4" t="s">
        <v>1879</v>
      </c>
      <c r="AL4" t="s">
        <v>1878</v>
      </c>
      <c r="AM4" t="s">
        <v>1879</v>
      </c>
      <c r="AN4" t="s">
        <v>1878</v>
      </c>
      <c r="AX4" t="s">
        <v>1882</v>
      </c>
    </row>
    <row r="5" ht="14.25" customHeight="1">
      <c r="B5" t="s">
        <v>1395</v>
      </c>
      <c r="D5">
        <f>IF(ISBLANK(D$3),SUMIF('OS Analysis'!$BM3:$BM1002,$B5,'OS Analysis'!$CB3:$CB1002),INDEX($J5:$U5,1,MATCH(D$3,$J$4:$U$4,0)))</f>
        <v>0</v>
      </c>
      <c r="E5">
        <f t="shared" si="2" ref="E5:AN30">_xlfn.IFERROR((D5/$V$1)/12,0)</f>
        <v>0</v>
      </c>
      <c r="F5">
        <f>IF(ISBLANK(F$3),SUMIF('OS Analysis'!$AV3:$AV1002,$B5,'OS Analysis'!$BK3:$BK1002),INDEX($J5:$U5,1,MATCH(F$3,$J$4:$U$4,0)))</f>
        <v>0</v>
      </c>
      <c r="G5">
        <f t="shared" si="2"/>
        <v>0</v>
      </c>
      <c r="H5">
        <f>IF(ISBLANK(H$3),SUMIF('OS Analysis'!$AE3:$AE1002,$B5,'OS Analysis'!$AT3:$AT1002),INDEX($J5:$U5,1,MATCH(H$3,$J$4:$U$4,0)))</f>
        <v>0</v>
      </c>
      <c r="I5">
        <f t="shared" si="2"/>
        <v>0</v>
      </c>
      <c r="J5">
        <f>((SUMIF('OS Analysis'!$B3:$B1002,B5,'OS Analysis'!$AC3:$AC1002))/12)*12</f>
        <v>5028324</v>
      </c>
      <c r="K5">
        <f>((SUMIF('OS Analysis'!$B3:$B1002,B5,'OS Analysis'!$AB3:$AB1002))/11)*12</f>
        <v>5023599.2727272725</v>
      </c>
      <c r="L5">
        <f>((SUMIF('OS Analysis'!$B3:$B1002,B5,'OS Analysis'!$AA3:$AA1002))/10)*12</f>
        <v>5019590.4</v>
      </c>
      <c r="M5">
        <f>((SUMIF('OS Analysis'!$B3:$B1002,B5,'OS Analysis'!$Z3:$Z1002))/9)*12</f>
        <v>5055228</v>
      </c>
      <c r="N5">
        <f>((SUMIF('OS Analysis'!$B3:$B1002,B5,'OS Analysis'!$Y3:$Y1002))/8)*12</f>
        <v>5056887</v>
      </c>
      <c r="O5">
        <f>((SUMIF('OS Analysis'!$B3:$B1002,B5,'OS Analysis'!$X3:$X1002))/7)*12</f>
        <v>5050911.428571429</v>
      </c>
      <c r="P5">
        <f>((SUMIF('OS Analysis'!$B3:$B1002,B5,'OS Analysis'!$W3:$W1002))/6)*12</f>
        <v>5103032</v>
      </c>
      <c r="Q5">
        <f>((SUMIF('OS Analysis'!$B3:$B1002,B5,'OS Analysis'!$V3:$V1002))/5)*12</f>
        <v>5146665.6</v>
      </c>
      <c r="R5">
        <f>((SUMIF('OS Analysis'!$B3:$B1002,B5,'OS Analysis'!$U3:$U1002))/4)*12</f>
        <v>5161863</v>
      </c>
      <c r="S5">
        <f>((SUMIF('OS Analysis'!$B3:$B1002,B5,'OS Analysis'!$T3:$T1002))/3)*12</f>
        <v>5135568</v>
      </c>
      <c r="T5">
        <f>((SUMIF('OS Analysis'!$B3:$B1002,B5,'OS Analysis'!$S3:$S1002))/2)*12</f>
        <v>5157234</v>
      </c>
      <c r="U5">
        <f>(SUMIF('OS Analysis'!$B3:$B1002,B5,'OS Analysis'!$R3:$R1002))*12</f>
        <v>5113104</v>
      </c>
      <c r="V5">
        <f>SUMIF('OS Analysis'!$B$3:$B$1002,$B5,'OS Analysis'!$Q$3:$Q$1002)</f>
        <v>5028324</v>
      </c>
      <c r="W5">
        <f t="shared" si="5" ref="W5:W73">(V5/$V$4)*12</f>
        <v>5028324</v>
      </c>
      <c r="X5">
        <f t="shared" si="2"/>
        <v>4148.782178217822</v>
      </c>
      <c r="Y5">
        <f>SUMIF('OS Analysis'!$CD3:$CD1002,$B5,'OS Analysis'!$CS3:$CS1002)</f>
        <v>0</v>
      </c>
      <c r="Z5">
        <f t="shared" si="2"/>
        <v>0</v>
      </c>
      <c r="AA5">
        <f>SUMIF('OS Analysis'!$CU3:$CU1002,$B5,'OS Analysis'!$CW3:$CW1002)</f>
        <v>0</v>
      </c>
      <c r="AB5">
        <f t="shared" si="2"/>
        <v>0</v>
      </c>
      <c r="AC5">
        <f>SUMIF('OS Analysis'!$CU3:$CU1002,$B5,'OS Analysis'!$CX3:$CX1002)</f>
        <v>0</v>
      </c>
      <c r="AD5">
        <f t="shared" si="2"/>
        <v>0</v>
      </c>
      <c r="AE5">
        <v>0</v>
      </c>
      <c r="AF5">
        <f t="shared" si="2"/>
        <v>0</v>
      </c>
      <c r="AG5">
        <v>0</v>
      </c>
      <c r="AH5">
        <f t="shared" si="2"/>
        <v>0</v>
      </c>
      <c r="AI5">
        <v>0</v>
      </c>
      <c r="AJ5">
        <f t="shared" si="2"/>
        <v>0</v>
      </c>
      <c r="AK5">
        <f>'Rent Roll'!M139</f>
        <v>1556580</v>
      </c>
      <c r="AL5">
        <f t="shared" si="2"/>
        <v>1284.3069306930693</v>
      </c>
      <c r="AM5">
        <v>0</v>
      </c>
      <c r="AN5">
        <f t="shared" si="2"/>
        <v>0</v>
      </c>
      <c r="AQ5" t="str">
        <f t="shared" si="3"/>
        <v>Gross Potential Rent (GPR)</v>
      </c>
      <c r="AR5" t="str">
        <f>IF(AK5='Rent Roll'!M139,"Annualized GPR (Rent Roll)","Non-Standard Assumption - Please Clarify")</f>
        <v>Annualized GPR (Rent Roll)</v>
      </c>
      <c r="AV5">
        <f t="shared" si="6" ref="AV5:AV73">SUM(D5,F5,H5)/IF(AND(D$77&lt;&gt;0,F$77&lt;&gt;0,H$77&lt;&gt;0),3,IF(AND(F$77&lt;&gt;0,H$77&lt;&gt;0),2,IF(AND(D$77&lt;&gt;0,F$77&lt;&gt;0),2,1)))</f>
        <v>0</v>
      </c>
      <c r="AW5">
        <f>_xlfn.IFERROR((AV5/V1)/12,0)</f>
        <v>0</v>
      </c>
      <c r="AX5">
        <v>0</v>
      </c>
      <c r="AY5">
        <f>_xlfn.IFERROR((AX5/V1)/12,0)</f>
        <v>0</v>
      </c>
    </row>
    <row r="6" ht="14.25" customHeight="1">
      <c r="B6" t="s">
        <v>1884</v>
      </c>
      <c r="D6">
        <f>IF(ISBLANK(D$3),SUMIF('OS Analysis'!$BM3:$BM1002,$B6,'OS Analysis'!$CB3:$CB1002),INDEX($J6:$U6,1,MATCH(D$3,$J$4:$U$4,0)))</f>
        <v>0</v>
      </c>
      <c r="E6">
        <f t="shared" si="4" ref="E6:AY8">_xlfn.IFERROR(-D6/D$5,0)</f>
        <v>0</v>
      </c>
      <c r="F6">
        <f>IF(ISBLANK(F$3),SUMIF('OS Analysis'!$AV3:$AV1002,$B6,'OS Analysis'!$BK3:$BK1002),INDEX($J6:$U6,1,MATCH(F$3,$J$4:$U$4,0)))</f>
        <v>0</v>
      </c>
      <c r="G6">
        <f t="shared" si="4"/>
        <v>0</v>
      </c>
      <c r="H6">
        <f>IF(ISBLANK(H$3),SUMIF('OS Analysis'!$AE3:$AE1002,$B6,'OS Analysis'!$AT3:$AT1002),INDEX($J6:$U6,1,MATCH(H$3,$J$4:$U$4,0)))</f>
        <v>0</v>
      </c>
      <c r="I6">
        <f t="shared" si="4"/>
        <v>0</v>
      </c>
      <c r="J6">
        <f>((SUMIF('OS Analysis'!$B3:$B1002,B6,'OS Analysis'!$AC3:$AC1002))/12)*12</f>
        <v>-174838</v>
      </c>
      <c r="K6">
        <f>((SUMIF('OS Analysis'!$B3:$B1002,B6,'OS Analysis'!$AB3:$AB1002))/11)*12</f>
        <v>-174100.36363636365</v>
      </c>
      <c r="L6">
        <f>((SUMIF('OS Analysis'!$B3:$B1002,B6,'OS Analysis'!$AA3:$AA1002))/10)*12</f>
        <v>-167413.2</v>
      </c>
      <c r="M6">
        <f>((SUMIF('OS Analysis'!$B3:$B1002,B6,'OS Analysis'!$Z3:$Z1002))/9)*12</f>
        <v>-165697.33333333334</v>
      </c>
      <c r="N6">
        <f>((SUMIF('OS Analysis'!$B3:$B1002,B6,'OS Analysis'!$Y3:$Y1002))/8)*12</f>
        <v>-151336.5</v>
      </c>
      <c r="O6">
        <f>((SUMIF('OS Analysis'!$B3:$B1002,B6,'OS Analysis'!$X3:$X1002))/7)*12</f>
        <v>-145505.14285714284</v>
      </c>
      <c r="P6">
        <f>((SUMIF('OS Analysis'!$B3:$B1002,B6,'OS Analysis'!$W3:$W1002))/6)*12</f>
        <v>-148634</v>
      </c>
      <c r="Q6">
        <f>((SUMIF('OS Analysis'!$B3:$B1002,B6,'OS Analysis'!$V3:$V1002))/5)*12</f>
        <v>-165321.59999999998</v>
      </c>
      <c r="R6">
        <f>((SUMIF('OS Analysis'!$B3:$B1002,B6,'OS Analysis'!$U3:$U1002))/4)*12</f>
        <v>-179808</v>
      </c>
      <c r="S6">
        <f>((SUMIF('OS Analysis'!$B3:$B1002,B6,'OS Analysis'!$T3:$T1002))/3)*12</f>
        <v>-186172</v>
      </c>
      <c r="T6">
        <f>((SUMIF('OS Analysis'!$B3:$B1002,B6,'OS Analysis'!$S3:$S1002))/2)*12</f>
        <v>-203988</v>
      </c>
      <c r="U6">
        <f>(SUMIF('OS Analysis'!$B3:$B1002,B6,'OS Analysis'!$R3:$R1002))*12</f>
        <v>-229572</v>
      </c>
      <c r="V6">
        <f>SUMIF('OS Analysis'!$B$3:$B$1002,$B6,'OS Analysis'!$Q$3:$Q$1002)</f>
        <v>-174838</v>
      </c>
      <c r="W6">
        <f t="shared" si="5"/>
        <v>-174838</v>
      </c>
      <c r="X6">
        <f t="shared" si="4"/>
        <v>0.0347706313276551</v>
      </c>
      <c r="Y6">
        <f>SUMIF('OS Analysis'!$CD3:$CD1002,$B6,'OS Analysis'!$CS3:$CS1002)</f>
        <v>0</v>
      </c>
      <c r="Z6">
        <f t="shared" si="4"/>
        <v>0</v>
      </c>
      <c r="AA6">
        <f>SUMIF('OS Analysis'!$CU3:$CU1002,$B6,'OS Analysis'!$CW3:$CW1002)</f>
        <v>0</v>
      </c>
      <c r="AB6">
        <f t="shared" si="4"/>
        <v>0</v>
      </c>
      <c r="AC6">
        <f>SUMIF('OS Analysis'!$CU3:$CU1002,$B6,'OS Analysis'!$CX3:$CX1002)</f>
        <v>0</v>
      </c>
      <c r="AD6">
        <f t="shared" si="4"/>
        <v>0</v>
      </c>
      <c r="AE6">
        <v>0</v>
      </c>
      <c r="AF6">
        <f t="shared" si="4"/>
        <v>0</v>
      </c>
      <c r="AG6">
        <v>0</v>
      </c>
      <c r="AH6">
        <f t="shared" si="4"/>
        <v>0</v>
      </c>
      <c r="AI6">
        <v>0</v>
      </c>
      <c r="AJ6">
        <f t="shared" si="4"/>
        <v>0</v>
      </c>
      <c r="AK6">
        <f t="shared" si="7" ref="AK6:AK8">S6</f>
        <v>-186172</v>
      </c>
      <c r="AL6">
        <f t="shared" si="4"/>
        <v>0.11960323272816045</v>
      </c>
      <c r="AM6">
        <v>0</v>
      </c>
      <c r="AN6">
        <f t="shared" si="4"/>
        <v>0</v>
      </c>
      <c r="AQ6" t="str">
        <f t="shared" si="3"/>
        <v>Less Vacancy Loss</v>
      </c>
      <c r="AR6" t="str">
        <f t="shared" si="8" ref="AR6:AR8">IF(AK6=0,"",IF(AK6=S6,"T-3 Annualized","Non-Standard Assumption - Please Clarify"))</f>
        <v>T-3 Annualized</v>
      </c>
      <c r="AV6">
        <f t="shared" si="6"/>
        <v>0</v>
      </c>
      <c r="AW6">
        <f t="shared" si="4"/>
        <v>0</v>
      </c>
      <c r="AX6">
        <v>0</v>
      </c>
      <c r="AY6">
        <f t="shared" si="4"/>
        <v>0</v>
      </c>
    </row>
    <row r="7" ht="14.25" customHeight="1">
      <c r="B7" t="s">
        <v>1885</v>
      </c>
      <c r="D7">
        <f>IF(ISBLANK(D$3),SUMIF('OS Analysis'!$BM3:$BM1002,$B7,'OS Analysis'!$CB3:$CB1002),INDEX($J7:$U7,1,MATCH(D$3,$J$4:$U$4,0)))</f>
        <v>0</v>
      </c>
      <c r="E7">
        <f t="shared" si="4"/>
        <v>0</v>
      </c>
      <c r="F7">
        <f>IF(ISBLANK(F$3),SUMIF('OS Analysis'!$AV3:$AV1002,$B7,'OS Analysis'!$BK3:$BK1002),INDEX($J7:$U7,1,MATCH(F$3,$J$4:$U$4,0)))</f>
        <v>0</v>
      </c>
      <c r="G7">
        <f t="shared" si="4"/>
        <v>0</v>
      </c>
      <c r="H7">
        <f>IF(ISBLANK(H$3),SUMIF('OS Analysis'!$AE3:$AE1002,$B7,'OS Analysis'!$AT3:$AT1002),INDEX($J7:$U7,1,MATCH(H$3,$J$4:$U$4,0)))</f>
        <v>0</v>
      </c>
      <c r="I7">
        <f t="shared" si="4"/>
        <v>0</v>
      </c>
      <c r="J7">
        <f>((SUMIF('OS Analysis'!$B3:$B1002,B7,'OS Analysis'!$AC3:$AC1002))/12)*12</f>
        <v>-46354</v>
      </c>
      <c r="K7">
        <f>((SUMIF('OS Analysis'!$B3:$B1002,B7,'OS Analysis'!$AB3:$AB1002))/11)*12</f>
        <v>-50590.90909090909</v>
      </c>
      <c r="L7">
        <f>((SUMIF('OS Analysis'!$B3:$B1002,B7,'OS Analysis'!$AA3:$AA1002))/10)*12</f>
        <v>-56042.399999999994</v>
      </c>
      <c r="M7">
        <f>((SUMIF('OS Analysis'!$B3:$B1002,B7,'OS Analysis'!$Z3:$Z1002))/9)*12</f>
        <v>-58862.66666666667</v>
      </c>
      <c r="N7">
        <f>((SUMIF('OS Analysis'!$B3:$B1002,B7,'OS Analysis'!$Y3:$Y1002))/8)*12</f>
        <v>-56860.5</v>
      </c>
      <c r="O7">
        <f>((SUMIF('OS Analysis'!$B3:$B1002,B7,'OS Analysis'!$X3:$X1002))/7)*12</f>
        <v>-55020</v>
      </c>
      <c r="P7">
        <f>((SUMIF('OS Analysis'!$B3:$B1002,B7,'OS Analysis'!$W3:$W1002))/6)*12</f>
        <v>-45414</v>
      </c>
      <c r="Q7">
        <f>((SUMIF('OS Analysis'!$B3:$B1002,B7,'OS Analysis'!$V3:$V1002))/5)*12</f>
        <v>-33984</v>
      </c>
      <c r="R7">
        <f>((SUMIF('OS Analysis'!$B3:$B1002,B7,'OS Analysis'!$U3:$U1002))/4)*12</f>
        <v>-31167</v>
      </c>
      <c r="S7">
        <f>((SUMIF('OS Analysis'!$B3:$B1002,B7,'OS Analysis'!$T3:$T1002))/3)*12</f>
        <v>-44520</v>
      </c>
      <c r="T7">
        <f>((SUMIF('OS Analysis'!$B3:$B1002,B7,'OS Analysis'!$S3:$S1002))/2)*12</f>
        <v>-35256</v>
      </c>
      <c r="U7">
        <f>(SUMIF('OS Analysis'!$B3:$B1002,B7,'OS Analysis'!$R3:$R1002))*12</f>
        <v>-60120</v>
      </c>
      <c r="V7">
        <f>SUMIF('OS Analysis'!$B$3:$B$1002,$B7,'OS Analysis'!$Q$3:$Q$1002)</f>
        <v>-46354</v>
      </c>
      <c r="W7">
        <f t="shared" si="5"/>
        <v>-46354</v>
      </c>
      <c r="X7">
        <f t="shared" si="4"/>
        <v>0.009218578595969551</v>
      </c>
      <c r="Y7">
        <f>SUMIF('OS Analysis'!$CD3:$CD1002,$B7,'OS Analysis'!$CS3:$CS1002)</f>
        <v>0</v>
      </c>
      <c r="Z7">
        <f t="shared" si="4"/>
        <v>0</v>
      </c>
      <c r="AA7">
        <f>SUMIF('OS Analysis'!$CU3:$CU1002,$B7,'OS Analysis'!$CW3:$CW1002)</f>
        <v>0</v>
      </c>
      <c r="AB7">
        <f t="shared" si="4"/>
        <v>0</v>
      </c>
      <c r="AC7">
        <f>SUMIF('OS Analysis'!$CU3:$CU1002,$B7,'OS Analysis'!$CX3:$CX1002)</f>
        <v>0</v>
      </c>
      <c r="AD7">
        <f t="shared" si="4"/>
        <v>0</v>
      </c>
      <c r="AE7">
        <v>0</v>
      </c>
      <c r="AF7">
        <f t="shared" si="4"/>
        <v>0</v>
      </c>
      <c r="AG7">
        <v>0</v>
      </c>
      <c r="AH7">
        <f t="shared" si="4"/>
        <v>0</v>
      </c>
      <c r="AI7">
        <v>0</v>
      </c>
      <c r="AJ7">
        <f t="shared" si="4"/>
        <v>0</v>
      </c>
      <c r="AK7">
        <f t="shared" si="7"/>
        <v>-44520</v>
      </c>
      <c r="AL7">
        <f t="shared" si="4"/>
        <v>0.028601164090506108</v>
      </c>
      <c r="AM7">
        <v>0</v>
      </c>
      <c r="AN7">
        <f t="shared" si="4"/>
        <v>0</v>
      </c>
      <c r="AQ7" t="str">
        <f t="shared" si="3"/>
        <v>Less Bad Debt</v>
      </c>
      <c r="AR7" t="str">
        <f t="shared" si="8"/>
        <v>T-3 Annualized</v>
      </c>
      <c r="AV7">
        <f t="shared" si="6"/>
        <v>0</v>
      </c>
      <c r="AW7">
        <f t="shared" si="4"/>
        <v>0</v>
      </c>
      <c r="AX7">
        <v>0</v>
      </c>
      <c r="AY7">
        <f t="shared" si="4"/>
        <v>0</v>
      </c>
    </row>
    <row r="8" ht="14.25" customHeight="1">
      <c r="B8" t="s">
        <v>1886</v>
      </c>
      <c r="D8">
        <f>IF(ISBLANK(D$3),SUMIF('OS Analysis'!$BM3:$BM1002,"Less Concessions (income line item)",'OS Analysis'!$CB3:$CB1002)-SUMIF('OS Analysis'!$BM3:$BM1002,"Less Concessions (expense line item)",'OS Analysis'!$CB3:$CB1002),INDEX($J8:$U8,1,MATCH(D$3,$J$4:$U$4,0)))</f>
        <v>0</v>
      </c>
      <c r="E8">
        <f t="shared" si="4"/>
        <v>0</v>
      </c>
      <c r="F8">
        <f>IF(ISBLANK(F$3),SUMIF('OS Analysis'!$AV3:$AV1002,"Less Concessions (income line item)",'OS Analysis'!$BK3:$BK1002)-SUMIF('OS Analysis'!$AV3:$AV1002,"Less Concessions (expense line item)",'OS Analysis'!$BK3:$BK1002),INDEX($J8:$U8,1,MATCH(F$3,$J$4:$U$4,0)))</f>
        <v>0</v>
      </c>
      <c r="G8">
        <f t="shared" si="4"/>
        <v>0</v>
      </c>
      <c r="H8">
        <f>IF(ISBLANK(H$3),SUMIF('OS Analysis'!$AE3:$AE1002,"Less Concessions (income line item)",'OS Analysis'!$AT3:$AT1002)-SUMIF('OS Analysis'!$AE3:$AE1002,"Less Concessions (expense line item)",'OS Analysis'!$AT3:$AT1002),INDEX($J8:$U8,1,MATCH(H$3,$J$4:$U$4,0)))</f>
        <v>0</v>
      </c>
      <c r="I8">
        <f t="shared" si="4"/>
        <v>0</v>
      </c>
      <c r="J8">
        <f>(((SUMIF('OS Analysis'!$B3:$B1002,"Less Concessions (income line item)",'OS Analysis'!$AC3:$AC1002))/12)*12)-(((SUMIF('OS Analysis'!$B3:$B1002,"Less Concessions (expense line item)",'OS Analysis'!$AC3:$AC1002))/12)*12)</f>
        <v>0</v>
      </c>
      <c r="K8">
        <f>(((SUMIF('OS Analysis'!$B3:$B1002,"Less Concessions (income line item)",'OS Analysis'!$AB3:$AB1002))/11)*12)-(((SUMIF('OS Analysis'!$B3:$B1002,"Less Concessions (expense line item)",'OS Analysis'!$AB3:$AB1002))/11)*12)</f>
        <v>0</v>
      </c>
      <c r="L8">
        <f>(((SUMIF('OS Analysis'!$B3:$B1002,"Less Concessions (income line item)",'OS Analysis'!$AA3:$AA1002))/10)*12)-(((SUMIF('OS Analysis'!$B3:$B1002,"Less Concessions (expense line item)",'OS Analysis'!$AA3:$AA1002))/10)*12)</f>
        <v>0</v>
      </c>
      <c r="M8">
        <f>(((SUMIF('OS Analysis'!$B3:$B1002,"Less Concessions (income line item)",'OS Analysis'!$Z3:$Z1002))/9)*12)-(((SUMIF('OS Analysis'!$B3:$B1002,"Less Concessions (expense line item)",'OS Analysis'!$Z3:$Z1002))/9)*12)</f>
        <v>0</v>
      </c>
      <c r="N8">
        <f>(((SUMIF('OS Analysis'!$B3:$B1002,"Less Concessions (income line item)",'OS Analysis'!$Y3:$Y1002))/8)*12)-(((SUMIF('OS Analysis'!$B3:$B1002,"Less Concessions (expense line item)",'OS Analysis'!$Y3:$Y1002))/8)*12)</f>
        <v>0</v>
      </c>
      <c r="O8">
        <f>(((SUMIF('OS Analysis'!$B3:$B1002,"Less Concessions (income line item)",'OS Analysis'!$X3:$X1002))/7)*12)-(((SUMIF('OS Analysis'!$B3:$B1002,"Less Concessions (expense line item)",'OS Analysis'!$X3:$X1002))/7)*12)</f>
        <v>0</v>
      </c>
      <c r="P8">
        <f>(((SUMIF('OS Analysis'!$B3:$B1002,"Less Concessions (income line item)",'OS Analysis'!$W3:$W1002))/6)*12)-(((SUMIF('OS Analysis'!$B3:$B1002,"Less Concessions (expense line item)",'OS Analysis'!$W3:$W1002))/6)*12)</f>
        <v>0</v>
      </c>
      <c r="Q8">
        <f>(((SUMIF('OS Analysis'!$B3:$B1002,"Less Concessions (income line item)",'OS Analysis'!$V3:$V1002))/5)*12)-(((SUMIF('OS Analysis'!$B3:$B1002,"Less Concessions (expense line item)",'OS Analysis'!$V3:$V1002))/5)*12)</f>
        <v>0</v>
      </c>
      <c r="R8">
        <f>(((SUMIF('OS Analysis'!$B3:$B1002,"Less Concessions (income line item)",'OS Analysis'!$U3:$U1002))/4)*12)-(((SUMIF('OS Analysis'!$B3:$B1002,"Less Concessions (expense line item)",'OS Analysis'!$U3:$U1002))/4)*12)</f>
        <v>0</v>
      </c>
      <c r="S8">
        <f>(((SUMIF('OS Analysis'!$B3:$B1002,"Less Concessions (income line item)",'OS Analysis'!$T3:$T1002))/3)*12)-(((SUMIF('OS Analysis'!$B3:$B1002,"Less Concessions (expense line item)",'OS Analysis'!$T3:$T1002))/3)*12)</f>
        <v>0</v>
      </c>
      <c r="T8">
        <f>(((SUMIF('OS Analysis'!$B3:$B1002,"Less Concessions (income line item)",'OS Analysis'!$S3:$S1002))/2)*12)-(((SUMIF('OS Analysis'!$B3:$B1002,"Less Concessions (expense line item)",'OS Analysis'!$S3:$S1002))/2)*12)</f>
        <v>0</v>
      </c>
      <c r="U8">
        <f>(((SUMIF('OS Analysis'!$B3:$B1002,"Less Concessions (income line item)",'OS Analysis'!$R3:$R1002)))*12)-(((SUMIF('OS Analysis'!$B3:$B1002,"Less Concessions (expense line item)",'OS Analysis'!$R3:$R1002)))*12)</f>
        <v>0</v>
      </c>
      <c r="V8">
        <f>SUMIF('OS Analysis'!$B$3:$B$1002,"Less Concessions (income line item)",'OS Analysis'!$Q$3:$Q$1002)-SUMIF('OS Analysis'!$B$3:$B$1002,"Less Concessions (expense line item)",'OS Analysis'!$Q$3:$Q$1002)</f>
        <v>0</v>
      </c>
      <c r="W8">
        <f t="shared" si="5"/>
        <v>0</v>
      </c>
      <c r="X8">
        <f t="shared" si="4"/>
        <v>0</v>
      </c>
      <c r="Y8">
        <f>SUMIF('OS Analysis'!$CD3:$CD1002,"Less Concessions (income line item)",'OS Analysis'!$CS3:$CS1002)-SUMIF('OS Analysis'!$CD3:$CD1002,"Less Concessions (expense line item)",'OS Analysis'!$CS3:$CS1002)</f>
        <v>0</v>
      </c>
      <c r="Z8">
        <f t="shared" si="4"/>
        <v>0</v>
      </c>
      <c r="AA8">
        <f>SUMIF('OS Analysis'!$CU3:$CU1002,"Less Concessions (income line item)",'OS Analysis'!$CW3:$CW1002)-SUMIF('OS Analysis'!$CU3:$CU1002,"Less Concessions (expense line item)",'OS Analysis'!$CW3:$CW1002)</f>
        <v>0</v>
      </c>
      <c r="AB8">
        <f t="shared" si="4"/>
        <v>0</v>
      </c>
      <c r="AC8">
        <f>SUMIF('OS Analysis'!$CU3:$CU1002,"Less Concessions (income line item)",'OS Analysis'!$CX3:$CX1002)-SUMIF('OS Analysis'!$CU3:$CU1002,"Less Concessions (expense line item)",'OS Analysis'!$CX3:$CX1002)</f>
        <v>0</v>
      </c>
      <c r="AD8">
        <f t="shared" si="4"/>
        <v>0</v>
      </c>
      <c r="AE8">
        <v>0</v>
      </c>
      <c r="AF8">
        <f t="shared" si="4"/>
        <v>0</v>
      </c>
      <c r="AG8">
        <v>0</v>
      </c>
      <c r="AH8">
        <f t="shared" si="4"/>
        <v>0</v>
      </c>
      <c r="AI8">
        <v>0</v>
      </c>
      <c r="AJ8">
        <f t="shared" si="4"/>
        <v>0</v>
      </c>
      <c r="AK8">
        <f t="shared" si="7"/>
        <v>0</v>
      </c>
      <c r="AL8">
        <f t="shared" si="4"/>
        <v>0</v>
      </c>
      <c r="AM8">
        <v>0</v>
      </c>
      <c r="AN8">
        <f t="shared" si="4"/>
        <v>0</v>
      </c>
      <c r="AQ8" t="str">
        <f t="shared" si="3"/>
        <v>Less Concessions</v>
      </c>
      <c r="AR8">
        <f t="shared" si="8"/>
      </c>
      <c r="AV8">
        <f t="shared" si="6"/>
        <v>0</v>
      </c>
      <c r="AW8">
        <f t="shared" si="4"/>
        <v>0</v>
      </c>
      <c r="AX8">
        <v>0</v>
      </c>
      <c r="AY8">
        <f t="shared" si="4"/>
        <v>0</v>
      </c>
    </row>
    <row r="9" ht="14.25" customHeight="1">
      <c r="B9" t="s">
        <v>1887</v>
      </c>
      <c r="D9">
        <f t="shared" si="9" ref="D9:AX9">SUM(D5:D8)</f>
        <v>0</v>
      </c>
      <c r="E9">
        <f t="shared" si="2"/>
        <v>0</v>
      </c>
      <c r="F9">
        <f t="shared" si="9"/>
        <v>0</v>
      </c>
      <c r="G9">
        <f t="shared" si="2"/>
        <v>0</v>
      </c>
      <c r="H9">
        <f t="shared" si="9"/>
        <v>0</v>
      </c>
      <c r="I9">
        <f t="shared" si="2"/>
        <v>0</v>
      </c>
      <c r="J9">
        <f t="shared" si="9"/>
        <v>4807132</v>
      </c>
      <c r="K9">
        <f t="shared" si="9"/>
        <v>4798908</v>
      </c>
      <c r="L9">
        <f t="shared" si="9"/>
        <v>4796134.8</v>
      </c>
      <c r="M9">
        <f t="shared" si="9"/>
        <v>4830668</v>
      </c>
      <c r="N9">
        <f t="shared" si="9"/>
        <v>4848690</v>
      </c>
      <c r="O9">
        <f t="shared" si="9"/>
        <v>4850386.285714286</v>
      </c>
      <c r="P9">
        <f t="shared" si="9"/>
        <v>4908984</v>
      </c>
      <c r="Q9">
        <f t="shared" si="9"/>
        <v>4947360</v>
      </c>
      <c r="R9">
        <f t="shared" si="9"/>
        <v>4950888</v>
      </c>
      <c r="S9">
        <f t="shared" si="9"/>
        <v>4904876</v>
      </c>
      <c r="T9">
        <f t="shared" si="9"/>
        <v>4917990</v>
      </c>
      <c r="U9">
        <f t="shared" si="9"/>
        <v>4823412</v>
      </c>
      <c r="V9">
        <f t="shared" si="9"/>
        <v>4807132</v>
      </c>
      <c r="W9">
        <f t="shared" si="9"/>
        <v>4807132</v>
      </c>
      <c r="X9">
        <f t="shared" si="2"/>
        <v>3966.280528052805</v>
      </c>
      <c r="Y9">
        <f t="shared" si="9"/>
        <v>0</v>
      </c>
      <c r="Z9">
        <f t="shared" si="2"/>
        <v>0</v>
      </c>
      <c r="AA9">
        <f t="shared" si="9"/>
        <v>0</v>
      </c>
      <c r="AB9">
        <f t="shared" si="2"/>
        <v>0</v>
      </c>
      <c r="AC9">
        <f t="shared" si="9"/>
        <v>0</v>
      </c>
      <c r="AD9">
        <f t="shared" si="2"/>
        <v>0</v>
      </c>
      <c r="AE9">
        <f t="shared" si="9"/>
        <v>0</v>
      </c>
      <c r="AF9">
        <f t="shared" si="2"/>
        <v>0</v>
      </c>
      <c r="AG9">
        <f t="shared" si="9"/>
        <v>0</v>
      </c>
      <c r="AH9">
        <f t="shared" si="2"/>
        <v>0</v>
      </c>
      <c r="AI9">
        <f t="shared" si="9"/>
        <v>0</v>
      </c>
      <c r="AJ9">
        <f t="shared" si="2"/>
        <v>0</v>
      </c>
      <c r="AK9">
        <f t="shared" si="9"/>
        <v>1325888</v>
      </c>
      <c r="AL9">
        <f t="shared" si="2"/>
        <v>1093.96699669967</v>
      </c>
      <c r="AM9">
        <f t="shared" si="9"/>
        <v>0</v>
      </c>
      <c r="AN9">
        <f t="shared" si="2"/>
        <v>0</v>
      </c>
      <c r="AQ9" t="str">
        <f t="shared" si="3"/>
        <v>Net Rentable Income</v>
      </c>
      <c r="AV9">
        <f t="shared" si="9"/>
        <v>0</v>
      </c>
      <c r="AW9">
        <f>_xlfn.IFERROR((AV9/V1)/12,0)</f>
        <v>0</v>
      </c>
      <c r="AX9">
        <f t="shared" si="9"/>
        <v>0</v>
      </c>
      <c r="AY9">
        <f>_xlfn.IFERROR((AX9/V1)/12,0)</f>
        <v>0</v>
      </c>
    </row>
    <row r="10" ht="14.25" customHeight="1">
      <c r="B10" t="s">
        <v>1888</v>
      </c>
      <c r="D10">
        <f t="shared" si="10" ref="D10:AM10">SUM(D6:D8)</f>
        <v>0</v>
      </c>
      <c r="E10">
        <f t="shared" si="11" ref="E10:AL10">_xlfn.IFERROR(E6+E7+E8,0)</f>
        <v>0</v>
      </c>
      <c r="F10">
        <f t="shared" si="10"/>
        <v>0</v>
      </c>
      <c r="G10">
        <f t="shared" si="11"/>
        <v>0</v>
      </c>
      <c r="H10">
        <f t="shared" si="10"/>
        <v>0</v>
      </c>
      <c r="I10">
        <f t="shared" si="11"/>
        <v>0</v>
      </c>
      <c r="J10">
        <f t="shared" si="12" ref="J10:U10">_xlfn.IFERROR(SUM(J6:J8)/J5,0)</f>
        <v>-0.04398920992362465</v>
      </c>
      <c r="K10">
        <f t="shared" si="12"/>
        <v>-0.044727148908374134</v>
      </c>
      <c r="L10">
        <f t="shared" si="12"/>
        <v>-0.044516700008032525</v>
      </c>
      <c r="M10">
        <f t="shared" si="12"/>
        <v>-0.044421339650753636</v>
      </c>
      <c r="N10">
        <f t="shared" si="12"/>
        <v>-0.041170981277612095</v>
      </c>
      <c r="O10">
        <f t="shared" si="12"/>
        <v>-0.03970078384721512</v>
      </c>
      <c r="P10">
        <f t="shared" si="12"/>
        <v>-0.038026020608924266</v>
      </c>
      <c r="Q10">
        <f t="shared" si="12"/>
        <v>-0.03872518937309624</v>
      </c>
      <c r="R10">
        <f t="shared" si="12"/>
        <v>-0.04087187126043446</v>
      </c>
      <c r="S10">
        <f t="shared" si="12"/>
        <v>-0.044920445021855424</v>
      </c>
      <c r="T10">
        <f t="shared" si="12"/>
        <v>-0.0463899834678822</v>
      </c>
      <c r="U10">
        <f t="shared" si="12"/>
        <v>-0.05665677834833792</v>
      </c>
      <c r="V10">
        <f t="shared" si="10"/>
        <v>-221192</v>
      </c>
      <c r="W10">
        <f t="shared" si="10"/>
        <v>-221192</v>
      </c>
      <c r="X10">
        <f t="shared" si="11"/>
        <v>0.04398920992362465</v>
      </c>
      <c r="Y10">
        <f t="shared" si="10"/>
        <v>0</v>
      </c>
      <c r="Z10">
        <f t="shared" si="11"/>
        <v>0</v>
      </c>
      <c r="AA10">
        <f t="shared" si="10"/>
        <v>0</v>
      </c>
      <c r="AB10">
        <f t="shared" si="11"/>
        <v>0</v>
      </c>
      <c r="AC10">
        <f t="shared" si="10"/>
        <v>0</v>
      </c>
      <c r="AD10">
        <f t="shared" si="13" ref="AD10:AN10">_xlfn.IFERROR(_xlfn.IFERROR(AD6+AD7+AD8,0),0)</f>
        <v>0</v>
      </c>
      <c r="AE10">
        <f t="shared" si="10"/>
        <v>0</v>
      </c>
      <c r="AF10" t="s">
        <v>1889</v>
      </c>
      <c r="AG10">
        <f t="shared" si="10"/>
        <v>0</v>
      </c>
      <c r="AH10" t="s">
        <v>1889</v>
      </c>
      <c r="AI10">
        <f t="shared" si="10"/>
        <v>0</v>
      </c>
      <c r="AJ10" t="s">
        <v>1889</v>
      </c>
      <c r="AK10">
        <f t="shared" si="10"/>
        <v>-230692</v>
      </c>
      <c r="AL10">
        <f t="shared" si="11"/>
        <v>0.14820439681866657</v>
      </c>
      <c r="AM10">
        <f t="shared" si="10"/>
        <v>0</v>
      </c>
      <c r="AN10">
        <f t="shared" si="13"/>
        <v>0</v>
      </c>
      <c r="AW10">
        <f t="shared" si="14" ref="AW10:AY10">_xlfn.IFERROR(-(AW6+AW7+AW8),0)</f>
        <v>0</v>
      </c>
      <c r="AY10">
        <f t="shared" si="14"/>
        <v>0</v>
      </c>
    </row>
    <row r="11" ht="14.25" customHeight="1">
      <c r="B11" t="s">
        <v>1890</v>
      </c>
      <c r="D11">
        <f t="shared" si="15" ref="D11:AM11">D9/12</f>
        <v>0</v>
      </c>
      <c r="E11">
        <f t="shared" si="2"/>
        <v>0</v>
      </c>
      <c r="F11">
        <f t="shared" si="15"/>
        <v>0</v>
      </c>
      <c r="G11">
        <f t="shared" si="2"/>
        <v>0</v>
      </c>
      <c r="H11">
        <f t="shared" si="15"/>
        <v>0</v>
      </c>
      <c r="I11">
        <f t="shared" si="2"/>
        <v>0</v>
      </c>
      <c r="J11">
        <f t="shared" si="15"/>
        <v>400594.3333333333</v>
      </c>
      <c r="K11">
        <f t="shared" si="15"/>
        <v>399909</v>
      </c>
      <c r="L11">
        <f t="shared" si="15"/>
        <v>399677.89999999997</v>
      </c>
      <c r="M11">
        <f t="shared" si="15"/>
        <v>402555.6666666667</v>
      </c>
      <c r="N11">
        <f t="shared" si="15"/>
        <v>404057.5</v>
      </c>
      <c r="O11">
        <f t="shared" si="15"/>
        <v>404198.8571428572</v>
      </c>
      <c r="P11">
        <f t="shared" si="15"/>
        <v>409082</v>
      </c>
      <c r="Q11">
        <f t="shared" si="15"/>
        <v>412280</v>
      </c>
      <c r="R11">
        <f t="shared" si="15"/>
        <v>412574</v>
      </c>
      <c r="S11">
        <f t="shared" si="15"/>
        <v>408739.6666666667</v>
      </c>
      <c r="T11">
        <f t="shared" si="15"/>
        <v>409832.5</v>
      </c>
      <c r="U11">
        <f t="shared" si="15"/>
        <v>401951</v>
      </c>
      <c r="V11">
        <f t="shared" si="15"/>
        <v>400594.3333333333</v>
      </c>
      <c r="W11">
        <f t="shared" si="15"/>
        <v>400594.3333333333</v>
      </c>
      <c r="X11">
        <f t="shared" si="2"/>
        <v>330.52337733773373</v>
      </c>
      <c r="Y11">
        <f t="shared" si="15"/>
        <v>0</v>
      </c>
      <c r="Z11">
        <f t="shared" si="2"/>
        <v>0</v>
      </c>
      <c r="AA11">
        <f t="shared" si="15"/>
        <v>0</v>
      </c>
      <c r="AC11">
        <f t="shared" si="15"/>
        <v>0</v>
      </c>
      <c r="AK11">
        <f t="shared" si="15"/>
        <v>110490.66666666667</v>
      </c>
      <c r="AL11">
        <f t="shared" si="2"/>
        <v>91.16391639163918</v>
      </c>
      <c r="AM11">
        <f t="shared" si="15"/>
        <v>0</v>
      </c>
      <c r="AN11">
        <f t="shared" si="2"/>
        <v>0</v>
      </c>
    </row>
    <row r="12" ht="14.25" customHeight="1">
      <c r="B12" t="s">
        <v>1891</v>
      </c>
      <c r="D12">
        <f>IF(ISBLANK(D$3),SUMIF('OS Analysis'!$BM3:$BM1002,$B12,'OS Analysis'!$CB3:$CB1002),INDEX($J12:$U12,1,MATCH(D$3,$J$4:$U$4,0)))</f>
        <v>0</v>
      </c>
      <c r="E12">
        <f t="shared" si="2"/>
        <v>0</v>
      </c>
      <c r="F12">
        <f>IF(ISBLANK(F$3),SUMIF('OS Analysis'!$AV3:$AV1002,$B12,'OS Analysis'!$BK3:$BK1002),INDEX($J12:$U12,1,MATCH(F$3,$J$4:$U$4,0)))</f>
        <v>0</v>
      </c>
      <c r="G12">
        <f t="shared" si="2"/>
        <v>0</v>
      </c>
      <c r="H12">
        <f>IF(ISBLANK(H$3),SUMIF('OS Analysis'!$AE3:$AE1002,$B12,'OS Analysis'!$AT3:$AT1002),INDEX($J12:$U12,1,MATCH(H$3,$J$4:$U$4,0)))</f>
        <v>0</v>
      </c>
      <c r="I12">
        <f t="shared" si="2"/>
        <v>0</v>
      </c>
      <c r="J12">
        <f>((SUMIF('OS Analysis'!$B3:$B1002,B12,'OS Analysis'!$AC3:$AC1002))/12)*12</f>
        <v>29692</v>
      </c>
      <c r="K12">
        <f>((SUMIF('OS Analysis'!$B3:$B1002,B12,'OS Analysis'!$AB3:$AB1002))/11)*12</f>
        <v>28677.818181818184</v>
      </c>
      <c r="L12">
        <f>((SUMIF('OS Analysis'!$B3:$B1002,B12,'OS Analysis'!$AA3:$AA1002))/10)*12</f>
        <v>31545.600000000002</v>
      </c>
      <c r="M12">
        <f>((SUMIF('OS Analysis'!$B3:$B1002,B12,'OS Analysis'!$Z3:$Z1002))/9)*12</f>
        <v>35050.666666666664</v>
      </c>
      <c r="N12">
        <f>((SUMIF('OS Analysis'!$B3:$B1002,B12,'OS Analysis'!$Y3:$Y1002))/8)*12</f>
        <v>39432</v>
      </c>
      <c r="O12">
        <f>((SUMIF('OS Analysis'!$B3:$B1002,B12,'OS Analysis'!$X3:$X1002))/7)*12</f>
        <v>41098.28571428571</v>
      </c>
      <c r="P12">
        <f>((SUMIF('OS Analysis'!$B3:$B1002,B12,'OS Analysis'!$W3:$W1002))/6)*12</f>
        <v>32524</v>
      </c>
      <c r="Q12">
        <f>((SUMIF('OS Analysis'!$B3:$B1002,B12,'OS Analysis'!$V3:$V1002))/5)*12</f>
        <v>28526.399999999998</v>
      </c>
      <c r="R12">
        <f>((SUMIF('OS Analysis'!$B3:$B1002,B12,'OS Analysis'!$U3:$U1002))/4)*12</f>
        <v>28608</v>
      </c>
      <c r="S12">
        <f>((SUMIF('OS Analysis'!$B3:$B1002,B12,'OS Analysis'!$T3:$T1002))/3)*12</f>
        <v>29100</v>
      </c>
      <c r="T12">
        <f>((SUMIF('OS Analysis'!$B3:$B1002,B12,'OS Analysis'!$S3:$S1002))/2)*12</f>
        <v>27006</v>
      </c>
      <c r="U12">
        <f>(SUMIF('OS Analysis'!$B3:$B1002,B12,'OS Analysis'!$R3:$R1002))*12</f>
        <v>25440</v>
      </c>
      <c r="V12">
        <f>SUMIF('OS Analysis'!$B$3:$B$1002,$B12,'OS Analysis'!$Q$3:$Q$1002)</f>
        <v>29692</v>
      </c>
      <c r="W12">
        <f t="shared" si="5"/>
        <v>29692</v>
      </c>
      <c r="X12">
        <f t="shared" si="2"/>
        <v>24.4983498349835</v>
      </c>
      <c r="Y12">
        <f>SUMIF('OS Analysis'!$CD3:$CD1002,$B12,'OS Analysis'!$CS3:$CS1002)</f>
        <v>0</v>
      </c>
      <c r="Z12">
        <f t="shared" si="2"/>
        <v>0</v>
      </c>
      <c r="AA12">
        <f>SUMIF('OS Analysis'!$CU3:$CU1002,$B12,'OS Analysis'!$CW3:$CW1002)</f>
        <v>0</v>
      </c>
      <c r="AB12">
        <f t="shared" si="2"/>
        <v>0</v>
      </c>
      <c r="AC12">
        <f>SUMIF('OS Analysis'!$CU3:$CU1002,$B12,'OS Analysis'!$CX3:$CX1002)</f>
        <v>0</v>
      </c>
      <c r="AD12">
        <f t="shared" si="2"/>
        <v>0</v>
      </c>
      <c r="AE12">
        <v>0</v>
      </c>
      <c r="AF12">
        <f t="shared" si="2"/>
        <v>0</v>
      </c>
      <c r="AG12">
        <v>0</v>
      </c>
      <c r="AH12">
        <f t="shared" si="2"/>
        <v>0</v>
      </c>
      <c r="AI12">
        <v>0</v>
      </c>
      <c r="AJ12">
        <f t="shared" si="2"/>
        <v>0</v>
      </c>
      <c r="AK12">
        <f t="shared" si="16" ref="AK12:AK27">ROUND(W12,2)</f>
        <v>29692</v>
      </c>
      <c r="AL12">
        <f t="shared" si="2"/>
        <v>24.4983498349835</v>
      </c>
      <c r="AM12">
        <v>0</v>
      </c>
      <c r="AN12">
        <f t="shared" si="2"/>
        <v>0</v>
      </c>
      <c r="AQ12" t="str">
        <f t="shared" si="3"/>
        <v>Laundry/Vending Income (Net)</v>
      </c>
      <c r="AR12" t="str">
        <f t="shared" si="17" ref="AR12:AR23">IF(AK12=0,"",IF(AK12=ROUND(W12,2),"T-12","Non-Standard Assumption - Please Clarify"))</f>
        <v>T-12</v>
      </c>
      <c r="AV12">
        <f t="shared" si="6"/>
        <v>0</v>
      </c>
      <c r="AW12">
        <f>_xlfn.IFERROR((AV12/V1)/12,0)</f>
        <v>0</v>
      </c>
      <c r="AX12">
        <v>0</v>
      </c>
      <c r="AY12">
        <f>_xlfn.IFERROR((AX12/V1)/12,0)</f>
        <v>0</v>
      </c>
    </row>
    <row r="13" ht="14.25" customHeight="1">
      <c r="B13" t="s">
        <v>1892</v>
      </c>
      <c r="D13">
        <f>IF(ISBLANK(D$3),SUMIF('OS Analysis'!$BM3:$BM1002,$B13,'OS Analysis'!$CB3:$CB1002),INDEX($J13:$U13,1,MATCH(D$3,$J$4:$U$4,0)))</f>
        <v>0</v>
      </c>
      <c r="E13">
        <f t="shared" si="2"/>
        <v>0</v>
      </c>
      <c r="F13">
        <f>IF(ISBLANK(F$3),SUMIF('OS Analysis'!$AV3:$AV1002,$B13,'OS Analysis'!$BK3:$BK1002),INDEX($J13:$U13,1,MATCH(F$3,$J$4:$U$4,0)))</f>
        <v>0</v>
      </c>
      <c r="G13">
        <f t="shared" si="2"/>
        <v>0</v>
      </c>
      <c r="H13">
        <f>IF(ISBLANK(H$3),SUMIF('OS Analysis'!$AE3:$AE1002,$B13,'OS Analysis'!$AT3:$AT1002),INDEX($J13:$U13,1,MATCH(H$3,$J$4:$U$4,0)))</f>
        <v>0</v>
      </c>
      <c r="I13">
        <f t="shared" si="2"/>
        <v>0</v>
      </c>
      <c r="J13">
        <f>((SUMIF('OS Analysis'!$B3:$B1002,B13,'OS Analysis'!$AC3:$AC1002))/12)*12</f>
        <v>0</v>
      </c>
      <c r="K13">
        <f>((SUMIF('OS Analysis'!$B3:$B1002,B13,'OS Analysis'!$AB3:$AB1002))/11)*12</f>
        <v>0</v>
      </c>
      <c r="L13">
        <f>((SUMIF('OS Analysis'!$B3:$B1002,B13,'OS Analysis'!$AA3:$AA1002))/10)*12</f>
        <v>0</v>
      </c>
      <c r="M13">
        <f>((SUMIF('OS Analysis'!$B3:$B1002,B13,'OS Analysis'!$Z3:$Z1002))/9)*12</f>
        <v>0</v>
      </c>
      <c r="N13">
        <f>((SUMIF('OS Analysis'!$B3:$B1002,B13,'OS Analysis'!$Y3:$Y1002))/8)*12</f>
        <v>0</v>
      </c>
      <c r="O13">
        <f>((SUMIF('OS Analysis'!$B3:$B1002,B13,'OS Analysis'!$X3:$X1002))/7)*12</f>
        <v>0</v>
      </c>
      <c r="P13">
        <f>((SUMIF('OS Analysis'!$B3:$B1002,B13,'OS Analysis'!$W3:$W1002))/6)*12</f>
        <v>0</v>
      </c>
      <c r="Q13">
        <f>((SUMIF('OS Analysis'!$B3:$B1002,B13,'OS Analysis'!$V3:$V1002))/5)*12</f>
        <v>0</v>
      </c>
      <c r="R13">
        <f>((SUMIF('OS Analysis'!$B3:$B1002,B13,'OS Analysis'!$U3:$U1002))/4)*12</f>
        <v>0</v>
      </c>
      <c r="S13">
        <f>((SUMIF('OS Analysis'!$B3:$B1002,B13,'OS Analysis'!$T3:$T1002))/3)*12</f>
        <v>0</v>
      </c>
      <c r="T13">
        <f>((SUMIF('OS Analysis'!$B3:$B1002,B13,'OS Analysis'!$S3:$S1002))/2)*12</f>
        <v>0</v>
      </c>
      <c r="U13">
        <f>(SUMIF('OS Analysis'!$B3:$B1002,B13,'OS Analysis'!$R3:$R1002))*12</f>
        <v>0</v>
      </c>
      <c r="V13">
        <f>SUMIF('OS Analysis'!$B$3:$B$1002,$B13,'OS Analysis'!$Q$3:$Q$1002)</f>
        <v>0</v>
      </c>
      <c r="W13">
        <f t="shared" si="5"/>
        <v>0</v>
      </c>
      <c r="X13">
        <f t="shared" si="2"/>
        <v>0</v>
      </c>
      <c r="Y13">
        <f>SUMIF('OS Analysis'!$CD3:$CD1002,$B13,'OS Analysis'!$CS3:$CS1002)</f>
        <v>0</v>
      </c>
      <c r="Z13">
        <f t="shared" si="2"/>
        <v>0</v>
      </c>
      <c r="AA13">
        <f>SUMIF('OS Analysis'!$CU3:$CU1002,$B13,'OS Analysis'!$CW3:$CW1002)</f>
        <v>0</v>
      </c>
      <c r="AB13">
        <f t="shared" si="2"/>
        <v>0</v>
      </c>
      <c r="AC13">
        <f>SUMIF('OS Analysis'!$CU3:$CU1002,$B13,'OS Analysis'!$CX3:$CX1002)</f>
        <v>0</v>
      </c>
      <c r="AD13">
        <f t="shared" si="2"/>
        <v>0</v>
      </c>
      <c r="AE13">
        <v>0</v>
      </c>
      <c r="AF13">
        <f t="shared" si="2"/>
        <v>0</v>
      </c>
      <c r="AG13">
        <v>0</v>
      </c>
      <c r="AH13">
        <f t="shared" si="2"/>
        <v>0</v>
      </c>
      <c r="AI13">
        <v>0</v>
      </c>
      <c r="AJ13">
        <f t="shared" si="2"/>
        <v>0</v>
      </c>
      <c r="AK13">
        <f t="shared" si="16"/>
        <v>0</v>
      </c>
      <c r="AL13">
        <f t="shared" si="2"/>
        <v>0</v>
      </c>
      <c r="AM13">
        <v>0</v>
      </c>
      <c r="AN13">
        <f t="shared" si="2"/>
        <v>0</v>
      </c>
      <c r="AQ13" t="str">
        <f t="shared" si="3"/>
        <v>Parking Income (Net)</v>
      </c>
      <c r="AR13">
        <f t="shared" si="17"/>
      </c>
      <c r="AV13">
        <f t="shared" si="6"/>
        <v>0</v>
      </c>
      <c r="AW13">
        <f>_xlfn.IFERROR((AV13/V1)/12,0)</f>
        <v>0</v>
      </c>
      <c r="AX13">
        <v>0</v>
      </c>
      <c r="AY13">
        <f>_xlfn.IFERROR((AX13/V1)/12,0)</f>
        <v>0</v>
      </c>
    </row>
    <row r="14" ht="14.25" customHeight="1">
      <c r="B14" t="s">
        <v>1893</v>
      </c>
      <c r="D14">
        <f>IF(ISBLANK(D$3),SUMIF('OS Analysis'!$BM3:$BM1002,$B14,'OS Analysis'!$CB3:$CB1002),INDEX($J14:$U14,1,MATCH(D$3,$J$4:$U$4,0)))</f>
        <v>0</v>
      </c>
      <c r="E14">
        <f t="shared" si="2"/>
        <v>0</v>
      </c>
      <c r="F14">
        <f>IF(ISBLANK(F$3),SUMIF('OS Analysis'!$AV3:$AV1002,$B14,'OS Analysis'!$BK3:$BK1002),INDEX($J14:$U14,1,MATCH(F$3,$J$4:$U$4,0)))</f>
        <v>0</v>
      </c>
      <c r="G14">
        <f t="shared" si="2"/>
        <v>0</v>
      </c>
      <c r="H14">
        <f>IF(ISBLANK(H$3),SUMIF('OS Analysis'!$AE3:$AE1002,$B14,'OS Analysis'!$AT3:$AT1002),INDEX($J14:$U14,1,MATCH(H$3,$J$4:$U$4,0)))</f>
        <v>0</v>
      </c>
      <c r="I14">
        <f t="shared" si="2"/>
        <v>0</v>
      </c>
      <c r="J14">
        <f>((SUMIF('OS Analysis'!$B3:$B1002,B14,'OS Analysis'!$AC3:$AC1002))/12)*12</f>
        <v>0</v>
      </c>
      <c r="K14">
        <f>((SUMIF('OS Analysis'!$B3:$B1002,B14,'OS Analysis'!$AB3:$AB1002))/11)*12</f>
        <v>0</v>
      </c>
      <c r="L14">
        <f>((SUMIF('OS Analysis'!$B3:$B1002,B14,'OS Analysis'!$AA3:$AA1002))/10)*12</f>
        <v>0</v>
      </c>
      <c r="M14">
        <f>((SUMIF('OS Analysis'!$B3:$B1002,B14,'OS Analysis'!$Z3:$Z1002))/9)*12</f>
        <v>0</v>
      </c>
      <c r="N14">
        <f>((SUMIF('OS Analysis'!$B3:$B1002,B14,'OS Analysis'!$Y3:$Y1002))/8)*12</f>
        <v>0</v>
      </c>
      <c r="O14">
        <f>((SUMIF('OS Analysis'!$B3:$B1002,B14,'OS Analysis'!$X3:$X1002))/7)*12</f>
        <v>0</v>
      </c>
      <c r="P14">
        <f>((SUMIF('OS Analysis'!$B3:$B1002,B14,'OS Analysis'!$W3:$W1002))/6)*12</f>
        <v>0</v>
      </c>
      <c r="Q14">
        <f>((SUMIF('OS Analysis'!$B3:$B1002,B14,'OS Analysis'!$V3:$V1002))/5)*12</f>
        <v>0</v>
      </c>
      <c r="R14">
        <f>((SUMIF('OS Analysis'!$B3:$B1002,B14,'OS Analysis'!$U3:$U1002))/4)*12</f>
        <v>0</v>
      </c>
      <c r="S14">
        <f>((SUMIF('OS Analysis'!$B3:$B1002,B14,'OS Analysis'!$T3:$T1002))/3)*12</f>
        <v>0</v>
      </c>
      <c r="T14">
        <f>((SUMIF('OS Analysis'!$B3:$B1002,B14,'OS Analysis'!$S3:$S1002))/2)*12</f>
        <v>0</v>
      </c>
      <c r="U14">
        <f>(SUMIF('OS Analysis'!$B3:$B1002,B14,'OS Analysis'!$R3:$R1002))*12</f>
        <v>0</v>
      </c>
      <c r="V14">
        <f>SUMIF('OS Analysis'!$B$3:$B$1002,$B14,'OS Analysis'!$Q$3:$Q$1002)</f>
        <v>0</v>
      </c>
      <c r="W14">
        <f t="shared" si="5"/>
        <v>0</v>
      </c>
      <c r="X14">
        <f t="shared" si="2"/>
        <v>0</v>
      </c>
      <c r="Y14">
        <f>SUMIF('OS Analysis'!$CD3:$CD1002,$B14,'OS Analysis'!$CS3:$CS1002)</f>
        <v>0</v>
      </c>
      <c r="Z14">
        <f t="shared" si="2"/>
        <v>0</v>
      </c>
      <c r="AA14">
        <f>SUMIF('OS Analysis'!$CU3:$CU1002,$B14,'OS Analysis'!$CW3:$CW1002)</f>
        <v>0</v>
      </c>
      <c r="AB14">
        <f t="shared" si="2"/>
        <v>0</v>
      </c>
      <c r="AC14">
        <f>SUMIF('OS Analysis'!$CU3:$CU1002,$B14,'OS Analysis'!$CX3:$CX1002)</f>
        <v>0</v>
      </c>
      <c r="AD14">
        <f t="shared" si="2"/>
        <v>0</v>
      </c>
      <c r="AE14">
        <v>0</v>
      </c>
      <c r="AF14">
        <f t="shared" si="2"/>
        <v>0</v>
      </c>
      <c r="AG14">
        <v>0</v>
      </c>
      <c r="AH14">
        <f t="shared" si="2"/>
        <v>0</v>
      </c>
      <c r="AI14">
        <v>0</v>
      </c>
      <c r="AJ14">
        <f t="shared" si="2"/>
        <v>0</v>
      </c>
      <c r="AK14">
        <f>ROUND(W14*0.9,2)</f>
        <v>0</v>
      </c>
      <c r="AL14">
        <f t="shared" si="2"/>
        <v>0</v>
      </c>
      <c r="AM14">
        <v>0</v>
      </c>
      <c r="AN14">
        <f t="shared" si="2"/>
        <v>0</v>
      </c>
      <c r="AQ14" t="str">
        <f t="shared" si="3"/>
        <v>Commercial Income (Net)</v>
      </c>
      <c r="AR14">
        <f t="shared" si="17"/>
      </c>
      <c r="AV14">
        <f t="shared" si="6"/>
        <v>0</v>
      </c>
      <c r="AW14">
        <f>_xlfn.IFERROR((AV14/V1)/12,0)</f>
        <v>0</v>
      </c>
      <c r="AX14">
        <v>0</v>
      </c>
      <c r="AY14">
        <f>_xlfn.IFERROR((AX14/V1)/12,0)</f>
        <v>0</v>
      </c>
    </row>
    <row r="15" ht="14.25" customHeight="1">
      <c r="B15" t="s">
        <v>1894</v>
      </c>
      <c r="AQ15" t="str">
        <f t="shared" si="3"/>
        <v>Other (describe)</v>
      </c>
    </row>
    <row r="16" ht="14.25" customHeight="1">
      <c r="A16">
        <v>1</v>
      </c>
      <c r="B16" t="s">
        <v>1895</v>
      </c>
      <c r="D16">
        <f>IF(ISBLANK(D$3),SUMIF('OS Analysis'!$BM3:$BM1002,"RUBS (income line item)",'OS Analysis'!$CB3:$CB1002)-SUMIF('OS Analysis'!$BM3:$BM1002,"RUBS (expense line item)",'OS Analysis'!$CB3:$CB1002),INDEX($J16:$U16,1,MATCH(D$3,$J$4:$U$4,0)))</f>
        <v>0</v>
      </c>
      <c r="E16">
        <f t="shared" si="2"/>
        <v>0</v>
      </c>
      <c r="F16">
        <f>IF(ISBLANK(F$3),SUMIF('OS Analysis'!$AV3:$AV1002,"RUBS (income line item)",'OS Analysis'!$BK3:$BK1002)-SUMIF('OS Analysis'!$AV3:$AV1002,"RUBS (expense line item)",'OS Analysis'!$BK3:$BK1002),INDEX($J16:$U16,1,MATCH(F$3,$J$4:$U$4,0)))</f>
        <v>0</v>
      </c>
      <c r="G16">
        <f t="shared" si="2"/>
        <v>0</v>
      </c>
      <c r="H16">
        <f>IF(ISBLANK(H$3),SUMIF('OS Analysis'!$AE3:$AE1002,"RUBS (income line item)",'OS Analysis'!$AT3:$AT1002)-SUMIF('OS Analysis'!$AE3:$AE1002,"RUBS (expense line item)",'OS Analysis'!$AT3:$AT1002),INDEX($J16:$U16,1,MATCH(H$3,$J$4:$U$4,0)))</f>
        <v>0</v>
      </c>
      <c r="I16">
        <f t="shared" si="2"/>
        <v>0</v>
      </c>
      <c r="J16">
        <f>(((SUMIF('OS Analysis'!$B3:$B1002,"RUBS (income line item)",'OS Analysis'!$AC3:$AC1002))/12)*12)-(((SUMIF('OS Analysis'!$B3:$B1002,"RUBS (expense line item)",'OS Analysis'!$AC3:$AC1002))/12)*12)</f>
        <v>-254702</v>
      </c>
      <c r="K16">
        <f>(((SUMIF('OS Analysis'!$B3:$B1002,"RUBS (income line item)",'OS Analysis'!$AB3:$AB1002))/11)*12)-(((SUMIF('OS Analysis'!$B3:$B1002,"RUBS (expense line item)",'OS Analysis'!$AB3:$AB1002))/11)*12)</f>
        <v>-260844</v>
      </c>
      <c r="L16">
        <f>(((SUMIF('OS Analysis'!$B3:$B1002,"RUBS (income line item)",'OS Analysis'!$AA3:$AA1002))/10)*12)-(((SUMIF('OS Analysis'!$B3:$B1002,"RUBS (expense line item)",'OS Analysis'!$AA3:$AA1002))/10)*12)</f>
        <v>-264781.19999999995</v>
      </c>
      <c r="M16">
        <f>(((SUMIF('OS Analysis'!$B3:$B1002,"RUBS (income line item)",'OS Analysis'!$Z3:$Z1002))/9)*12)-(((SUMIF('OS Analysis'!$B3:$B1002,"RUBS (expense line item)",'OS Analysis'!$Z3:$Z1002))/9)*12)</f>
        <v>-272358.6666666666</v>
      </c>
      <c r="N16">
        <f>(((SUMIF('OS Analysis'!$B3:$B1002,"RUBS (income line item)",'OS Analysis'!$Y3:$Y1002))/8)*12)-(((SUMIF('OS Analysis'!$B3:$B1002,"RUBS (expense line item)",'OS Analysis'!$Y3:$Y1002))/8)*12)</f>
        <v>-277212</v>
      </c>
      <c r="O16">
        <f>(((SUMIF('OS Analysis'!$B3:$B1002,"RUBS (income line item)",'OS Analysis'!$X3:$X1002))/7)*12)-(((SUMIF('OS Analysis'!$B3:$B1002,"RUBS (expense line item)",'OS Analysis'!$X3:$X1002))/7)*12)</f>
        <v>-278000.5714285714</v>
      </c>
      <c r="P16">
        <f>(((SUMIF('OS Analysis'!$B3:$B1002,"RUBS (income line item)",'OS Analysis'!$W3:$W1002))/6)*12)-(((SUMIF('OS Analysis'!$B3:$B1002,"RUBS (expense line item)",'OS Analysis'!$W3:$W1002))/6)*12)</f>
        <v>-272086</v>
      </c>
      <c r="Q16">
        <f>(((SUMIF('OS Analysis'!$B3:$B1002,"RUBS (income line item)",'OS Analysis'!$V3:$V1002))/5)*12)-(((SUMIF('OS Analysis'!$B3:$B1002,"RUBS (expense line item)",'OS Analysis'!$V3:$V1002))/5)*12)</f>
        <v>-258559.19999999998</v>
      </c>
      <c r="R16">
        <f>(((SUMIF('OS Analysis'!$B3:$B1002,"RUBS (income line item)",'OS Analysis'!$U3:$U1002))/4)*12)-(((SUMIF('OS Analysis'!$B3:$B1002,"RUBS (expense line item)",'OS Analysis'!$U3:$U1002))/4)*12)</f>
        <v>-255909</v>
      </c>
      <c r="S16">
        <f>(((SUMIF('OS Analysis'!$B3:$B1002,"RUBS (income line item)",'OS Analysis'!$T3:$T1002))/3)*12)-(((SUMIF('OS Analysis'!$B3:$B1002,"RUBS (expense line item)",'OS Analysis'!$T3:$T1002))/3)*12)</f>
        <v>-250196</v>
      </c>
      <c r="T16">
        <f>(((SUMIF('OS Analysis'!$B3:$B1002,"RUBS (income line item)",'OS Analysis'!$S3:$S1002))/2)*12)-(((SUMIF('OS Analysis'!$B3:$B1002,"RUBS (expense line item)",'OS Analysis'!$S3:$S1002))/2)*12)</f>
        <v>-248412</v>
      </c>
      <c r="U16">
        <f>((SUMIF('OS Analysis'!$B3:$B1002,"RUBS (income line item)",'OS Analysis'!$R3:$R1002))*12)-((SUMIF('OS Analysis'!$B3:$B1002,"RUBS (expense line item)",'OS Analysis'!$R3:$R1002))*12)</f>
        <v>-264336</v>
      </c>
      <c r="V16">
        <f>SUMIF('OS Analysis'!$B$3:$B$1002,"RUBS (income line item)",'OS Analysis'!$Q$3:$Q$1002)-SUMIF('OS Analysis'!$B$3:$B$1002,"RUBS (expense line item)",'OS Analysis'!$Q$3:$Q$1002)</f>
        <v>-254702</v>
      </c>
      <c r="W16">
        <f t="shared" si="5"/>
        <v>-254702</v>
      </c>
      <c r="X16">
        <f t="shared" si="2"/>
        <v>-210.15016501650166</v>
      </c>
      <c r="Y16">
        <f>SUMIF('OS Analysis'!$CD3:$CD1002,"RUBS (income line item)",'OS Analysis'!$CS3:$CS1002)-SUMIF('OS Analysis'!$CD3:$CD1002,"RUBS (expense line item)",'OS Analysis'!$CS3:$CS1002)</f>
        <v>0</v>
      </c>
      <c r="Z16">
        <f t="shared" si="2"/>
        <v>0</v>
      </c>
      <c r="AA16">
        <f>SUMIF('OS Analysis'!$CU3:$CU1002,"RUBS (income line item)",'OS Analysis'!$CW3:$CW1002)-SUMIF('OS Analysis'!$CU3:$CU1002,"RUBS (expense line item)",'OS Analysis'!$CW3:$CW1002)</f>
        <v>0</v>
      </c>
      <c r="AB16">
        <f t="shared" si="2"/>
        <v>0</v>
      </c>
      <c r="AC16">
        <f>SUMIF('OS Analysis'!$CU3:$CU1002,"RUBS (income line item)",'OS Analysis'!$CX3:$CX1002)-SUMIF('OS Analysis'!$CU3:$CU1002,"RUBS (expense line item)",'OS Analysis'!$CX3:$CX1002)</f>
        <v>0</v>
      </c>
      <c r="AD16">
        <f t="shared" si="2"/>
        <v>0</v>
      </c>
      <c r="AE16">
        <v>0</v>
      </c>
      <c r="AF16">
        <f t="shared" si="2"/>
        <v>0</v>
      </c>
      <c r="AG16">
        <v>0</v>
      </c>
      <c r="AH16">
        <f t="shared" si="2"/>
        <v>0</v>
      </c>
      <c r="AI16">
        <v>0</v>
      </c>
      <c r="AJ16">
        <f t="shared" si="2"/>
        <v>0</v>
      </c>
      <c r="AK16">
        <f t="shared" si="16"/>
        <v>-254702</v>
      </c>
      <c r="AL16">
        <f t="shared" si="2"/>
        <v>-210.15016501650166</v>
      </c>
      <c r="AM16">
        <v>0</v>
      </c>
      <c r="AN16">
        <f t="shared" si="2"/>
        <v>0</v>
      </c>
      <c r="AQ16" t="str">
        <f t="shared" si="3"/>
        <v>RUBS</v>
      </c>
      <c r="AR16" t="str">
        <f t="shared" si="17"/>
        <v>T-12</v>
      </c>
      <c r="AV16">
        <f t="shared" si="6"/>
        <v>0</v>
      </c>
      <c r="AW16">
        <f>_xlfn.IFERROR((AV16/V1)/12,0)</f>
        <v>0</v>
      </c>
      <c r="AX16">
        <v>0</v>
      </c>
      <c r="AY16">
        <f>_xlfn.IFERROR((AX16/V1)/12,0)</f>
        <v>0</v>
      </c>
    </row>
    <row r="17" ht="14.25" customHeight="1">
      <c r="A17">
        <f t="shared" si="18" ref="A17:A68">A16+1</f>
        <v>2</v>
      </c>
      <c r="B17" t="s">
        <v>1896</v>
      </c>
      <c r="D17">
        <f>IF(ISBLANK(D$3),SUMIF('OS Analysis'!$BM3:$BM1002,$B17,'OS Analysis'!$CB3:$CB1002),INDEX($J17:$U17,1,MATCH(D$3,$J$4:$U$4,0)))</f>
        <v>0</v>
      </c>
      <c r="E17">
        <f t="shared" si="2"/>
        <v>0</v>
      </c>
      <c r="F17">
        <f>IF(ISBLANK(F$3),SUMIF('OS Analysis'!$AV3:$AV1002,$B17,'OS Analysis'!$BK3:$BK1002),INDEX($J17:$U17,1,MATCH(F$3,$J$4:$U$4,0)))</f>
        <v>0</v>
      </c>
      <c r="G17">
        <f t="shared" si="2"/>
        <v>0</v>
      </c>
      <c r="H17">
        <f>IF(ISBLANK(H$3),SUMIF('OS Analysis'!$AE3:$AE1002,$B17,'OS Analysis'!$AT3:$AT1002),INDEX($J17:$U17,1,MATCH(H$3,$J$4:$U$4,0)))</f>
        <v>0</v>
      </c>
      <c r="I17">
        <f t="shared" si="2"/>
        <v>0</v>
      </c>
      <c r="J17">
        <f>((SUMIF('OS Analysis'!$B3:$B1002,B17,'OS Analysis'!$AC3:$AC1002))/12)*12</f>
        <v>8960</v>
      </c>
      <c r="K17">
        <f>((SUMIF('OS Analysis'!$B3:$B1002,B17,'OS Analysis'!$AB3:$AB1002))/11)*12</f>
        <v>12835.636363636364</v>
      </c>
      <c r="L17">
        <f>((SUMIF('OS Analysis'!$B3:$B1002,B17,'OS Analysis'!$AA3:$AA1002))/10)*12</f>
        <v>15646.800000000001</v>
      </c>
      <c r="M17">
        <f>((SUMIF('OS Analysis'!$B3:$B1002,B17,'OS Analysis'!$Z3:$Z1002))/9)*12</f>
        <v>16176</v>
      </c>
      <c r="N17">
        <f>((SUMIF('OS Analysis'!$B3:$B1002,B17,'OS Analysis'!$Y3:$Y1002))/8)*12</f>
        <v>17434.5</v>
      </c>
      <c r="O17">
        <f>((SUMIF('OS Analysis'!$B3:$B1002,B17,'OS Analysis'!$X3:$X1002))/7)*12</f>
        <v>19138.285714285714</v>
      </c>
      <c r="P17">
        <f>((SUMIF('OS Analysis'!$B3:$B1002,B17,'OS Analysis'!$W3:$W1002))/6)*12</f>
        <v>17116</v>
      </c>
      <c r="Q17">
        <f>((SUMIF('OS Analysis'!$B3:$B1002,B17,'OS Analysis'!$V3:$V1002))/5)*12</f>
        <v>18139.199999999997</v>
      </c>
      <c r="R17">
        <f>((SUMIF('OS Analysis'!$B3:$B1002,B17,'OS Analysis'!$U3:$U1002))/4)*12</f>
        <v>17010</v>
      </c>
      <c r="S17">
        <f>((SUMIF('OS Analysis'!$B3:$B1002,B17,'OS Analysis'!$T3:$T1002))/3)*12</f>
        <v>16164</v>
      </c>
      <c r="T17">
        <f>((SUMIF('OS Analysis'!$B3:$B1002,B17,'OS Analysis'!$S3:$S1002))/2)*12</f>
        <v>17424</v>
      </c>
      <c r="U17">
        <f>(SUMIF('OS Analysis'!$B3:$B1002,B17,'OS Analysis'!$R3:$R1002))*12</f>
        <v>22536</v>
      </c>
      <c r="V17">
        <f>SUMIF('OS Analysis'!$B$3:$B$1002,$B17,'OS Analysis'!$Q$3:$Q$1002)</f>
        <v>8960</v>
      </c>
      <c r="W17">
        <f t="shared" si="5"/>
        <v>8960</v>
      </c>
      <c r="X17">
        <f t="shared" si="2"/>
        <v>7.3927392739273925</v>
      </c>
      <c r="Y17">
        <f>SUMIF('OS Analysis'!$CD3:$CD1002,$B17,'OS Analysis'!$CS3:$CS1002)</f>
        <v>0</v>
      </c>
      <c r="Z17">
        <f t="shared" si="2"/>
        <v>0</v>
      </c>
      <c r="AA17">
        <f>SUMIF('OS Analysis'!$CU3:$CU1002,$B17,'OS Analysis'!$CW3:$CW1002)</f>
        <v>0</v>
      </c>
      <c r="AB17">
        <f t="shared" si="2"/>
        <v>0</v>
      </c>
      <c r="AC17">
        <f>SUMIF('OS Analysis'!$CU3:$CU1002,$B17,'OS Analysis'!$CX3:$CX1002)</f>
        <v>0</v>
      </c>
      <c r="AD17">
        <f t="shared" si="2"/>
        <v>0</v>
      </c>
      <c r="AE17">
        <v>0</v>
      </c>
      <c r="AF17">
        <f t="shared" si="2"/>
        <v>0</v>
      </c>
      <c r="AG17">
        <v>0</v>
      </c>
      <c r="AH17">
        <f t="shared" si="2"/>
        <v>0</v>
      </c>
      <c r="AI17">
        <v>0</v>
      </c>
      <c r="AJ17">
        <f t="shared" si="2"/>
        <v>0</v>
      </c>
      <c r="AK17">
        <f t="shared" si="16"/>
        <v>8960</v>
      </c>
      <c r="AL17">
        <f t="shared" si="2"/>
        <v>7.3927392739273925</v>
      </c>
      <c r="AM17">
        <v>0</v>
      </c>
      <c r="AN17">
        <f t="shared" si="2"/>
        <v>0</v>
      </c>
      <c r="AQ17" t="str">
        <f t="shared" si="3"/>
        <v>Other Income (Allowable)</v>
      </c>
      <c r="AR17" t="str">
        <f t="shared" si="17"/>
        <v>T-12</v>
      </c>
      <c r="AV17">
        <f t="shared" si="6"/>
        <v>0</v>
      </c>
      <c r="AW17">
        <f>_xlfn.IFERROR((AV17/V1)/12,0)</f>
        <v>0</v>
      </c>
      <c r="AX17">
        <v>0</v>
      </c>
      <c r="AY17">
        <f>_xlfn.IFERROR((AX17/V1)/12,0)</f>
        <v>0</v>
      </c>
    </row>
    <row r="18" ht="14.25" customHeight="1">
      <c r="A18">
        <f t="shared" si="18"/>
        <v>3</v>
      </c>
      <c r="B18" t="s">
        <v>1897</v>
      </c>
      <c r="D18">
        <f>IF(ISBLANK(D$3),SUMIF('OS Analysis'!$BM3:$BM1002,$B18,'OS Analysis'!$CB3:$CB1002),INDEX($J18:$U18,1,MATCH(D$3,$J$4:$U$4,0)))</f>
        <v>0</v>
      </c>
      <c r="E18">
        <f t="shared" si="2"/>
        <v>0</v>
      </c>
      <c r="F18">
        <f>IF(ISBLANK(F$3),SUMIF('OS Analysis'!$AV3:$AV1002,$B18,'OS Analysis'!$BK3:$BK1002),INDEX($J18:$U18,1,MATCH(F$3,$J$4:$U$4,0)))</f>
        <v>0</v>
      </c>
      <c r="G18">
        <f t="shared" si="2"/>
        <v>0</v>
      </c>
      <c r="H18">
        <f>IF(ISBLANK(H$3),SUMIF('OS Analysis'!$AE3:$AE1002,$B18,'OS Analysis'!$AT3:$AT1002),INDEX($J18:$U18,1,MATCH(H$3,$J$4:$U$4,0)))</f>
        <v>0</v>
      </c>
      <c r="I18">
        <f t="shared" si="2"/>
        <v>0</v>
      </c>
      <c r="J18">
        <f>((SUMIF('OS Analysis'!$B3:$B1002,B18,'OS Analysis'!$AC3:$AC1002))/12)*12</f>
        <v>0</v>
      </c>
      <c r="K18">
        <f>((SUMIF('OS Analysis'!$B3:$B1002,B18,'OS Analysis'!$AB3:$AB1002))/11)*12</f>
        <v>0</v>
      </c>
      <c r="L18">
        <f>((SUMIF('OS Analysis'!$B3:$B1002,B18,'OS Analysis'!$AA3:$AA1002))/10)*12</f>
        <v>0</v>
      </c>
      <c r="M18">
        <f>((SUMIF('OS Analysis'!$B3:$B1002,B18,'OS Analysis'!$Z3:$Z1002))/9)*12</f>
        <v>0</v>
      </c>
      <c r="N18">
        <f>((SUMIF('OS Analysis'!$B3:$B1002,B18,'OS Analysis'!$Y3:$Y1002))/8)*12</f>
        <v>0</v>
      </c>
      <c r="O18">
        <f>((SUMIF('OS Analysis'!$B3:$B1002,B18,'OS Analysis'!$X3:$X1002))/7)*12</f>
        <v>0</v>
      </c>
      <c r="P18">
        <f>((SUMIF('OS Analysis'!$B3:$B1002,B18,'OS Analysis'!$W3:$W1002))/6)*12</f>
        <v>0</v>
      </c>
      <c r="Q18">
        <f>((SUMIF('OS Analysis'!$B3:$B1002,B18,'OS Analysis'!$V3:$V1002))/5)*12</f>
        <v>0</v>
      </c>
      <c r="R18">
        <f>((SUMIF('OS Analysis'!$B3:$B1002,B18,'OS Analysis'!$U3:$U1002))/4)*12</f>
        <v>0</v>
      </c>
      <c r="S18">
        <f>((SUMIF('OS Analysis'!$B3:$B1002,B18,'OS Analysis'!$T3:$T1002))/3)*12</f>
        <v>0</v>
      </c>
      <c r="T18">
        <f>((SUMIF('OS Analysis'!$B3:$B1002,B18,'OS Analysis'!$S3:$S1002))/2)*12</f>
        <v>0</v>
      </c>
      <c r="U18">
        <f>(SUMIF('OS Analysis'!$B3:$B1002,B18,'OS Analysis'!$R3:$R1002))*12</f>
        <v>0</v>
      </c>
      <c r="V18">
        <f>SUMIF('OS Analysis'!$B$3:$B$1002,$B18,'OS Analysis'!$Q$3:$Q$1002)</f>
        <v>0</v>
      </c>
      <c r="W18">
        <f t="shared" si="5"/>
        <v>0</v>
      </c>
      <c r="X18">
        <f t="shared" si="2"/>
        <v>0</v>
      </c>
      <c r="Y18">
        <f>SUMIF('OS Analysis'!$CD3:$CD1002,$B18,'OS Analysis'!$CS3:$CS1002)</f>
        <v>0</v>
      </c>
      <c r="Z18">
        <f t="shared" si="2"/>
        <v>0</v>
      </c>
      <c r="AA18">
        <f>SUMIF('OS Analysis'!$CU3:$CU1002,$B18,'OS Analysis'!$CW3:$CW1002)</f>
        <v>0</v>
      </c>
      <c r="AB18">
        <f t="shared" si="2"/>
        <v>0</v>
      </c>
      <c r="AC18">
        <f>SUMIF('OS Analysis'!$CU3:$CU1002,$B18,'OS Analysis'!$CX3:$CX1002)</f>
        <v>0</v>
      </c>
      <c r="AD18">
        <f t="shared" si="2"/>
        <v>0</v>
      </c>
      <c r="AE18">
        <v>0</v>
      </c>
      <c r="AF18">
        <f t="shared" si="2"/>
        <v>0</v>
      </c>
      <c r="AG18">
        <v>0</v>
      </c>
      <c r="AH18">
        <f t="shared" si="2"/>
        <v>0</v>
      </c>
      <c r="AI18">
        <v>0</v>
      </c>
      <c r="AJ18">
        <f t="shared" si="2"/>
        <v>0</v>
      </c>
      <c r="AK18">
        <f t="shared" si="16"/>
        <v>0</v>
      </c>
      <c r="AL18">
        <f t="shared" si="2"/>
        <v>0</v>
      </c>
      <c r="AM18">
        <v>0</v>
      </c>
      <c r="AN18">
        <f t="shared" si="2"/>
        <v>0</v>
      </c>
      <c r="AQ18" t="str">
        <f t="shared" si="3"/>
        <v>App Fee</v>
      </c>
      <c r="AR18">
        <f t="shared" si="17"/>
      </c>
      <c r="AV18">
        <f t="shared" si="6"/>
        <v>0</v>
      </c>
      <c r="AW18">
        <f>_xlfn.IFERROR((AV18/V1)/12,0)</f>
        <v>0</v>
      </c>
      <c r="AX18">
        <v>0</v>
      </c>
      <c r="AY18">
        <f>_xlfn.IFERROR((AX18/V1)/12,0)</f>
        <v>0</v>
      </c>
    </row>
    <row r="19" ht="14.25" customHeight="1">
      <c r="A19">
        <f t="shared" si="18"/>
        <v>4</v>
      </c>
      <c r="B19" t="s">
        <v>1898</v>
      </c>
      <c r="D19">
        <f>IF(ISBLANK(D$3),SUMIF('OS Analysis'!$BM3:$BM1002,$B19,'OS Analysis'!$CB3:$CB1002),INDEX($J19:$U19,1,MATCH(D$3,$J$4:$U$4,0)))</f>
        <v>0</v>
      </c>
      <c r="E19">
        <f t="shared" si="2"/>
        <v>0</v>
      </c>
      <c r="F19">
        <f>IF(ISBLANK(F$3),SUMIF('OS Analysis'!$AV3:$AV1002,$B19,'OS Analysis'!$BK3:$BK1002),INDEX($J19:$U19,1,MATCH(F$3,$J$4:$U$4,0)))</f>
        <v>0</v>
      </c>
      <c r="G19">
        <f t="shared" si="2"/>
        <v>0</v>
      </c>
      <c r="H19">
        <f>IF(ISBLANK(H$3),SUMIF('OS Analysis'!$AE3:$AE1002,$B19,'OS Analysis'!$AT3:$AT1002),INDEX($J19:$U19,1,MATCH(H$3,$J$4:$U$4,0)))</f>
        <v>0</v>
      </c>
      <c r="I19">
        <f t="shared" si="2"/>
        <v>0</v>
      </c>
      <c r="J19">
        <f>((SUMIF('OS Analysis'!$B3:$B1002,B19,'OS Analysis'!$AC3:$AC1002))/12)*12</f>
        <v>0</v>
      </c>
      <c r="K19">
        <f>((SUMIF('OS Analysis'!$B3:$B1002,B19,'OS Analysis'!$AB3:$AB1002))/11)*12</f>
        <v>0</v>
      </c>
      <c r="L19">
        <f>((SUMIF('OS Analysis'!$B3:$B1002,B19,'OS Analysis'!$AA3:$AA1002))/10)*12</f>
        <v>0</v>
      </c>
      <c r="M19">
        <f>((SUMIF('OS Analysis'!$B3:$B1002,B19,'OS Analysis'!$Z3:$Z1002))/9)*12</f>
        <v>0</v>
      </c>
      <c r="N19">
        <f>((SUMIF('OS Analysis'!$B3:$B1002,B19,'OS Analysis'!$Y3:$Y1002))/8)*12</f>
        <v>0</v>
      </c>
      <c r="O19">
        <f>((SUMIF('OS Analysis'!$B3:$B1002,B19,'OS Analysis'!$X3:$X1002))/7)*12</f>
        <v>0</v>
      </c>
      <c r="P19">
        <f>((SUMIF('OS Analysis'!$B3:$B1002,B19,'OS Analysis'!$W3:$W1002))/6)*12</f>
        <v>0</v>
      </c>
      <c r="Q19">
        <f>((SUMIF('OS Analysis'!$B3:$B1002,B19,'OS Analysis'!$V3:$V1002))/5)*12</f>
        <v>0</v>
      </c>
      <c r="R19">
        <f>((SUMIF('OS Analysis'!$B3:$B1002,B19,'OS Analysis'!$U3:$U1002))/4)*12</f>
        <v>0</v>
      </c>
      <c r="S19">
        <f>((SUMIF('OS Analysis'!$B3:$B1002,B19,'OS Analysis'!$T3:$T1002))/3)*12</f>
        <v>0</v>
      </c>
      <c r="T19">
        <f>((SUMIF('OS Analysis'!$B3:$B1002,B19,'OS Analysis'!$S3:$S1002))/2)*12</f>
        <v>0</v>
      </c>
      <c r="U19">
        <f>(SUMIF('OS Analysis'!$B3:$B1002,B19,'OS Analysis'!$R3:$R1002))*12</f>
        <v>0</v>
      </c>
      <c r="V19">
        <f>SUMIF('OS Analysis'!$B$3:$B$1002,$B19,'OS Analysis'!$Q$3:$Q$1002)</f>
        <v>0</v>
      </c>
      <c r="W19">
        <f t="shared" si="5"/>
        <v>0</v>
      </c>
      <c r="X19">
        <f t="shared" si="2"/>
        <v>0</v>
      </c>
      <c r="Y19">
        <f>SUMIF('OS Analysis'!$CD3:$CD1002,$B19,'OS Analysis'!$CS3:$CS1002)</f>
        <v>0</v>
      </c>
      <c r="Z19">
        <f t="shared" si="2"/>
        <v>0</v>
      </c>
      <c r="AA19">
        <f>SUMIF('OS Analysis'!$CU3:$CU1002,$B19,'OS Analysis'!$CW3:$CW1002)</f>
        <v>0</v>
      </c>
      <c r="AB19">
        <f t="shared" si="2"/>
        <v>0</v>
      </c>
      <c r="AC19">
        <f>SUMIF('OS Analysis'!$CU3:$CU1002,$B19,'OS Analysis'!$CX3:$CX1002)</f>
        <v>0</v>
      </c>
      <c r="AD19">
        <f t="shared" si="2"/>
        <v>0</v>
      </c>
      <c r="AE19">
        <v>0</v>
      </c>
      <c r="AF19">
        <f t="shared" si="2"/>
        <v>0</v>
      </c>
      <c r="AG19">
        <v>0</v>
      </c>
      <c r="AH19">
        <f t="shared" si="2"/>
        <v>0</v>
      </c>
      <c r="AI19">
        <v>0</v>
      </c>
      <c r="AJ19">
        <f t="shared" si="2"/>
        <v>0</v>
      </c>
      <c r="AK19">
        <f t="shared" si="16"/>
        <v>0</v>
      </c>
      <c r="AL19">
        <f t="shared" si="2"/>
        <v>0</v>
      </c>
      <c r="AM19">
        <v>0</v>
      </c>
      <c r="AN19">
        <f t="shared" si="2"/>
        <v>0</v>
      </c>
      <c r="AQ19" t="str">
        <f t="shared" si="3"/>
        <v>Forfeit Deposits</v>
      </c>
      <c r="AR19">
        <f t="shared" si="17"/>
      </c>
      <c r="AV19">
        <f t="shared" si="6"/>
        <v>0</v>
      </c>
      <c r="AW19">
        <f t="shared" si="19" ref="AW19:AW21">_xlfn.IFERROR((AV19/C2)/12,0)</f>
        <v>0</v>
      </c>
      <c r="AX19">
        <v>0</v>
      </c>
      <c r="AY19">
        <f t="shared" si="20" ref="AY19:AY21">_xlfn.IFERROR((AX19/C2)/12,0)</f>
        <v>0</v>
      </c>
    </row>
    <row r="20" ht="14.25" customHeight="1">
      <c r="A20">
        <f t="shared" si="18"/>
        <v>5</v>
      </c>
      <c r="B20" t="s">
        <v>1899</v>
      </c>
      <c r="D20">
        <f>IF(ISBLANK(D$3),SUMIF('OS Analysis'!$BM3:$BM1002,$B20,'OS Analysis'!$CB3:$CB1002),INDEX($J20:$U20,1,MATCH(D$3,$J$4:$U$4,0)))</f>
        <v>0</v>
      </c>
      <c r="E20">
        <f t="shared" si="2"/>
        <v>0</v>
      </c>
      <c r="F20">
        <f>IF(ISBLANK(F$3),SUMIF('OS Analysis'!$AV3:$AV1002,$B20,'OS Analysis'!$BK3:$BK1002),INDEX($J20:$U20,1,MATCH(F$3,$J$4:$U$4,0)))</f>
        <v>0</v>
      </c>
      <c r="G20">
        <f t="shared" si="2"/>
        <v>0</v>
      </c>
      <c r="H20">
        <f>IF(ISBLANK(H$3),SUMIF('OS Analysis'!$AE3:$AE1002,$B20,'OS Analysis'!$AT3:$AT1002),INDEX($J20:$U20,1,MATCH(H$3,$J$4:$U$4,0)))</f>
        <v>0</v>
      </c>
      <c r="I20">
        <f t="shared" si="2"/>
        <v>0</v>
      </c>
      <c r="J20">
        <f>((SUMIF('OS Analysis'!$B3:$B1002,B20,'OS Analysis'!$AC3:$AC1002))/12)*12</f>
        <v>0</v>
      </c>
      <c r="K20">
        <f>((SUMIF('OS Analysis'!$B3:$B1002,B20,'OS Analysis'!$AB3:$AB1002))/11)*12</f>
        <v>0</v>
      </c>
      <c r="L20">
        <f>((SUMIF('OS Analysis'!$B3:$B1002,B20,'OS Analysis'!$AA3:$AA1002))/10)*12</f>
        <v>0</v>
      </c>
      <c r="M20">
        <f>((SUMIF('OS Analysis'!$B3:$B1002,B20,'OS Analysis'!$Z3:$Z1002))/9)*12</f>
        <v>0</v>
      </c>
      <c r="N20">
        <f>((SUMIF('OS Analysis'!$B3:$B1002,B20,'OS Analysis'!$Y3:$Y1002))/8)*12</f>
        <v>0</v>
      </c>
      <c r="O20">
        <f>((SUMIF('OS Analysis'!$B3:$B1002,B20,'OS Analysis'!$X3:$X1002))/7)*12</f>
        <v>0</v>
      </c>
      <c r="P20">
        <f>((SUMIF('OS Analysis'!$B3:$B1002,B20,'OS Analysis'!$W3:$W1002))/6)*12</f>
        <v>0</v>
      </c>
      <c r="Q20">
        <f>((SUMIF('OS Analysis'!$B3:$B1002,B20,'OS Analysis'!$V3:$V1002))/5)*12</f>
        <v>0</v>
      </c>
      <c r="R20">
        <f>((SUMIF('OS Analysis'!$B3:$B1002,B20,'OS Analysis'!$U3:$U1002))/4)*12</f>
        <v>0</v>
      </c>
      <c r="S20">
        <f>((SUMIF('OS Analysis'!$B3:$B1002,B20,'OS Analysis'!$T3:$T1002))/3)*12</f>
        <v>0</v>
      </c>
      <c r="T20">
        <f>((SUMIF('OS Analysis'!$B3:$B1002,B20,'OS Analysis'!$S3:$S1002))/2)*12</f>
        <v>0</v>
      </c>
      <c r="U20">
        <f>(SUMIF('OS Analysis'!$B3:$B1002,B20,'OS Analysis'!$R3:$R1002))*12</f>
        <v>0</v>
      </c>
      <c r="V20">
        <f>SUMIF('OS Analysis'!$B$3:$B$1002,$B20,'OS Analysis'!$Q$3:$Q$1002)</f>
        <v>0</v>
      </c>
      <c r="W20">
        <f t="shared" si="5"/>
        <v>0</v>
      </c>
      <c r="X20">
        <f t="shared" si="2"/>
        <v>0</v>
      </c>
      <c r="Y20">
        <f>SUMIF('OS Analysis'!$CD3:$CD1002,$B20,'OS Analysis'!$CS3:$CS1002)</f>
        <v>0</v>
      </c>
      <c r="Z20">
        <f t="shared" si="2"/>
        <v>0</v>
      </c>
      <c r="AA20">
        <f>SUMIF('OS Analysis'!$CU3:$CU1002,$B20,'OS Analysis'!$CW3:$CW1002)</f>
        <v>0</v>
      </c>
      <c r="AB20">
        <f t="shared" si="2"/>
        <v>0</v>
      </c>
      <c r="AC20">
        <f>SUMIF('OS Analysis'!$CU3:$CU1002,$B20,'OS Analysis'!$CX3:$CX1002)</f>
        <v>0</v>
      </c>
      <c r="AD20">
        <f t="shared" si="2"/>
        <v>0</v>
      </c>
      <c r="AE20">
        <v>0</v>
      </c>
      <c r="AF20">
        <f t="shared" si="2"/>
        <v>0</v>
      </c>
      <c r="AG20">
        <v>0</v>
      </c>
      <c r="AH20">
        <f t="shared" si="2"/>
        <v>0</v>
      </c>
      <c r="AI20">
        <v>0</v>
      </c>
      <c r="AJ20">
        <f t="shared" si="2"/>
        <v>0</v>
      </c>
      <c r="AK20">
        <f t="shared" si="16"/>
        <v>0</v>
      </c>
      <c r="AL20">
        <f t="shared" si="2"/>
        <v>0</v>
      </c>
      <c r="AM20">
        <v>0</v>
      </c>
      <c r="AN20">
        <f t="shared" si="2"/>
        <v>0</v>
      </c>
      <c r="AQ20" t="str">
        <f t="shared" si="3"/>
        <v>Late/Early Term Fees</v>
      </c>
      <c r="AR20">
        <f t="shared" si="17"/>
      </c>
      <c r="AV20">
        <f t="shared" si="6"/>
        <v>0</v>
      </c>
      <c r="AW20">
        <f>_xlfn.IFERROR((AV20/#REF!)/12,0)</f>
        <v>0</v>
      </c>
      <c r="AX20">
        <v>0</v>
      </c>
      <c r="AY20">
        <f>_xlfn.IFERROR((AX20/#REF!)/12,0)</f>
        <v>0</v>
      </c>
    </row>
    <row r="21" ht="14.25" customHeight="1">
      <c r="A21">
        <f t="shared" si="18"/>
        <v>6</v>
      </c>
      <c r="B21" t="s">
        <v>1900</v>
      </c>
      <c r="D21">
        <f>IF(ISBLANK(D$3),SUMIF('OS Analysis'!$BM3:$BM1002,$B21,'OS Analysis'!$CB3:$CB1002),INDEX($J21:$U21,1,MATCH(D$3,$J$4:$U$4,0)))</f>
        <v>0</v>
      </c>
      <c r="E21">
        <f t="shared" si="2"/>
        <v>0</v>
      </c>
      <c r="F21">
        <f>IF(ISBLANK(F$3),SUMIF('OS Analysis'!$AV3:$AV1002,$B21,'OS Analysis'!$BK3:$BK1002),INDEX($J21:$U21,1,MATCH(F$3,$J$4:$U$4,0)))</f>
        <v>0</v>
      </c>
      <c r="G21">
        <f t="shared" si="2"/>
        <v>0</v>
      </c>
      <c r="H21">
        <f>IF(ISBLANK(H$3),SUMIF('OS Analysis'!$AE3:$AE1002,$B21,'OS Analysis'!$AT3:$AT1002),INDEX($J21:$U21,1,MATCH(H$3,$J$4:$U$4,0)))</f>
        <v>0</v>
      </c>
      <c r="I21">
        <f t="shared" si="2"/>
        <v>0</v>
      </c>
      <c r="J21">
        <f>((SUMIF('OS Analysis'!$B3:$B1002,B21,'OS Analysis'!$AC3:$AC1002))/12)*12</f>
        <v>0</v>
      </c>
      <c r="K21">
        <f>((SUMIF('OS Analysis'!$B3:$B1002,B21,'OS Analysis'!$AB3:$AB1002))/11)*12</f>
        <v>0</v>
      </c>
      <c r="L21">
        <f>((SUMIF('OS Analysis'!$B3:$B1002,B21,'OS Analysis'!$AA3:$AA1002))/10)*12</f>
        <v>0</v>
      </c>
      <c r="M21">
        <f>((SUMIF('OS Analysis'!$B3:$B1002,B21,'OS Analysis'!$Z3:$Z1002))/9)*12</f>
        <v>0</v>
      </c>
      <c r="N21">
        <f>((SUMIF('OS Analysis'!$B3:$B1002,B21,'OS Analysis'!$Y3:$Y1002))/8)*12</f>
        <v>0</v>
      </c>
      <c r="O21">
        <f>((SUMIF('OS Analysis'!$B3:$B1002,B21,'OS Analysis'!$X3:$X1002))/7)*12</f>
        <v>0</v>
      </c>
      <c r="P21">
        <f>((SUMIF('OS Analysis'!$B3:$B1002,B21,'OS Analysis'!$W3:$W1002))/6)*12</f>
        <v>0</v>
      </c>
      <c r="Q21">
        <f>((SUMIF('OS Analysis'!$B3:$B1002,B21,'OS Analysis'!$V3:$V1002))/5)*12</f>
        <v>0</v>
      </c>
      <c r="R21">
        <f>((SUMIF('OS Analysis'!$B3:$B1002,B21,'OS Analysis'!$U3:$U1002))/4)*12</f>
        <v>0</v>
      </c>
      <c r="S21">
        <f>((SUMIF('OS Analysis'!$B3:$B1002,B21,'OS Analysis'!$T3:$T1002))/3)*12</f>
        <v>0</v>
      </c>
      <c r="T21">
        <f>((SUMIF('OS Analysis'!$B3:$B1002,B21,'OS Analysis'!$S3:$S1002))/2)*12</f>
        <v>0</v>
      </c>
      <c r="U21">
        <f>(SUMIF('OS Analysis'!$B3:$B1002,B21,'OS Analysis'!$R3:$R1002))*12</f>
        <v>0</v>
      </c>
      <c r="V21">
        <f>SUMIF('OS Analysis'!$B$3:$B$1002,$B21,'OS Analysis'!$Q$3:$Q$1002)</f>
        <v>0</v>
      </c>
      <c r="W21">
        <f t="shared" si="5"/>
        <v>0</v>
      </c>
      <c r="X21">
        <f t="shared" si="2"/>
        <v>0</v>
      </c>
      <c r="Y21">
        <f>SUMIF('OS Analysis'!$CD3:$CD1002,$B21,'OS Analysis'!$CS3:$CS1002)</f>
        <v>0</v>
      </c>
      <c r="Z21">
        <f t="shared" si="2"/>
        <v>0</v>
      </c>
      <c r="AA21">
        <f>SUMIF('OS Analysis'!$CU3:$CU1002,$B21,'OS Analysis'!$CW3:$CW1002)</f>
        <v>0</v>
      </c>
      <c r="AB21">
        <f t="shared" si="2"/>
        <v>0</v>
      </c>
      <c r="AC21">
        <f>SUMIF('OS Analysis'!$CU3:$CU1002,$B21,'OS Analysis'!$CX3:$CX1002)</f>
        <v>0</v>
      </c>
      <c r="AD21">
        <f t="shared" si="2"/>
        <v>0</v>
      </c>
      <c r="AE21">
        <v>0</v>
      </c>
      <c r="AF21">
        <f t="shared" si="2"/>
        <v>0</v>
      </c>
      <c r="AG21">
        <v>0</v>
      </c>
      <c r="AH21">
        <f t="shared" si="2"/>
        <v>0</v>
      </c>
      <c r="AI21">
        <v>0</v>
      </c>
      <c r="AJ21">
        <f t="shared" si="2"/>
        <v>0</v>
      </c>
      <c r="AK21">
        <f t="shared" si="16"/>
        <v>0</v>
      </c>
      <c r="AL21">
        <f t="shared" si="2"/>
        <v>0</v>
      </c>
      <c r="AM21">
        <v>0</v>
      </c>
      <c r="AN21">
        <f t="shared" si="2"/>
        <v>0</v>
      </c>
      <c r="AQ21" t="str">
        <f t="shared" si="3"/>
        <v>Pet Deposits</v>
      </c>
      <c r="AR21">
        <f t="shared" si="17"/>
      </c>
      <c r="AV21">
        <f t="shared" si="6"/>
        <v>0</v>
      </c>
      <c r="AW21">
        <f t="shared" si="19"/>
        <v>0</v>
      </c>
      <c r="AX21">
        <v>0</v>
      </c>
      <c r="AY21">
        <f t="shared" si="20"/>
        <v>0</v>
      </c>
    </row>
    <row r="22" ht="14.25" customHeight="1">
      <c r="A22">
        <f t="shared" si="18"/>
        <v>7</v>
      </c>
      <c r="B22" t="s">
        <v>1901</v>
      </c>
      <c r="D22">
        <f>IF(ISBLANK(D$3),SUMIF('OS Analysis'!$BM3:$BM1002,$B22,'OS Analysis'!$CB3:$CB1002),INDEX($J22:$U22,1,MATCH(D$3,$J$4:$U$4,0)))</f>
        <v>0</v>
      </c>
      <c r="E22">
        <f t="shared" si="2"/>
        <v>0</v>
      </c>
      <c r="F22">
        <f>IF(ISBLANK(F$3),SUMIF('OS Analysis'!$AV3:$AV1002,$B22,'OS Analysis'!$BK3:$BK1002),INDEX($J22:$U22,1,MATCH(F$3,$J$4:$U$4,0)))</f>
        <v>0</v>
      </c>
      <c r="G22">
        <f t="shared" si="2"/>
        <v>0</v>
      </c>
      <c r="H22">
        <f>IF(ISBLANK(H$3),SUMIF('OS Analysis'!$AE3:$AE1002,$B22,'OS Analysis'!$AT3:$AT1002),INDEX($J22:$U22,1,MATCH(H$3,$J$4:$U$4,0)))</f>
        <v>0</v>
      </c>
      <c r="I22">
        <f t="shared" si="2"/>
        <v>0</v>
      </c>
      <c r="J22">
        <f>((SUMIF('OS Analysis'!$B3:$B1002,B22,'OS Analysis'!$AC3:$AC1002))/12)*12</f>
        <v>0</v>
      </c>
      <c r="K22">
        <f>((SUMIF('OS Analysis'!$B3:$B1002,B22,'OS Analysis'!$AB3:$AB1002))/11)*12</f>
        <v>0</v>
      </c>
      <c r="L22">
        <f>((SUMIF('OS Analysis'!$B3:$B1002,B22,'OS Analysis'!$AA3:$AA1002))/10)*12</f>
        <v>0</v>
      </c>
      <c r="M22">
        <f>((SUMIF('OS Analysis'!$B3:$B1002,B22,'OS Analysis'!$Z3:$Z1002))/9)*12</f>
        <v>0</v>
      </c>
      <c r="N22">
        <f>((SUMIF('OS Analysis'!$B3:$B1002,B22,'OS Analysis'!$Y3:$Y1002))/8)*12</f>
        <v>0</v>
      </c>
      <c r="O22">
        <f>((SUMIF('OS Analysis'!$B3:$B1002,B22,'OS Analysis'!$X3:$X1002))/7)*12</f>
        <v>0</v>
      </c>
      <c r="P22">
        <f>((SUMIF('OS Analysis'!$B3:$B1002,B22,'OS Analysis'!$W3:$W1002))/6)*12</f>
        <v>0</v>
      </c>
      <c r="Q22">
        <f>((SUMIF('OS Analysis'!$B3:$B1002,B22,'OS Analysis'!$V3:$V1002))/5)*12</f>
        <v>0</v>
      </c>
      <c r="R22">
        <f>((SUMIF('OS Analysis'!$B3:$B1002,B22,'OS Analysis'!$U3:$U1002))/4)*12</f>
        <v>0</v>
      </c>
      <c r="S22">
        <f>((SUMIF('OS Analysis'!$B3:$B1002,B22,'OS Analysis'!$T3:$T1002))/3)*12</f>
        <v>0</v>
      </c>
      <c r="T22">
        <f>((SUMIF('OS Analysis'!$B3:$B1002,B22,'OS Analysis'!$S3:$S1002))/2)*12</f>
        <v>0</v>
      </c>
      <c r="U22">
        <f>(SUMIF('OS Analysis'!$B3:$B1002,B22,'OS Analysis'!$R3:$R1002))*12</f>
        <v>0</v>
      </c>
      <c r="V22">
        <f>SUMIF('OS Analysis'!$B$3:$B$1002,$B22,'OS Analysis'!$Q$3:$Q$1002)</f>
        <v>0</v>
      </c>
      <c r="W22">
        <f t="shared" si="5"/>
        <v>0</v>
      </c>
      <c r="X22">
        <f t="shared" si="2"/>
        <v>0</v>
      </c>
      <c r="Y22">
        <f>SUMIF('OS Analysis'!$CD3:$CD1002,$B22,'OS Analysis'!$CS3:$CS1002)</f>
        <v>0</v>
      </c>
      <c r="Z22">
        <f t="shared" si="2"/>
        <v>0</v>
      </c>
      <c r="AA22">
        <f>SUMIF('OS Analysis'!$CU3:$CU1002,$B22,'OS Analysis'!$CW3:$CW1002)</f>
        <v>0</v>
      </c>
      <c r="AB22">
        <f t="shared" si="2"/>
        <v>0</v>
      </c>
      <c r="AC22">
        <f>SUMIF('OS Analysis'!$CU3:$CU1002,$B22,'OS Analysis'!$CX3:$CX1002)</f>
        <v>0</v>
      </c>
      <c r="AD22">
        <f t="shared" si="2"/>
        <v>0</v>
      </c>
      <c r="AE22">
        <v>0</v>
      </c>
      <c r="AF22">
        <f t="shared" si="2"/>
        <v>0</v>
      </c>
      <c r="AG22">
        <v>0</v>
      </c>
      <c r="AH22">
        <f t="shared" si="2"/>
        <v>0</v>
      </c>
      <c r="AI22">
        <v>0</v>
      </c>
      <c r="AJ22">
        <f t="shared" si="2"/>
        <v>0</v>
      </c>
      <c r="AK22">
        <f t="shared" si="16"/>
        <v>0</v>
      </c>
      <c r="AL22">
        <f t="shared" si="2"/>
        <v>0</v>
      </c>
      <c r="AM22">
        <v>0</v>
      </c>
      <c r="AN22">
        <f t="shared" si="2"/>
        <v>0</v>
      </c>
      <c r="AQ22" t="str">
        <f t="shared" si="3"/>
        <v>Premiums</v>
      </c>
      <c r="AR22">
        <f t="shared" si="17"/>
      </c>
      <c r="AV22">
        <f t="shared" si="6"/>
        <v>0</v>
      </c>
      <c r="AW22">
        <f>_xlfn.IFERROR((AV22/B3)/12,0)</f>
        <v>0</v>
      </c>
      <c r="AX22">
        <v>0</v>
      </c>
      <c r="AY22">
        <f>_xlfn.IFERROR((AX22/B3)/12,0)</f>
        <v>0</v>
      </c>
    </row>
    <row r="23" ht="14.25" customHeight="1">
      <c r="A23">
        <f t="shared" si="18"/>
        <v>8</v>
      </c>
      <c r="B23" t="s">
        <v>1902</v>
      </c>
      <c r="D23">
        <f>IF(ISBLANK(D$3),SUMIF('OS Analysis'!$BM3:$BM1002,$B23,'OS Analysis'!$CB3:$CB1002),INDEX($J23:$U23,1,MATCH(D$3,$J$4:$U$4,0)))</f>
        <v>0</v>
      </c>
      <c r="E23">
        <f t="shared" si="2"/>
        <v>0</v>
      </c>
      <c r="F23">
        <f>IF(ISBLANK(F$3),SUMIF('OS Analysis'!$AV3:$AV1002,$B23,'OS Analysis'!$BK3:$BK1002),INDEX($J23:$U23,1,MATCH(F$3,$J$4:$U$4,0)))</f>
        <v>0</v>
      </c>
      <c r="G23">
        <f t="shared" si="2"/>
        <v>0</v>
      </c>
      <c r="H23">
        <f>IF(ISBLANK(H$3),SUMIF('OS Analysis'!$AE3:$AE1002,$B23,'OS Analysis'!$AT3:$AT1002),INDEX($J23:$U23,1,MATCH(H$3,$J$4:$U$4,0)))</f>
        <v>0</v>
      </c>
      <c r="I23">
        <f t="shared" si="2"/>
        <v>0</v>
      </c>
      <c r="J23">
        <f>((SUMIF('OS Analysis'!$B3:$B1002,B23,'OS Analysis'!$AC3:$AC1002))/12)*12</f>
        <v>0</v>
      </c>
      <c r="K23">
        <f>((SUMIF('OS Analysis'!$B3:$B1002,B23,'OS Analysis'!$AB3:$AB1002))/11)*12</f>
        <v>0</v>
      </c>
      <c r="L23">
        <f>((SUMIF('OS Analysis'!$B3:$B1002,B23,'OS Analysis'!$AA3:$AA1002))/10)*12</f>
        <v>0</v>
      </c>
      <c r="M23">
        <f>((SUMIF('OS Analysis'!$B3:$B1002,B23,'OS Analysis'!$Z3:$Z1002))/9)*12</f>
        <v>0</v>
      </c>
      <c r="N23">
        <f>((SUMIF('OS Analysis'!$B3:$B1002,B23,'OS Analysis'!$Y3:$Y1002))/8)*12</f>
        <v>0</v>
      </c>
      <c r="O23">
        <f>((SUMIF('OS Analysis'!$B3:$B1002,B23,'OS Analysis'!$X3:$X1002))/7)*12</f>
        <v>0</v>
      </c>
      <c r="P23">
        <f>((SUMIF('OS Analysis'!$B3:$B1002,B23,'OS Analysis'!$W3:$W1002))/6)*12</f>
        <v>0</v>
      </c>
      <c r="Q23">
        <f>((SUMIF('OS Analysis'!$B3:$B1002,B23,'OS Analysis'!$V3:$V1002))/5)*12</f>
        <v>0</v>
      </c>
      <c r="R23">
        <f>((SUMIF('OS Analysis'!$B3:$B1002,B23,'OS Analysis'!$U3:$U1002))/4)*12</f>
        <v>0</v>
      </c>
      <c r="S23">
        <f>((SUMIF('OS Analysis'!$B3:$B1002,B23,'OS Analysis'!$T3:$T1002))/3)*12</f>
        <v>0</v>
      </c>
      <c r="T23">
        <f>((SUMIF('OS Analysis'!$B3:$B1002,B23,'OS Analysis'!$S3:$S1002))/2)*12</f>
        <v>0</v>
      </c>
      <c r="U23">
        <f>(SUMIF('OS Analysis'!$B3:$B1002,B23,'OS Analysis'!$R3:$R1002))*12</f>
        <v>0</v>
      </c>
      <c r="V23">
        <f>SUMIF('OS Analysis'!$B$3:$B$1002,$B23,'OS Analysis'!$Q$3:$Q$1002)</f>
        <v>0</v>
      </c>
      <c r="W23">
        <f t="shared" si="5"/>
        <v>0</v>
      </c>
      <c r="X23">
        <f t="shared" si="2"/>
        <v>0</v>
      </c>
      <c r="Y23">
        <f>SUMIF('OS Analysis'!$CD3:$CD1002,$B23,'OS Analysis'!$CS3:$CS1002)</f>
        <v>0</v>
      </c>
      <c r="Z23">
        <f t="shared" si="2"/>
        <v>0</v>
      </c>
      <c r="AA23">
        <f>SUMIF('OS Analysis'!$CU3:$CU1002,$B23,'OS Analysis'!$CW3:$CW1002)</f>
        <v>0</v>
      </c>
      <c r="AB23">
        <f t="shared" si="2"/>
        <v>0</v>
      </c>
      <c r="AC23">
        <f>SUMIF('OS Analysis'!$CU3:$CU1002,$B23,'OS Analysis'!$CX3:$CX1002)</f>
        <v>0</v>
      </c>
      <c r="AD23">
        <f t="shared" si="2"/>
        <v>0</v>
      </c>
      <c r="AE23">
        <v>0</v>
      </c>
      <c r="AF23">
        <f t="shared" si="2"/>
        <v>0</v>
      </c>
      <c r="AG23">
        <v>0</v>
      </c>
      <c r="AH23">
        <f t="shared" si="2"/>
        <v>0</v>
      </c>
      <c r="AI23">
        <v>0</v>
      </c>
      <c r="AJ23">
        <f t="shared" si="2"/>
        <v>0</v>
      </c>
      <c r="AK23">
        <f t="shared" si="16"/>
        <v>0</v>
      </c>
      <c r="AL23">
        <f t="shared" si="2"/>
        <v>0</v>
      </c>
      <c r="AM23">
        <v>0</v>
      </c>
      <c r="AN23">
        <f t="shared" si="2"/>
        <v>0</v>
      </c>
      <c r="AQ23" t="str">
        <f t="shared" si="3"/>
        <v>Corporate Prem.</v>
      </c>
      <c r="AR23">
        <f t="shared" si="17"/>
      </c>
      <c r="AV23">
        <f t="shared" si="6"/>
        <v>0</v>
      </c>
      <c r="AW23">
        <f>_xlfn.IFERROR((AV23/#REF!)/12,0)</f>
        <v>0</v>
      </c>
      <c r="AX23">
        <v>0</v>
      </c>
      <c r="AY23">
        <f>_xlfn.IFERROR((AX23/#REF!)/12,0)</f>
        <v>0</v>
      </c>
    </row>
    <row r="24" ht="12.75" customHeight="1">
      <c r="A24">
        <f>IF('SBL Quotes'!$AN$32="Seniors",A23+1,A23)</f>
        <v>8</v>
      </c>
      <c r="B24" t="s">
        <v>1903</v>
      </c>
      <c r="D24">
        <f>IF(ISBLANK(D$3),SUMIF('OS Analysis'!$BM3:$BM1002,$B24,'OS Analysis'!$CB3:$CB1002),INDEX($J24:$U24,1,MATCH(D$3,$J$4:$U$4,0)))</f>
        <v>0</v>
      </c>
      <c r="E24">
        <f t="shared" si="2"/>
        <v>0</v>
      </c>
      <c r="F24">
        <f>IF(ISBLANK(F$3),SUMIF('OS Analysis'!$AV3:$AV1002,$B24,'OS Analysis'!$BK3:$BK1002),INDEX($J24:$U24,1,MATCH(F$3,$J$4:$U$4,0)))</f>
        <v>0</v>
      </c>
      <c r="G24">
        <f t="shared" si="2"/>
        <v>0</v>
      </c>
      <c r="H24">
        <f>IF(ISBLANK(H$3),SUMIF('OS Analysis'!$AE3:$AE1002,$B24,'OS Analysis'!$AT3:$AT1002),INDEX($J24:$U24,1,MATCH(H$3,$J$4:$U$4,0)))</f>
        <v>0</v>
      </c>
      <c r="I24">
        <f t="shared" si="2"/>
        <v>0</v>
      </c>
      <c r="J24">
        <f>((SUMIF('OS Analysis'!$B3:$B1002,B24,'OS Analysis'!$AC3:$AC1002))/12)*12</f>
        <v>0</v>
      </c>
      <c r="K24">
        <f>((SUMIF('OS Analysis'!$B3:$B1002,B24,'OS Analysis'!$AB3:$AB1002))/11)*12</f>
        <v>0</v>
      </c>
      <c r="L24">
        <f>((SUMIF('OS Analysis'!$B3:$B1002,B24,'OS Analysis'!$AA3:$AA1002))/10)*12</f>
        <v>0</v>
      </c>
      <c r="M24">
        <f>((SUMIF('OS Analysis'!$B3:$B1002,B24,'OS Analysis'!$Z3:$Z1002))/9)*12</f>
        <v>0</v>
      </c>
      <c r="N24">
        <f>((SUMIF('OS Analysis'!$B3:$B1002,B24,'OS Analysis'!$Y3:$Y1002))/8)*12</f>
        <v>0</v>
      </c>
      <c r="O24">
        <f>((SUMIF('OS Analysis'!$B3:$B1002,B24,'OS Analysis'!$X3:$X1002))/7)*12</f>
        <v>0</v>
      </c>
      <c r="P24">
        <f>((SUMIF('OS Analysis'!$B3:$B1002,B24,'OS Analysis'!$W3:$W1002))/6)*12</f>
        <v>0</v>
      </c>
      <c r="Q24">
        <f>((SUMIF('OS Analysis'!$B3:$B1002,B24,'OS Analysis'!$V3:$V1002))/5)*12</f>
        <v>0</v>
      </c>
      <c r="R24">
        <f>((SUMIF('OS Analysis'!$B3:$B1002,B24,'OS Analysis'!$U3:$U1002))/4)*12</f>
        <v>0</v>
      </c>
      <c r="S24">
        <f>((SUMIF('OS Analysis'!$B3:$B1002,B24,'OS Analysis'!$T3:$T1002))/3)*12</f>
        <v>0</v>
      </c>
      <c r="T24">
        <f>((SUMIF('OS Analysis'!$B3:$B1002,B24,'OS Analysis'!$S3:$S1002))/2)*12</f>
        <v>0</v>
      </c>
      <c r="U24">
        <f>(SUMIF('OS Analysis'!$B3:$B1002,B24,'OS Analysis'!$R3:$R1002))*12</f>
        <v>0</v>
      </c>
      <c r="V24">
        <f>SUMIF('OS Analysis'!$B$3:$B$1002,$B24,'OS Analysis'!$Q$3:$Q$1002)</f>
        <v>0</v>
      </c>
      <c r="W24">
        <f t="shared" si="5"/>
        <v>0</v>
      </c>
      <c r="X24">
        <f t="shared" si="2"/>
        <v>0</v>
      </c>
      <c r="Y24">
        <f>SUMIF('OS Analysis'!$CD3:$CD1002,$B24,'OS Analysis'!$CS3:$CS1002)</f>
        <v>0</v>
      </c>
      <c r="Z24">
        <f t="shared" si="2"/>
        <v>0</v>
      </c>
      <c r="AA24">
        <f>SUMIF('OS Analysis'!$CU3:$CU1002,$B24,'OS Analysis'!$CW3:$CW1002)</f>
        <v>0</v>
      </c>
      <c r="AB24">
        <f t="shared" si="2"/>
        <v>0</v>
      </c>
      <c r="AC24">
        <f>SUMIF('OS Analysis'!$CU3:$CU1002,$B24,'OS Analysis'!$CX3:$CX1002)</f>
        <v>0</v>
      </c>
      <c r="AD24">
        <f t="shared" si="2"/>
        <v>0</v>
      </c>
      <c r="AE24">
        <v>0</v>
      </c>
      <c r="AF24">
        <f t="shared" si="2"/>
        <v>0</v>
      </c>
      <c r="AG24">
        <v>0</v>
      </c>
      <c r="AH24">
        <f t="shared" si="2"/>
        <v>0</v>
      </c>
      <c r="AI24">
        <v>0</v>
      </c>
      <c r="AJ24">
        <f t="shared" si="2"/>
        <v>0</v>
      </c>
      <c r="AK24">
        <f t="shared" si="16"/>
        <v>0</v>
      </c>
      <c r="AL24">
        <f t="shared" si="2"/>
        <v>0</v>
      </c>
      <c r="AM24">
        <v>0</v>
      </c>
      <c r="AN24">
        <f t="shared" si="2"/>
        <v>0</v>
      </c>
      <c r="AQ24" t="str">
        <f t="shared" si="3"/>
        <v>Community Fee</v>
      </c>
      <c r="AR24" t="s">
        <v>1738</v>
      </c>
      <c r="AV24">
        <f t="shared" si="6"/>
        <v>0</v>
      </c>
      <c r="AW24">
        <f t="shared" si="21" ref="AW24:AW27">_xlfn.IFERROR((AV24/C5)/12,0)</f>
        <v>0</v>
      </c>
      <c r="AX24">
        <v>0</v>
      </c>
      <c r="AY24">
        <f t="shared" si="22" ref="AY24:AY27">_xlfn.IFERROR((AX24/C5)/12,0)</f>
        <v>0</v>
      </c>
    </row>
    <row r="25" ht="12.75" customHeight="1">
      <c r="A25">
        <f>IF('SBL Quotes'!$AN$32="Seniors",A24+1,A24)</f>
        <v>8</v>
      </c>
      <c r="B25" t="s">
        <v>1904</v>
      </c>
      <c r="D25">
        <f>IF(ISBLANK(D$3),SUMIF('OS Analysis'!$BM3:$BM1002,$B25,'OS Analysis'!$CB3:$CB1002),INDEX($J25:$U25,1,MATCH(D$3,$J$4:$U$4,0)))</f>
        <v>0</v>
      </c>
      <c r="E25">
        <f t="shared" si="2"/>
        <v>0</v>
      </c>
      <c r="F25">
        <f>IF(ISBLANK(F$3),SUMIF('OS Analysis'!$AV3:$AV1002,$B25,'OS Analysis'!$BK3:$BK1002),INDEX($J25:$U25,1,MATCH(F$3,$J$4:$U$4,0)))</f>
        <v>0</v>
      </c>
      <c r="G25">
        <f t="shared" si="2"/>
        <v>0</v>
      </c>
      <c r="H25">
        <f>IF(ISBLANK(H$3),SUMIF('OS Analysis'!$AE3:$AE1002,$B25,'OS Analysis'!$AT3:$AT1002),INDEX($J25:$U25,1,MATCH(H$3,$J$4:$U$4,0)))</f>
        <v>0</v>
      </c>
      <c r="I25">
        <f t="shared" si="2"/>
        <v>0</v>
      </c>
      <c r="J25">
        <f>((SUMIF('OS Analysis'!$B3:$B1002,B25,'OS Analysis'!$AC3:$AC1002))/12)*12</f>
        <v>0</v>
      </c>
      <c r="K25">
        <f>((SUMIF('OS Analysis'!$B3:$B1002,B25,'OS Analysis'!$AB3:$AB1002))/11)*12</f>
        <v>0</v>
      </c>
      <c r="L25">
        <f>((SUMIF('OS Analysis'!$B3:$B1002,B25,'OS Analysis'!$AA3:$AA1002))/10)*12</f>
        <v>0</v>
      </c>
      <c r="M25">
        <f>((SUMIF('OS Analysis'!$B3:$B1002,B25,'OS Analysis'!$Z3:$Z1002))/9)*12</f>
        <v>0</v>
      </c>
      <c r="N25">
        <f>((SUMIF('OS Analysis'!$B3:$B1002,B25,'OS Analysis'!$Y3:$Y1002))/8)*12</f>
        <v>0</v>
      </c>
      <c r="O25">
        <f>((SUMIF('OS Analysis'!$B3:$B1002,B25,'OS Analysis'!$X3:$X1002))/7)*12</f>
        <v>0</v>
      </c>
      <c r="P25">
        <f>((SUMIF('OS Analysis'!$B3:$B1002,B25,'OS Analysis'!$W3:$W1002))/6)*12</f>
        <v>0</v>
      </c>
      <c r="Q25">
        <f>((SUMIF('OS Analysis'!$B3:$B1002,B25,'OS Analysis'!$V3:$V1002))/5)*12</f>
        <v>0</v>
      </c>
      <c r="R25">
        <f>((SUMIF('OS Analysis'!$B3:$B1002,B25,'OS Analysis'!$U3:$U1002))/4)*12</f>
        <v>0</v>
      </c>
      <c r="S25">
        <f>((SUMIF('OS Analysis'!$B3:$B1002,B25,'OS Analysis'!$T3:$T1002))/3)*12</f>
        <v>0</v>
      </c>
      <c r="T25">
        <f>((SUMIF('OS Analysis'!$B3:$B1002,B25,'OS Analysis'!$S3:$S1002))/2)*12</f>
        <v>0</v>
      </c>
      <c r="U25">
        <f>(SUMIF('OS Analysis'!$B3:$B1002,B25,'OS Analysis'!$R3:$R1002))*12</f>
        <v>0</v>
      </c>
      <c r="V25">
        <f>SUMIF('OS Analysis'!$B$3:$B$1002,$B25,'OS Analysis'!$Q$3:$Q$1002)</f>
        <v>0</v>
      </c>
      <c r="W25">
        <f t="shared" si="5"/>
        <v>0</v>
      </c>
      <c r="X25">
        <f t="shared" si="2"/>
        <v>0</v>
      </c>
      <c r="Y25">
        <f>SUMIF('OS Analysis'!$CD3:$CD1002,$B25,'OS Analysis'!$CS3:$CS1002)</f>
        <v>0</v>
      </c>
      <c r="Z25">
        <f t="shared" si="2"/>
        <v>0</v>
      </c>
      <c r="AA25">
        <f>SUMIF('OS Analysis'!$CU3:$CU1002,$B25,'OS Analysis'!$CW3:$CW1002)</f>
        <v>0</v>
      </c>
      <c r="AB25">
        <f t="shared" si="2"/>
        <v>0</v>
      </c>
      <c r="AC25">
        <f>SUMIF('OS Analysis'!$CU3:$CU1002,$B25,'OS Analysis'!$CX3:$CX1002)</f>
        <v>0</v>
      </c>
      <c r="AD25">
        <f t="shared" si="2"/>
        <v>0</v>
      </c>
      <c r="AE25">
        <v>0</v>
      </c>
      <c r="AF25">
        <f t="shared" si="2"/>
        <v>0</v>
      </c>
      <c r="AG25">
        <v>0</v>
      </c>
      <c r="AH25">
        <f t="shared" si="2"/>
        <v>0</v>
      </c>
      <c r="AI25">
        <v>0</v>
      </c>
      <c r="AJ25">
        <f t="shared" si="2"/>
        <v>0</v>
      </c>
      <c r="AK25">
        <f t="shared" si="16"/>
        <v>0</v>
      </c>
      <c r="AL25">
        <f t="shared" si="2"/>
        <v>0</v>
      </c>
      <c r="AM25">
        <v>0</v>
      </c>
      <c r="AN25">
        <f t="shared" si="2"/>
        <v>0</v>
      </c>
      <c r="AQ25" t="str">
        <f t="shared" si="3"/>
        <v>Second Occupant</v>
      </c>
      <c r="AR25" t="s">
        <v>1738</v>
      </c>
      <c r="AV25">
        <f t="shared" si="6"/>
        <v>0</v>
      </c>
      <c r="AW25">
        <f t="shared" si="21"/>
        <v>0</v>
      </c>
      <c r="AX25">
        <v>0</v>
      </c>
      <c r="AY25">
        <f t="shared" si="22"/>
        <v>0</v>
      </c>
    </row>
    <row r="26" ht="12.75" customHeight="1">
      <c r="A26">
        <f>IF('SBL Quotes'!$AN$32="Seniors",A25+1,A25)</f>
        <v>8</v>
      </c>
      <c r="B26" t="s">
        <v>1905</v>
      </c>
      <c r="D26">
        <f>IF(ISBLANK(D$3),SUMIF('OS Analysis'!$BM3:$BM1002,$B26,'OS Analysis'!$CB3:$CB1002),INDEX($J26:$U26,1,MATCH(D$3,$J$4:$U$4,0)))</f>
        <v>0</v>
      </c>
      <c r="E26">
        <f t="shared" si="2"/>
        <v>0</v>
      </c>
      <c r="F26">
        <f>IF(ISBLANK(F$3),SUMIF('OS Analysis'!$AV3:$AV1002,$B26,'OS Analysis'!$BK3:$BK1002),INDEX($J26:$U26,1,MATCH(F$3,$J$4:$U$4,0)))</f>
        <v>0</v>
      </c>
      <c r="G26">
        <f t="shared" si="2"/>
        <v>0</v>
      </c>
      <c r="H26">
        <f>IF(ISBLANK(H$3),SUMIF('OS Analysis'!$AE3:$AE1002,$B26,'OS Analysis'!$AT3:$AT1002),INDEX($J26:$U26,1,MATCH(H$3,$J$4:$U$4,0)))</f>
        <v>0</v>
      </c>
      <c r="I26">
        <f t="shared" si="2"/>
        <v>0</v>
      </c>
      <c r="J26">
        <f>((SUMIF('OS Analysis'!$B3:$B1002,B26,'OS Analysis'!$AC3:$AC1002))/12)*12</f>
        <v>0</v>
      </c>
      <c r="K26">
        <f>((SUMIF('OS Analysis'!$B3:$B1002,B26,'OS Analysis'!$AB3:$AB1002))/11)*12</f>
        <v>0</v>
      </c>
      <c r="L26">
        <f>((SUMIF('OS Analysis'!$B3:$B1002,B26,'OS Analysis'!$AA3:$AA1002))/10)*12</f>
        <v>0</v>
      </c>
      <c r="M26">
        <f>((SUMIF('OS Analysis'!$B3:$B1002,B26,'OS Analysis'!$Z3:$Z1002))/9)*12</f>
        <v>0</v>
      </c>
      <c r="N26">
        <f>((SUMIF('OS Analysis'!$B3:$B1002,B26,'OS Analysis'!$Y3:$Y1002))/8)*12</f>
        <v>0</v>
      </c>
      <c r="O26">
        <f>((SUMIF('OS Analysis'!$B3:$B1002,B26,'OS Analysis'!$X3:$X1002))/7)*12</f>
        <v>0</v>
      </c>
      <c r="P26">
        <f>((SUMIF('OS Analysis'!$B3:$B1002,B26,'OS Analysis'!$W3:$W1002))/6)*12</f>
        <v>0</v>
      </c>
      <c r="Q26">
        <f>((SUMIF('OS Analysis'!$B3:$B1002,B26,'OS Analysis'!$V3:$V1002))/5)*12</f>
        <v>0</v>
      </c>
      <c r="R26">
        <f>((SUMIF('OS Analysis'!$B3:$B1002,B26,'OS Analysis'!$U3:$U1002))/4)*12</f>
        <v>0</v>
      </c>
      <c r="S26">
        <f>((SUMIF('OS Analysis'!$B3:$B1002,B26,'OS Analysis'!$T3:$T1002))/3)*12</f>
        <v>0</v>
      </c>
      <c r="T26">
        <f>((SUMIF('OS Analysis'!$B3:$B1002,B26,'OS Analysis'!$S3:$S1002))/2)*12</f>
        <v>0</v>
      </c>
      <c r="U26">
        <f>(SUMIF('OS Analysis'!$B3:$B1002,B26,'OS Analysis'!$R3:$R1002))*12</f>
        <v>0</v>
      </c>
      <c r="V26">
        <f>SUMIF('OS Analysis'!$B$3:$B$1002,$B26,'OS Analysis'!$Q$3:$Q$1002)</f>
        <v>0</v>
      </c>
      <c r="W26">
        <f t="shared" si="5"/>
        <v>0</v>
      </c>
      <c r="X26">
        <f t="shared" si="2"/>
        <v>0</v>
      </c>
      <c r="Y26">
        <f>SUMIF('OS Analysis'!$CD3:$CD1002,$B26,'OS Analysis'!$CS3:$CS1002)</f>
        <v>0</v>
      </c>
      <c r="Z26">
        <f t="shared" si="2"/>
        <v>0</v>
      </c>
      <c r="AA26">
        <f>SUMIF('OS Analysis'!$CU3:$CU1002,$B26,'OS Analysis'!$CW3:$CW1002)</f>
        <v>0</v>
      </c>
      <c r="AB26">
        <f t="shared" si="2"/>
        <v>0</v>
      </c>
      <c r="AC26">
        <f>SUMIF('OS Analysis'!$CU3:$CU1002,$B26,'OS Analysis'!$CX3:$CX1002)</f>
        <v>0</v>
      </c>
      <c r="AD26">
        <f t="shared" si="2"/>
        <v>0</v>
      </c>
      <c r="AE26">
        <v>0</v>
      </c>
      <c r="AF26">
        <f t="shared" si="2"/>
        <v>0</v>
      </c>
      <c r="AG26">
        <v>0</v>
      </c>
      <c r="AH26">
        <f t="shared" si="2"/>
        <v>0</v>
      </c>
      <c r="AI26">
        <v>0</v>
      </c>
      <c r="AJ26">
        <f t="shared" si="2"/>
        <v>0</v>
      </c>
      <c r="AK26">
        <f t="shared" si="16"/>
        <v>0</v>
      </c>
      <c r="AL26">
        <f t="shared" si="2"/>
        <v>0</v>
      </c>
      <c r="AM26">
        <v>0</v>
      </c>
      <c r="AN26">
        <f t="shared" si="2"/>
        <v>0</v>
      </c>
      <c r="AQ26" t="str">
        <f t="shared" si="3"/>
        <v>Respite Care</v>
      </c>
      <c r="AR26" t="s">
        <v>1738</v>
      </c>
      <c r="AV26">
        <f t="shared" si="6"/>
        <v>0</v>
      </c>
      <c r="AW26">
        <f t="shared" si="21"/>
        <v>0</v>
      </c>
      <c r="AX26">
        <v>0</v>
      </c>
      <c r="AY26">
        <f t="shared" si="22"/>
        <v>0</v>
      </c>
    </row>
    <row r="27" ht="12.75" customHeight="1">
      <c r="A27">
        <f>IF('SBL Quotes'!$AN$32="Seniors",A26+1,A26)</f>
        <v>8</v>
      </c>
      <c r="B27" t="s">
        <v>1906</v>
      </c>
      <c r="D27">
        <f>IF(ISBLANK(D$3),SUMIF('OS Analysis'!$BM3:$BM1002,$B27,'OS Analysis'!$CB3:$CB1002),INDEX($J27:$U27,1,MATCH(D$3,$J$4:$U$4,0)))</f>
        <v>0</v>
      </c>
      <c r="E27">
        <f t="shared" si="2"/>
        <v>0</v>
      </c>
      <c r="F27">
        <f>IF(ISBLANK(F$3),SUMIF('OS Analysis'!$AV3:$AV1002,$B27,'OS Analysis'!$BK3:$BK1002),INDEX($J27:$U27,1,MATCH(F$3,$J$4:$U$4,0)))</f>
        <v>0</v>
      </c>
      <c r="G27">
        <f t="shared" si="2"/>
        <v>0</v>
      </c>
      <c r="H27">
        <f>IF(ISBLANK(H$3),SUMIF('OS Analysis'!$AE3:$AE1002,$B27,'OS Analysis'!$AT3:$AT1002),INDEX($J27:$U27,1,MATCH(H$3,$J$4:$U$4,0)))</f>
        <v>0</v>
      </c>
      <c r="I27">
        <f t="shared" si="2"/>
        <v>0</v>
      </c>
      <c r="J27">
        <f>((SUMIF('OS Analysis'!$B3:$B1002,B27,'OS Analysis'!$AC3:$AC1002))/12)*12</f>
        <v>0</v>
      </c>
      <c r="K27">
        <f>((SUMIF('OS Analysis'!$B3:$B1002,B27,'OS Analysis'!$AB3:$AB1002))/11)*12</f>
        <v>0</v>
      </c>
      <c r="L27">
        <f>((SUMIF('OS Analysis'!$B3:$B1002,B27,'OS Analysis'!$AA3:$AA1002))/10)*12</f>
        <v>0</v>
      </c>
      <c r="M27">
        <f>((SUMIF('OS Analysis'!$B3:$B1002,B27,'OS Analysis'!$Z3:$Z1002))/9)*12</f>
        <v>0</v>
      </c>
      <c r="N27">
        <f>((SUMIF('OS Analysis'!$B3:$B1002,B27,'OS Analysis'!$Y3:$Y1002))/8)*12</f>
        <v>0</v>
      </c>
      <c r="O27">
        <f>((SUMIF('OS Analysis'!$B3:$B1002,B27,'OS Analysis'!$X3:$X1002))/7)*12</f>
        <v>0</v>
      </c>
      <c r="P27">
        <f>((SUMIF('OS Analysis'!$B3:$B1002,B27,'OS Analysis'!$W3:$W1002))/6)*12</f>
        <v>0</v>
      </c>
      <c r="Q27">
        <f>((SUMIF('OS Analysis'!$B3:$B1002,B27,'OS Analysis'!$V3:$V1002))/5)*12</f>
        <v>0</v>
      </c>
      <c r="R27">
        <f>((SUMIF('OS Analysis'!$B3:$B1002,B27,'OS Analysis'!$U3:$U1002))/4)*12</f>
        <v>0</v>
      </c>
      <c r="S27">
        <f>((SUMIF('OS Analysis'!$B3:$B1002,B27,'OS Analysis'!$T3:$T1002))/3)*12</f>
        <v>0</v>
      </c>
      <c r="T27">
        <f>((SUMIF('OS Analysis'!$B3:$B1002,B27,'OS Analysis'!$S3:$S1002))/2)*12</f>
        <v>0</v>
      </c>
      <c r="U27">
        <f>(SUMIF('OS Analysis'!$B3:$B1002,B27,'OS Analysis'!$R3:$R1002))*12</f>
        <v>0</v>
      </c>
      <c r="V27">
        <f>SUMIF('OS Analysis'!$B$3:$B$1002,$B27,'OS Analysis'!$Q$3:$Q$1002)</f>
        <v>0</v>
      </c>
      <c r="W27">
        <f t="shared" si="5"/>
        <v>0</v>
      </c>
      <c r="X27">
        <f t="shared" si="2"/>
        <v>0</v>
      </c>
      <c r="Y27">
        <f>SUMIF('OS Analysis'!$CD3:$CD1002,$B27,'OS Analysis'!$CS3:$CS1002)</f>
        <v>0</v>
      </c>
      <c r="Z27">
        <f t="shared" si="2"/>
        <v>0</v>
      </c>
      <c r="AA27">
        <f>SUMIF('OS Analysis'!$CU3:$CU1002,$B27,'OS Analysis'!$CW3:$CW1002)</f>
        <v>0</v>
      </c>
      <c r="AB27">
        <f t="shared" si="2"/>
        <v>0</v>
      </c>
      <c r="AC27">
        <f>SUMIF('OS Analysis'!$CU3:$CU1002,$B27,'OS Analysis'!$CX3:$CX1002)</f>
        <v>0</v>
      </c>
      <c r="AD27">
        <f t="shared" si="2"/>
        <v>0</v>
      </c>
      <c r="AE27">
        <v>0</v>
      </c>
      <c r="AF27">
        <f t="shared" si="2"/>
        <v>0</v>
      </c>
      <c r="AG27">
        <v>0</v>
      </c>
      <c r="AH27">
        <f t="shared" si="2"/>
        <v>0</v>
      </c>
      <c r="AI27">
        <v>0</v>
      </c>
      <c r="AJ27">
        <f t="shared" si="2"/>
        <v>0</v>
      </c>
      <c r="AK27">
        <f t="shared" si="16"/>
        <v>0</v>
      </c>
      <c r="AL27">
        <f t="shared" si="2"/>
        <v>0</v>
      </c>
      <c r="AM27">
        <v>0</v>
      </c>
      <c r="AN27">
        <f t="shared" si="2"/>
        <v>0</v>
      </c>
      <c r="AQ27" t="str">
        <f t="shared" si="3"/>
        <v>Support Plans (AL/ALZ)</v>
      </c>
      <c r="AR27" t="s">
        <v>1738</v>
      </c>
      <c r="AV27">
        <f t="shared" si="6"/>
        <v>0</v>
      </c>
      <c r="AW27">
        <f t="shared" si="21"/>
        <v>0</v>
      </c>
      <c r="AX27">
        <v>0</v>
      </c>
      <c r="AY27">
        <f t="shared" si="22"/>
        <v>0</v>
      </c>
    </row>
    <row r="28" ht="14.25" customHeight="1">
      <c r="A28">
        <f t="shared" si="18"/>
        <v>9</v>
      </c>
      <c r="B28" t="s">
        <v>1907</v>
      </c>
      <c r="D28">
        <f>IF(ISBLANK(D$3),SUMIF('OS Analysis'!$BM3:$BM1002,$B28,'OS Analysis'!$CB3:$CB1002),INDEX($J28:$U28,1,MATCH(D$3,$J$4:$U$4,0)))</f>
        <v>0</v>
      </c>
      <c r="E28">
        <f t="shared" si="2"/>
        <v>0</v>
      </c>
      <c r="F28">
        <f>IF(ISBLANK(F$3),SUMIF('OS Analysis'!$AV3:$AV1002,$B28,'OS Analysis'!$BK3:$BK1002),INDEX($J28:$U28,1,MATCH(F$3,$J$4:$U$4,0)))</f>
        <v>0</v>
      </c>
      <c r="G28">
        <f t="shared" si="2"/>
        <v>0</v>
      </c>
      <c r="H28">
        <f>IF(ISBLANK(H$3),SUMIF('OS Analysis'!$AE3:$AE1002,$B28,'OS Analysis'!$AT3:$AT1002),INDEX($J28:$U28,1,MATCH(H$3,$J$4:$U$4,0)))</f>
        <v>0</v>
      </c>
      <c r="I28">
        <f t="shared" si="2"/>
        <v>0</v>
      </c>
      <c r="J28">
        <f>((SUMIF('OS Analysis'!$B3:$B1002,B28,'OS Analysis'!$AC3:$AC1002))/12)*12</f>
        <v>0</v>
      </c>
      <c r="K28">
        <f>((SUMIF('OS Analysis'!$B3:$B1002,B28,'OS Analysis'!$AB3:$AB1002))/11)*12</f>
        <v>0</v>
      </c>
      <c r="L28">
        <f>((SUMIF('OS Analysis'!$B3:$B1002,B28,'OS Analysis'!$AA3:$AA1002))/10)*12</f>
        <v>0</v>
      </c>
      <c r="M28">
        <f>((SUMIF('OS Analysis'!$B3:$B1002,B28,'OS Analysis'!$Z3:$Z1002))/9)*12</f>
        <v>0</v>
      </c>
      <c r="N28">
        <f>((SUMIF('OS Analysis'!$B3:$B1002,B28,'OS Analysis'!$Y3:$Y1002))/8)*12</f>
        <v>0</v>
      </c>
      <c r="O28">
        <f>((SUMIF('OS Analysis'!$B3:$B1002,B28,'OS Analysis'!$X3:$X1002))/7)*12</f>
        <v>0</v>
      </c>
      <c r="P28">
        <f>((SUMIF('OS Analysis'!$B3:$B1002,B28,'OS Analysis'!$W3:$W1002))/6)*12</f>
        <v>0</v>
      </c>
      <c r="Q28">
        <f>((SUMIF('OS Analysis'!$B3:$B1002,B28,'OS Analysis'!$V3:$V1002))/5)*12</f>
        <v>0</v>
      </c>
      <c r="R28">
        <f>((SUMIF('OS Analysis'!$B3:$B1002,B28,'OS Analysis'!$U3:$U1002))/4)*12</f>
        <v>0</v>
      </c>
      <c r="S28">
        <f>((SUMIF('OS Analysis'!$B3:$B1002,B28,'OS Analysis'!$T3:$T1002))/3)*12</f>
        <v>0</v>
      </c>
      <c r="T28">
        <f>((SUMIF('OS Analysis'!$B3:$B1002,B28,'OS Analysis'!$S3:$S1002))/2)*12</f>
        <v>0</v>
      </c>
      <c r="U28">
        <f>(SUMIF('OS Analysis'!$B3:$B1002,B28,'OS Analysis'!$R3:$R1002))*12</f>
        <v>0</v>
      </c>
      <c r="V28">
        <f>SUMIF('OS Analysis'!$B$3:$B$1002,$B28,'OS Analysis'!$Q$3:$Q$1002)</f>
        <v>0</v>
      </c>
      <c r="W28">
        <f t="shared" si="5"/>
        <v>0</v>
      </c>
      <c r="X28">
        <f t="shared" si="2"/>
        <v>0</v>
      </c>
      <c r="Y28">
        <f>SUMIF('OS Analysis'!$CD3:$CD1002,$B28,'OS Analysis'!$CS3:$CS1002)</f>
        <v>0</v>
      </c>
      <c r="Z28">
        <f t="shared" si="2"/>
        <v>0</v>
      </c>
      <c r="AA28">
        <f>SUMIF('OS Analysis'!$CU3:$CU1002,$B28,'OS Analysis'!$CW3:$CW1002)</f>
        <v>0</v>
      </c>
      <c r="AB28">
        <f t="shared" si="2"/>
        <v>0</v>
      </c>
      <c r="AC28">
        <f>SUMIF('OS Analysis'!$CU3:$CU1002,$B28,'OS Analysis'!$CX3:$CX1002)</f>
        <v>0</v>
      </c>
      <c r="AD28">
        <f t="shared" si="2"/>
        <v>0</v>
      </c>
      <c r="AE28">
        <v>0</v>
      </c>
      <c r="AF28">
        <f t="shared" si="2"/>
        <v>0</v>
      </c>
      <c r="AG28">
        <v>0</v>
      </c>
      <c r="AH28">
        <f t="shared" si="2"/>
        <v>0</v>
      </c>
      <c r="AI28">
        <v>0</v>
      </c>
      <c r="AJ28">
        <f t="shared" si="2"/>
        <v>0</v>
      </c>
      <c r="AK28">
        <v>0</v>
      </c>
      <c r="AL28">
        <f t="shared" si="2"/>
        <v>0</v>
      </c>
      <c r="AM28">
        <v>0</v>
      </c>
      <c r="AN28">
        <f t="shared" si="2"/>
        <v>0</v>
      </c>
      <c r="AQ28" t="str">
        <f t="shared" si="3"/>
        <v>Unallowable</v>
      </c>
      <c r="AR28" t="s">
        <v>1908</v>
      </c>
      <c r="AV28">
        <f t="shared" si="6"/>
        <v>0</v>
      </c>
      <c r="AW28">
        <f>_xlfn.IFERROR((AV28/V1)/12,0)</f>
        <v>0</v>
      </c>
      <c r="AX28">
        <v>0</v>
      </c>
      <c r="AY28">
        <f>_xlfn.IFERROR((AX28/V1)/12,0)</f>
        <v>0</v>
      </c>
    </row>
    <row r="29" ht="15" customHeight="1"/>
    <row r="30" ht="15" customHeight="1">
      <c r="B30" t="s">
        <v>1409</v>
      </c>
      <c r="D30">
        <v>0</v>
      </c>
      <c r="E30">
        <f t="shared" si="2"/>
        <v>0</v>
      </c>
      <c r="F30">
        <f t="shared" si="23" ref="F30:AM30">F9+SUM(F12:F27)</f>
        <v>0</v>
      </c>
      <c r="G30">
        <f t="shared" si="2"/>
        <v>0</v>
      </c>
      <c r="H30">
        <f t="shared" si="23"/>
        <v>0</v>
      </c>
      <c r="I30">
        <f t="shared" si="2"/>
        <v>0</v>
      </c>
      <c r="J30">
        <f t="shared" si="23"/>
        <v>4591082</v>
      </c>
      <c r="K30">
        <f t="shared" si="23"/>
        <v>4579577.454545454</v>
      </c>
      <c r="L30">
        <f t="shared" si="23"/>
        <v>4578546</v>
      </c>
      <c r="M30">
        <f t="shared" si="23"/>
        <v>4609536</v>
      </c>
      <c r="N30">
        <f t="shared" si="23"/>
        <v>4628344.5</v>
      </c>
      <c r="O30">
        <f t="shared" si="23"/>
        <v>4632622.285714286</v>
      </c>
      <c r="P30">
        <f t="shared" si="23"/>
        <v>4686538</v>
      </c>
      <c r="Q30">
        <f t="shared" si="23"/>
        <v>4735466.4</v>
      </c>
      <c r="R30">
        <f t="shared" si="23"/>
        <v>4740597</v>
      </c>
      <c r="S30">
        <f t="shared" si="23"/>
        <v>4699944</v>
      </c>
      <c r="T30">
        <f t="shared" si="23"/>
        <v>4714008</v>
      </c>
      <c r="U30">
        <f t="shared" si="23"/>
        <v>4607052</v>
      </c>
      <c r="V30">
        <f t="shared" si="23"/>
        <v>4591082</v>
      </c>
      <c r="W30">
        <f t="shared" si="23"/>
        <v>4591082</v>
      </c>
      <c r="X30">
        <f t="shared" si="2"/>
        <v>3788.0214521452144</v>
      </c>
      <c r="Y30">
        <f t="shared" si="23"/>
        <v>0</v>
      </c>
      <c r="Z30">
        <f t="shared" si="2"/>
        <v>0</v>
      </c>
      <c r="AA30">
        <f t="shared" si="23"/>
        <v>0</v>
      </c>
      <c r="AB30">
        <f t="shared" si="2"/>
        <v>0</v>
      </c>
      <c r="AC30">
        <f t="shared" si="23"/>
        <v>0</v>
      </c>
      <c r="AD30">
        <f t="shared" si="2"/>
        <v>0</v>
      </c>
      <c r="AE30">
        <f t="shared" si="23"/>
        <v>0</v>
      </c>
      <c r="AF30">
        <f t="shared" si="2"/>
        <v>0</v>
      </c>
      <c r="AG30">
        <f t="shared" si="23"/>
        <v>0</v>
      </c>
      <c r="AH30">
        <f t="shared" si="2"/>
        <v>0</v>
      </c>
      <c r="AI30">
        <f t="shared" si="23"/>
        <v>0</v>
      </c>
      <c r="AJ30">
        <f t="shared" si="2"/>
        <v>0</v>
      </c>
      <c r="AK30">
        <f t="shared" si="23"/>
        <v>1109838</v>
      </c>
      <c r="AL30">
        <f t="shared" si="2"/>
        <v>915.7079207920792</v>
      </c>
      <c r="AM30">
        <f t="shared" si="23"/>
        <v>0</v>
      </c>
      <c r="AN30">
        <f t="shared" si="2"/>
        <v>0</v>
      </c>
      <c r="AQ30" t="str">
        <f t="shared" si="3"/>
        <v>EGI</v>
      </c>
      <c r="AV30">
        <f t="shared" si="24" ref="AV30:AX30">SUM(AV9:AV27)</f>
        <v>0</v>
      </c>
      <c r="AW30">
        <f>_xlfn.IFERROR((AV30/V1)/12,0)</f>
        <v>0</v>
      </c>
      <c r="AX30">
        <f t="shared" si="24"/>
        <v>0</v>
      </c>
      <c r="AY30">
        <f>_xlfn.IFERROR((AX30/V1)/12,0)</f>
        <v>0</v>
      </c>
    </row>
    <row r="31" ht="15" customHeight="1"/>
    <row r="32" ht="15" customHeight="1">
      <c r="B32" t="s">
        <v>1809</v>
      </c>
      <c r="E32" t="s">
        <v>1774</v>
      </c>
      <c r="G32" t="s">
        <v>1774</v>
      </c>
      <c r="I32" t="s">
        <v>1774</v>
      </c>
      <c r="X32" t="s">
        <v>1774</v>
      </c>
      <c r="Z32" t="s">
        <v>1774</v>
      </c>
      <c r="AB32" t="s">
        <v>1774</v>
      </c>
      <c r="AD32" t="s">
        <v>1774</v>
      </c>
      <c r="AF32" t="s">
        <v>1774</v>
      </c>
      <c r="AH32" t="s">
        <v>1774</v>
      </c>
      <c r="AJ32" t="s">
        <v>1774</v>
      </c>
      <c r="AK32">
        <v>1.03</v>
      </c>
      <c r="AL32" t="s">
        <v>1774</v>
      </c>
      <c r="AN32" t="s">
        <v>1774</v>
      </c>
      <c r="AQ32" t="str">
        <f t="shared" si="3"/>
        <v>FIXED EXPENSES</v>
      </c>
      <c r="AW32" t="s">
        <v>1774</v>
      </c>
      <c r="AY32" t="s">
        <v>1774</v>
      </c>
    </row>
    <row r="33" ht="14.25" customHeight="1">
      <c r="A33">
        <v>1</v>
      </c>
      <c r="B33" t="s">
        <v>1800</v>
      </c>
      <c r="D33">
        <f>IF(ISBLANK(D$3),SUMIF('OS Analysis'!$BM3:$BM1002,$B33,'OS Analysis'!$CB3:$CB1002),INDEX($J33:$U33,1,MATCH(D$3,$J$4:$U$4,0)))</f>
        <v>0</v>
      </c>
      <c r="E33">
        <f t="shared" si="25" ref="E33:AN79">ROUND(IF(D33=0,0,(D33)/$V$1),0)</f>
        <v>0</v>
      </c>
      <c r="F33">
        <f>IF(ISBLANK(F$3),SUMIF('OS Analysis'!$AV3:$AV1002,$B33,'OS Analysis'!$BK3:$BK1002),INDEX($J33:$U33,1,MATCH(F$3,$J$4:$U$4,0)))</f>
        <v>0</v>
      </c>
      <c r="G33">
        <f t="shared" si="25"/>
        <v>0</v>
      </c>
      <c r="H33">
        <f>IF(ISBLANK(H$3),SUMIF('OS Analysis'!$AE3:$AE1002,$B33,'OS Analysis'!$AT3:$AT1002),INDEX($J33:$U33,1,MATCH(H$3,$J$4:$U$4,0)))</f>
        <v>0</v>
      </c>
      <c r="I33">
        <f t="shared" si="25"/>
        <v>0</v>
      </c>
      <c r="J33">
        <f>((SUMIF('OS Analysis'!$B3:$B1002,B33,'OS Analysis'!$AC3:$AC1002))/12)*12</f>
        <v>1006197</v>
      </c>
      <c r="K33">
        <f>((SUMIF('OS Analysis'!$B3:$B1002,B33,'OS Analysis'!$AB3:$AB1002))/11)*12</f>
        <v>1003195.6363636365</v>
      </c>
      <c r="L33">
        <f>((SUMIF('OS Analysis'!$B3:$B1002,B33,'OS Analysis'!$AA3:$AA1002))/10)*12</f>
        <v>999962.3999999999</v>
      </c>
      <c r="M33">
        <f>((SUMIF('OS Analysis'!$B3:$B1002,B33,'OS Analysis'!$Z3:$Z1002))/9)*12</f>
        <v>994116</v>
      </c>
      <c r="N33">
        <f>((SUMIF('OS Analysis'!$B3:$B1002,B33,'OS Analysis'!$Y3:$Y1002))/8)*12</f>
        <v>991563</v>
      </c>
      <c r="O33">
        <f>((SUMIF('OS Analysis'!$B3:$B1002,B33,'OS Analysis'!$X3:$X1002))/7)*12</f>
        <v>981183.4285714285</v>
      </c>
      <c r="P33">
        <f>((SUMIF('OS Analysis'!$B3:$B1002,B33,'OS Analysis'!$W3:$W1002))/6)*12</f>
        <v>981090</v>
      </c>
      <c r="Q33">
        <f>((SUMIF('OS Analysis'!$B3:$B1002,B33,'OS Analysis'!$V3:$V1002))/5)*12</f>
        <v>971757.6000000001</v>
      </c>
      <c r="R33">
        <f>((SUMIF('OS Analysis'!$B3:$B1002,B33,'OS Analysis'!$U3:$U1002))/4)*12</f>
        <v>1061562</v>
      </c>
      <c r="S33">
        <f>((SUMIF('OS Analysis'!$B3:$B1002,B33,'OS Analysis'!$T3:$T1002))/3)*12</f>
        <v>1060564</v>
      </c>
      <c r="T33">
        <f>((SUMIF('OS Analysis'!$B3:$B1002,B33,'OS Analysis'!$S3:$S1002))/2)*12</f>
        <v>1078668</v>
      </c>
      <c r="U33">
        <f>(SUMIF('OS Analysis'!$B3:$B1002,B33,'OS Analysis'!$R3:$R1002))*12</f>
        <v>1079340</v>
      </c>
      <c r="V33">
        <f>SUMIF('OS Analysis'!$B$3:$B$1002,$B33,'OS Analysis'!$Q$3:$Q$1002)</f>
        <v>1006197</v>
      </c>
      <c r="W33">
        <f t="shared" si="5"/>
        <v>1006197</v>
      </c>
      <c r="X33">
        <f t="shared" si="25"/>
        <v>9962</v>
      </c>
      <c r="Y33">
        <f>SUMIF('OS Analysis'!$CD3:$CD1002,$B33,'OS Analysis'!$CS3:$CS1002)</f>
        <v>0</v>
      </c>
      <c r="Z33">
        <f t="shared" si="25"/>
        <v>0</v>
      </c>
      <c r="AA33">
        <f>SUMIF('OS Analysis'!$CU3:$CU1002,$B33,'OS Analysis'!$CW3:$CW1002)</f>
        <v>0</v>
      </c>
      <c r="AB33">
        <f t="shared" si="25"/>
        <v>0</v>
      </c>
      <c r="AC33">
        <f>SUMIF('OS Analysis'!$CU3:$CU1002,$B33,'OS Analysis'!$CX3:$CX1002)</f>
        <v>0</v>
      </c>
      <c r="AD33">
        <f t="shared" si="25"/>
        <v>0</v>
      </c>
      <c r="AE33">
        <v>0</v>
      </c>
      <c r="AF33">
        <f t="shared" si="25"/>
        <v>0</v>
      </c>
      <c r="AG33">
        <v>0</v>
      </c>
      <c r="AH33">
        <f t="shared" si="25"/>
        <v>0</v>
      </c>
      <c r="AI33">
        <v>0</v>
      </c>
      <c r="AJ33">
        <f t="shared" si="25"/>
        <v>0</v>
      </c>
      <c r="AK33">
        <f t="shared" si="26" ref="AK33:AK68">ROUND(HOps_ExpenseGrowthRate*W33,2)</f>
        <v>1036382.91</v>
      </c>
      <c r="AL33">
        <f t="shared" si="25"/>
        <v>10261</v>
      </c>
      <c r="AM33">
        <v>0</v>
      </c>
      <c r="AN33">
        <f t="shared" si="25"/>
        <v>0</v>
      </c>
      <c r="AQ33" t="str">
        <f t="shared" si="3"/>
        <v>Real Estate Taxes</v>
      </c>
      <c r="AR33" t="str">
        <f t="shared" si="27" ref="AR33:AR68">IF(AK33=0,"",IF(AK33=ROUND(1.03*W33,2),"T-12 + 3%","Non-Standard Assumption - Please Clarify"))</f>
        <v>T-12 + 3%</v>
      </c>
      <c r="AV33">
        <f t="shared" si="6"/>
        <v>0</v>
      </c>
      <c r="AW33">
        <f>ROUND(IF(AV33=0,0,(AV33)/V1),0)</f>
        <v>0</v>
      </c>
      <c r="AX33">
        <v>0</v>
      </c>
      <c r="AY33">
        <f>ROUND(IF(AX33=0,0,(AX33)/V1),0)</f>
        <v>0</v>
      </c>
    </row>
    <row r="34" ht="14.25" customHeight="1">
      <c r="A34">
        <v>2</v>
      </c>
      <c r="B34" t="s">
        <v>1910</v>
      </c>
      <c r="D34">
        <f>IF(ISBLANK(D$3),SUMIF('OS Analysis'!$BM3:$BM1002,$B34,'OS Analysis'!$CB3:$CB1002),INDEX($J34:$U34,1,MATCH(D$3,$J$4:$U$4,0)))</f>
        <v>0</v>
      </c>
      <c r="E34">
        <f t="shared" si="25"/>
        <v>0</v>
      </c>
      <c r="F34">
        <f>IF(ISBLANK(F$3),SUMIF('OS Analysis'!$AV3:$AV1002,$B34,'OS Analysis'!$BK3:$BK1002),INDEX($J34:$U34,1,MATCH(F$3,$J$4:$U$4,0)))</f>
        <v>0</v>
      </c>
      <c r="G34">
        <f t="shared" si="25"/>
        <v>0</v>
      </c>
      <c r="H34">
        <f>IF(ISBLANK(H$3),SUMIF('OS Analysis'!$AE3:$AE1002,$B34,'OS Analysis'!$AT3:$AT1002),INDEX($J34:$U34,1,MATCH(H$3,$J$4:$U$4,0)))</f>
        <v>0</v>
      </c>
      <c r="I34">
        <f t="shared" si="25"/>
        <v>0</v>
      </c>
      <c r="J34">
        <f>((SUMIF('OS Analysis'!$B3:$B1002,B34,'OS Analysis'!$AC3:$AC1002))/12)*12</f>
        <v>0</v>
      </c>
      <c r="K34">
        <f>((SUMIF('OS Analysis'!$B3:$B1002,B34,'OS Analysis'!$AB3:$AB1002))/11)*12</f>
        <v>0</v>
      </c>
      <c r="L34">
        <f>((SUMIF('OS Analysis'!$B3:$B1002,B34,'OS Analysis'!$AA3:$AA1002))/10)*12</f>
        <v>0</v>
      </c>
      <c r="M34">
        <f>((SUMIF('OS Analysis'!$B3:$B1002,B34,'OS Analysis'!$Z3:$Z1002))/9)*12</f>
        <v>0</v>
      </c>
      <c r="N34">
        <f>((SUMIF('OS Analysis'!$B3:$B1002,B34,'OS Analysis'!$Y3:$Y1002))/8)*12</f>
        <v>0</v>
      </c>
      <c r="O34">
        <f>((SUMIF('OS Analysis'!$B3:$B1002,B34,'OS Analysis'!$X3:$X1002))/7)*12</f>
        <v>0</v>
      </c>
      <c r="P34">
        <f>((SUMIF('OS Analysis'!$B3:$B1002,B34,'OS Analysis'!$W3:$W1002))/6)*12</f>
        <v>0</v>
      </c>
      <c r="Q34">
        <f>((SUMIF('OS Analysis'!$B3:$B1002,B34,'OS Analysis'!$V3:$V1002))/5)*12</f>
        <v>0</v>
      </c>
      <c r="R34">
        <f>((SUMIF('OS Analysis'!$B3:$B1002,B34,'OS Analysis'!$U3:$U1002))/4)*12</f>
        <v>0</v>
      </c>
      <c r="S34">
        <f>((SUMIF('OS Analysis'!$B3:$B1002,B34,'OS Analysis'!$T3:$T1002))/3)*12</f>
        <v>0</v>
      </c>
      <c r="T34">
        <f>((SUMIF('OS Analysis'!$B3:$B1002,B34,'OS Analysis'!$S3:$S1002))/2)*12</f>
        <v>0</v>
      </c>
      <c r="U34">
        <f>(SUMIF('OS Analysis'!$B3:$B1002,B34,'OS Analysis'!$R3:$R1002))*12</f>
        <v>0</v>
      </c>
      <c r="V34">
        <f>SUMIF('OS Analysis'!$B$3:$B$1002,$B34,'OS Analysis'!$Q$3:$Q$1002)</f>
        <v>0</v>
      </c>
      <c r="W34">
        <f t="shared" si="5"/>
        <v>0</v>
      </c>
      <c r="X34">
        <f t="shared" si="25"/>
        <v>0</v>
      </c>
      <c r="Y34">
        <f>SUMIF('OS Analysis'!$CD3:$CD1002,$B34,'OS Analysis'!$CS3:$CS1002)</f>
        <v>0</v>
      </c>
      <c r="Z34">
        <f t="shared" si="25"/>
        <v>0</v>
      </c>
      <c r="AA34">
        <f>SUMIF('OS Analysis'!$CU3:$CU1002,$B34,'OS Analysis'!$CW3:$CW1002)</f>
        <v>0</v>
      </c>
      <c r="AB34">
        <f t="shared" si="25"/>
        <v>0</v>
      </c>
      <c r="AC34">
        <f>SUMIF('OS Analysis'!$CU3:$CU1002,$B34,'OS Analysis'!$CX3:$CX1002)</f>
        <v>0</v>
      </c>
      <c r="AD34">
        <f t="shared" si="25"/>
        <v>0</v>
      </c>
      <c r="AE34">
        <v>0</v>
      </c>
      <c r="AF34">
        <f t="shared" si="25"/>
        <v>0</v>
      </c>
      <c r="AG34">
        <v>0</v>
      </c>
      <c r="AH34">
        <f t="shared" si="25"/>
        <v>0</v>
      </c>
      <c r="AI34">
        <v>0</v>
      </c>
      <c r="AJ34">
        <f t="shared" si="25"/>
        <v>0</v>
      </c>
      <c r="AK34">
        <f t="shared" si="26"/>
        <v>0</v>
      </c>
      <c r="AL34">
        <f t="shared" si="25"/>
        <v>0</v>
      </c>
      <c r="AM34">
        <v>0</v>
      </c>
      <c r="AN34">
        <f t="shared" si="25"/>
        <v>0</v>
      </c>
      <c r="AQ34" t="str">
        <f t="shared" si="3"/>
        <v>Other Taxes or Assessments</v>
      </c>
      <c r="AR34">
        <f t="shared" si="27"/>
      </c>
      <c r="AV34">
        <f t="shared" si="6"/>
        <v>0</v>
      </c>
      <c r="AW34">
        <f>ROUND(IF(AV34=0,0,(AV34)/V1),0)</f>
        <v>0</v>
      </c>
      <c r="AX34">
        <v>0</v>
      </c>
      <c r="AY34">
        <f>ROUND(IF(AX34=0,0,(AX34)/V1),0)</f>
        <v>0</v>
      </c>
    </row>
    <row r="35" ht="14.25" customHeight="1">
      <c r="A35">
        <v>3</v>
      </c>
      <c r="B35" t="s">
        <v>1492</v>
      </c>
      <c r="D35">
        <f>IF(ISBLANK(D$3),SUMIF('OS Analysis'!$BM3:$BM1002,$B35,'OS Analysis'!$CB3:$CB1002),INDEX($J35:$U35,1,MATCH(D$3,$J$4:$U$4,0)))</f>
        <v>0</v>
      </c>
      <c r="E35">
        <f t="shared" si="25"/>
        <v>0</v>
      </c>
      <c r="F35">
        <f>IF(ISBLANK(F$3),SUMIF('OS Analysis'!$AV3:$AV1002,$B35,'OS Analysis'!$BK3:$BK1002),INDEX($J35:$U35,1,MATCH(F$3,$J$4:$U$4,0)))</f>
        <v>0</v>
      </c>
      <c r="G35">
        <f t="shared" si="25"/>
        <v>0</v>
      </c>
      <c r="H35">
        <f>IF(ISBLANK(H$3),SUMIF('OS Analysis'!$AE3:$AE1002,$B35,'OS Analysis'!$AT3:$AT1002),INDEX($J35:$U35,1,MATCH(H$3,$J$4:$U$4,0)))</f>
        <v>0</v>
      </c>
      <c r="I35">
        <f t="shared" si="25"/>
        <v>0</v>
      </c>
      <c r="J35">
        <f>((SUMIF('OS Analysis'!$B3:$B1002,B35,'OS Analysis'!$AC3:$AC1002))/12)*12</f>
        <v>243093</v>
      </c>
      <c r="K35">
        <f>((SUMIF('OS Analysis'!$B3:$B1002,B35,'OS Analysis'!$AB3:$AB1002))/11)*12</f>
        <v>243326.18181818182</v>
      </c>
      <c r="L35">
        <f>((SUMIF('OS Analysis'!$B3:$B1002,B35,'OS Analysis'!$AA3:$AA1002))/10)*12</f>
        <v>244185.59999999998</v>
      </c>
      <c r="M35">
        <f>((SUMIF('OS Analysis'!$B3:$B1002,B35,'OS Analysis'!$Z3:$Z1002))/9)*12</f>
        <v>245037.3333333333</v>
      </c>
      <c r="N35">
        <f>((SUMIF('OS Analysis'!$B3:$B1002,B35,'OS Analysis'!$Y3:$Y1002))/8)*12</f>
        <v>243865.5</v>
      </c>
      <c r="O35">
        <f>((SUMIF('OS Analysis'!$B3:$B1002,B35,'OS Analysis'!$X3:$X1002))/7)*12</f>
        <v>245295.42857142858</v>
      </c>
      <c r="P35">
        <f>((SUMIF('OS Analysis'!$B3:$B1002,B35,'OS Analysis'!$W3:$W1002))/6)*12</f>
        <v>247212</v>
      </c>
      <c r="Q35">
        <f>((SUMIF('OS Analysis'!$B3:$B1002,B35,'OS Analysis'!$V3:$V1002))/5)*12</f>
        <v>247120.80000000002</v>
      </c>
      <c r="R35">
        <f>((SUMIF('OS Analysis'!$B3:$B1002,B35,'OS Analysis'!$U3:$U1002))/4)*12</f>
        <v>246114</v>
      </c>
      <c r="S35">
        <f>((SUMIF('OS Analysis'!$B3:$B1002,B35,'OS Analysis'!$T3:$T1002))/3)*12</f>
        <v>244320</v>
      </c>
      <c r="T35">
        <f>((SUMIF('OS Analysis'!$B3:$B1002,B35,'OS Analysis'!$S3:$S1002))/2)*12</f>
        <v>247350</v>
      </c>
      <c r="U35">
        <f>(SUMIF('OS Analysis'!$B3:$B1002,B35,'OS Analysis'!$R3:$R1002))*12</f>
        <v>238164</v>
      </c>
      <c r="V35">
        <f>SUMIF('OS Analysis'!$B$3:$B$1002,$B35,'OS Analysis'!$Q$3:$Q$1002)</f>
        <v>243093</v>
      </c>
      <c r="W35">
        <f t="shared" si="5"/>
        <v>243093</v>
      </c>
      <c r="X35">
        <f t="shared" si="25"/>
        <v>2407</v>
      </c>
      <c r="Y35">
        <f>SUMIF('OS Analysis'!$CD3:$CD1002,$B35,'OS Analysis'!$CS3:$CS1002)</f>
        <v>0</v>
      </c>
      <c r="Z35">
        <f t="shared" si="25"/>
        <v>0</v>
      </c>
      <c r="AA35">
        <f>SUMIF('OS Analysis'!$CU3:$CU1002,$B35,'OS Analysis'!$CW3:$CW1002)</f>
        <v>0</v>
      </c>
      <c r="AB35">
        <f t="shared" si="25"/>
        <v>0</v>
      </c>
      <c r="AC35">
        <f>SUMIF('OS Analysis'!$CU3:$CU1002,$B35,'OS Analysis'!$CX3:$CX1002)</f>
        <v>0</v>
      </c>
      <c r="AD35">
        <f t="shared" si="25"/>
        <v>0</v>
      </c>
      <c r="AE35">
        <v>0</v>
      </c>
      <c r="AF35">
        <f t="shared" si="25"/>
        <v>0</v>
      </c>
      <c r="AG35">
        <v>0</v>
      </c>
      <c r="AH35">
        <f t="shared" si="25"/>
        <v>0</v>
      </c>
      <c r="AI35">
        <v>0</v>
      </c>
      <c r="AJ35">
        <f t="shared" si="25"/>
        <v>0</v>
      </c>
      <c r="AK35">
        <f t="shared" si="26"/>
        <v>250385.79</v>
      </c>
      <c r="AL35">
        <f t="shared" si="25"/>
        <v>2479</v>
      </c>
      <c r="AM35">
        <v>0</v>
      </c>
      <c r="AN35">
        <f t="shared" si="25"/>
        <v>0</v>
      </c>
      <c r="AQ35" t="str">
        <f t="shared" si="3"/>
        <v>Property Insurance</v>
      </c>
      <c r="AR35" t="str">
        <f t="shared" si="27"/>
        <v>T-12 + 3%</v>
      </c>
      <c r="AV35">
        <f t="shared" si="6"/>
        <v>0</v>
      </c>
      <c r="AW35">
        <f>ROUND(IF(AV35=0,0,(AV35)/V1),0)</f>
        <v>0</v>
      </c>
      <c r="AX35">
        <v>0</v>
      </c>
      <c r="AY35">
        <f>ROUND(IF(AX35=0,0,(AX35)/V1),0)</f>
        <v>0</v>
      </c>
    </row>
    <row r="36" ht="14.25" customHeight="1">
      <c r="A36">
        <v>4</v>
      </c>
      <c r="B36" t="s">
        <v>1911</v>
      </c>
      <c r="D36">
        <f>IF(ISBLANK(D$3),SUMIF('OS Analysis'!$BM3:$BM1002,$B36,'OS Analysis'!$CB3:$CB1002),INDEX($J36:$U36,1,MATCH(D$3,$J$4:$U$4,0)))</f>
        <v>0</v>
      </c>
      <c r="E36">
        <f t="shared" si="25"/>
        <v>0</v>
      </c>
      <c r="F36">
        <f>IF(ISBLANK(F$3),SUMIF('OS Analysis'!$AV3:$AV1002,$B36,'OS Analysis'!$BK3:$BK1002),INDEX($J36:$U36,1,MATCH(F$3,$J$4:$U$4,0)))</f>
        <v>0</v>
      </c>
      <c r="G36">
        <f t="shared" si="25"/>
        <v>0</v>
      </c>
      <c r="H36">
        <f>IF(ISBLANK(H$3),SUMIF('OS Analysis'!$AE3:$AE1002,$B36,'OS Analysis'!$AT3:$AT1002),INDEX($J36:$U36,1,MATCH(H$3,$J$4:$U$4,0)))</f>
        <v>0</v>
      </c>
      <c r="I36">
        <f t="shared" si="25"/>
        <v>0</v>
      </c>
      <c r="J36">
        <f>((SUMIF('OS Analysis'!$B3:$B1002,B36,'OS Analysis'!$AC3:$AC1002))/12)*12</f>
        <v>2723</v>
      </c>
      <c r="K36">
        <f>((SUMIF('OS Analysis'!$B3:$B1002,B36,'OS Analysis'!$AB3:$AB1002))/11)*12</f>
        <v>2970.5454545454545</v>
      </c>
      <c r="L36">
        <f>((SUMIF('OS Analysis'!$B3:$B1002,B36,'OS Analysis'!$AA3:$AA1002))/10)*12</f>
        <v>3267.6000000000004</v>
      </c>
      <c r="M36">
        <f>((SUMIF('OS Analysis'!$B3:$B1002,B36,'OS Analysis'!$Z3:$Z1002))/9)*12</f>
        <v>3496</v>
      </c>
      <c r="N36">
        <f>((SUMIF('OS Analysis'!$B3:$B1002,B36,'OS Analysis'!$Y3:$Y1002))/8)*12</f>
        <v>3933</v>
      </c>
      <c r="O36">
        <f>((SUMIF('OS Analysis'!$B3:$B1002,B36,'OS Analysis'!$X3:$X1002))/7)*12</f>
        <v>4494.857142857143</v>
      </c>
      <c r="P36">
        <f>((SUMIF('OS Analysis'!$B3:$B1002,B36,'OS Analysis'!$W3:$W1002))/6)*12</f>
        <v>4430</v>
      </c>
      <c r="Q36">
        <f>((SUMIF('OS Analysis'!$B3:$B1002,B36,'OS Analysis'!$V3:$V1002))/5)*12</f>
        <v>3261.6000000000004</v>
      </c>
      <c r="R36">
        <f>((SUMIF('OS Analysis'!$B3:$B1002,B36,'OS Analysis'!$U3:$U1002))/4)*12</f>
        <v>3171</v>
      </c>
      <c r="S36">
        <f>((SUMIF('OS Analysis'!$B3:$B1002,B36,'OS Analysis'!$T3:$T1002))/3)*12</f>
        <v>4228</v>
      </c>
      <c r="T36">
        <f>((SUMIF('OS Analysis'!$B3:$B1002,B36,'OS Analysis'!$S3:$S1002))/2)*12</f>
        <v>918</v>
      </c>
      <c r="U36">
        <f>(SUMIF('OS Analysis'!$B3:$B1002,B36,'OS Analysis'!$R3:$R1002))*12</f>
        <v>1836</v>
      </c>
      <c r="V36">
        <f>SUMIF('OS Analysis'!$B$3:$B$1002,$B36,'OS Analysis'!$Q$3:$Q$1002)</f>
        <v>2723</v>
      </c>
      <c r="W36">
        <f t="shared" si="5"/>
        <v>2723</v>
      </c>
      <c r="X36">
        <f t="shared" si="25"/>
        <v>27</v>
      </c>
      <c r="Y36">
        <f>SUMIF('OS Analysis'!$CD3:$CD1002,$B36,'OS Analysis'!$CS3:$CS1002)</f>
        <v>0</v>
      </c>
      <c r="Z36">
        <f t="shared" si="25"/>
        <v>0</v>
      </c>
      <c r="AA36">
        <f>SUMIF('OS Analysis'!$CU3:$CU1002,$B36,'OS Analysis'!$CW3:$CW1002)</f>
        <v>0</v>
      </c>
      <c r="AB36">
        <f t="shared" si="25"/>
        <v>0</v>
      </c>
      <c r="AC36">
        <f>SUMIF('OS Analysis'!$CU3:$CU1002,$B36,'OS Analysis'!$CX3:$CX1002)</f>
        <v>0</v>
      </c>
      <c r="AD36">
        <f t="shared" si="25"/>
        <v>0</v>
      </c>
      <c r="AE36">
        <v>0</v>
      </c>
      <c r="AF36">
        <f t="shared" si="25"/>
        <v>0</v>
      </c>
      <c r="AG36">
        <v>0</v>
      </c>
      <c r="AH36">
        <f t="shared" si="25"/>
        <v>0</v>
      </c>
      <c r="AI36">
        <v>0</v>
      </c>
      <c r="AJ36">
        <f t="shared" si="25"/>
        <v>0</v>
      </c>
      <c r="AK36">
        <f t="shared" si="26"/>
        <v>2804.69</v>
      </c>
      <c r="AL36">
        <f t="shared" si="25"/>
        <v>28</v>
      </c>
      <c r="AM36">
        <v>0</v>
      </c>
      <c r="AN36">
        <f t="shared" si="25"/>
        <v>0</v>
      </c>
      <c r="AQ36" t="str">
        <f t="shared" si="3"/>
        <v>Licenses</v>
      </c>
      <c r="AR36" t="str">
        <f t="shared" si="27"/>
        <v>T-12 + 3%</v>
      </c>
      <c r="AV36">
        <f t="shared" si="6"/>
        <v>0</v>
      </c>
      <c r="AW36">
        <f>ROUND(IF(AV36=0,0,(AV36)/V1),0)</f>
        <v>0</v>
      </c>
      <c r="AX36">
        <v>0</v>
      </c>
      <c r="AY36">
        <f>ROUND(IF(AX36=0,0,(AX36)/V1),0)</f>
        <v>0</v>
      </c>
    </row>
    <row r="37" ht="15" customHeight="1">
      <c r="A37">
        <v>5</v>
      </c>
      <c r="B37" t="s">
        <v>1912</v>
      </c>
      <c r="D37">
        <f>IF(ISBLANK(D$3),SUMIF('OS Analysis'!$BM3:$BM1002,$B37,'OS Analysis'!$CB3:$CB1002),INDEX($J37:$U37,1,MATCH(D$3,$J$4:$U$4,0)))</f>
        <v>0</v>
      </c>
      <c r="E37">
        <f t="shared" si="25"/>
        <v>0</v>
      </c>
      <c r="F37">
        <f>IF(ISBLANK(F$3),SUMIF('OS Analysis'!$AV3:$AV1002,$B37,'OS Analysis'!$BK3:$BK1002),INDEX($J37:$U37,1,MATCH(F$3,$J$4:$U$4,0)))</f>
        <v>0</v>
      </c>
      <c r="G37">
        <f t="shared" si="25"/>
        <v>0</v>
      </c>
      <c r="H37">
        <f>IF(ISBLANK(H$3),SUMIF('OS Analysis'!$AE3:$AE1002,$B37,'OS Analysis'!$AT3:$AT1002),INDEX($J37:$U37,1,MATCH(H$3,$J$4:$U$4,0)))</f>
        <v>0</v>
      </c>
      <c r="I37">
        <f t="shared" si="25"/>
        <v>0</v>
      </c>
      <c r="J37">
        <f>((SUMIF('OS Analysis'!$B3:$B1002,B37,'OS Analysis'!$AC3:$AC1002))/12)*12</f>
        <v>0</v>
      </c>
      <c r="K37">
        <f>((SUMIF('OS Analysis'!$B3:$B1002,B37,'OS Analysis'!$AB3:$AB1002))/11)*12</f>
        <v>0</v>
      </c>
      <c r="L37">
        <f>((SUMIF('OS Analysis'!$B3:$B1002,B37,'OS Analysis'!$AA3:$AA1002))/10)*12</f>
        <v>0</v>
      </c>
      <c r="M37">
        <f>((SUMIF('OS Analysis'!$B3:$B1002,B37,'OS Analysis'!$Z3:$Z1002))/9)*12</f>
        <v>0</v>
      </c>
      <c r="N37">
        <f>((SUMIF('OS Analysis'!$B3:$B1002,B37,'OS Analysis'!$Y3:$Y1002))/8)*12</f>
        <v>0</v>
      </c>
      <c r="O37">
        <f>((SUMIF('OS Analysis'!$B3:$B1002,B37,'OS Analysis'!$X3:$X1002))/7)*12</f>
        <v>0</v>
      </c>
      <c r="P37">
        <f>((SUMIF('OS Analysis'!$B3:$B1002,B37,'OS Analysis'!$W3:$W1002))/6)*12</f>
        <v>0</v>
      </c>
      <c r="Q37">
        <f>((SUMIF('OS Analysis'!$B3:$B1002,B37,'OS Analysis'!$V3:$V1002))/5)*12</f>
        <v>0</v>
      </c>
      <c r="R37">
        <f>((SUMIF('OS Analysis'!$B3:$B1002,B37,'OS Analysis'!$U3:$U1002))/4)*12</f>
        <v>0</v>
      </c>
      <c r="S37">
        <f>((SUMIF('OS Analysis'!$B3:$B1002,B37,'OS Analysis'!$T3:$T1002))/3)*12</f>
        <v>0</v>
      </c>
      <c r="T37">
        <f>((SUMIF('OS Analysis'!$B3:$B1002,B37,'OS Analysis'!$S3:$S1002))/2)*12</f>
        <v>0</v>
      </c>
      <c r="U37">
        <f>(SUMIF('OS Analysis'!$B3:$B1002,B37,'OS Analysis'!$R3:$R1002))*12</f>
        <v>0</v>
      </c>
      <c r="V37">
        <f>SUMIF('OS Analysis'!$B$3:$B$1002,$B37,'OS Analysis'!$Q$3:$Q$1002)</f>
        <v>0</v>
      </c>
      <c r="W37">
        <f t="shared" si="5"/>
        <v>0</v>
      </c>
      <c r="X37">
        <f t="shared" si="25"/>
        <v>0</v>
      </c>
      <c r="Y37">
        <f>SUMIF('OS Analysis'!$CD3:$CD1002,$B37,'OS Analysis'!$CS3:$CS1002)</f>
        <v>0</v>
      </c>
      <c r="Z37">
        <f t="shared" si="25"/>
        <v>0</v>
      </c>
      <c r="AA37">
        <f>SUMIF('OS Analysis'!$CU3:$CU1002,$B37,'OS Analysis'!$CW3:$CW1002)</f>
        <v>0</v>
      </c>
      <c r="AB37">
        <f t="shared" si="25"/>
        <v>0</v>
      </c>
      <c r="AC37">
        <f>SUMIF('OS Analysis'!$CU3:$CU1002,$B37,'OS Analysis'!$CX3:$CX1002)</f>
        <v>0</v>
      </c>
      <c r="AD37">
        <f t="shared" si="25"/>
        <v>0</v>
      </c>
      <c r="AE37">
        <v>0</v>
      </c>
      <c r="AF37">
        <f t="shared" si="25"/>
        <v>0</v>
      </c>
      <c r="AG37">
        <v>0</v>
      </c>
      <c r="AH37">
        <f t="shared" si="25"/>
        <v>0</v>
      </c>
      <c r="AI37">
        <v>0</v>
      </c>
      <c r="AJ37">
        <f t="shared" si="25"/>
        <v>0</v>
      </c>
      <c r="AK37">
        <f t="shared" si="26"/>
        <v>0</v>
      </c>
      <c r="AL37">
        <f t="shared" si="25"/>
        <v>0</v>
      </c>
      <c r="AM37">
        <v>0</v>
      </c>
      <c r="AN37">
        <f t="shared" si="25"/>
        <v>0</v>
      </c>
      <c r="AQ37" t="str">
        <f t="shared" si="3"/>
        <v>Ground Rent</v>
      </c>
      <c r="AR37">
        <f t="shared" si="27"/>
      </c>
      <c r="AV37">
        <f t="shared" si="6"/>
        <v>0</v>
      </c>
      <c r="AW37">
        <f>ROUND(IF(AV37=0,0,(AV37)/V1),0)</f>
        <v>0</v>
      </c>
      <c r="AX37">
        <v>0</v>
      </c>
      <c r="AY37">
        <f>ROUND(IF(AX37=0,0,(AX37)/V1),0)</f>
        <v>0</v>
      </c>
    </row>
    <row r="38" ht="15" customHeight="1">
      <c r="B38" t="s">
        <v>1913</v>
      </c>
      <c r="D38">
        <f t="shared" si="28" ref="D38:AX38">SUM(D33:D37)</f>
        <v>0</v>
      </c>
      <c r="E38">
        <f t="shared" si="25"/>
        <v>0</v>
      </c>
      <c r="F38">
        <f t="shared" si="28"/>
        <v>0</v>
      </c>
      <c r="G38">
        <f t="shared" si="25"/>
        <v>0</v>
      </c>
      <c r="H38">
        <f t="shared" si="28"/>
        <v>0</v>
      </c>
      <c r="I38">
        <f t="shared" si="25"/>
        <v>0</v>
      </c>
      <c r="J38">
        <f t="shared" si="28"/>
        <v>1252013</v>
      </c>
      <c r="K38">
        <f t="shared" si="28"/>
        <v>1249492.3636363638</v>
      </c>
      <c r="L38">
        <f t="shared" si="28"/>
        <v>1247415.6</v>
      </c>
      <c r="M38">
        <f t="shared" si="28"/>
        <v>1242649.3333333333</v>
      </c>
      <c r="N38">
        <f t="shared" si="28"/>
        <v>1239361.5</v>
      </c>
      <c r="O38">
        <f t="shared" si="28"/>
        <v>1230973.714285714</v>
      </c>
      <c r="P38">
        <f t="shared" si="28"/>
        <v>1232732</v>
      </c>
      <c r="Q38">
        <f t="shared" si="28"/>
        <v>1222140.0000000002</v>
      </c>
      <c r="R38">
        <f t="shared" si="28"/>
        <v>1310847</v>
      </c>
      <c r="S38">
        <f t="shared" si="28"/>
        <v>1309112</v>
      </c>
      <c r="T38">
        <f t="shared" si="28"/>
        <v>1326936</v>
      </c>
      <c r="U38">
        <f t="shared" si="28"/>
        <v>1319340</v>
      </c>
      <c r="V38">
        <f t="shared" si="28"/>
        <v>1252013</v>
      </c>
      <c r="W38">
        <f t="shared" si="28"/>
        <v>1252013</v>
      </c>
      <c r="X38">
        <f t="shared" si="25"/>
        <v>12396</v>
      </c>
      <c r="Y38">
        <f t="shared" si="28"/>
        <v>0</v>
      </c>
      <c r="Z38">
        <f t="shared" si="25"/>
        <v>0</v>
      </c>
      <c r="AA38">
        <f t="shared" si="28"/>
        <v>0</v>
      </c>
      <c r="AB38">
        <f t="shared" si="25"/>
        <v>0</v>
      </c>
      <c r="AC38">
        <f t="shared" si="28"/>
        <v>0</v>
      </c>
      <c r="AD38">
        <f t="shared" si="25"/>
        <v>0</v>
      </c>
      <c r="AE38">
        <f t="shared" si="28"/>
        <v>0</v>
      </c>
      <c r="AF38">
        <f t="shared" si="25"/>
        <v>0</v>
      </c>
      <c r="AG38">
        <f t="shared" si="28"/>
        <v>0</v>
      </c>
      <c r="AH38">
        <f t="shared" si="25"/>
        <v>0</v>
      </c>
      <c r="AI38">
        <f t="shared" si="28"/>
        <v>0</v>
      </c>
      <c r="AJ38">
        <f t="shared" si="25"/>
        <v>0</v>
      </c>
      <c r="AK38">
        <f t="shared" si="28"/>
        <v>1289573.39</v>
      </c>
      <c r="AL38">
        <f t="shared" si="25"/>
        <v>12768</v>
      </c>
      <c r="AM38">
        <f t="shared" si="28"/>
        <v>0</v>
      </c>
      <c r="AN38">
        <f t="shared" si="25"/>
        <v>0</v>
      </c>
      <c r="AQ38" t="str">
        <f t="shared" si="3"/>
        <v>Total Fixed</v>
      </c>
      <c r="AR38" t="str">
        <f t="shared" si="27"/>
        <v>T-12 + 3%</v>
      </c>
      <c r="AV38">
        <f t="shared" si="28"/>
        <v>0</v>
      </c>
      <c r="AW38">
        <f>ROUND(IF(AV38=0,0,(AV38)/V1),0)</f>
        <v>0</v>
      </c>
      <c r="AX38">
        <f t="shared" si="28"/>
        <v>0</v>
      </c>
      <c r="AY38">
        <f>ROUND(IF(AX38=0,0,(AX38)/V1),0)</f>
        <v>0</v>
      </c>
    </row>
    <row r="39" ht="15" customHeight="1">
      <c r="B39" t="s">
        <v>1820</v>
      </c>
      <c r="AQ39" t="str">
        <f t="shared" si="3"/>
        <v>OPERATING EXPENSES</v>
      </c>
    </row>
    <row r="40" ht="14.25" customHeight="1">
      <c r="A40">
        <f>A37+1</f>
        <v>6</v>
      </c>
      <c r="B40" t="s">
        <v>1914</v>
      </c>
      <c r="D40">
        <f>IF(ISBLANK(D$3),SUMIF('OS Analysis'!$BM3:$BM1002,$B40,'OS Analysis'!$CB3:$CB1002),INDEX($J40:$U40,1,MATCH(D$3,$J$4:$U$4,0)))</f>
        <v>0</v>
      </c>
      <c r="E40">
        <f t="shared" si="25"/>
        <v>0</v>
      </c>
      <c r="F40">
        <f>IF(ISBLANK(F$3),SUMIF('OS Analysis'!$AV3:$AV1002,$B40,'OS Analysis'!$BK3:$BK1002),INDEX($J40:$U40,1,MATCH(F$3,$J$4:$U$4,0)))</f>
        <v>0</v>
      </c>
      <c r="G40">
        <f t="shared" si="25"/>
        <v>0</v>
      </c>
      <c r="H40">
        <f>IF(ISBLANK(H$3),SUMIF('OS Analysis'!$AE3:$AE1002,$B40,'OS Analysis'!$AT3:$AT1002),INDEX($J40:$U40,1,MATCH(H$3,$J$4:$U$4,0)))</f>
        <v>0</v>
      </c>
      <c r="I40">
        <f t="shared" si="25"/>
        <v>0</v>
      </c>
      <c r="J40">
        <f>((SUMIF('OS Analysis'!$B3:$B1002,B40,'OS Analysis'!$AC3:$AC1002))/12)*12</f>
        <v>42628</v>
      </c>
      <c r="K40">
        <f>((SUMIF('OS Analysis'!$B3:$B1002,B40,'OS Analysis'!$AB3:$AB1002))/11)*12</f>
        <v>46447.63636363636</v>
      </c>
      <c r="L40">
        <f>((SUMIF('OS Analysis'!$B3:$B1002,B40,'OS Analysis'!$AA3:$AA1002))/10)*12</f>
        <v>46989.600000000006</v>
      </c>
      <c r="M40">
        <f>((SUMIF('OS Analysis'!$B3:$B1002,B40,'OS Analysis'!$Z3:$Z1002))/9)*12</f>
        <v>43246.666666666664</v>
      </c>
      <c r="N40">
        <f>((SUMIF('OS Analysis'!$B3:$B1002,B40,'OS Analysis'!$Y3:$Y1002))/8)*12</f>
        <v>43450.5</v>
      </c>
      <c r="O40">
        <f>((SUMIF('OS Analysis'!$B3:$B1002,B40,'OS Analysis'!$X3:$X1002))/7)*12</f>
        <v>43539.42857142857</v>
      </c>
      <c r="P40">
        <f>((SUMIF('OS Analysis'!$B3:$B1002,B40,'OS Analysis'!$W3:$W1002))/6)*12</f>
        <v>43932</v>
      </c>
      <c r="Q40">
        <f>((SUMIF('OS Analysis'!$B3:$B1002,B40,'OS Analysis'!$V3:$V1002))/5)*12</f>
        <v>44301.600000000006</v>
      </c>
      <c r="R40">
        <f>((SUMIF('OS Analysis'!$B3:$B1002,B40,'OS Analysis'!$U3:$U1002))/4)*12</f>
        <v>55230</v>
      </c>
      <c r="S40">
        <f>((SUMIF('OS Analysis'!$B3:$B1002,B40,'OS Analysis'!$T3:$T1002))/3)*12</f>
        <v>44112</v>
      </c>
      <c r="T40">
        <f>((SUMIF('OS Analysis'!$B3:$B1002,B40,'OS Analysis'!$S3:$S1002))/2)*12</f>
        <v>40074</v>
      </c>
      <c r="U40">
        <f>(SUMIF('OS Analysis'!$B3:$B1002,B40,'OS Analysis'!$R3:$R1002))*12</f>
        <v>43284</v>
      </c>
      <c r="V40">
        <f>SUMIF('OS Analysis'!$B$3:$B$1002,$B40,'OS Analysis'!$Q$3:$Q$1002)</f>
        <v>42628</v>
      </c>
      <c r="W40">
        <f t="shared" si="5"/>
        <v>42628</v>
      </c>
      <c r="X40">
        <f t="shared" si="25"/>
        <v>422</v>
      </c>
      <c r="Y40">
        <f>SUMIF('OS Analysis'!$CD3:$CD1002,$B40,'OS Analysis'!$CS3:$CS1002)</f>
        <v>0</v>
      </c>
      <c r="Z40">
        <f t="shared" si="25"/>
        <v>0</v>
      </c>
      <c r="AA40">
        <f>SUMIF('OS Analysis'!$CU3:$CU1002,$B40,'OS Analysis'!$CW3:$CW1002)</f>
        <v>0</v>
      </c>
      <c r="AB40">
        <f t="shared" si="25"/>
        <v>0</v>
      </c>
      <c r="AC40">
        <f>SUMIF('OS Analysis'!$CU3:$CU1002,$B40,'OS Analysis'!$CX3:$CX1002)</f>
        <v>0</v>
      </c>
      <c r="AD40">
        <f t="shared" si="25"/>
        <v>0</v>
      </c>
      <c r="AE40">
        <v>0</v>
      </c>
      <c r="AF40">
        <f t="shared" si="25"/>
        <v>0</v>
      </c>
      <c r="AG40">
        <v>0</v>
      </c>
      <c r="AH40">
        <f t="shared" si="25"/>
        <v>0</v>
      </c>
      <c r="AI40">
        <v>0</v>
      </c>
      <c r="AJ40">
        <f t="shared" si="25"/>
        <v>0</v>
      </c>
      <c r="AK40">
        <f t="shared" si="26"/>
        <v>43906.84</v>
      </c>
      <c r="AL40">
        <f t="shared" si="25"/>
        <v>435</v>
      </c>
      <c r="AM40">
        <v>0</v>
      </c>
      <c r="AN40">
        <f t="shared" si="25"/>
        <v>0</v>
      </c>
      <c r="AQ40" t="str">
        <f t="shared" si="3"/>
        <v>Trash Removal (including contract)</v>
      </c>
      <c r="AR40" t="str">
        <f t="shared" si="27"/>
        <v>T-12 + 3%</v>
      </c>
      <c r="AV40">
        <f t="shared" si="6"/>
        <v>0</v>
      </c>
      <c r="AW40">
        <f>ROUND(IF(AV40=0,0,(AV40)/V1),0)</f>
        <v>0</v>
      </c>
      <c r="AX40">
        <v>0</v>
      </c>
      <c r="AY40">
        <f>ROUND(IF(AX40=0,0,(AX40)/V1),0)</f>
        <v>0</v>
      </c>
    </row>
    <row r="41" ht="14.25" customHeight="1">
      <c r="A41">
        <f t="shared" si="18"/>
        <v>7</v>
      </c>
      <c r="B41" t="s">
        <v>1915</v>
      </c>
      <c r="D41">
        <f>IF(ISBLANK(D$3),SUMIF('OS Analysis'!$BM3:$BM1002,$B41,'OS Analysis'!$CB3:$CB1002),INDEX($J41:$U41,1,MATCH(D$3,$J$4:$U$4,0)))</f>
        <v>0</v>
      </c>
      <c r="E41">
        <f t="shared" si="25"/>
        <v>0</v>
      </c>
      <c r="F41">
        <f>IF(ISBLANK(F$3),SUMIF('OS Analysis'!$AV3:$AV1002,$B41,'OS Analysis'!$BK3:$BK1002),INDEX($J41:$U41,1,MATCH(F$3,$J$4:$U$4,0)))</f>
        <v>0</v>
      </c>
      <c r="G41">
        <f t="shared" si="25"/>
        <v>0</v>
      </c>
      <c r="H41">
        <f>IF(ISBLANK(H$3),SUMIF('OS Analysis'!$AE3:$AE1002,$B41,'OS Analysis'!$AT3:$AT1002),INDEX($J41:$U41,1,MATCH(H$3,$J$4:$U$4,0)))</f>
        <v>0</v>
      </c>
      <c r="I41">
        <f t="shared" si="25"/>
        <v>0</v>
      </c>
      <c r="J41">
        <f>((SUMIF('OS Analysis'!$B3:$B1002,B41,'OS Analysis'!$AC3:$AC1002))/12)*12</f>
        <v>121255</v>
      </c>
      <c r="K41">
        <f>((SUMIF('OS Analysis'!$B3:$B1002,B41,'OS Analysis'!$AB3:$AB1002))/11)*12</f>
        <v>127443.27272727274</v>
      </c>
      <c r="L41">
        <f>((SUMIF('OS Analysis'!$B3:$B1002,B41,'OS Analysis'!$AA3:$AA1002))/10)*12</f>
        <v>131290.8</v>
      </c>
      <c r="M41">
        <f>((SUMIF('OS Analysis'!$B3:$B1002,B41,'OS Analysis'!$Z3:$Z1002))/9)*12</f>
        <v>129437.33333333334</v>
      </c>
      <c r="N41">
        <f>((SUMIF('OS Analysis'!$B3:$B1002,B41,'OS Analysis'!$Y3:$Y1002))/8)*12</f>
        <v>121282.5</v>
      </c>
      <c r="O41">
        <f>((SUMIF('OS Analysis'!$B3:$B1002,B41,'OS Analysis'!$X3:$X1002))/7)*12</f>
        <v>110211.42857142857</v>
      </c>
      <c r="P41">
        <f>((SUMIF('OS Analysis'!$B3:$B1002,B41,'OS Analysis'!$W3:$W1002))/6)*12</f>
        <v>100636</v>
      </c>
      <c r="Q41">
        <f>((SUMIF('OS Analysis'!$B3:$B1002,B41,'OS Analysis'!$V3:$V1002))/5)*12</f>
        <v>94101.6</v>
      </c>
      <c r="R41">
        <f>((SUMIF('OS Analysis'!$B3:$B1002,B41,'OS Analysis'!$U3:$U1002))/4)*12</f>
        <v>117627</v>
      </c>
      <c r="S41">
        <f>((SUMIF('OS Analysis'!$B3:$B1002,B41,'OS Analysis'!$T3:$T1002))/3)*12</f>
        <v>88088</v>
      </c>
      <c r="T41">
        <f>((SUMIF('OS Analysis'!$B3:$B1002,B41,'OS Analysis'!$S3:$S1002))/2)*12</f>
        <v>86040</v>
      </c>
      <c r="U41">
        <f>(SUMIF('OS Analysis'!$B3:$B1002,B41,'OS Analysis'!$R3:$R1002))*12</f>
        <v>168432</v>
      </c>
      <c r="V41">
        <f>SUMIF('OS Analysis'!$B$3:$B$1002,$B41,'OS Analysis'!$Q$3:$Q$1002)</f>
        <v>121255</v>
      </c>
      <c r="W41">
        <f t="shared" si="5"/>
        <v>121255</v>
      </c>
      <c r="X41">
        <f t="shared" si="25"/>
        <v>1201</v>
      </c>
      <c r="Y41">
        <f>SUMIF('OS Analysis'!$CD3:$CD1002,$B41,'OS Analysis'!$CS3:$CS1002)</f>
        <v>0</v>
      </c>
      <c r="Z41">
        <f t="shared" si="25"/>
        <v>0</v>
      </c>
      <c r="AA41">
        <f>SUMIF('OS Analysis'!$CU3:$CU1002,$B41,'OS Analysis'!$CW3:$CW1002)</f>
        <v>0</v>
      </c>
      <c r="AB41">
        <f t="shared" si="25"/>
        <v>0</v>
      </c>
      <c r="AC41">
        <f>SUMIF('OS Analysis'!$CU3:$CU1002,$B41,'OS Analysis'!$CX3:$CX1002)</f>
        <v>0</v>
      </c>
      <c r="AD41">
        <f t="shared" si="25"/>
        <v>0</v>
      </c>
      <c r="AE41">
        <v>0</v>
      </c>
      <c r="AF41">
        <f t="shared" si="25"/>
        <v>0</v>
      </c>
      <c r="AG41">
        <v>0</v>
      </c>
      <c r="AH41">
        <f t="shared" si="25"/>
        <v>0</v>
      </c>
      <c r="AI41">
        <v>0</v>
      </c>
      <c r="AJ41">
        <f t="shared" si="25"/>
        <v>0</v>
      </c>
      <c r="AK41">
        <f t="shared" si="26"/>
        <v>124892.65</v>
      </c>
      <c r="AL41">
        <f t="shared" si="25"/>
        <v>1237</v>
      </c>
      <c r="AM41">
        <v>0</v>
      </c>
      <c r="AN41">
        <f t="shared" si="25"/>
        <v>0</v>
      </c>
      <c r="AQ41" t="str">
        <f t="shared" si="3"/>
        <v>Gas / Fuel / Other</v>
      </c>
      <c r="AR41" t="str">
        <f t="shared" si="27"/>
        <v>T-12 + 3%</v>
      </c>
      <c r="AV41">
        <f t="shared" si="6"/>
        <v>0</v>
      </c>
      <c r="AW41">
        <f>ROUND(IF(AV41=0,0,(AV41)/C1),0)</f>
        <v>0</v>
      </c>
      <c r="AX41">
        <v>0</v>
      </c>
      <c r="AY41">
        <f>ROUND(IF(AX41=0,0,(AX41)/C1),0)</f>
        <v>0</v>
      </c>
    </row>
    <row r="42" ht="15" customHeight="1">
      <c r="A42">
        <f t="shared" si="18"/>
        <v>8</v>
      </c>
      <c r="B42" t="s">
        <v>1817</v>
      </c>
      <c r="D42">
        <f>IF(ISBLANK(D$3),SUMIF('OS Analysis'!$BM3:$BM1002,$B42,'OS Analysis'!$CB3:$CB1002),INDEX($J42:$U42,1,MATCH(D$3,$J$4:$U$4,0)))</f>
        <v>0</v>
      </c>
      <c r="E42">
        <f t="shared" si="25"/>
        <v>0</v>
      </c>
      <c r="F42">
        <f>IF(ISBLANK(F$3),SUMIF('OS Analysis'!$AV3:$AV1002,$B42,'OS Analysis'!$BK3:$BK1002),INDEX($J42:$U42,1,MATCH(F$3,$J$4:$U$4,0)))</f>
        <v>0</v>
      </c>
      <c r="G42">
        <f t="shared" si="25"/>
        <v>0</v>
      </c>
      <c r="H42">
        <f>IF(ISBLANK(H$3),SUMIF('OS Analysis'!$AE3:$AE1002,$B42,'OS Analysis'!$AT3:$AT1002),INDEX($J42:$U42,1,MATCH(H$3,$J$4:$U$4,0)))</f>
        <v>0</v>
      </c>
      <c r="I42">
        <f t="shared" si="25"/>
        <v>0</v>
      </c>
      <c r="J42">
        <f>((SUMIF('OS Analysis'!$B3:$B1002,B42,'OS Analysis'!$AC3:$AC1002))/12)*12</f>
        <v>13876</v>
      </c>
      <c r="K42">
        <f>((SUMIF('OS Analysis'!$B3:$B1002,B42,'OS Analysis'!$AB3:$AB1002))/11)*12</f>
        <v>14102.18181818182</v>
      </c>
      <c r="L42">
        <f>((SUMIF('OS Analysis'!$B3:$B1002,B42,'OS Analysis'!$AA3:$AA1002))/10)*12</f>
        <v>14254.800000000001</v>
      </c>
      <c r="M42">
        <f>((SUMIF('OS Analysis'!$B3:$B1002,B42,'OS Analysis'!$Z3:$Z1002))/9)*12</f>
        <v>14604</v>
      </c>
      <c r="N42">
        <f>((SUMIF('OS Analysis'!$B3:$B1002,B42,'OS Analysis'!$Y3:$Y1002))/8)*12</f>
        <v>15001.5</v>
      </c>
      <c r="O42">
        <f>((SUMIF('OS Analysis'!$B3:$B1002,B42,'OS Analysis'!$X3:$X1002))/7)*12</f>
        <v>16503.428571428572</v>
      </c>
      <c r="P42">
        <f>((SUMIF('OS Analysis'!$B3:$B1002,B42,'OS Analysis'!$W3:$W1002))/6)*12</f>
        <v>14678</v>
      </c>
      <c r="Q42">
        <f>((SUMIF('OS Analysis'!$B3:$B1002,B42,'OS Analysis'!$V3:$V1002))/5)*12</f>
        <v>14805.599999999999</v>
      </c>
      <c r="R42">
        <f>((SUMIF('OS Analysis'!$B3:$B1002,B42,'OS Analysis'!$U3:$U1002))/4)*12</f>
        <v>14913</v>
      </c>
      <c r="S42">
        <f>((SUMIF('OS Analysis'!$B3:$B1002,B42,'OS Analysis'!$T3:$T1002))/3)*12</f>
        <v>15684</v>
      </c>
      <c r="T42">
        <f>((SUMIF('OS Analysis'!$B3:$B1002,B42,'OS Analysis'!$S3:$S1002))/2)*12</f>
        <v>17412</v>
      </c>
      <c r="U42">
        <f>(SUMIF('OS Analysis'!$B3:$B1002,B42,'OS Analysis'!$R3:$R1002))*12</f>
        <v>31596</v>
      </c>
      <c r="V42">
        <f>SUMIF('OS Analysis'!$B$3:$B$1002,$B42,'OS Analysis'!$Q$3:$Q$1002)</f>
        <v>13876</v>
      </c>
      <c r="W42">
        <f t="shared" si="5"/>
        <v>13876</v>
      </c>
      <c r="X42">
        <f t="shared" si="25"/>
        <v>137</v>
      </c>
      <c r="Y42">
        <f>SUMIF('OS Analysis'!$CD3:$CD1002,$B42,'OS Analysis'!$CS3:$CS1002)</f>
        <v>0</v>
      </c>
      <c r="Z42">
        <f t="shared" si="25"/>
        <v>0</v>
      </c>
      <c r="AA42">
        <f>SUMIF('OS Analysis'!$CU3:$CU1002,$B42,'OS Analysis'!$CW3:$CW1002)</f>
        <v>0</v>
      </c>
      <c r="AB42">
        <f t="shared" si="25"/>
        <v>0</v>
      </c>
      <c r="AC42">
        <f>SUMIF('OS Analysis'!$CU3:$CU1002,$B42,'OS Analysis'!$CX3:$CX1002)</f>
        <v>0</v>
      </c>
      <c r="AD42">
        <f t="shared" si="25"/>
        <v>0</v>
      </c>
      <c r="AE42">
        <v>0</v>
      </c>
      <c r="AF42">
        <f t="shared" si="25"/>
        <v>0</v>
      </c>
      <c r="AG42">
        <v>0</v>
      </c>
      <c r="AH42">
        <f t="shared" si="25"/>
        <v>0</v>
      </c>
      <c r="AI42">
        <v>0</v>
      </c>
      <c r="AJ42">
        <f t="shared" si="25"/>
        <v>0</v>
      </c>
      <c r="AK42">
        <f t="shared" si="26"/>
        <v>14292.28</v>
      </c>
      <c r="AL42">
        <f t="shared" si="25"/>
        <v>142</v>
      </c>
      <c r="AM42">
        <v>0</v>
      </c>
      <c r="AN42">
        <f t="shared" si="25"/>
        <v>0</v>
      </c>
      <c r="AQ42" t="str">
        <f t="shared" si="3"/>
        <v>Electricity</v>
      </c>
      <c r="AR42" t="str">
        <f t="shared" si="27"/>
        <v>T-12 + 3%</v>
      </c>
      <c r="AV42">
        <f t="shared" si="6"/>
        <v>0</v>
      </c>
      <c r="AW42">
        <f>ROUND(IF(AV42=0,0,(AV42)/V1),0)</f>
        <v>0</v>
      </c>
      <c r="AX42">
        <v>0</v>
      </c>
      <c r="AY42">
        <f>ROUND(IF(AX42=0,0,(AX42)/V1),0)</f>
        <v>0</v>
      </c>
    </row>
    <row r="43" ht="15" customHeight="1">
      <c r="A43">
        <f t="shared" si="18"/>
        <v>9</v>
      </c>
      <c r="B43" t="s">
        <v>1419</v>
      </c>
      <c r="D43">
        <f>IF(ISBLANK(D$3),SUMIF('OS Analysis'!$BM3:$BM1002,$B43,'OS Analysis'!$CB3:$CB1002),INDEX($J43:$U43,1,MATCH(D$3,$J$4:$U$4,0)))</f>
        <v>0</v>
      </c>
      <c r="E43">
        <f t="shared" si="25"/>
        <v>0</v>
      </c>
      <c r="F43">
        <f>IF(ISBLANK(F$3),SUMIF('OS Analysis'!$AV3:$AV1002,$B43,'OS Analysis'!$BK3:$BK1002),INDEX($J43:$U43,1,MATCH(F$3,$J$4:$U$4,0)))</f>
        <v>0</v>
      </c>
      <c r="G43">
        <f t="shared" si="25"/>
        <v>0</v>
      </c>
      <c r="H43">
        <f>IF(ISBLANK(H$3),SUMIF('OS Analysis'!$AE3:$AE1002,$B43,'OS Analysis'!$AT3:$AT1002),INDEX($J43:$U43,1,MATCH(H$3,$J$4:$U$4,0)))</f>
        <v>0</v>
      </c>
      <c r="I43">
        <f t="shared" si="25"/>
        <v>0</v>
      </c>
      <c r="J43">
        <f>((SUMIF('OS Analysis'!$B3:$B1002,B43,'OS Analysis'!$AC3:$AC1002))/12)*12</f>
        <v>114174</v>
      </c>
      <c r="K43">
        <f>((SUMIF('OS Analysis'!$B3:$B1002,B43,'OS Analysis'!$AB3:$AB1002))/11)*12</f>
        <v>114571.63636363637</v>
      </c>
      <c r="L43">
        <f>((SUMIF('OS Analysis'!$B3:$B1002,B43,'OS Analysis'!$AA3:$AA1002))/10)*12</f>
        <v>115201.20000000001</v>
      </c>
      <c r="M43">
        <f>((SUMIF('OS Analysis'!$B3:$B1002,B43,'OS Analysis'!$Z3:$Z1002))/9)*12</f>
        <v>104226.66666666666</v>
      </c>
      <c r="N43">
        <f>((SUMIF('OS Analysis'!$B3:$B1002,B43,'OS Analysis'!$Y3:$Y1002))/8)*12</f>
        <v>116680.5</v>
      </c>
      <c r="O43">
        <f>((SUMIF('OS Analysis'!$B3:$B1002,B43,'OS Analysis'!$X3:$X1002))/7)*12</f>
        <v>113477.14285714284</v>
      </c>
      <c r="P43">
        <f>((SUMIF('OS Analysis'!$B3:$B1002,B43,'OS Analysis'!$W3:$W1002))/6)*12</f>
        <v>106140</v>
      </c>
      <c r="Q43">
        <f>((SUMIF('OS Analysis'!$B3:$B1002,B43,'OS Analysis'!$V3:$V1002))/5)*12</f>
        <v>120554.40000000001</v>
      </c>
      <c r="R43">
        <f>((SUMIF('OS Analysis'!$B3:$B1002,B43,'OS Analysis'!$U3:$U1002))/4)*12</f>
        <v>124221</v>
      </c>
      <c r="S43">
        <f>((SUMIF('OS Analysis'!$B3:$B1002,B43,'OS Analysis'!$T3:$T1002))/3)*12</f>
        <v>132396</v>
      </c>
      <c r="T43">
        <f>((SUMIF('OS Analysis'!$B3:$B1002,B43,'OS Analysis'!$S3:$S1002))/2)*12</f>
        <v>131922</v>
      </c>
      <c r="U43">
        <f>(SUMIF('OS Analysis'!$B3:$B1002,B43,'OS Analysis'!$R3:$R1002))*12</f>
        <v>113544</v>
      </c>
      <c r="V43">
        <f>SUMIF('OS Analysis'!$B$3:$B$1002,$B43,'OS Analysis'!$Q$3:$Q$1002)</f>
        <v>114174</v>
      </c>
      <c r="W43">
        <f t="shared" si="5"/>
        <v>114174</v>
      </c>
      <c r="X43">
        <f t="shared" si="25"/>
        <v>1130</v>
      </c>
      <c r="Y43">
        <f>SUMIF('OS Analysis'!$CD3:$CD1002,$B43,'OS Analysis'!$CS3:$CS1002)</f>
        <v>0</v>
      </c>
      <c r="Z43">
        <f t="shared" si="25"/>
        <v>0</v>
      </c>
      <c r="AA43">
        <f>SUMIF('OS Analysis'!$CU3:$CU1002,$B43,'OS Analysis'!$CW3:$CW1002)</f>
        <v>0</v>
      </c>
      <c r="AB43">
        <f t="shared" si="25"/>
        <v>0</v>
      </c>
      <c r="AC43">
        <f>SUMIF('OS Analysis'!$CU3:$CU1002,$B43,'OS Analysis'!$CX3:$CX1002)</f>
        <v>0</v>
      </c>
      <c r="AD43">
        <f t="shared" si="25"/>
        <v>0</v>
      </c>
      <c r="AE43">
        <v>0</v>
      </c>
      <c r="AF43">
        <f t="shared" si="25"/>
        <v>0</v>
      </c>
      <c r="AG43">
        <v>0</v>
      </c>
      <c r="AH43">
        <f t="shared" si="25"/>
        <v>0</v>
      </c>
      <c r="AI43">
        <v>0</v>
      </c>
      <c r="AJ43">
        <f t="shared" si="25"/>
        <v>0</v>
      </c>
      <c r="AK43">
        <f t="shared" si="26"/>
        <v>117599.22</v>
      </c>
      <c r="AL43">
        <f t="shared" si="25"/>
        <v>1164</v>
      </c>
      <c r="AM43">
        <v>0</v>
      </c>
      <c r="AN43">
        <f t="shared" si="25"/>
        <v>0</v>
      </c>
      <c r="AQ43" t="str">
        <f t="shared" si="3"/>
        <v>Water &amp; Sewer</v>
      </c>
      <c r="AR43" t="str">
        <f t="shared" si="27"/>
        <v>T-12 + 3%</v>
      </c>
      <c r="AV43">
        <f t="shared" si="6"/>
        <v>0</v>
      </c>
      <c r="AW43">
        <f>ROUND(IF(AV43=0,0,(AV43)/V1),0)</f>
        <v>0</v>
      </c>
      <c r="AX43">
        <v>0</v>
      </c>
      <c r="AY43">
        <f>ROUND(IF(AX43=0,0,(AX43)/V1),0)</f>
        <v>0</v>
      </c>
    </row>
    <row r="44" ht="14.25" customHeight="1">
      <c r="A44">
        <f t="shared" si="18"/>
        <v>10</v>
      </c>
      <c r="B44" t="s">
        <v>1823</v>
      </c>
      <c r="D44">
        <f>IF(ISBLANK(D$3),SUMIF('OS Analysis'!$BM3:$BM1002,$B44,'OS Analysis'!$CB3:$CB1002),INDEX($J44:$U44,1,MATCH(D$3,$J$4:$U$4,0)))</f>
        <v>0</v>
      </c>
      <c r="E44">
        <f t="shared" si="25"/>
        <v>0</v>
      </c>
      <c r="F44">
        <f>IF(ISBLANK(F$3),SUMIF('OS Analysis'!$AV3:$AV1002,$B44,'OS Analysis'!$BK3:$BK1002),INDEX($J44:$U44,1,MATCH(F$3,$J$4:$U$4,0)))</f>
        <v>0</v>
      </c>
      <c r="G44">
        <f t="shared" si="25"/>
        <v>0</v>
      </c>
      <c r="H44">
        <f>IF(ISBLANK(H$3),SUMIF('OS Analysis'!$AE3:$AE1002,$B44,'OS Analysis'!$AT3:$AT1002),INDEX($J44:$U44,1,MATCH(H$3,$J$4:$U$4,0)))</f>
        <v>0</v>
      </c>
      <c r="I44">
        <f t="shared" si="25"/>
        <v>0</v>
      </c>
      <c r="J44">
        <f>((SUMIF('OS Analysis'!$B3:$B1002,B44,'OS Analysis'!$AC3:$AC1002))/12)*12</f>
        <v>6928</v>
      </c>
      <c r="K44">
        <f>((SUMIF('OS Analysis'!$B3:$B1002,B44,'OS Analysis'!$AB3:$AB1002))/11)*12</f>
        <v>7192.363636363636</v>
      </c>
      <c r="L44">
        <f>((SUMIF('OS Analysis'!$B3:$B1002,B44,'OS Analysis'!$AA3:$AA1002))/10)*12</f>
        <v>7484.400000000001</v>
      </c>
      <c r="M44">
        <f>((SUMIF('OS Analysis'!$B3:$B1002,B44,'OS Analysis'!$Z3:$Z1002))/9)*12</f>
        <v>7669.333333333333</v>
      </c>
      <c r="N44">
        <f>((SUMIF('OS Analysis'!$B3:$B1002,B44,'OS Analysis'!$Y3:$Y1002))/8)*12</f>
        <v>8628</v>
      </c>
      <c r="O44">
        <f>((SUMIF('OS Analysis'!$B3:$B1002,B44,'OS Analysis'!$X3:$X1002))/7)*12</f>
        <v>9248.571428571428</v>
      </c>
      <c r="P44">
        <f>((SUMIF('OS Analysis'!$B3:$B1002,B44,'OS Analysis'!$W3:$W1002))/6)*12</f>
        <v>7816</v>
      </c>
      <c r="Q44">
        <f>((SUMIF('OS Analysis'!$B3:$B1002,B44,'OS Analysis'!$V3:$V1002))/5)*12</f>
        <v>8865.599999999999</v>
      </c>
      <c r="R44">
        <f>((SUMIF('OS Analysis'!$B3:$B1002,B44,'OS Analysis'!$U3:$U1002))/4)*12</f>
        <v>10014</v>
      </c>
      <c r="S44">
        <f>((SUMIF('OS Analysis'!$B3:$B1002,B44,'OS Analysis'!$T3:$T1002))/3)*12</f>
        <v>11944</v>
      </c>
      <c r="T44">
        <f>((SUMIF('OS Analysis'!$B3:$B1002,B44,'OS Analysis'!$S3:$S1002))/2)*12</f>
        <v>16830</v>
      </c>
      <c r="U44">
        <f>(SUMIF('OS Analysis'!$B3:$B1002,B44,'OS Analysis'!$R3:$R1002))*12</f>
        <v>28680</v>
      </c>
      <c r="V44">
        <f>SUMIF('OS Analysis'!$B$3:$B$1002,$B44,'OS Analysis'!$Q$3:$Q$1002)</f>
        <v>6928</v>
      </c>
      <c r="W44">
        <f t="shared" si="5"/>
        <v>6928</v>
      </c>
      <c r="X44">
        <f t="shared" si="25"/>
        <v>69</v>
      </c>
      <c r="Y44">
        <f>SUMIF('OS Analysis'!$CD3:$CD1002,$B44,'OS Analysis'!$CS3:$CS1002)</f>
        <v>0</v>
      </c>
      <c r="Z44">
        <f t="shared" si="25"/>
        <v>0</v>
      </c>
      <c r="AA44">
        <f>SUMIF('OS Analysis'!$CU3:$CU1002,$B44,'OS Analysis'!$CW3:$CW1002)</f>
        <v>0</v>
      </c>
      <c r="AB44">
        <f t="shared" si="25"/>
        <v>0</v>
      </c>
      <c r="AC44">
        <f>SUMIF('OS Analysis'!$CU3:$CU1002,$B44,'OS Analysis'!$CX3:$CX1002)</f>
        <v>0</v>
      </c>
      <c r="AD44">
        <f t="shared" si="25"/>
        <v>0</v>
      </c>
      <c r="AE44">
        <v>0</v>
      </c>
      <c r="AF44">
        <f t="shared" si="25"/>
        <v>0</v>
      </c>
      <c r="AG44">
        <v>0</v>
      </c>
      <c r="AH44">
        <f t="shared" si="25"/>
        <v>0</v>
      </c>
      <c r="AI44">
        <v>0</v>
      </c>
      <c r="AJ44">
        <f t="shared" si="25"/>
        <v>0</v>
      </c>
      <c r="AK44">
        <f t="shared" si="26"/>
        <v>7135.84</v>
      </c>
      <c r="AL44">
        <f t="shared" si="25"/>
        <v>71</v>
      </c>
      <c r="AM44">
        <v>0</v>
      </c>
      <c r="AN44">
        <f t="shared" si="25"/>
        <v>0</v>
      </c>
      <c r="AQ44" t="str">
        <f t="shared" si="3"/>
        <v>Pest Control</v>
      </c>
      <c r="AR44" t="str">
        <f t="shared" si="27"/>
        <v>T-12 + 3%</v>
      </c>
      <c r="AV44">
        <f t="shared" si="6"/>
        <v>0</v>
      </c>
      <c r="AW44">
        <f>ROUND(IF(AV44=0,0,(AV44)/V1),0)</f>
        <v>0</v>
      </c>
      <c r="AX44">
        <v>0</v>
      </c>
      <c r="AY44">
        <f>ROUND(IF(AX44=0,0,(AX44)/V1),0)</f>
        <v>0</v>
      </c>
    </row>
    <row r="45" ht="14.25" customHeight="1">
      <c r="A45">
        <f t="shared" si="18"/>
        <v>11</v>
      </c>
      <c r="B45" t="s">
        <v>1824</v>
      </c>
      <c r="D45">
        <f>IF(ISBLANK(D$3),SUMIF('OS Analysis'!$BM3:$BM1002,$B45,'OS Analysis'!$CB3:$CB1002),INDEX($J45:$U45,1,MATCH(D$3,$J$4:$U$4,0)))</f>
        <v>0</v>
      </c>
      <c r="E45">
        <f t="shared" si="25"/>
        <v>0</v>
      </c>
      <c r="F45">
        <f>IF(ISBLANK(F$3),SUMIF('OS Analysis'!$AV3:$AV1002,$B45,'OS Analysis'!$BK3:$BK1002),INDEX($J45:$U45,1,MATCH(F$3,$J$4:$U$4,0)))</f>
        <v>0</v>
      </c>
      <c r="G45">
        <f t="shared" si="25"/>
        <v>0</v>
      </c>
      <c r="H45">
        <f>IF(ISBLANK(H$3),SUMIF('OS Analysis'!$AE3:$AE1002,$B45,'OS Analysis'!$AT3:$AT1002),INDEX($J45:$U45,1,MATCH(H$3,$J$4:$U$4,0)))</f>
        <v>0</v>
      </c>
      <c r="I45">
        <f t="shared" si="25"/>
        <v>0</v>
      </c>
      <c r="J45">
        <f>((SUMIF('OS Analysis'!$B3:$B1002,B45,'OS Analysis'!$AC3:$AC1002))/12)*12</f>
        <v>188637</v>
      </c>
      <c r="K45">
        <f>((SUMIF('OS Analysis'!$B3:$B1002,B45,'OS Analysis'!$AB3:$AB1002))/11)*12</f>
        <v>191190.54545454544</v>
      </c>
      <c r="L45">
        <f>((SUMIF('OS Analysis'!$B3:$B1002,B45,'OS Analysis'!$AA3:$AA1002))/10)*12</f>
        <v>186744</v>
      </c>
      <c r="M45">
        <f>((SUMIF('OS Analysis'!$B3:$B1002,B45,'OS Analysis'!$Z3:$Z1002))/9)*12</f>
        <v>172269.3333333333</v>
      </c>
      <c r="N45">
        <f>((SUMIF('OS Analysis'!$B3:$B1002,B45,'OS Analysis'!$Y3:$Y1002))/8)*12</f>
        <v>184059</v>
      </c>
      <c r="O45">
        <f>((SUMIF('OS Analysis'!$B3:$B1002,B45,'OS Analysis'!$X3:$X1002))/7)*12</f>
        <v>182132.57142857142</v>
      </c>
      <c r="P45">
        <f>((SUMIF('OS Analysis'!$B3:$B1002,B45,'OS Analysis'!$W3:$W1002))/6)*12</f>
        <v>173038</v>
      </c>
      <c r="Q45">
        <f>((SUMIF('OS Analysis'!$B3:$B1002,B45,'OS Analysis'!$V3:$V1002))/5)*12</f>
        <v>197203.19999999998</v>
      </c>
      <c r="R45">
        <f>((SUMIF('OS Analysis'!$B3:$B1002,B45,'OS Analysis'!$U3:$U1002))/4)*12</f>
        <v>214167</v>
      </c>
      <c r="S45">
        <f>((SUMIF('OS Analysis'!$B3:$B1002,B45,'OS Analysis'!$T3:$T1002))/3)*12</f>
        <v>212052</v>
      </c>
      <c r="T45">
        <f>((SUMIF('OS Analysis'!$B3:$B1002,B45,'OS Analysis'!$S3:$S1002))/2)*12</f>
        <v>225750</v>
      </c>
      <c r="U45">
        <f>(SUMIF('OS Analysis'!$B3:$B1002,B45,'OS Analysis'!$R3:$R1002))*12</f>
        <v>239088</v>
      </c>
      <c r="V45">
        <f>SUMIF('OS Analysis'!$B$3:$B$1002,$B45,'OS Analysis'!$Q$3:$Q$1002)</f>
        <v>188637</v>
      </c>
      <c r="W45">
        <f t="shared" si="5"/>
        <v>188637</v>
      </c>
      <c r="X45">
        <f t="shared" si="25"/>
        <v>1868</v>
      </c>
      <c r="Y45">
        <f>SUMIF('OS Analysis'!$CD3:$CD1002,$B45,'OS Analysis'!$CS3:$CS1002)</f>
        <v>0</v>
      </c>
      <c r="Z45">
        <f t="shared" si="25"/>
        <v>0</v>
      </c>
      <c r="AA45">
        <f>SUMIF('OS Analysis'!$CU3:$CU1002,$B45,'OS Analysis'!$CW3:$CW1002)</f>
        <v>0</v>
      </c>
      <c r="AB45">
        <f t="shared" si="25"/>
        <v>0</v>
      </c>
      <c r="AC45">
        <f>SUMIF('OS Analysis'!$CU3:$CU1002,$B45,'OS Analysis'!$CX3:$CX1002)</f>
        <v>0</v>
      </c>
      <c r="AD45">
        <f t="shared" si="25"/>
        <v>0</v>
      </c>
      <c r="AE45">
        <v>0</v>
      </c>
      <c r="AF45">
        <f t="shared" si="25"/>
        <v>0</v>
      </c>
      <c r="AG45">
        <v>0</v>
      </c>
      <c r="AH45">
        <f t="shared" si="25"/>
        <v>0</v>
      </c>
      <c r="AI45">
        <v>0</v>
      </c>
      <c r="AJ45">
        <f t="shared" si="25"/>
        <v>0</v>
      </c>
      <c r="AK45">
        <f t="shared" si="26"/>
        <v>194296.11</v>
      </c>
      <c r="AL45">
        <f t="shared" si="25"/>
        <v>1924</v>
      </c>
      <c r="AM45">
        <v>0</v>
      </c>
      <c r="AN45">
        <f t="shared" si="25"/>
        <v>0</v>
      </c>
      <c r="AQ45" t="str">
        <f t="shared" si="3"/>
        <v>Bldg. Maint. &amp; Repair</v>
      </c>
      <c r="AR45" t="str">
        <f t="shared" si="27"/>
        <v>T-12 + 3%</v>
      </c>
      <c r="AV45">
        <f t="shared" si="6"/>
        <v>0</v>
      </c>
      <c r="AW45">
        <f>ROUND(IF(AV45=0,0,(AV45)/V1),0)</f>
        <v>0</v>
      </c>
      <c r="AX45">
        <v>0</v>
      </c>
      <c r="AY45">
        <f>ROUND(IF(AX45=0,0,(AX45)/V1),0)</f>
        <v>0</v>
      </c>
    </row>
    <row r="46" ht="14.25" customHeight="1">
      <c r="A46">
        <f t="shared" si="18"/>
        <v>12</v>
      </c>
      <c r="B46" t="s">
        <v>1916</v>
      </c>
      <c r="D46">
        <f>IF(ISBLANK(D$3),SUMIF('OS Analysis'!$BM3:$BM1002,$B46,'OS Analysis'!$CB3:$CB1002),INDEX($J46:$U46,1,MATCH(D$3,$J$4:$U$4,0)))</f>
        <v>0</v>
      </c>
      <c r="E46">
        <f t="shared" si="25"/>
        <v>0</v>
      </c>
      <c r="F46">
        <f>IF(ISBLANK(F$3),SUMIF('OS Analysis'!$AV3:$AV1002,$B46,'OS Analysis'!$BK3:$BK1002),INDEX($J46:$U46,1,MATCH(F$3,$J$4:$U$4,0)))</f>
        <v>0</v>
      </c>
      <c r="G46">
        <f t="shared" si="25"/>
        <v>0</v>
      </c>
      <c r="H46">
        <f>IF(ISBLANK(H$3),SUMIF('OS Analysis'!$AE3:$AE1002,$B46,'OS Analysis'!$AT3:$AT1002),INDEX($J46:$U46,1,MATCH(H$3,$J$4:$U$4,0)))</f>
        <v>0</v>
      </c>
      <c r="I46">
        <f t="shared" si="25"/>
        <v>0</v>
      </c>
      <c r="J46">
        <f>((SUMIF('OS Analysis'!$B3:$B1002,B46,'OS Analysis'!$AC3:$AC1002))/12)*12</f>
        <v>115069</v>
      </c>
      <c r="K46">
        <f>((SUMIF('OS Analysis'!$B3:$B1002,B46,'OS Analysis'!$AB3:$AB1002))/11)*12</f>
        <v>119580</v>
      </c>
      <c r="L46">
        <f>((SUMIF('OS Analysis'!$B3:$B1002,B46,'OS Analysis'!$AA3:$AA1002))/10)*12</f>
        <v>115909.20000000001</v>
      </c>
      <c r="M46">
        <f>((SUMIF('OS Analysis'!$B3:$B1002,B46,'OS Analysis'!$Z3:$Z1002))/9)*12</f>
        <v>110972</v>
      </c>
      <c r="N46">
        <f>((SUMIF('OS Analysis'!$B3:$B1002,B46,'OS Analysis'!$Y3:$Y1002))/8)*12</f>
        <v>113685</v>
      </c>
      <c r="O46">
        <f>((SUMIF('OS Analysis'!$B3:$B1002,B46,'OS Analysis'!$X3:$X1002))/7)*12</f>
        <v>107557.71428571429</v>
      </c>
      <c r="P46">
        <f>((SUMIF('OS Analysis'!$B3:$B1002,B46,'OS Analysis'!$W3:$W1002))/6)*12</f>
        <v>120618</v>
      </c>
      <c r="Q46">
        <f>((SUMIF('OS Analysis'!$B3:$B1002,B46,'OS Analysis'!$V3:$V1002))/5)*12</f>
        <v>120722.40000000001</v>
      </c>
      <c r="R46">
        <f>((SUMIF('OS Analysis'!$B3:$B1002,B46,'OS Analysis'!$U3:$U1002))/4)*12</f>
        <v>136506</v>
      </c>
      <c r="S46">
        <f>((SUMIF('OS Analysis'!$B3:$B1002,B46,'OS Analysis'!$T3:$T1002))/3)*12</f>
        <v>130696</v>
      </c>
      <c r="T46">
        <f>((SUMIF('OS Analysis'!$B3:$B1002,B46,'OS Analysis'!$S3:$S1002))/2)*12</f>
        <v>130956</v>
      </c>
      <c r="U46">
        <f>(SUMIF('OS Analysis'!$B3:$B1002,B46,'OS Analysis'!$R3:$R1002))*12</f>
        <v>153708</v>
      </c>
      <c r="V46">
        <f>SUMIF('OS Analysis'!$B$3:$B$1002,$B46,'OS Analysis'!$Q$3:$Q$1002)</f>
        <v>115069</v>
      </c>
      <c r="W46">
        <f t="shared" si="5"/>
        <v>115069</v>
      </c>
      <c r="X46">
        <f t="shared" si="25"/>
        <v>1139</v>
      </c>
      <c r="Y46">
        <f>SUMIF('OS Analysis'!$CD3:$CD1002,$B46,'OS Analysis'!$CS3:$CS1002)</f>
        <v>0</v>
      </c>
      <c r="Z46">
        <f t="shared" si="25"/>
        <v>0</v>
      </c>
      <c r="AA46">
        <f>SUMIF('OS Analysis'!$CU3:$CU1002,$B46,'OS Analysis'!$CW3:$CW1002)</f>
        <v>0</v>
      </c>
      <c r="AB46">
        <f t="shared" si="25"/>
        <v>0</v>
      </c>
      <c r="AC46">
        <f>SUMIF('OS Analysis'!$CU3:$CU1002,$B46,'OS Analysis'!$CX3:$CX1002)</f>
        <v>0</v>
      </c>
      <c r="AD46">
        <f t="shared" si="25"/>
        <v>0</v>
      </c>
      <c r="AE46">
        <v>0</v>
      </c>
      <c r="AF46">
        <f t="shared" si="25"/>
        <v>0</v>
      </c>
      <c r="AG46">
        <v>0</v>
      </c>
      <c r="AH46">
        <f t="shared" si="25"/>
        <v>0</v>
      </c>
      <c r="AI46">
        <v>0</v>
      </c>
      <c r="AJ46">
        <f t="shared" si="25"/>
        <v>0</v>
      </c>
      <c r="AK46">
        <f t="shared" si="26"/>
        <v>118521.07</v>
      </c>
      <c r="AL46">
        <f t="shared" si="25"/>
        <v>1173</v>
      </c>
      <c r="AM46">
        <v>0</v>
      </c>
      <c r="AN46">
        <f t="shared" si="25"/>
        <v>0</v>
      </c>
      <c r="AQ46" t="str">
        <f t="shared" si="3"/>
        <v>Paint/Decorating/Turnover</v>
      </c>
      <c r="AR46" t="str">
        <f t="shared" si="27"/>
        <v>T-12 + 3%</v>
      </c>
      <c r="AV46">
        <f t="shared" si="6"/>
        <v>0</v>
      </c>
      <c r="AW46">
        <f>ROUND(IF(AV46=0,0,(AV46)/V1),0)</f>
        <v>0</v>
      </c>
      <c r="AX46">
        <v>0</v>
      </c>
      <c r="AY46">
        <f>ROUND(IF(AX46=0,0,(AX46)/V1),0)</f>
        <v>0</v>
      </c>
    </row>
    <row r="47" ht="14.25" customHeight="1">
      <c r="A47">
        <f t="shared" si="18"/>
        <v>13</v>
      </c>
      <c r="B47" t="s">
        <v>1827</v>
      </c>
      <c r="D47">
        <f>IF(ISBLANK(D$3),SUMIF('OS Analysis'!$BM3:$BM1002,$B47,'OS Analysis'!$CB3:$CB1002),INDEX($J47:$U47,1,MATCH(D$3,$J$4:$U$4,0)))</f>
        <v>0</v>
      </c>
      <c r="E47">
        <f t="shared" si="25"/>
        <v>0</v>
      </c>
      <c r="F47">
        <f>IF(ISBLANK(F$3),SUMIF('OS Analysis'!$AV3:$AV1002,$B47,'OS Analysis'!$BK3:$BK1002),INDEX($J47:$U47,1,MATCH(F$3,$J$4:$U$4,0)))</f>
        <v>0</v>
      </c>
      <c r="G47">
        <f t="shared" si="25"/>
        <v>0</v>
      </c>
      <c r="H47">
        <f>IF(ISBLANK(H$3),SUMIF('OS Analysis'!$AE3:$AE1002,$B47,'OS Analysis'!$AT3:$AT1002),INDEX($J47:$U47,1,MATCH(H$3,$J$4:$U$4,0)))</f>
        <v>0</v>
      </c>
      <c r="I47">
        <f t="shared" si="25"/>
        <v>0</v>
      </c>
      <c r="J47">
        <f>((SUMIF('OS Analysis'!$B3:$B1002,B47,'OS Analysis'!$AC3:$AC1002))/12)*12</f>
        <v>0</v>
      </c>
      <c r="K47">
        <f>((SUMIF('OS Analysis'!$B3:$B1002,B47,'OS Analysis'!$AB3:$AB1002))/11)*12</f>
        <v>0</v>
      </c>
      <c r="L47">
        <f>((SUMIF('OS Analysis'!$B3:$B1002,B47,'OS Analysis'!$AA3:$AA1002))/10)*12</f>
        <v>0</v>
      </c>
      <c r="M47">
        <f>((SUMIF('OS Analysis'!$B3:$B1002,B47,'OS Analysis'!$Z3:$Z1002))/9)*12</f>
        <v>0</v>
      </c>
      <c r="N47">
        <f>((SUMIF('OS Analysis'!$B3:$B1002,B47,'OS Analysis'!$Y3:$Y1002))/8)*12</f>
        <v>0</v>
      </c>
      <c r="O47">
        <f>((SUMIF('OS Analysis'!$B3:$B1002,B47,'OS Analysis'!$X3:$X1002))/7)*12</f>
        <v>0</v>
      </c>
      <c r="P47">
        <f>((SUMIF('OS Analysis'!$B3:$B1002,B47,'OS Analysis'!$W3:$W1002))/6)*12</f>
        <v>0</v>
      </c>
      <c r="Q47">
        <f>((SUMIF('OS Analysis'!$B3:$B1002,B47,'OS Analysis'!$V3:$V1002))/5)*12</f>
        <v>0</v>
      </c>
      <c r="R47">
        <f>((SUMIF('OS Analysis'!$B3:$B1002,B47,'OS Analysis'!$U3:$U1002))/4)*12</f>
        <v>0</v>
      </c>
      <c r="S47">
        <f>((SUMIF('OS Analysis'!$B3:$B1002,B47,'OS Analysis'!$T3:$T1002))/3)*12</f>
        <v>0</v>
      </c>
      <c r="T47">
        <f>((SUMIF('OS Analysis'!$B3:$B1002,B47,'OS Analysis'!$S3:$S1002))/2)*12</f>
        <v>0</v>
      </c>
      <c r="U47">
        <f>(SUMIF('OS Analysis'!$B3:$B1002,B47,'OS Analysis'!$R3:$R1002))*12</f>
        <v>0</v>
      </c>
      <c r="V47">
        <f>SUMIF('OS Analysis'!$B$3:$B$1002,$B47,'OS Analysis'!$Q$3:$Q$1002)</f>
        <v>0</v>
      </c>
      <c r="W47">
        <f t="shared" si="5"/>
        <v>0</v>
      </c>
      <c r="X47">
        <f t="shared" si="25"/>
        <v>0</v>
      </c>
      <c r="Y47">
        <f>SUMIF('OS Analysis'!$CD3:$CD1002,$B47,'OS Analysis'!$CS3:$CS1002)</f>
        <v>0</v>
      </c>
      <c r="Z47">
        <f t="shared" si="25"/>
        <v>0</v>
      </c>
      <c r="AA47">
        <f>SUMIF('OS Analysis'!$CU3:$CU1002,$B47,'OS Analysis'!$CW3:$CW1002)</f>
        <v>0</v>
      </c>
      <c r="AB47">
        <f t="shared" si="25"/>
        <v>0</v>
      </c>
      <c r="AC47">
        <f>SUMIF('OS Analysis'!$CU3:$CU1002,$B47,'OS Analysis'!$CX3:$CX1002)</f>
        <v>0</v>
      </c>
      <c r="AD47">
        <f t="shared" si="25"/>
        <v>0</v>
      </c>
      <c r="AE47">
        <v>0</v>
      </c>
      <c r="AF47">
        <f t="shared" si="25"/>
        <v>0</v>
      </c>
      <c r="AG47">
        <v>0</v>
      </c>
      <c r="AH47">
        <f t="shared" si="25"/>
        <v>0</v>
      </c>
      <c r="AI47">
        <v>0</v>
      </c>
      <c r="AJ47">
        <f t="shared" si="25"/>
        <v>0</v>
      </c>
      <c r="AK47">
        <f t="shared" si="26"/>
        <v>0</v>
      </c>
      <c r="AL47">
        <f t="shared" si="25"/>
        <v>0</v>
      </c>
      <c r="AM47">
        <v>0</v>
      </c>
      <c r="AN47">
        <f t="shared" si="25"/>
        <v>0</v>
      </c>
      <c r="AQ47" t="str">
        <f t="shared" si="3"/>
        <v>Elevator Maintenance</v>
      </c>
      <c r="AR47">
        <f t="shared" si="27"/>
      </c>
      <c r="AV47">
        <f t="shared" si="6"/>
        <v>0</v>
      </c>
      <c r="AW47">
        <f>ROUND(IF(AV47=0,0,(AV47)/V1),0)</f>
        <v>0</v>
      </c>
      <c r="AX47">
        <v>0</v>
      </c>
      <c r="AY47">
        <f>ROUND(IF(AX47=0,0,(AX47)/V1),0)</f>
        <v>0</v>
      </c>
    </row>
    <row r="48" ht="14.25" customHeight="1">
      <c r="A48">
        <f t="shared" si="18"/>
        <v>14</v>
      </c>
      <c r="B48" t="s">
        <v>1917</v>
      </c>
      <c r="D48">
        <f>IF(ISBLANK(D$3),SUMIF('OS Analysis'!$BM3:$BM1002,$B48,'OS Analysis'!$CB3:$CB1002),INDEX($J48:$U48,1,MATCH(D$3,$J$4:$U$4,0)))</f>
        <v>0</v>
      </c>
      <c r="E48">
        <f t="shared" si="25"/>
        <v>0</v>
      </c>
      <c r="F48">
        <f>IF(ISBLANK(F$3),SUMIF('OS Analysis'!$AV3:$AV1002,$B48,'OS Analysis'!$BK3:$BK1002),INDEX($J48:$U48,1,MATCH(F$3,$J$4:$U$4,0)))</f>
        <v>0</v>
      </c>
      <c r="G48">
        <f t="shared" si="25"/>
        <v>0</v>
      </c>
      <c r="H48">
        <f>IF(ISBLANK(H$3),SUMIF('OS Analysis'!$AE3:$AE1002,$B48,'OS Analysis'!$AT3:$AT1002),INDEX($J48:$U48,1,MATCH(H$3,$J$4:$U$4,0)))</f>
        <v>0</v>
      </c>
      <c r="I48">
        <f t="shared" si="25"/>
        <v>0</v>
      </c>
      <c r="J48">
        <f>((SUMIF('OS Analysis'!$B3:$B1002,B48,'OS Analysis'!$AC3:$AC1002))/12)*12</f>
        <v>10154</v>
      </c>
      <c r="K48">
        <f>((SUMIF('OS Analysis'!$B3:$B1002,B48,'OS Analysis'!$AB3:$AB1002))/11)*12</f>
        <v>10885.09090909091</v>
      </c>
      <c r="L48">
        <f>((SUMIF('OS Analysis'!$B3:$B1002,B48,'OS Analysis'!$AA3:$AA1002))/10)*12</f>
        <v>11973.599999999999</v>
      </c>
      <c r="M48">
        <f>((SUMIF('OS Analysis'!$B3:$B1002,B48,'OS Analysis'!$Z3:$Z1002))/9)*12</f>
        <v>13304</v>
      </c>
      <c r="N48">
        <f>((SUMIF('OS Analysis'!$B3:$B1002,B48,'OS Analysis'!$Y3:$Y1002))/8)*12</f>
        <v>14967</v>
      </c>
      <c r="O48">
        <f>((SUMIF('OS Analysis'!$B3:$B1002,B48,'OS Analysis'!$X3:$X1002))/7)*12</f>
        <v>17105.142857142855</v>
      </c>
      <c r="P48">
        <f>((SUMIF('OS Analysis'!$B3:$B1002,B48,'OS Analysis'!$W3:$W1002))/6)*12</f>
        <v>12944</v>
      </c>
      <c r="Q48">
        <f>((SUMIF('OS Analysis'!$B3:$B1002,B48,'OS Analysis'!$V3:$V1002))/5)*12</f>
        <v>10819.2</v>
      </c>
      <c r="R48">
        <f>((SUMIF('OS Analysis'!$B3:$B1002,B48,'OS Analysis'!$U3:$U1002))/4)*12</f>
        <v>4662</v>
      </c>
      <c r="S48">
        <f>((SUMIF('OS Analysis'!$B3:$B1002,B48,'OS Analysis'!$T3:$T1002))/3)*12</f>
        <v>4808</v>
      </c>
      <c r="T48">
        <f>((SUMIF('OS Analysis'!$B3:$B1002,B48,'OS Analysis'!$S3:$S1002))/2)*12</f>
        <v>6354</v>
      </c>
      <c r="U48">
        <f>(SUMIF('OS Analysis'!$B3:$B1002,B48,'OS Analysis'!$R3:$R1002))*12</f>
        <v>12360</v>
      </c>
      <c r="V48">
        <f>SUMIF('OS Analysis'!$B$3:$B$1002,$B48,'OS Analysis'!$Q$3:$Q$1002)</f>
        <v>10154</v>
      </c>
      <c r="W48">
        <f t="shared" si="5"/>
        <v>10154</v>
      </c>
      <c r="X48">
        <f t="shared" si="25"/>
        <v>101</v>
      </c>
      <c r="Y48">
        <f>SUMIF('OS Analysis'!$CD3:$CD1002,$B48,'OS Analysis'!$CS3:$CS1002)</f>
        <v>0</v>
      </c>
      <c r="Z48">
        <f t="shared" si="25"/>
        <v>0</v>
      </c>
      <c r="AA48">
        <f>SUMIF('OS Analysis'!$CU3:$CU1002,$B48,'OS Analysis'!$CW3:$CW1002)</f>
        <v>0</v>
      </c>
      <c r="AB48">
        <f t="shared" si="25"/>
        <v>0</v>
      </c>
      <c r="AC48">
        <f>SUMIF('OS Analysis'!$CU3:$CU1002,$B48,'OS Analysis'!$CX3:$CX1002)</f>
        <v>0</v>
      </c>
      <c r="AD48">
        <f t="shared" si="25"/>
        <v>0</v>
      </c>
      <c r="AE48">
        <v>0</v>
      </c>
      <c r="AF48">
        <f t="shared" si="25"/>
        <v>0</v>
      </c>
      <c r="AG48">
        <v>0</v>
      </c>
      <c r="AH48">
        <f t="shared" si="25"/>
        <v>0</v>
      </c>
      <c r="AI48">
        <v>0</v>
      </c>
      <c r="AJ48">
        <f t="shared" si="25"/>
        <v>0</v>
      </c>
      <c r="AK48">
        <f t="shared" si="26"/>
        <v>10458.62</v>
      </c>
      <c r="AL48">
        <f t="shared" si="25"/>
        <v>104</v>
      </c>
      <c r="AM48">
        <v>0</v>
      </c>
      <c r="AN48">
        <f t="shared" si="25"/>
        <v>0</v>
      </c>
      <c r="AQ48" t="str">
        <f t="shared" si="3"/>
        <v>Pool Maintenance</v>
      </c>
      <c r="AR48" t="str">
        <f t="shared" si="27"/>
        <v>T-12 + 3%</v>
      </c>
      <c r="AV48">
        <f t="shared" si="6"/>
        <v>0</v>
      </c>
      <c r="AW48">
        <f>ROUND(IF(AV48=0,0,(AV48)/V1),0)</f>
        <v>0</v>
      </c>
      <c r="AX48">
        <v>0</v>
      </c>
      <c r="AY48">
        <f>ROUND(IF(AX48=0,0,(AX48)/V1),0)</f>
        <v>0</v>
      </c>
    </row>
    <row r="49" ht="14.25" customHeight="1">
      <c r="A49">
        <f t="shared" si="18"/>
        <v>15</v>
      </c>
      <c r="B49" t="s">
        <v>1918</v>
      </c>
      <c r="D49">
        <f>IF(ISBLANK(D$3),SUMIF('OS Analysis'!$BM3:$BM1002,$B49,'OS Analysis'!$CB3:$CB1002),INDEX($J49:$U49,1,MATCH(D$3,$J$4:$U$4,0)))</f>
        <v>0</v>
      </c>
      <c r="E49">
        <f t="shared" si="25"/>
        <v>0</v>
      </c>
      <c r="F49">
        <f>IF(ISBLANK(F$3),SUMIF('OS Analysis'!$AV3:$AV1002,$B49,'OS Analysis'!$BK3:$BK1002),INDEX($J49:$U49,1,MATCH(F$3,$J$4:$U$4,0)))</f>
        <v>0</v>
      </c>
      <c r="G49">
        <f t="shared" si="25"/>
        <v>0</v>
      </c>
      <c r="H49">
        <f>IF(ISBLANK(H$3),SUMIF('OS Analysis'!$AE3:$AE1002,$B49,'OS Analysis'!$AT3:$AT1002),INDEX($J49:$U49,1,MATCH(H$3,$J$4:$U$4,0)))</f>
        <v>0</v>
      </c>
      <c r="I49">
        <f t="shared" si="25"/>
        <v>0</v>
      </c>
      <c r="J49">
        <f>((SUMIF('OS Analysis'!$B3:$B1002,B49,'OS Analysis'!$AC3:$AC1002))/12)*12</f>
        <v>26934</v>
      </c>
      <c r="K49">
        <f>((SUMIF('OS Analysis'!$B3:$B1002,B49,'OS Analysis'!$AB3:$AB1002))/11)*12</f>
        <v>28174.909090909092</v>
      </c>
      <c r="L49">
        <f>((SUMIF('OS Analysis'!$B3:$B1002,B49,'OS Analysis'!$AA3:$AA1002))/10)*12</f>
        <v>29397.600000000002</v>
      </c>
      <c r="M49">
        <f>((SUMIF('OS Analysis'!$B3:$B1002,B49,'OS Analysis'!$Z3:$Z1002))/9)*12</f>
        <v>32480</v>
      </c>
      <c r="N49">
        <f>((SUMIF('OS Analysis'!$B3:$B1002,B49,'OS Analysis'!$Y3:$Y1002))/8)*12</f>
        <v>27471</v>
      </c>
      <c r="O49">
        <f>((SUMIF('OS Analysis'!$B3:$B1002,B49,'OS Analysis'!$X3:$X1002))/7)*12</f>
        <v>28172.571428571428</v>
      </c>
      <c r="P49">
        <f>((SUMIF('OS Analysis'!$B3:$B1002,B49,'OS Analysis'!$W3:$W1002))/6)*12</f>
        <v>0</v>
      </c>
      <c r="Q49">
        <f>((SUMIF('OS Analysis'!$B3:$B1002,B49,'OS Analysis'!$V3:$V1002))/5)*12</f>
        <v>0</v>
      </c>
      <c r="R49">
        <f>((SUMIF('OS Analysis'!$B3:$B1002,B49,'OS Analysis'!$U3:$U1002))/4)*12</f>
        <v>0</v>
      </c>
      <c r="S49">
        <f>((SUMIF('OS Analysis'!$B3:$B1002,B49,'OS Analysis'!$T3:$T1002))/3)*12</f>
        <v>0</v>
      </c>
      <c r="T49">
        <f>((SUMIF('OS Analysis'!$B3:$B1002,B49,'OS Analysis'!$S3:$S1002))/2)*12</f>
        <v>0</v>
      </c>
      <c r="U49">
        <f>(SUMIF('OS Analysis'!$B3:$B1002,B49,'OS Analysis'!$R3:$R1002))*12</f>
        <v>0</v>
      </c>
      <c r="V49">
        <f>SUMIF('OS Analysis'!$B$3:$B$1002,$B49,'OS Analysis'!$Q$3:$Q$1002)</f>
        <v>26934</v>
      </c>
      <c r="W49">
        <f t="shared" si="5"/>
        <v>26934</v>
      </c>
      <c r="X49">
        <f t="shared" si="25"/>
        <v>267</v>
      </c>
      <c r="Y49">
        <f>SUMIF('OS Analysis'!$CD3:$CD1002,$B49,'OS Analysis'!$CS3:$CS1002)</f>
        <v>0</v>
      </c>
      <c r="Z49">
        <f t="shared" si="25"/>
        <v>0</v>
      </c>
      <c r="AA49">
        <f>SUMIF('OS Analysis'!$CU3:$CU1002,$B49,'OS Analysis'!$CW3:$CW1002)</f>
        <v>0</v>
      </c>
      <c r="AB49">
        <f t="shared" si="25"/>
        <v>0</v>
      </c>
      <c r="AC49">
        <f>SUMIF('OS Analysis'!$CU3:$CU1002,$B49,'OS Analysis'!$CX3:$CX1002)</f>
        <v>0</v>
      </c>
      <c r="AD49">
        <f t="shared" si="25"/>
        <v>0</v>
      </c>
      <c r="AE49">
        <v>0</v>
      </c>
      <c r="AF49">
        <f t="shared" si="25"/>
        <v>0</v>
      </c>
      <c r="AG49">
        <v>0</v>
      </c>
      <c r="AH49">
        <f t="shared" si="25"/>
        <v>0</v>
      </c>
      <c r="AI49">
        <v>0</v>
      </c>
      <c r="AJ49">
        <f t="shared" si="25"/>
        <v>0</v>
      </c>
      <c r="AK49">
        <f t="shared" si="26"/>
        <v>27742.02</v>
      </c>
      <c r="AL49">
        <f t="shared" si="25"/>
        <v>275</v>
      </c>
      <c r="AM49">
        <v>0</v>
      </c>
      <c r="AN49">
        <f t="shared" si="25"/>
        <v>0</v>
      </c>
      <c r="AQ49" t="str">
        <f t="shared" si="3"/>
        <v>Park'g Maint/Snow/Other</v>
      </c>
      <c r="AR49" t="str">
        <f t="shared" si="27"/>
        <v>T-12 + 3%</v>
      </c>
      <c r="AV49">
        <f t="shared" si="6"/>
        <v>0</v>
      </c>
      <c r="AW49">
        <f>ROUND(IF(AV49=0,0,(AV49)/V1),0)</f>
        <v>0</v>
      </c>
      <c r="AX49">
        <v>0</v>
      </c>
      <c r="AY49">
        <f>ROUND(IF(AX49=0,0,(AX49)/V1),0)</f>
        <v>0</v>
      </c>
    </row>
    <row r="50" ht="15" customHeight="1">
      <c r="A50">
        <f t="shared" si="18"/>
        <v>16</v>
      </c>
      <c r="B50" t="s">
        <v>1919</v>
      </c>
      <c r="D50">
        <f>IF(ISBLANK(D$3),SUMIF('OS Analysis'!$BM3:$BM1002,$B50,'OS Analysis'!$CB3:$CB1002),INDEX($J50:$U50,1,MATCH(D$3,$J$4:$U$4,0)))</f>
        <v>0</v>
      </c>
      <c r="E50">
        <f t="shared" si="25"/>
        <v>0</v>
      </c>
      <c r="F50">
        <f>IF(ISBLANK(F$3),SUMIF('OS Analysis'!$AV3:$AV1002,$B50,'OS Analysis'!$BK3:$BK1002),INDEX($J50:$U50,1,MATCH(F$3,$J$4:$U$4,0)))</f>
        <v>0</v>
      </c>
      <c r="G50">
        <f t="shared" si="25"/>
        <v>0</v>
      </c>
      <c r="H50">
        <f>IF(ISBLANK(H$3),SUMIF('OS Analysis'!$AE3:$AE1002,$B50,'OS Analysis'!$AT3:$AT1002),INDEX($J50:$U50,1,MATCH(H$3,$J$4:$U$4,0)))</f>
        <v>0</v>
      </c>
      <c r="I50">
        <f t="shared" si="25"/>
        <v>0</v>
      </c>
      <c r="J50">
        <f>((SUMIF('OS Analysis'!$B3:$B1002,B50,'OS Analysis'!$AC3:$AC1002))/12)*12</f>
        <v>36517</v>
      </c>
      <c r="K50">
        <f>((SUMIF('OS Analysis'!$B3:$B1002,B50,'OS Analysis'!$AB3:$AB1002))/11)*12</f>
        <v>36504</v>
      </c>
      <c r="L50">
        <f>((SUMIF('OS Analysis'!$B3:$B1002,B50,'OS Analysis'!$AA3:$AA1002))/10)*12</f>
        <v>36866.399999999994</v>
      </c>
      <c r="M50">
        <f>((SUMIF('OS Analysis'!$B3:$B1002,B50,'OS Analysis'!$Z3:$Z1002))/9)*12</f>
        <v>40105.333333333336</v>
      </c>
      <c r="N50">
        <f>((SUMIF('OS Analysis'!$B3:$B1002,B50,'OS Analysis'!$Y3:$Y1002))/8)*12</f>
        <v>45118.5</v>
      </c>
      <c r="O50">
        <f>((SUMIF('OS Analysis'!$B3:$B1002,B50,'OS Analysis'!$X3:$X1002))/7)*12</f>
        <v>51279.42857142858</v>
      </c>
      <c r="P50">
        <f>((SUMIF('OS Analysis'!$B3:$B1002,B50,'OS Analysis'!$W3:$W1002))/6)*12</f>
        <v>59488</v>
      </c>
      <c r="Q50">
        <f>((SUMIF('OS Analysis'!$B3:$B1002,B50,'OS Analysis'!$V3:$V1002))/5)*12</f>
        <v>64344</v>
      </c>
      <c r="R50">
        <f>((SUMIF('OS Analysis'!$B3:$B1002,B50,'OS Analysis'!$U3:$U1002))/4)*12</f>
        <v>37482</v>
      </c>
      <c r="S50">
        <f>((SUMIF('OS Analysis'!$B3:$B1002,B50,'OS Analysis'!$T3:$T1002))/3)*12</f>
        <v>49080</v>
      </c>
      <c r="T50">
        <f>((SUMIF('OS Analysis'!$B3:$B1002,B50,'OS Analysis'!$S3:$S1002))/2)*12</f>
        <v>44514</v>
      </c>
      <c r="U50">
        <f>(SUMIF('OS Analysis'!$B3:$B1002,B50,'OS Analysis'!$R3:$R1002))*12</f>
        <v>52296</v>
      </c>
      <c r="V50">
        <f>SUMIF('OS Analysis'!$B$3:$B$1002,$B50,'OS Analysis'!$Q$3:$Q$1002)</f>
        <v>36517</v>
      </c>
      <c r="W50">
        <f t="shared" si="5"/>
        <v>36517</v>
      </c>
      <c r="X50">
        <f t="shared" si="25"/>
        <v>362</v>
      </c>
      <c r="Y50">
        <f>SUMIF('OS Analysis'!$CD3:$CD1002,$B50,'OS Analysis'!$CS3:$CS1002)</f>
        <v>0</v>
      </c>
      <c r="Z50">
        <f t="shared" si="25"/>
        <v>0</v>
      </c>
      <c r="AA50">
        <f>SUMIF('OS Analysis'!$CU3:$CU1002,$B50,'OS Analysis'!$CW3:$CW1002)</f>
        <v>0</v>
      </c>
      <c r="AB50">
        <f t="shared" si="25"/>
        <v>0</v>
      </c>
      <c r="AC50">
        <f>SUMIF('OS Analysis'!$CU3:$CU1002,$B50,'OS Analysis'!$CX3:$CX1002)</f>
        <v>0</v>
      </c>
      <c r="AD50">
        <f t="shared" si="25"/>
        <v>0</v>
      </c>
      <c r="AE50">
        <v>0</v>
      </c>
      <c r="AF50">
        <f t="shared" si="25"/>
        <v>0</v>
      </c>
      <c r="AG50">
        <v>0</v>
      </c>
      <c r="AH50">
        <f t="shared" si="25"/>
        <v>0</v>
      </c>
      <c r="AI50">
        <v>0</v>
      </c>
      <c r="AJ50">
        <f t="shared" si="25"/>
        <v>0</v>
      </c>
      <c r="AK50">
        <f t="shared" si="26"/>
        <v>37612.51</v>
      </c>
      <c r="AL50">
        <f t="shared" si="25"/>
        <v>372</v>
      </c>
      <c r="AM50">
        <v>0</v>
      </c>
      <c r="AN50">
        <f t="shared" si="25"/>
        <v>0</v>
      </c>
      <c r="AQ50" t="str">
        <f t="shared" si="3"/>
        <v>Gardening/Landscape</v>
      </c>
      <c r="AR50" t="str">
        <f t="shared" si="27"/>
        <v>T-12 + 3%</v>
      </c>
      <c r="AV50">
        <f t="shared" si="6"/>
        <v>0</v>
      </c>
      <c r="AW50">
        <f>ROUND(IF(AV50=0,0,(AV50)/V1),0)</f>
        <v>0</v>
      </c>
      <c r="AX50">
        <v>0</v>
      </c>
      <c r="AY50">
        <f>ROUND(IF(AX50=0,0,(AX50)/V1),0)</f>
        <v>0</v>
      </c>
    </row>
    <row r="51" ht="15" customHeight="1">
      <c r="A51">
        <f t="shared" si="18"/>
        <v>17</v>
      </c>
      <c r="B51" t="s">
        <v>1920</v>
      </c>
      <c r="D51">
        <f>IF(ISBLANK(D$3),SUMIF('OS Analysis'!$BM3:$BM1002,$B51,'OS Analysis'!$CB3:$CB1002),INDEX($J51:$U51,1,MATCH(D$3,$J$4:$U$4,0)))</f>
        <v>0</v>
      </c>
      <c r="E51">
        <f t="shared" si="25"/>
        <v>0</v>
      </c>
      <c r="F51">
        <f>IF(ISBLANK(F$3),SUMIF('OS Analysis'!$AV3:$AV1002,$B51,'OS Analysis'!$BK3:$BK1002),INDEX($J51:$U51,1,MATCH(F$3,$J$4:$U$4,0)))</f>
        <v>0</v>
      </c>
      <c r="G51">
        <f t="shared" si="25"/>
        <v>0</v>
      </c>
      <c r="H51">
        <f>IF(ISBLANK(H$3),SUMIF('OS Analysis'!$AE3:$AE1002,$B51,'OS Analysis'!$AT3:$AT1002),INDEX($J51:$U51,1,MATCH(H$3,$J$4:$U$4,0)))</f>
        <v>0</v>
      </c>
      <c r="I51">
        <f t="shared" si="25"/>
        <v>0</v>
      </c>
      <c r="J51">
        <f>((SUMIF('OS Analysis'!$B3:$B1002,B51,'OS Analysis'!$AC3:$AC1002))/12)*12</f>
        <v>173577</v>
      </c>
      <c r="K51">
        <f>((SUMIF('OS Analysis'!$B3:$B1002,B51,'OS Analysis'!$AB3:$AB1002))/11)*12</f>
        <v>174280.36363636365</v>
      </c>
      <c r="L51">
        <f>((SUMIF('OS Analysis'!$B3:$B1002,B51,'OS Analysis'!$AA3:$AA1002))/10)*12</f>
        <v>175737.59999999998</v>
      </c>
      <c r="M51">
        <f>((SUMIF('OS Analysis'!$B3:$B1002,B51,'OS Analysis'!$Z3:$Z1002))/9)*12</f>
        <v>168997.33333333334</v>
      </c>
      <c r="N51">
        <f>((SUMIF('OS Analysis'!$B3:$B1002,B51,'OS Analysis'!$Y3:$Y1002))/8)*12</f>
        <v>168841.5</v>
      </c>
      <c r="O51">
        <f>((SUMIF('OS Analysis'!$B3:$B1002,B51,'OS Analysis'!$X3:$X1002))/7)*12</f>
        <v>168778.2857142857</v>
      </c>
      <c r="P51">
        <f>((SUMIF('OS Analysis'!$B3:$B1002,B51,'OS Analysis'!$W3:$W1002))/6)*12</f>
        <v>168824</v>
      </c>
      <c r="Q51">
        <f>((SUMIF('OS Analysis'!$B3:$B1002,B51,'OS Analysis'!$V3:$V1002))/5)*12</f>
        <v>168780</v>
      </c>
      <c r="R51">
        <f>((SUMIF('OS Analysis'!$B3:$B1002,B51,'OS Analysis'!$U3:$U1002))/4)*12</f>
        <v>167427</v>
      </c>
      <c r="S51">
        <f>((SUMIF('OS Analysis'!$B3:$B1002,B51,'OS Analysis'!$T3:$T1002))/3)*12</f>
        <v>168604</v>
      </c>
      <c r="T51">
        <f>((SUMIF('OS Analysis'!$B3:$B1002,B51,'OS Analysis'!$S3:$S1002))/2)*12</f>
        <v>171720</v>
      </c>
      <c r="U51">
        <f>(SUMIF('OS Analysis'!$B3:$B1002,B51,'OS Analysis'!$R3:$R1002))*12</f>
        <v>166656</v>
      </c>
      <c r="V51">
        <f>SUMIF('OS Analysis'!$B$3:$B$1002,$B51,'OS Analysis'!$Q$3:$Q$1002)</f>
        <v>173577</v>
      </c>
      <c r="W51">
        <f t="shared" si="5"/>
        <v>173577</v>
      </c>
      <c r="X51">
        <f t="shared" si="25"/>
        <v>1719</v>
      </c>
      <c r="Y51">
        <f>SUMIF('OS Analysis'!$CD3:$CD1002,$B51,'OS Analysis'!$CS3:$CS1002)</f>
        <v>0</v>
      </c>
      <c r="Z51">
        <f t="shared" si="25"/>
        <v>0</v>
      </c>
      <c r="AA51">
        <f>SUMIF('OS Analysis'!$CU3:$CU1002,$B51,'OS Analysis'!$CW3:$CW1002)</f>
        <v>0</v>
      </c>
      <c r="AB51">
        <f t="shared" si="25"/>
        <v>0</v>
      </c>
      <c r="AC51">
        <f>SUMIF('OS Analysis'!$CU3:$CU1002,$B51,'OS Analysis'!$CX3:$CX1002)</f>
        <v>0</v>
      </c>
      <c r="AD51">
        <f t="shared" si="25"/>
        <v>0</v>
      </c>
      <c r="AE51">
        <v>0</v>
      </c>
      <c r="AF51">
        <f t="shared" si="25"/>
        <v>0</v>
      </c>
      <c r="AG51">
        <v>0</v>
      </c>
      <c r="AH51">
        <f t="shared" si="25"/>
        <v>0</v>
      </c>
      <c r="AI51">
        <v>0</v>
      </c>
      <c r="AJ51">
        <f t="shared" si="25"/>
        <v>0</v>
      </c>
      <c r="AK51">
        <f>ROUND(AK30*AL51,2)</f>
        <v>38844.33</v>
      </c>
      <c r="AL51">
        <v>0.035</v>
      </c>
      <c r="AM51">
        <v>0</v>
      </c>
      <c r="AN51">
        <f t="shared" si="25"/>
        <v>0</v>
      </c>
      <c r="AQ51" t="str">
        <f t="shared" si="3"/>
        <v>Management Fees</v>
      </c>
      <c r="AR51" t="str">
        <f>IF(AK51=0,"",IF(HOps_ManagementFee=3.5%,"3.5% of EGI","Non-Standard Assumption - Please Clarify"))</f>
        <v>3.5% of EGI</v>
      </c>
      <c r="AV51">
        <f t="shared" si="6"/>
        <v>0</v>
      </c>
      <c r="AW51">
        <f>ROUND(IF(AV51=0,0,(AV51)/V1),0)</f>
        <v>0</v>
      </c>
      <c r="AX51">
        <v>0</v>
      </c>
      <c r="AY51">
        <f>ROUND(IF(AX51=0,0,(AX51)/V1),0)</f>
        <v>0</v>
      </c>
    </row>
    <row r="52" ht="14.25" customHeight="1">
      <c r="A52">
        <f t="shared" si="18"/>
        <v>18</v>
      </c>
      <c r="B52" t="s">
        <v>1922</v>
      </c>
      <c r="D52">
        <f>IF(ISBLANK(D$3),SUMIF('OS Analysis'!$BM3:$BM1002,$B52,'OS Analysis'!$CB3:$CB1002),INDEX($J52:$U52,1,MATCH(D$3,$J$4:$U$4,0)))</f>
        <v>0</v>
      </c>
      <c r="E52">
        <f t="shared" si="25"/>
        <v>0</v>
      </c>
      <c r="F52">
        <f>IF(ISBLANK(F$3),SUMIF('OS Analysis'!$AV3:$AV1002,$B52,'OS Analysis'!$BK3:$BK1002),INDEX($J52:$U52,1,MATCH(F$3,$J$4:$U$4,0)))</f>
        <v>0</v>
      </c>
      <c r="G52">
        <f t="shared" si="25"/>
        <v>0</v>
      </c>
      <c r="H52">
        <f>IF(ISBLANK(H$3),SUMIF('OS Analysis'!$AE3:$AE1002,$B52,'OS Analysis'!$AT3:$AT1002),INDEX($J52:$U52,1,MATCH(H$3,$J$4:$U$4,0)))</f>
        <v>0</v>
      </c>
      <c r="I52">
        <f t="shared" si="25"/>
        <v>0</v>
      </c>
      <c r="J52">
        <f>((SUMIF('OS Analysis'!$B3:$B1002,B52,'OS Analysis'!$AC3:$AC1002))/12)*12</f>
        <v>79215</v>
      </c>
      <c r="K52">
        <f>((SUMIF('OS Analysis'!$B3:$B1002,B52,'OS Analysis'!$AB3:$AB1002))/11)*12</f>
        <v>80654.18181818182</v>
      </c>
      <c r="L52">
        <f>((SUMIF('OS Analysis'!$B3:$B1002,B52,'OS Analysis'!$AA3:$AA1002))/10)*12</f>
        <v>80389.20000000001</v>
      </c>
      <c r="M52">
        <f>((SUMIF('OS Analysis'!$B3:$B1002,B52,'OS Analysis'!$Z3:$Z1002))/9)*12</f>
        <v>79010.66666666667</v>
      </c>
      <c r="N52">
        <f>((SUMIF('OS Analysis'!$B3:$B1002,B52,'OS Analysis'!$Y3:$Y1002))/8)*12</f>
        <v>80410.5</v>
      </c>
      <c r="O52">
        <f>((SUMIF('OS Analysis'!$B3:$B1002,B52,'OS Analysis'!$X3:$X1002))/7)*12</f>
        <v>79074.85714285714</v>
      </c>
      <c r="P52">
        <f>((SUMIF('OS Analysis'!$B3:$B1002,B52,'OS Analysis'!$W3:$W1002))/6)*12</f>
        <v>80774</v>
      </c>
      <c r="Q52">
        <f>((SUMIF('OS Analysis'!$B3:$B1002,B52,'OS Analysis'!$V3:$V1002))/5)*12</f>
        <v>83080.79999999999</v>
      </c>
      <c r="R52">
        <f>((SUMIF('OS Analysis'!$B3:$B1002,B52,'OS Analysis'!$U3:$U1002))/4)*12</f>
        <v>82506</v>
      </c>
      <c r="S52">
        <f>((SUMIF('OS Analysis'!$B3:$B1002,B52,'OS Analysis'!$T3:$T1002))/3)*12</f>
        <v>86852</v>
      </c>
      <c r="T52">
        <f>((SUMIF('OS Analysis'!$B3:$B1002,B52,'OS Analysis'!$S3:$S1002))/2)*12</f>
        <v>79278</v>
      </c>
      <c r="U52">
        <f>(SUMIF('OS Analysis'!$B3:$B1002,B52,'OS Analysis'!$R3:$R1002))*12</f>
        <v>69396</v>
      </c>
      <c r="V52">
        <f>SUMIF('OS Analysis'!$B$3:$B$1002,$B52,'OS Analysis'!$Q$3:$Q$1002)</f>
        <v>79215</v>
      </c>
      <c r="W52">
        <f t="shared" si="5"/>
        <v>79215</v>
      </c>
      <c r="X52">
        <f t="shared" si="25"/>
        <v>784</v>
      </c>
      <c r="Y52">
        <f>SUMIF('OS Analysis'!$CD3:$CD1002,$B52,'OS Analysis'!$CS3:$CS1002)</f>
        <v>0</v>
      </c>
      <c r="Z52">
        <f t="shared" si="25"/>
        <v>0</v>
      </c>
      <c r="AA52">
        <f>SUMIF('OS Analysis'!$CU3:$CU1002,$B52,'OS Analysis'!$CW3:$CW1002)</f>
        <v>0</v>
      </c>
      <c r="AB52">
        <f t="shared" si="25"/>
        <v>0</v>
      </c>
      <c r="AC52">
        <f>SUMIF('OS Analysis'!$CU3:$CU1002,$B52,'OS Analysis'!$CX3:$CX1002)</f>
        <v>0</v>
      </c>
      <c r="AD52">
        <f t="shared" si="25"/>
        <v>0</v>
      </c>
      <c r="AE52">
        <v>0</v>
      </c>
      <c r="AF52">
        <f t="shared" si="25"/>
        <v>0</v>
      </c>
      <c r="AG52">
        <v>0</v>
      </c>
      <c r="AH52">
        <f t="shared" si="25"/>
        <v>0</v>
      </c>
      <c r="AI52">
        <v>0</v>
      </c>
      <c r="AJ52">
        <f t="shared" si="25"/>
        <v>0</v>
      </c>
      <c r="AK52">
        <f t="shared" si="26"/>
        <v>81591.45</v>
      </c>
      <c r="AL52">
        <f t="shared" si="25"/>
        <v>808</v>
      </c>
      <c r="AM52">
        <v>0</v>
      </c>
      <c r="AN52">
        <f t="shared" si="25"/>
        <v>0</v>
      </c>
      <c r="AQ52" t="str">
        <f t="shared" si="3"/>
        <v>Manager Salary</v>
      </c>
      <c r="AR52" t="str">
        <f t="shared" si="27"/>
        <v>T-12 + 3%</v>
      </c>
      <c r="AV52">
        <f t="shared" si="6"/>
        <v>0</v>
      </c>
      <c r="AW52">
        <f>ROUND(IF(AV52=0,0,(AV52)/V1),0)</f>
        <v>0</v>
      </c>
      <c r="AX52">
        <v>0</v>
      </c>
      <c r="AY52">
        <f>ROUND(IF(AX52=0,0,(AX52)/V1),0)</f>
        <v>0</v>
      </c>
    </row>
    <row r="53" ht="14.25" customHeight="1">
      <c r="A53">
        <f t="shared" si="18"/>
        <v>19</v>
      </c>
      <c r="B53" t="s">
        <v>1923</v>
      </c>
      <c r="D53">
        <f>IF(ISBLANK(D$3),SUMIF('OS Analysis'!$BM3:$BM1002,$B53,'OS Analysis'!$CB3:$CB1002),INDEX($J53:$U53,1,MATCH(D$3,$J$4:$U$4,0)))</f>
        <v>0</v>
      </c>
      <c r="E53">
        <f t="shared" si="25"/>
        <v>0</v>
      </c>
      <c r="F53">
        <f>IF(ISBLANK(F$3),SUMIF('OS Analysis'!$AV3:$AV1002,$B53,'OS Analysis'!$BK3:$BK1002),INDEX($J53:$U53,1,MATCH(F$3,$J$4:$U$4,0)))</f>
        <v>0</v>
      </c>
      <c r="G53">
        <f t="shared" si="25"/>
        <v>0</v>
      </c>
      <c r="H53">
        <f>IF(ISBLANK(H$3),SUMIF('OS Analysis'!$AE3:$AE1002,$B53,'OS Analysis'!$AT3:$AT1002),INDEX($J53:$U53,1,MATCH(H$3,$J$4:$U$4,0)))</f>
        <v>0</v>
      </c>
      <c r="I53">
        <f t="shared" si="25"/>
        <v>0</v>
      </c>
      <c r="J53">
        <f>((SUMIF('OS Analysis'!$B3:$B1002,B53,'OS Analysis'!$AC3:$AC1002))/12)*12</f>
        <v>114511</v>
      </c>
      <c r="K53">
        <f>((SUMIF('OS Analysis'!$B3:$B1002,B53,'OS Analysis'!$AB3:$AB1002))/11)*12</f>
        <v>116166.54545454544</v>
      </c>
      <c r="L53">
        <f>((SUMIF('OS Analysis'!$B3:$B1002,B53,'OS Analysis'!$AA3:$AA1002))/10)*12</f>
        <v>117246</v>
      </c>
      <c r="M53">
        <f>((SUMIF('OS Analysis'!$B3:$B1002,B53,'OS Analysis'!$Z3:$Z1002))/9)*12</f>
        <v>113297.33333333334</v>
      </c>
      <c r="N53">
        <f>((SUMIF('OS Analysis'!$B3:$B1002,B53,'OS Analysis'!$Y3:$Y1002))/8)*12</f>
        <v>113221.5</v>
      </c>
      <c r="O53">
        <f>((SUMIF('OS Analysis'!$B3:$B1002,B53,'OS Analysis'!$X3:$X1002))/7)*12</f>
        <v>114720</v>
      </c>
      <c r="P53">
        <f>((SUMIF('OS Analysis'!$B3:$B1002,B53,'OS Analysis'!$W3:$W1002))/6)*12</f>
        <v>114420</v>
      </c>
      <c r="Q53">
        <f>((SUMIF('OS Analysis'!$B3:$B1002,B53,'OS Analysis'!$V3:$V1002))/5)*12</f>
        <v>115893.59999999999</v>
      </c>
      <c r="R53">
        <f>((SUMIF('OS Analysis'!$B3:$B1002,B53,'OS Analysis'!$U3:$U1002))/4)*12</f>
        <v>118869</v>
      </c>
      <c r="S53">
        <f>((SUMIF('OS Analysis'!$B3:$B1002,B53,'OS Analysis'!$T3:$T1002))/3)*12</f>
        <v>124116</v>
      </c>
      <c r="T53">
        <f>((SUMIF('OS Analysis'!$B3:$B1002,B53,'OS Analysis'!$S3:$S1002))/2)*12</f>
        <v>107760</v>
      </c>
      <c r="U53">
        <f>(SUMIF('OS Analysis'!$B3:$B1002,B53,'OS Analysis'!$R3:$R1002))*12</f>
        <v>104904</v>
      </c>
      <c r="V53">
        <f>SUMIF('OS Analysis'!$B$3:$B$1002,$B53,'OS Analysis'!$Q$3:$Q$1002)</f>
        <v>114511</v>
      </c>
      <c r="W53">
        <f t="shared" si="5"/>
        <v>114511</v>
      </c>
      <c r="X53">
        <f t="shared" si="25"/>
        <v>1134</v>
      </c>
      <c r="Y53">
        <f>SUMIF('OS Analysis'!$CD3:$CD1002,$B53,'OS Analysis'!$CS3:$CS1002)</f>
        <v>0</v>
      </c>
      <c r="Z53">
        <f t="shared" si="25"/>
        <v>0</v>
      </c>
      <c r="AA53">
        <f>SUMIF('OS Analysis'!$CU3:$CU1002,$B53,'OS Analysis'!$CW3:$CW1002)</f>
        <v>0</v>
      </c>
      <c r="AB53">
        <f t="shared" si="25"/>
        <v>0</v>
      </c>
      <c r="AC53">
        <f>SUMIF('OS Analysis'!$CU3:$CU1002,$B53,'OS Analysis'!$CX3:$CX1002)</f>
        <v>0</v>
      </c>
      <c r="AD53">
        <f t="shared" si="25"/>
        <v>0</v>
      </c>
      <c r="AE53">
        <v>0</v>
      </c>
      <c r="AF53">
        <f t="shared" si="25"/>
        <v>0</v>
      </c>
      <c r="AG53">
        <v>0</v>
      </c>
      <c r="AH53">
        <f t="shared" si="25"/>
        <v>0</v>
      </c>
      <c r="AI53">
        <v>0</v>
      </c>
      <c r="AJ53">
        <f t="shared" si="25"/>
        <v>0</v>
      </c>
      <c r="AK53">
        <f t="shared" si="26"/>
        <v>117946.33</v>
      </c>
      <c r="AL53">
        <f t="shared" si="25"/>
        <v>1168</v>
      </c>
      <c r="AM53">
        <v>0</v>
      </c>
      <c r="AN53">
        <f t="shared" si="25"/>
        <v>0</v>
      </c>
      <c r="AQ53" t="str">
        <f t="shared" si="3"/>
        <v>Other Leasing Salaries</v>
      </c>
      <c r="AR53" t="str">
        <f t="shared" si="27"/>
        <v>T-12 + 3%</v>
      </c>
      <c r="AV53">
        <f t="shared" si="6"/>
        <v>0</v>
      </c>
      <c r="AW53">
        <f>ROUND(IF(AV53=0,0,(AV53)/V1),0)</f>
        <v>0</v>
      </c>
      <c r="AX53">
        <v>0</v>
      </c>
      <c r="AY53">
        <f>ROUND(IF(AX53=0,0,(AX53)/V1),0)</f>
        <v>0</v>
      </c>
    </row>
    <row r="54" ht="14.25" customHeight="1">
      <c r="A54">
        <f t="shared" si="18"/>
        <v>20</v>
      </c>
      <c r="B54" t="s">
        <v>1924</v>
      </c>
      <c r="D54">
        <f>IF(ISBLANK(D$3),SUMIF('OS Analysis'!$BM3:$BM1002,$B54,'OS Analysis'!$CB3:$CB1002),INDEX($J54:$U54,1,MATCH(D$3,$J$4:$U$4,0)))</f>
        <v>0</v>
      </c>
      <c r="E54">
        <f t="shared" si="25"/>
        <v>0</v>
      </c>
      <c r="F54">
        <f>IF(ISBLANK(F$3),SUMIF('OS Analysis'!$AV3:$AV1002,$B54,'OS Analysis'!$BK3:$BK1002),INDEX($J54:$U54,1,MATCH(F$3,$J$4:$U$4,0)))</f>
        <v>0</v>
      </c>
      <c r="G54">
        <f t="shared" si="25"/>
        <v>0</v>
      </c>
      <c r="H54">
        <f>IF(ISBLANK(H$3),SUMIF('OS Analysis'!$AE3:$AE1002,$B54,'OS Analysis'!$AT3:$AT1002),INDEX($J54:$U54,1,MATCH(H$3,$J$4:$U$4,0)))</f>
        <v>0</v>
      </c>
      <c r="I54">
        <f t="shared" si="25"/>
        <v>0</v>
      </c>
      <c r="J54">
        <f>((SUMIF('OS Analysis'!$B3:$B1002,B54,'OS Analysis'!$AC3:$AC1002))/12)*12</f>
        <v>0</v>
      </c>
      <c r="K54">
        <f>((SUMIF('OS Analysis'!$B3:$B1002,B54,'OS Analysis'!$AB3:$AB1002))/11)*12</f>
        <v>0</v>
      </c>
      <c r="L54">
        <f>((SUMIF('OS Analysis'!$B3:$B1002,B54,'OS Analysis'!$AA3:$AA1002))/10)*12</f>
        <v>0</v>
      </c>
      <c r="M54">
        <f>((SUMIF('OS Analysis'!$B3:$B1002,B54,'OS Analysis'!$Z3:$Z1002))/9)*12</f>
        <v>0</v>
      </c>
      <c r="N54">
        <f>((SUMIF('OS Analysis'!$B3:$B1002,B54,'OS Analysis'!$Y3:$Y1002))/8)*12</f>
        <v>0</v>
      </c>
      <c r="O54">
        <f>((SUMIF('OS Analysis'!$B3:$B1002,B54,'OS Analysis'!$X3:$X1002))/7)*12</f>
        <v>0</v>
      </c>
      <c r="P54">
        <f>((SUMIF('OS Analysis'!$B3:$B1002,B54,'OS Analysis'!$W3:$W1002))/6)*12</f>
        <v>0</v>
      </c>
      <c r="Q54">
        <f>((SUMIF('OS Analysis'!$B3:$B1002,B54,'OS Analysis'!$V3:$V1002))/5)*12</f>
        <v>0</v>
      </c>
      <c r="R54">
        <f>((SUMIF('OS Analysis'!$B3:$B1002,B54,'OS Analysis'!$U3:$U1002))/4)*12</f>
        <v>0</v>
      </c>
      <c r="S54">
        <f>((SUMIF('OS Analysis'!$B3:$B1002,B54,'OS Analysis'!$T3:$T1002))/3)*12</f>
        <v>0</v>
      </c>
      <c r="T54">
        <f>((SUMIF('OS Analysis'!$B3:$B1002,B54,'OS Analysis'!$S3:$S1002))/2)*12</f>
        <v>0</v>
      </c>
      <c r="U54">
        <f>(SUMIF('OS Analysis'!$B3:$B1002,B54,'OS Analysis'!$R3:$R1002))*12</f>
        <v>0</v>
      </c>
      <c r="V54">
        <f>SUMIF('OS Analysis'!$B$3:$B$1002,$B54,'OS Analysis'!$Q$3:$Q$1002)</f>
        <v>0</v>
      </c>
      <c r="W54">
        <f t="shared" si="5"/>
        <v>0</v>
      </c>
      <c r="X54">
        <f t="shared" si="25"/>
        <v>0</v>
      </c>
      <c r="Y54">
        <f>SUMIF('OS Analysis'!$CD3:$CD1002,$B54,'OS Analysis'!$CS3:$CS1002)</f>
        <v>0</v>
      </c>
      <c r="Z54">
        <f t="shared" si="25"/>
        <v>0</v>
      </c>
      <c r="AA54">
        <f>SUMIF('OS Analysis'!$CU3:$CU1002,$B54,'OS Analysis'!$CW3:$CW1002)</f>
        <v>0</v>
      </c>
      <c r="AB54">
        <f t="shared" si="25"/>
        <v>0</v>
      </c>
      <c r="AC54">
        <f>SUMIF('OS Analysis'!$CU3:$CU1002,$B54,'OS Analysis'!$CX3:$CX1002)</f>
        <v>0</v>
      </c>
      <c r="AD54">
        <f t="shared" si="25"/>
        <v>0</v>
      </c>
      <c r="AE54">
        <v>0</v>
      </c>
      <c r="AF54">
        <f t="shared" si="25"/>
        <v>0</v>
      </c>
      <c r="AG54">
        <v>0</v>
      </c>
      <c r="AH54">
        <f t="shared" si="25"/>
        <v>0</v>
      </c>
      <c r="AI54">
        <v>0</v>
      </c>
      <c r="AJ54">
        <f t="shared" si="25"/>
        <v>0</v>
      </c>
      <c r="AK54">
        <f t="shared" si="26"/>
        <v>0</v>
      </c>
      <c r="AL54">
        <f t="shared" si="25"/>
        <v>0</v>
      </c>
      <c r="AM54">
        <v>0</v>
      </c>
      <c r="AN54">
        <f t="shared" si="25"/>
        <v>0</v>
      </c>
      <c r="AQ54" t="str">
        <f t="shared" si="3"/>
        <v>Maintenance Super Salary</v>
      </c>
      <c r="AR54">
        <f t="shared" si="27"/>
      </c>
      <c r="AV54">
        <f t="shared" si="6"/>
        <v>0</v>
      </c>
      <c r="AW54">
        <f>ROUND(IF(AV54=0,0,(AV54)/V1),0)</f>
        <v>0</v>
      </c>
      <c r="AX54">
        <v>0</v>
      </c>
      <c r="AY54">
        <f>ROUND(IF(AX54=0,0,(AX54)/V1),0)</f>
        <v>0</v>
      </c>
    </row>
    <row r="55" ht="14.25" customHeight="1">
      <c r="A55">
        <f t="shared" si="18"/>
        <v>21</v>
      </c>
      <c r="B55" t="s">
        <v>1925</v>
      </c>
      <c r="D55">
        <f>IF(ISBLANK(D$3),SUMIF('OS Analysis'!$BM3:$BM1002,$B55,'OS Analysis'!$CB3:$CB1002),INDEX($J55:$U55,1,MATCH(D$3,$J$4:$U$4,0)))</f>
        <v>0</v>
      </c>
      <c r="E55">
        <f t="shared" si="25"/>
        <v>0</v>
      </c>
      <c r="F55">
        <f>IF(ISBLANK(F$3),SUMIF('OS Analysis'!$AV3:$AV1002,$B55,'OS Analysis'!$BK3:$BK1002),INDEX($J55:$U55,1,MATCH(F$3,$J$4:$U$4,0)))</f>
        <v>0</v>
      </c>
      <c r="G55">
        <f t="shared" si="25"/>
        <v>0</v>
      </c>
      <c r="H55">
        <f>IF(ISBLANK(H$3),SUMIF('OS Analysis'!$AE3:$AE1002,$B55,'OS Analysis'!$AT3:$AT1002),INDEX($J55:$U55,1,MATCH(H$3,$J$4:$U$4,0)))</f>
        <v>0</v>
      </c>
      <c r="I55">
        <f t="shared" si="25"/>
        <v>0</v>
      </c>
      <c r="J55">
        <f>((SUMIF('OS Analysis'!$B3:$B1002,B55,'OS Analysis'!$AC3:$AC1002))/12)*12</f>
        <v>212857</v>
      </c>
      <c r="K55">
        <f>((SUMIF('OS Analysis'!$B3:$B1002,B55,'OS Analysis'!$AB3:$AB1002))/11)*12</f>
        <v>218762.18181818182</v>
      </c>
      <c r="L55">
        <f>((SUMIF('OS Analysis'!$B3:$B1002,B55,'OS Analysis'!$AA3:$AA1002))/10)*12</f>
        <v>220662</v>
      </c>
      <c r="M55">
        <f>((SUMIF('OS Analysis'!$B3:$B1002,B55,'OS Analysis'!$Z3:$Z1002))/9)*12</f>
        <v>208349.33333333334</v>
      </c>
      <c r="N55">
        <f>((SUMIF('OS Analysis'!$B3:$B1002,B55,'OS Analysis'!$Y3:$Y1002))/8)*12</f>
        <v>211411.5</v>
      </c>
      <c r="O55">
        <f>((SUMIF('OS Analysis'!$B3:$B1002,B55,'OS Analysis'!$X3:$X1002))/7)*12</f>
        <v>210726.85714285713</v>
      </c>
      <c r="P55">
        <f>((SUMIF('OS Analysis'!$B3:$B1002,B55,'OS Analysis'!$W3:$W1002))/6)*12</f>
        <v>217804</v>
      </c>
      <c r="Q55">
        <f>((SUMIF('OS Analysis'!$B3:$B1002,B55,'OS Analysis'!$V3:$V1002))/5)*12</f>
        <v>228600</v>
      </c>
      <c r="R55">
        <f>((SUMIF('OS Analysis'!$B3:$B1002,B55,'OS Analysis'!$U3:$U1002))/4)*12</f>
        <v>232470</v>
      </c>
      <c r="S55">
        <f>((SUMIF('OS Analysis'!$B3:$B1002,B55,'OS Analysis'!$T3:$T1002))/3)*12</f>
        <v>246600</v>
      </c>
      <c r="T55">
        <f>((SUMIF('OS Analysis'!$B3:$B1002,B55,'OS Analysis'!$S3:$S1002))/2)*12</f>
        <v>212832</v>
      </c>
      <c r="U55">
        <f>(SUMIF('OS Analysis'!$B3:$B1002,B55,'OS Analysis'!$R3:$R1002))*12</f>
        <v>182952</v>
      </c>
      <c r="V55">
        <f>SUMIF('OS Analysis'!$B$3:$B$1002,$B55,'OS Analysis'!$Q$3:$Q$1002)</f>
        <v>212857</v>
      </c>
      <c r="W55">
        <f t="shared" si="5"/>
        <v>212857</v>
      </c>
      <c r="X55">
        <f t="shared" si="25"/>
        <v>2107</v>
      </c>
      <c r="Y55">
        <f>SUMIF('OS Analysis'!$CD3:$CD1002,$B55,'OS Analysis'!$CS3:$CS1002)</f>
        <v>0</v>
      </c>
      <c r="Z55">
        <f t="shared" si="25"/>
        <v>0</v>
      </c>
      <c r="AA55">
        <f>SUMIF('OS Analysis'!$CU3:$CU1002,$B55,'OS Analysis'!$CW3:$CW1002)</f>
        <v>0</v>
      </c>
      <c r="AB55">
        <f t="shared" si="25"/>
        <v>0</v>
      </c>
      <c r="AC55">
        <f>SUMIF('OS Analysis'!$CU3:$CU1002,$B55,'OS Analysis'!$CX3:$CX1002)</f>
        <v>0</v>
      </c>
      <c r="AD55">
        <f t="shared" si="25"/>
        <v>0</v>
      </c>
      <c r="AE55">
        <v>0</v>
      </c>
      <c r="AF55">
        <f t="shared" si="25"/>
        <v>0</v>
      </c>
      <c r="AG55">
        <v>0</v>
      </c>
      <c r="AH55">
        <f t="shared" si="25"/>
        <v>0</v>
      </c>
      <c r="AI55">
        <v>0</v>
      </c>
      <c r="AJ55">
        <f t="shared" si="25"/>
        <v>0</v>
      </c>
      <c r="AK55">
        <f t="shared" si="26"/>
        <v>219242.71</v>
      </c>
      <c r="AL55">
        <f t="shared" si="25"/>
        <v>2171</v>
      </c>
      <c r="AM55">
        <v>0</v>
      </c>
      <c r="AN55">
        <f t="shared" si="25"/>
        <v>0</v>
      </c>
      <c r="AQ55" t="str">
        <f t="shared" si="3"/>
        <v>Other Maintenance Salaries</v>
      </c>
      <c r="AR55" t="str">
        <f t="shared" si="27"/>
        <v>T-12 + 3%</v>
      </c>
      <c r="AV55">
        <f t="shared" si="6"/>
        <v>0</v>
      </c>
      <c r="AW55">
        <f>ROUND(IF(AV55=0,0,(AV55)/V1),0)</f>
        <v>0</v>
      </c>
      <c r="AX55">
        <v>0</v>
      </c>
      <c r="AY55">
        <f>ROUND(IF(AX55=0,0,(AX55)/V1),0)</f>
        <v>0</v>
      </c>
    </row>
    <row r="56" ht="14.25" customHeight="1">
      <c r="A56">
        <f t="shared" si="18"/>
        <v>22</v>
      </c>
      <c r="B56" t="s">
        <v>1926</v>
      </c>
      <c r="D56">
        <f>IF(ISBLANK(D$3),IF(B56="Apartment Allowances",-SUMIF('OS Analysis'!$BM3:$BM1002,"Apartment Allowances (income line item)",'OS Analysis'!$CB3:$CB1002)+SUMIF('OS Analysis'!$BM3:$BM1002,"Apartment Allowances (expense line item)",'OS Analysis'!$CB3:$CB1002),SUMIF('OS Analysis'!$BM3:$BM1002,$B56,'OS Analysis'!$CB3:$CB1002)),INDEX($J56:$U56,1,MATCH(D$3,$J$4:$U$4,0)))</f>
        <v>0</v>
      </c>
      <c r="E56">
        <f t="shared" si="25"/>
        <v>0</v>
      </c>
      <c r="F56">
        <f>IF(ISBLANK(F$3),IF(B56="Apartment Allowances",-SUMIF('OS Analysis'!$AV3:$AV1002,"Apartment Allowances (income line item)",'OS Analysis'!$BK3:$BK1002)+SUMIF('OS Analysis'!$AV3:$AV1002,"Apartment Allowances (expense line item)",'OS Analysis'!$BK3:$BK1002),SUMIF('OS Analysis'!$AV3:$AV1002,$B56,'OS Analysis'!$BK3:$BK1002)),INDEX($J56:$U56,1,MATCH(F$3,$J$4:$U$4,0)))</f>
        <v>0</v>
      </c>
      <c r="G56">
        <f t="shared" si="25"/>
        <v>0</v>
      </c>
      <c r="H56">
        <f>IF(ISBLANK(H$3),IF(B56="Apartment Allowances",-SUMIF('OS Analysis'!$AE3:$AE1002,"Apartment Allowances (income line item)",'OS Analysis'!$AT3:$AT1002)+SUMIF('OS Analysis'!$AE3:$AE1002,"Apartment Allowances (expense line item)",'OS Analysis'!$AT3:$AT1002),SUMIF('OS Analysis'!$AE3:$AE1002,$B56,'OS Analysis'!$AT3:$AT1002)),INDEX($J56:$U56,1,MATCH(H$3,$J$4:$U$4,0)))</f>
        <v>0</v>
      </c>
      <c r="I56">
        <f t="shared" si="25"/>
        <v>0</v>
      </c>
      <c r="J56">
        <f>-(((SUMIF('OS Analysis'!$B3:$B1002,"Apartment Allowances (income line item)",'OS Analysis'!$AC3:$AC1002))/12)*12)+(((SUMIF('OS Analysis'!$B3:$B1002,"Apartment Allowances (expense line item)",'OS Analysis'!$AC3:$AC1002))/12)*12)</f>
        <v>0</v>
      </c>
      <c r="K56">
        <f>-(((SUMIF('OS Analysis'!$B3:$B1002,"Apartment Allowances (income line item)",'OS Analysis'!$AB3:$AB1002))/11)*12)+(((SUMIF('OS Analysis'!$B3:$B1002,"Apartment Allowances (expense line item)",'OS Analysis'!$AB3:$AB1002))/11)*12)</f>
        <v>0</v>
      </c>
      <c r="L56">
        <f>-(((SUMIF('OS Analysis'!$B3:$B1002,"Apartment Allowances (income line item)",'OS Analysis'!$AA3:$AA1002))/10)*12)+(((SUMIF('OS Analysis'!$B3:$B1002,"Apartment Allowances (expense line item)",'OS Analysis'!$AA3:$AA1002))/10)*12)</f>
        <v>0</v>
      </c>
      <c r="M56">
        <f>-(((SUMIF('OS Analysis'!$B3:$B1002,"Apartment Allowances (income line item)",'OS Analysis'!$Z3:$Z1002))/9)*12)+(((SUMIF('OS Analysis'!$B3:$B1002,"Apartment Allowances (expense line item)",'OS Analysis'!$Z3:$Z1002))/9)*12)</f>
        <v>0</v>
      </c>
      <c r="N56">
        <f>-(((SUMIF('OS Analysis'!$B3:$B1002,"Apartment Allowances (income line item)",'OS Analysis'!$Y3:$Y1002))/8)*12)+(((SUMIF('OS Analysis'!$B3:$B1002,"Apartment Allowances (expense line item)",'OS Analysis'!$Y3:$Y1002))/8)*12)</f>
        <v>0</v>
      </c>
      <c r="O56">
        <f>-(((SUMIF('OS Analysis'!$B3:$B1002,"Apartment Allowances (income line item)",'OS Analysis'!$X3:$X1002))/7)*12)+(((SUMIF('OS Analysis'!$B3:$B1002,"Apartment Allowances (expense line item)",'OS Analysis'!$X3:$X1002))/7)*12)</f>
        <v>0</v>
      </c>
      <c r="P56">
        <f>-(((SUMIF('OS Analysis'!$B3:$B1002,"Apartment Allowances (income line item)",'OS Analysis'!$W3:$W1002))/6)*12)+(((SUMIF('OS Analysis'!$B3:$B1002,"Apartment Allowances (expense line item)",'OS Analysis'!$W3:$W1002))/6)*12)</f>
        <v>0</v>
      </c>
      <c r="Q56">
        <f>-(((SUMIF('OS Analysis'!$B3:$B1002,"Apartment Allowances (income line item)",'OS Analysis'!$V3:$V1002))/5)*12)+(((SUMIF('OS Analysis'!$B3:$B1002,"Apartment Allowances (expense line item)",'OS Analysis'!$V3:$V1002))/5)*12)</f>
        <v>0</v>
      </c>
      <c r="R56">
        <f>-(((SUMIF('OS Analysis'!$B3:$B1002,"Apartment Allowances (income line item)",'OS Analysis'!$U3:$U1002))/4)*12)+(((SUMIF('OS Analysis'!$B3:$B1002,"Apartment Allowances (expense line item)",'OS Analysis'!$U3:$U1002))/4)*12)</f>
        <v>0</v>
      </c>
      <c r="S56">
        <f>-(((SUMIF('OS Analysis'!$B3:$B1002,"Apartment Allowances (income line item)",'OS Analysis'!$T3:$T1002))/3)*12)+(((SUMIF('OS Analysis'!$B3:$B1002,"Apartment Allowances (expense line item)",'OS Analysis'!$T3:$T1002))/3)*12)</f>
        <v>0</v>
      </c>
      <c r="T56">
        <f>-(((SUMIF('OS Analysis'!$B3:$B1002,"Apartment Allowances (income line item)",'OS Analysis'!$S3:$S1002))/2)*12)+(((SUMIF('OS Analysis'!$B3:$B1002,"Apartment Allowances (expense line item)",'OS Analysis'!$S3:$S1002))/2)*12)</f>
        <v>0</v>
      </c>
      <c r="U56">
        <f>-(((SUMIF('OS Analysis'!$B3:$B1002,"Apartment Allowances (income line item)",'OS Analysis'!$R3:$R1002)))*12)+(((SUMIF('OS Analysis'!$B3:$B1002,"Apartment Allowances (expense line item)",'OS Analysis'!$R3:$R1002)))*12)</f>
        <v>0</v>
      </c>
      <c r="V56">
        <f>IF(B56="Apartment Allowances",-SUMIF('OS Analysis'!$B$3:$B$1002,"Apartment Allowances (income line item)",'OS Analysis'!$Q$3:$Q$1002)+SUMIF('OS Analysis'!$B$3:$B$1002,"Apartment Allowances (expense line item)",'OS Analysis'!$Q$3:$Q$1002),SUMIF('OS Analysis'!$B$3:$B$1002,$B56,'OS Analysis'!$Q$3:$Q$1002))</f>
        <v>0</v>
      </c>
      <c r="W56">
        <f t="shared" si="5"/>
        <v>0</v>
      </c>
      <c r="X56">
        <f t="shared" si="25"/>
        <v>0</v>
      </c>
      <c r="Y56">
        <f>-SUMIF('OS Analysis'!$CD3:$CD1002,"Apartment Allowances (income line item)",'OS Analysis'!$CS3:$CS1002)+SUMIF('OS Analysis'!$CD3:$CD1002,"Apartment Allowances (expense line item)",'OS Analysis'!$CS3:$CS1002)</f>
        <v>0</v>
      </c>
      <c r="Z56">
        <f t="shared" si="25"/>
        <v>0</v>
      </c>
      <c r="AA56">
        <f>-SUMIF('OS Analysis'!$CU3:$CU1002,"Apartment Allowances (income line item)",'OS Analysis'!$CW3:$CW1002)+SUMIF('OS Analysis'!$CU3:$CU1002,"Apartment Allowances (expense line item)",'OS Analysis'!$CW3:$CW1002)</f>
        <v>0</v>
      </c>
      <c r="AB56">
        <f t="shared" si="25"/>
        <v>0</v>
      </c>
      <c r="AC56">
        <f>-SUMIF('OS Analysis'!$CU3:$CU1002,"Apartment Allowances (income line item)",'OS Analysis'!$CX3:$CX1002)+SUMIF('OS Analysis'!$CU3:$CU1002,"Apartment Allowances (expense line item)",'OS Analysis'!$CX3:$CX1002)</f>
        <v>0</v>
      </c>
      <c r="AD56">
        <f t="shared" si="25"/>
        <v>0</v>
      </c>
      <c r="AE56">
        <v>0</v>
      </c>
      <c r="AF56">
        <f t="shared" si="25"/>
        <v>0</v>
      </c>
      <c r="AG56">
        <v>0</v>
      </c>
      <c r="AH56">
        <f t="shared" si="25"/>
        <v>0</v>
      </c>
      <c r="AI56">
        <v>0</v>
      </c>
      <c r="AJ56">
        <f t="shared" si="25"/>
        <v>0</v>
      </c>
      <c r="AK56">
        <f t="shared" si="26"/>
        <v>0</v>
      </c>
      <c r="AL56">
        <f t="shared" si="25"/>
        <v>0</v>
      </c>
      <c r="AM56">
        <v>0</v>
      </c>
      <c r="AN56">
        <f t="shared" si="25"/>
        <v>0</v>
      </c>
      <c r="AQ56" t="str">
        <f t="shared" si="3"/>
        <v>Apartment Allowances</v>
      </c>
      <c r="AR56">
        <f t="shared" si="27"/>
      </c>
      <c r="AV56">
        <f t="shared" si="6"/>
        <v>0</v>
      </c>
      <c r="AW56">
        <f>ROUND(IF(AV56=0,0,(AV56)/V1),0)</f>
        <v>0</v>
      </c>
      <c r="AX56">
        <v>0</v>
      </c>
      <c r="AY56">
        <f>ROUND(IF(AX56=0,0,(AX56)/V1),0)</f>
        <v>0</v>
      </c>
    </row>
    <row r="57" ht="14.25" customHeight="1">
      <c r="A57">
        <f t="shared" si="18"/>
        <v>23</v>
      </c>
      <c r="B57" t="s">
        <v>1927</v>
      </c>
      <c r="D57">
        <f>IF(ISBLANK(D$3),SUMIF('OS Analysis'!$BM3:$BM1002,$B57,'OS Analysis'!$CB3:$CB1002),INDEX($J57:$U57,1,MATCH(D$3,$J$4:$U$4,0)))</f>
        <v>0</v>
      </c>
      <c r="E57">
        <f t="shared" si="25"/>
        <v>0</v>
      </c>
      <c r="F57">
        <f>IF(ISBLANK(F$3),SUMIF('OS Analysis'!$AV3:$AV1002,$B57,'OS Analysis'!$BK3:$BK1002),INDEX($J57:$U57,1,MATCH(F$3,$J$4:$U$4,0)))</f>
        <v>0</v>
      </c>
      <c r="G57">
        <f t="shared" si="25"/>
        <v>0</v>
      </c>
      <c r="H57">
        <f>IF(ISBLANK(H$3),SUMIF('OS Analysis'!$AE3:$AE1002,$B57,'OS Analysis'!$AT3:$AT1002),INDEX($J57:$U57,1,MATCH(H$3,$J$4:$U$4,0)))</f>
        <v>0</v>
      </c>
      <c r="I57">
        <f t="shared" si="25"/>
        <v>0</v>
      </c>
      <c r="J57">
        <f>((SUMIF('OS Analysis'!$B3:$B1002,B57,'OS Analysis'!$AC3:$AC1002))/12)*12</f>
        <v>0</v>
      </c>
      <c r="K57">
        <f>((SUMIF('OS Analysis'!$B3:$B1002,B57,'OS Analysis'!$AB3:$AB1002))/11)*12</f>
        <v>0</v>
      </c>
      <c r="L57">
        <f>((SUMIF('OS Analysis'!$B3:$B1002,B57,'OS Analysis'!$AA3:$AA1002))/10)*12</f>
        <v>0</v>
      </c>
      <c r="M57">
        <f>((SUMIF('OS Analysis'!$B3:$B1002,B57,'OS Analysis'!$Z3:$Z1002))/9)*12</f>
        <v>0</v>
      </c>
      <c r="N57">
        <f>((SUMIF('OS Analysis'!$B3:$B1002,B57,'OS Analysis'!$Y3:$Y1002))/8)*12</f>
        <v>0</v>
      </c>
      <c r="O57">
        <f>((SUMIF('OS Analysis'!$B3:$B1002,B57,'OS Analysis'!$X3:$X1002))/7)*12</f>
        <v>0</v>
      </c>
      <c r="P57">
        <f>((SUMIF('OS Analysis'!$B3:$B1002,B57,'OS Analysis'!$W3:$W1002))/6)*12</f>
        <v>0</v>
      </c>
      <c r="Q57">
        <f>((SUMIF('OS Analysis'!$B3:$B1002,B57,'OS Analysis'!$V3:$V1002))/5)*12</f>
        <v>0</v>
      </c>
      <c r="R57">
        <f>((SUMIF('OS Analysis'!$B3:$B1002,B57,'OS Analysis'!$U3:$U1002))/4)*12</f>
        <v>0</v>
      </c>
      <c r="S57">
        <f>((SUMIF('OS Analysis'!$B3:$B1002,B57,'OS Analysis'!$T3:$T1002))/3)*12</f>
        <v>0</v>
      </c>
      <c r="T57">
        <f>((SUMIF('OS Analysis'!$B3:$B1002,B57,'OS Analysis'!$S3:$S1002))/2)*12</f>
        <v>0</v>
      </c>
      <c r="U57">
        <f>(SUMIF('OS Analysis'!$B3:$B1002,B57,'OS Analysis'!$R3:$R1002))*12</f>
        <v>0</v>
      </c>
      <c r="V57">
        <f>SUMIF('OS Analysis'!$B$3:$B$1002,$B57,'OS Analysis'!$Q$3:$Q$1002)</f>
        <v>0</v>
      </c>
      <c r="W57">
        <f t="shared" si="5"/>
        <v>0</v>
      </c>
      <c r="X57">
        <f t="shared" si="25"/>
        <v>0</v>
      </c>
      <c r="Y57">
        <f>SUMIF('OS Analysis'!$CD3:$CD1002,$B57,'OS Analysis'!$CS3:$CS1002)</f>
        <v>0</v>
      </c>
      <c r="Z57">
        <f t="shared" si="25"/>
        <v>0</v>
      </c>
      <c r="AA57">
        <f>SUMIF('OS Analysis'!$CU3:$CU1002,$B57,'OS Analysis'!$CW3:$CW1002)</f>
        <v>0</v>
      </c>
      <c r="AB57">
        <f t="shared" si="25"/>
        <v>0</v>
      </c>
      <c r="AC57">
        <f>SUMIF('OS Analysis'!$CU3:$CU1002,$B57,'OS Analysis'!$CX3:$CX1002)</f>
        <v>0</v>
      </c>
      <c r="AD57">
        <f t="shared" si="25"/>
        <v>0</v>
      </c>
      <c r="AE57">
        <v>0</v>
      </c>
      <c r="AF57">
        <f t="shared" si="25"/>
        <v>0</v>
      </c>
      <c r="AG57">
        <v>0</v>
      </c>
      <c r="AH57">
        <f t="shared" si="25"/>
        <v>0</v>
      </c>
      <c r="AI57">
        <v>0</v>
      </c>
      <c r="AJ57">
        <f t="shared" si="25"/>
        <v>0</v>
      </c>
      <c r="AK57">
        <f t="shared" si="26"/>
        <v>0</v>
      </c>
      <c r="AL57">
        <f t="shared" si="25"/>
        <v>0</v>
      </c>
      <c r="AM57">
        <v>0</v>
      </c>
      <c r="AN57">
        <f t="shared" si="25"/>
        <v>0</v>
      </c>
      <c r="AQ57" t="str">
        <f t="shared" si="3"/>
        <v>Bonuses/Commissions/Other</v>
      </c>
      <c r="AR57">
        <f t="shared" si="27"/>
      </c>
      <c r="AV57">
        <f t="shared" si="6"/>
        <v>0</v>
      </c>
      <c r="AW57">
        <f>ROUND(IF(AV57=0,0,(AV57)/V1),0)</f>
        <v>0</v>
      </c>
      <c r="AX57">
        <v>0</v>
      </c>
      <c r="AY57">
        <f>ROUND(IF(AX57=0,0,(AX57)/V1),0)</f>
        <v>0</v>
      </c>
    </row>
    <row r="58" ht="15" customHeight="1">
      <c r="A58">
        <f t="shared" si="18"/>
        <v>24</v>
      </c>
      <c r="B58" t="s">
        <v>1928</v>
      </c>
      <c r="D58">
        <f>IF(ISBLANK(D$3),SUMIF('OS Analysis'!$BM3:$BM1002,$B58,'OS Analysis'!$CB3:$CB1002),INDEX($J58:$U58,1,MATCH(D$3,$J$4:$U$4,0)))</f>
        <v>0</v>
      </c>
      <c r="E58">
        <f t="shared" si="25"/>
        <v>0</v>
      </c>
      <c r="F58">
        <f>IF(ISBLANK(F$3),SUMIF('OS Analysis'!$AV3:$AV1002,$B58,'OS Analysis'!$BK3:$BK1002),INDEX($J58:$U58,1,MATCH(F$3,$J$4:$U$4,0)))</f>
        <v>0</v>
      </c>
      <c r="G58">
        <f t="shared" si="25"/>
        <v>0</v>
      </c>
      <c r="H58">
        <f>IF(ISBLANK(H$3),SUMIF('OS Analysis'!$AE3:$AE1002,$B58,'OS Analysis'!$AT3:$AT1002),INDEX($J58:$U58,1,MATCH(H$3,$J$4:$U$4,0)))</f>
        <v>0</v>
      </c>
      <c r="I58">
        <f t="shared" si="25"/>
        <v>0</v>
      </c>
      <c r="J58">
        <f>((SUMIF('OS Analysis'!$B3:$B1002,B58,'OS Analysis'!$AC3:$AC1002))/12)*12</f>
        <v>71566</v>
      </c>
      <c r="K58">
        <f>((SUMIF('OS Analysis'!$B3:$B1002,B58,'OS Analysis'!$AB3:$AB1002))/11)*12</f>
        <v>73512</v>
      </c>
      <c r="L58">
        <f>((SUMIF('OS Analysis'!$B3:$B1002,B58,'OS Analysis'!$AA3:$AA1002))/10)*12</f>
        <v>74509.20000000001</v>
      </c>
      <c r="M58">
        <f>((SUMIF('OS Analysis'!$B3:$B1002,B58,'OS Analysis'!$Z3:$Z1002))/9)*12</f>
        <v>75657.33333333333</v>
      </c>
      <c r="N58">
        <f>((SUMIF('OS Analysis'!$B3:$B1002,B58,'OS Analysis'!$Y3:$Y1002))/8)*12</f>
        <v>75891</v>
      </c>
      <c r="O58">
        <f>((SUMIF('OS Analysis'!$B3:$B1002,B58,'OS Analysis'!$X3:$X1002))/7)*12</f>
        <v>71525.14285714286</v>
      </c>
      <c r="P58">
        <f>((SUMIF('OS Analysis'!$B3:$B1002,B58,'OS Analysis'!$W3:$W1002))/6)*12</f>
        <v>69332</v>
      </c>
      <c r="Q58">
        <f>((SUMIF('OS Analysis'!$B3:$B1002,B58,'OS Analysis'!$V3:$V1002))/5)*12</f>
        <v>68913.6</v>
      </c>
      <c r="R58">
        <f>((SUMIF('OS Analysis'!$B3:$B1002,B58,'OS Analysis'!$U3:$U1002))/4)*12</f>
        <v>65628</v>
      </c>
      <c r="S58">
        <f>((SUMIF('OS Analysis'!$B3:$B1002,B58,'OS Analysis'!$T3:$T1002))/3)*12</f>
        <v>65708</v>
      </c>
      <c r="T58">
        <f>((SUMIF('OS Analysis'!$B3:$B1002,B58,'OS Analysis'!$S3:$S1002))/2)*12</f>
        <v>68640</v>
      </c>
      <c r="U58">
        <f>(SUMIF('OS Analysis'!$B3:$B1002,B58,'OS Analysis'!$R3:$R1002))*12</f>
        <v>64176</v>
      </c>
      <c r="V58">
        <f>SUMIF('OS Analysis'!$B$3:$B$1002,$B58,'OS Analysis'!$Q$3:$Q$1002)</f>
        <v>71566</v>
      </c>
      <c r="W58">
        <f t="shared" si="5"/>
        <v>71566</v>
      </c>
      <c r="X58">
        <f t="shared" si="25"/>
        <v>709</v>
      </c>
      <c r="Y58">
        <f>SUMIF('OS Analysis'!$CD3:$CD1002,$B58,'OS Analysis'!$CS3:$CS1002)</f>
        <v>0</v>
      </c>
      <c r="Z58">
        <f t="shared" si="25"/>
        <v>0</v>
      </c>
      <c r="AA58">
        <f>SUMIF('OS Analysis'!$CU3:$CU1002,$B58,'OS Analysis'!$CW3:$CW1002)</f>
        <v>0</v>
      </c>
      <c r="AB58">
        <f t="shared" si="25"/>
        <v>0</v>
      </c>
      <c r="AC58">
        <f>SUMIF('OS Analysis'!$CU3:$CU1002,$B58,'OS Analysis'!$CX3:$CX1002)</f>
        <v>0</v>
      </c>
      <c r="AD58">
        <f t="shared" si="25"/>
        <v>0</v>
      </c>
      <c r="AE58">
        <v>0</v>
      </c>
      <c r="AF58">
        <f t="shared" si="25"/>
        <v>0</v>
      </c>
      <c r="AG58">
        <v>0</v>
      </c>
      <c r="AH58">
        <f t="shared" si="25"/>
        <v>0</v>
      </c>
      <c r="AI58">
        <v>0</v>
      </c>
      <c r="AJ58">
        <f t="shared" si="25"/>
        <v>0</v>
      </c>
      <c r="AK58">
        <f t="shared" si="26"/>
        <v>73712.98</v>
      </c>
      <c r="AL58">
        <f t="shared" si="25"/>
        <v>730</v>
      </c>
      <c r="AM58">
        <v>0</v>
      </c>
      <c r="AN58">
        <f t="shared" si="25"/>
        <v>0</v>
      </c>
      <c r="AQ58" t="str">
        <f t="shared" si="3"/>
        <v>Benefits &amp; Payroll Taxes</v>
      </c>
      <c r="AR58" t="str">
        <f t="shared" si="27"/>
        <v>T-12 + 3%</v>
      </c>
      <c r="AV58">
        <f t="shared" si="6"/>
        <v>0</v>
      </c>
      <c r="AW58">
        <f>ROUND(IF(AV58=0,0,(AV58)/V1),0)</f>
        <v>0</v>
      </c>
      <c r="AX58">
        <v>0</v>
      </c>
      <c r="AY58">
        <f>ROUND(IF(AX58=0,0,(AX58)/V1),0)</f>
        <v>0</v>
      </c>
    </row>
    <row r="59" ht="15" customHeight="1">
      <c r="A59">
        <f t="shared" si="18"/>
        <v>25</v>
      </c>
      <c r="B59" t="s">
        <v>1929</v>
      </c>
      <c r="D59">
        <f>IF(ISBLANK(D$3),SUMIF('OS Analysis'!$BM3:$BM1002,$B59,'OS Analysis'!$CB3:$CB1002),INDEX($J59:$U59,1,MATCH(D$3,$J$4:$U$4,0)))</f>
        <v>0</v>
      </c>
      <c r="E59">
        <f t="shared" si="25"/>
        <v>0</v>
      </c>
      <c r="F59">
        <f>IF(ISBLANK(F$3),SUMIF('OS Analysis'!$AV3:$AV1002,$B59,'OS Analysis'!$BK3:$BK1002),INDEX($J59:$U59,1,MATCH(F$3,$J$4:$U$4,0)))</f>
        <v>0</v>
      </c>
      <c r="G59">
        <f t="shared" si="25"/>
        <v>0</v>
      </c>
      <c r="H59">
        <f>IF(ISBLANK(H$3),SUMIF('OS Analysis'!$AE3:$AE1002,$B59,'OS Analysis'!$AT3:$AT1002),INDEX($J59:$U59,1,MATCH(H$3,$J$4:$U$4,0)))</f>
        <v>0</v>
      </c>
      <c r="I59">
        <f t="shared" si="25"/>
        <v>0</v>
      </c>
      <c r="J59">
        <f>((SUMIF('OS Analysis'!$B3:$B1002,B59,'OS Analysis'!$AC3:$AC1002))/12)*12</f>
        <v>49624</v>
      </c>
      <c r="K59">
        <f>((SUMIF('OS Analysis'!$B3:$B1002,B59,'OS Analysis'!$AB3:$AB1002))/11)*12</f>
        <v>49602.545454545456</v>
      </c>
      <c r="L59">
        <f>((SUMIF('OS Analysis'!$B3:$B1002,B59,'OS Analysis'!$AA3:$AA1002))/10)*12</f>
        <v>49792.799999999996</v>
      </c>
      <c r="M59">
        <f>((SUMIF('OS Analysis'!$B3:$B1002,B59,'OS Analysis'!$Z3:$Z1002))/9)*12</f>
        <v>47836</v>
      </c>
      <c r="N59">
        <f>((SUMIF('OS Analysis'!$B3:$B1002,B59,'OS Analysis'!$Y3:$Y1002))/8)*12</f>
        <v>47443.5</v>
      </c>
      <c r="O59">
        <f>((SUMIF('OS Analysis'!$B3:$B1002,B59,'OS Analysis'!$X3:$X1002))/7)*12</f>
        <v>48224.57142857143</v>
      </c>
      <c r="P59">
        <f>((SUMIF('OS Analysis'!$B3:$B1002,B59,'OS Analysis'!$W3:$W1002))/6)*12</f>
        <v>45686</v>
      </c>
      <c r="Q59">
        <f>((SUMIF('OS Analysis'!$B3:$B1002,B59,'OS Analysis'!$V3:$V1002))/5)*12</f>
        <v>46980</v>
      </c>
      <c r="R59">
        <f>((SUMIF('OS Analysis'!$B3:$B1002,B59,'OS Analysis'!$U3:$U1002))/4)*12</f>
        <v>46341</v>
      </c>
      <c r="S59">
        <f>((SUMIF('OS Analysis'!$B3:$B1002,B59,'OS Analysis'!$T3:$T1002))/3)*12</f>
        <v>47200</v>
      </c>
      <c r="T59">
        <f>((SUMIF('OS Analysis'!$B3:$B1002,B59,'OS Analysis'!$S3:$S1002))/2)*12</f>
        <v>49560</v>
      </c>
      <c r="U59">
        <f>(SUMIF('OS Analysis'!$B3:$B1002,B59,'OS Analysis'!$R3:$R1002))*12</f>
        <v>22656</v>
      </c>
      <c r="V59">
        <f>SUMIF('OS Analysis'!$B$3:$B$1002,$B59,'OS Analysis'!$Q$3:$Q$1002)</f>
        <v>49624</v>
      </c>
      <c r="W59">
        <f t="shared" si="5"/>
        <v>49624</v>
      </c>
      <c r="X59">
        <f t="shared" si="25"/>
        <v>491</v>
      </c>
      <c r="Y59">
        <f>SUMIF('OS Analysis'!$CD3:$CD1002,$B59,'OS Analysis'!$CS3:$CS1002)</f>
        <v>0</v>
      </c>
      <c r="Z59">
        <f t="shared" si="25"/>
        <v>0</v>
      </c>
      <c r="AA59">
        <f>SUMIF('OS Analysis'!$CU3:$CU1002,$B59,'OS Analysis'!$CW3:$CW1002)</f>
        <v>0</v>
      </c>
      <c r="AB59">
        <f t="shared" si="25"/>
        <v>0</v>
      </c>
      <c r="AC59">
        <f>SUMIF('OS Analysis'!$CU3:$CU1002,$B59,'OS Analysis'!$CX3:$CX1002)</f>
        <v>0</v>
      </c>
      <c r="AD59">
        <f t="shared" si="25"/>
        <v>0</v>
      </c>
      <c r="AE59">
        <v>0</v>
      </c>
      <c r="AF59">
        <f t="shared" si="25"/>
        <v>0</v>
      </c>
      <c r="AG59">
        <v>0</v>
      </c>
      <c r="AH59">
        <f t="shared" si="25"/>
        <v>0</v>
      </c>
      <c r="AI59">
        <v>0</v>
      </c>
      <c r="AJ59">
        <f t="shared" si="25"/>
        <v>0</v>
      </c>
      <c r="AK59">
        <f t="shared" si="26"/>
        <v>51112.72</v>
      </c>
      <c r="AL59">
        <f t="shared" si="25"/>
        <v>506</v>
      </c>
      <c r="AM59">
        <v>0</v>
      </c>
      <c r="AN59">
        <f t="shared" si="25"/>
        <v>0</v>
      </c>
      <c r="AQ59" t="str">
        <f t="shared" si="3"/>
        <v>Advertising &amp; Marketing</v>
      </c>
      <c r="AR59" t="str">
        <f t="shared" si="27"/>
        <v>T-12 + 3%</v>
      </c>
      <c r="AV59">
        <f t="shared" si="6"/>
        <v>0</v>
      </c>
      <c r="AW59">
        <f>ROUND(IF(AV59=0,0,(AV59)/V1),0)</f>
        <v>0</v>
      </c>
      <c r="AX59">
        <v>0</v>
      </c>
      <c r="AY59">
        <f>ROUND(IF(AX59=0,0,(AX59)/V1),0)</f>
        <v>0</v>
      </c>
    </row>
    <row r="60" ht="15" customHeight="1">
      <c r="A60">
        <f t="shared" si="18"/>
        <v>26</v>
      </c>
      <c r="B60" t="s">
        <v>1930</v>
      </c>
      <c r="D60">
        <f>IF(ISBLANK(D$3),SUMIF('OS Analysis'!$BM3:$BM1002,$B60,'OS Analysis'!$CB3:$CB1002),INDEX($J60:$U60,1,MATCH(D$3,$J$4:$U$4,0)))</f>
        <v>0</v>
      </c>
      <c r="E60">
        <f t="shared" si="25"/>
        <v>0</v>
      </c>
      <c r="F60">
        <f>IF(ISBLANK(F$3),SUMIF('OS Analysis'!$AV3:$AV1002,$B60,'OS Analysis'!$BK3:$BK1002),INDEX($J60:$U60,1,MATCH(F$3,$J$4:$U$4,0)))</f>
        <v>0</v>
      </c>
      <c r="G60">
        <f t="shared" si="25"/>
        <v>0</v>
      </c>
      <c r="H60">
        <f>IF(ISBLANK(H$3),SUMIF('OS Analysis'!$AE3:$AE1002,$B60,'OS Analysis'!$AT3:$AT1002),INDEX($J60:$U60,1,MATCH(H$3,$J$4:$U$4,0)))</f>
        <v>0</v>
      </c>
      <c r="I60">
        <f t="shared" si="25"/>
        <v>0</v>
      </c>
      <c r="J60">
        <f>((SUMIF('OS Analysis'!$B3:$B1002,B60,'OS Analysis'!$AC3:$AC1002))/12)*12</f>
        <v>18386</v>
      </c>
      <c r="K60">
        <f>((SUMIF('OS Analysis'!$B3:$B1002,B60,'OS Analysis'!$AB3:$AB1002))/11)*12</f>
        <v>17412</v>
      </c>
      <c r="L60">
        <f>((SUMIF('OS Analysis'!$B3:$B1002,B60,'OS Analysis'!$AA3:$AA1002))/10)*12</f>
        <v>20241.6</v>
      </c>
      <c r="M60">
        <f>((SUMIF('OS Analysis'!$B3:$B1002,B60,'OS Analysis'!$Z3:$Z1002))/9)*12</f>
        <v>21221.333333333332</v>
      </c>
      <c r="N60">
        <f>((SUMIF('OS Analysis'!$B3:$B1002,B60,'OS Analysis'!$Y3:$Y1002))/8)*12</f>
        <v>19116</v>
      </c>
      <c r="O60">
        <f>((SUMIF('OS Analysis'!$B3:$B1002,B60,'OS Analysis'!$X3:$X1002))/7)*12</f>
        <v>17972.571428571428</v>
      </c>
      <c r="P60">
        <f>((SUMIF('OS Analysis'!$B3:$B1002,B60,'OS Analysis'!$W3:$W1002))/6)*12</f>
        <v>21448</v>
      </c>
      <c r="Q60">
        <f>((SUMIF('OS Analysis'!$B3:$B1002,B60,'OS Analysis'!$V3:$V1002))/5)*12</f>
        <v>8515.2</v>
      </c>
      <c r="R60">
        <f>((SUMIF('OS Analysis'!$B3:$B1002,B60,'OS Analysis'!$U3:$U1002))/4)*12</f>
        <v>2919</v>
      </c>
      <c r="S60">
        <f>((SUMIF('OS Analysis'!$B3:$B1002,B60,'OS Analysis'!$T3:$T1002))/3)*12</f>
        <v>3892</v>
      </c>
      <c r="T60">
        <f>((SUMIF('OS Analysis'!$B3:$B1002,B60,'OS Analysis'!$S3:$S1002))/2)*12</f>
        <v>8322</v>
      </c>
      <c r="U60">
        <f>(SUMIF('OS Analysis'!$B3:$B1002,B60,'OS Analysis'!$R3:$R1002))*12</f>
        <v>0</v>
      </c>
      <c r="V60">
        <f>SUMIF('OS Analysis'!$B$3:$B$1002,$B60,'OS Analysis'!$Q$3:$Q$1002)</f>
        <v>18386</v>
      </c>
      <c r="W60">
        <f t="shared" si="5"/>
        <v>18386</v>
      </c>
      <c r="X60">
        <f t="shared" si="25"/>
        <v>182</v>
      </c>
      <c r="Y60">
        <f>SUMIF('OS Analysis'!$CD3:$CD1002,$B60,'OS Analysis'!$CS3:$CS1002)</f>
        <v>0</v>
      </c>
      <c r="Z60">
        <f t="shared" si="25"/>
        <v>0</v>
      </c>
      <c r="AA60">
        <f>SUMIF('OS Analysis'!$CU3:$CU1002,$B60,'OS Analysis'!$CW3:$CW1002)</f>
        <v>0</v>
      </c>
      <c r="AB60">
        <f t="shared" si="25"/>
        <v>0</v>
      </c>
      <c r="AC60">
        <f>SUMIF('OS Analysis'!$CU3:$CU1002,$B60,'OS Analysis'!$CX3:$CX1002)</f>
        <v>0</v>
      </c>
      <c r="AD60">
        <f t="shared" si="25"/>
        <v>0</v>
      </c>
      <c r="AE60">
        <v>0</v>
      </c>
      <c r="AF60">
        <f t="shared" si="25"/>
        <v>0</v>
      </c>
      <c r="AG60">
        <v>0</v>
      </c>
      <c r="AH60">
        <f t="shared" si="25"/>
        <v>0</v>
      </c>
      <c r="AI60">
        <v>0</v>
      </c>
      <c r="AJ60">
        <f t="shared" si="25"/>
        <v>0</v>
      </c>
      <c r="AK60">
        <f t="shared" si="26"/>
        <v>18937.58</v>
      </c>
      <c r="AL60">
        <f t="shared" si="25"/>
        <v>188</v>
      </c>
      <c r="AM60">
        <v>0</v>
      </c>
      <c r="AN60">
        <f t="shared" si="25"/>
        <v>0</v>
      </c>
      <c r="AQ60" t="str">
        <f t="shared" si="3"/>
        <v>Professional Fees</v>
      </c>
      <c r="AR60" t="str">
        <f t="shared" si="27"/>
        <v>T-12 + 3%</v>
      </c>
      <c r="AV60">
        <f t="shared" si="6"/>
        <v>0</v>
      </c>
      <c r="AW60">
        <f>ROUND(IF(AV60=0,0,(AV60)/V1),0)</f>
        <v>0</v>
      </c>
      <c r="AX60">
        <v>0</v>
      </c>
      <c r="AY60">
        <f>ROUND(IF(AX60=0,0,(AX60)/V1),0)</f>
        <v>0</v>
      </c>
    </row>
    <row r="61" ht="13.5" customHeight="1" hidden="1">
      <c r="A61">
        <f>IF('SBL Quotes'!$AN$32="Seniors",A60+1,A60)</f>
        <v>26</v>
      </c>
      <c r="B61" t="s">
        <v>1931</v>
      </c>
      <c r="D61">
        <f>IF(ISBLANK(D$3),SUMIF('OS Analysis'!$BM3:$BM1002,$B61,'OS Analysis'!$CB3:$CB1002),INDEX($J61:$U61,1,MATCH(D$3,$J$4:$U$4,0)))</f>
        <v>0</v>
      </c>
      <c r="E61">
        <f t="shared" si="25"/>
        <v>0</v>
      </c>
      <c r="F61">
        <f>IF(ISBLANK(F$3),SUMIF('OS Analysis'!$AV3:$AV1002,$B61,'OS Analysis'!$BK3:$BK1002),INDEX($J61:$U61,1,MATCH(F$3,$J$4:$U$4,0)))</f>
        <v>0</v>
      </c>
      <c r="G61">
        <f t="shared" si="25"/>
        <v>0</v>
      </c>
      <c r="H61">
        <f>IF(ISBLANK(H$3),SUMIF('OS Analysis'!$AE3:$AE1002,$B61,'OS Analysis'!$AT3:$AT1002),INDEX($J61:$U61,1,MATCH(H$3,$J$4:$U$4,0)))</f>
        <v>0</v>
      </c>
      <c r="I61">
        <f t="shared" si="25"/>
        <v>0</v>
      </c>
      <c r="J61">
        <f>((SUMIF('OS Analysis'!$B3:$B1002,B61,'OS Analysis'!$AC3:$AC1002))/12)*12</f>
        <v>0</v>
      </c>
      <c r="K61">
        <f>((SUMIF('OS Analysis'!$B3:$B1002,B61,'OS Analysis'!$AB3:$AB1002))/11)*12</f>
        <v>0</v>
      </c>
      <c r="L61">
        <f>((SUMIF('OS Analysis'!$B3:$B1002,B61,'OS Analysis'!$AA3:$AA1002))/10)*12</f>
        <v>0</v>
      </c>
      <c r="M61">
        <f>((SUMIF('OS Analysis'!$B3:$B1002,B61,'OS Analysis'!$Z3:$Z1002))/9)*12</f>
        <v>0</v>
      </c>
      <c r="N61">
        <f>((SUMIF('OS Analysis'!$B3:$B1002,B61,'OS Analysis'!$Y3:$Y1002))/8)*12</f>
        <v>0</v>
      </c>
      <c r="O61">
        <f>((SUMIF('OS Analysis'!$B3:$B1002,B61,'OS Analysis'!$X3:$X1002))/7)*12</f>
        <v>0</v>
      </c>
      <c r="P61">
        <f>((SUMIF('OS Analysis'!$B3:$B1002,B61,'OS Analysis'!$W3:$W1002))/6)*12</f>
        <v>0</v>
      </c>
      <c r="Q61">
        <f>((SUMIF('OS Analysis'!$B3:$B1002,B61,'OS Analysis'!$V3:$V1002))/5)*12</f>
        <v>0</v>
      </c>
      <c r="R61">
        <f>((SUMIF('OS Analysis'!$B3:$B1002,B61,'OS Analysis'!$U3:$U1002))/4)*12</f>
        <v>0</v>
      </c>
      <c r="S61">
        <f>((SUMIF('OS Analysis'!$B3:$B1002,B61,'OS Analysis'!$T3:$T1002))/3)*12</f>
        <v>0</v>
      </c>
      <c r="T61">
        <f>((SUMIF('OS Analysis'!$B3:$B1002,B61,'OS Analysis'!$S3:$S1002))/2)*12</f>
        <v>0</v>
      </c>
      <c r="U61">
        <f>(SUMIF('OS Analysis'!$B3:$B1002,B61,'OS Analysis'!$R3:$R1002))*12</f>
        <v>0</v>
      </c>
      <c r="V61">
        <f>SUMIF('OS Analysis'!$B$3:$B$1002,$B61,'OS Analysis'!$Q$3:$Q$1002)</f>
        <v>0</v>
      </c>
      <c r="W61">
        <f t="shared" si="5"/>
        <v>0</v>
      </c>
      <c r="X61">
        <f t="shared" si="25"/>
        <v>0</v>
      </c>
      <c r="Y61">
        <f>SUMIF('OS Analysis'!$CD3:$CD1002,$B61,'OS Analysis'!$CS3:$CS1002)</f>
        <v>0</v>
      </c>
      <c r="Z61">
        <f t="shared" si="25"/>
        <v>0</v>
      </c>
      <c r="AA61">
        <f>SUMIF('OS Analysis'!$CU3:$CU1002,$B61,'OS Analysis'!$CW3:$CW1002)</f>
        <v>0</v>
      </c>
      <c r="AB61">
        <f t="shared" si="25"/>
        <v>0</v>
      </c>
      <c r="AC61">
        <f>SUMIF('OS Analysis'!$CU3:$CU1002,$B61,'OS Analysis'!$CX3:$CX1002)</f>
        <v>0</v>
      </c>
      <c r="AD61">
        <f t="shared" si="25"/>
        <v>0</v>
      </c>
      <c r="AE61">
        <v>0</v>
      </c>
      <c r="AF61">
        <f t="shared" si="25"/>
        <v>0</v>
      </c>
      <c r="AG61">
        <v>0</v>
      </c>
      <c r="AH61">
        <f t="shared" si="25"/>
        <v>0</v>
      </c>
      <c r="AI61">
        <v>0</v>
      </c>
      <c r="AJ61">
        <f t="shared" si="25"/>
        <v>0</v>
      </c>
      <c r="AK61">
        <f t="shared" si="26"/>
        <v>0</v>
      </c>
      <c r="AL61">
        <f t="shared" si="25"/>
        <v>0</v>
      </c>
      <c r="AM61">
        <v>0</v>
      </c>
      <c r="AN61">
        <f t="shared" si="25"/>
        <v>0</v>
      </c>
      <c r="AQ61" t="str">
        <f t="shared" si="3"/>
        <v>Meals Expense (Seniors Only)</v>
      </c>
      <c r="AR61">
        <f t="shared" si="27"/>
      </c>
      <c r="AV61">
        <f t="shared" si="6"/>
        <v>0</v>
      </c>
      <c r="AW61">
        <f>ROUND(IF(AV61=0,0,(AV61)/C2),0)</f>
        <v>0</v>
      </c>
      <c r="AX61">
        <v>0</v>
      </c>
      <c r="AY61">
        <f>ROUND(IF(AX61=0,0,(AX61)/C2),0)</f>
        <v>0</v>
      </c>
    </row>
    <row r="62" ht="13.5" customHeight="1" hidden="1">
      <c r="A62">
        <f>IF('SBL Quotes'!$AN$32="Seniors",A61+1,A61)</f>
        <v>26</v>
      </c>
      <c r="B62" t="s">
        <v>1932</v>
      </c>
      <c r="D62">
        <f>IF(ISBLANK(D$3),SUMIF('OS Analysis'!$BM3:$BM1002,$B62,'OS Analysis'!$CB3:$CB1002),INDEX($J62:$U62,1,MATCH(D$3,$J$4:$U$4,0)))</f>
        <v>0</v>
      </c>
      <c r="E62">
        <f t="shared" si="25"/>
        <v>0</v>
      </c>
      <c r="F62">
        <f>IF(ISBLANK(F$3),SUMIF('OS Analysis'!$AV3:$AV1002,$B62,'OS Analysis'!$BK3:$BK1002),INDEX($J62:$U62,1,MATCH(F$3,$J$4:$U$4,0)))</f>
        <v>0</v>
      </c>
      <c r="G62">
        <f t="shared" si="25"/>
        <v>0</v>
      </c>
      <c r="H62">
        <f>IF(ISBLANK(H$3),SUMIF('OS Analysis'!$AE3:$AE1002,$B62,'OS Analysis'!$AT3:$AT1002),INDEX($J62:$U62,1,MATCH(H$3,$J$4:$U$4,0)))</f>
        <v>0</v>
      </c>
      <c r="I62">
        <f t="shared" si="25"/>
        <v>0</v>
      </c>
      <c r="J62">
        <f>((SUMIF('OS Analysis'!$B3:$B1002,B62,'OS Analysis'!$AC3:$AC1002))/12)*12</f>
        <v>0</v>
      </c>
      <c r="K62">
        <f>((SUMIF('OS Analysis'!$B3:$B1002,B62,'OS Analysis'!$AB3:$AB1002))/11)*12</f>
        <v>0</v>
      </c>
      <c r="L62">
        <f>((SUMIF('OS Analysis'!$B3:$B1002,B62,'OS Analysis'!$AA3:$AA1002))/10)*12</f>
        <v>0</v>
      </c>
      <c r="M62">
        <f>((SUMIF('OS Analysis'!$B3:$B1002,B62,'OS Analysis'!$Z3:$Z1002))/9)*12</f>
        <v>0</v>
      </c>
      <c r="N62">
        <f>((SUMIF('OS Analysis'!$B3:$B1002,B62,'OS Analysis'!$Y3:$Y1002))/8)*12</f>
        <v>0</v>
      </c>
      <c r="O62">
        <f>((SUMIF('OS Analysis'!$B3:$B1002,B62,'OS Analysis'!$X3:$X1002))/7)*12</f>
        <v>0</v>
      </c>
      <c r="P62">
        <f>((SUMIF('OS Analysis'!$B3:$B1002,B62,'OS Analysis'!$W3:$W1002))/6)*12</f>
        <v>0</v>
      </c>
      <c r="Q62">
        <f>((SUMIF('OS Analysis'!$B3:$B1002,B62,'OS Analysis'!$V3:$V1002))/5)*12</f>
        <v>0</v>
      </c>
      <c r="R62">
        <f>((SUMIF('OS Analysis'!$B3:$B1002,B62,'OS Analysis'!$U3:$U1002))/4)*12</f>
        <v>0</v>
      </c>
      <c r="S62">
        <f>((SUMIF('OS Analysis'!$B3:$B1002,B62,'OS Analysis'!$T3:$T1002))/3)*12</f>
        <v>0</v>
      </c>
      <c r="T62">
        <f>((SUMIF('OS Analysis'!$B3:$B1002,B62,'OS Analysis'!$S3:$S1002))/2)*12</f>
        <v>0</v>
      </c>
      <c r="U62">
        <f>(SUMIF('OS Analysis'!$B3:$B1002,B62,'OS Analysis'!$R3:$R1002))*12</f>
        <v>0</v>
      </c>
      <c r="V62">
        <f>SUMIF('OS Analysis'!$B$3:$B$1002,$B62,'OS Analysis'!$Q$3:$Q$1002)</f>
        <v>0</v>
      </c>
      <c r="W62">
        <f t="shared" si="5"/>
        <v>0</v>
      </c>
      <c r="X62">
        <f t="shared" si="25"/>
        <v>0</v>
      </c>
      <c r="Y62">
        <f>SUMIF('OS Analysis'!$CD3:$CD1002,$B62,'OS Analysis'!$CS3:$CS1002)</f>
        <v>0</v>
      </c>
      <c r="Z62">
        <f t="shared" si="25"/>
        <v>0</v>
      </c>
      <c r="AA62">
        <f>SUMIF('OS Analysis'!$CU3:$CU1002,$B62,'OS Analysis'!$CW3:$CW1002)</f>
        <v>0</v>
      </c>
      <c r="AB62">
        <f t="shared" si="25"/>
        <v>0</v>
      </c>
      <c r="AC62">
        <f>SUMIF('OS Analysis'!$CU3:$CU1002,$B62,'OS Analysis'!$CX3:$CX1002)</f>
        <v>0</v>
      </c>
      <c r="AD62">
        <f t="shared" si="25"/>
        <v>0</v>
      </c>
      <c r="AE62">
        <v>0</v>
      </c>
      <c r="AF62">
        <f t="shared" si="25"/>
        <v>0</v>
      </c>
      <c r="AG62">
        <v>0</v>
      </c>
      <c r="AH62">
        <f t="shared" si="25"/>
        <v>0</v>
      </c>
      <c r="AI62">
        <v>0</v>
      </c>
      <c r="AJ62">
        <f t="shared" si="25"/>
        <v>0</v>
      </c>
      <c r="AK62">
        <f t="shared" si="26"/>
        <v>0</v>
      </c>
      <c r="AL62">
        <f t="shared" si="25"/>
        <v>0</v>
      </c>
      <c r="AM62">
        <v>0</v>
      </c>
      <c r="AN62">
        <f t="shared" si="25"/>
        <v>0</v>
      </c>
      <c r="AQ62" t="str">
        <f t="shared" si="3"/>
        <v>Room Expense - House Keeping (Seniors Only)</v>
      </c>
      <c r="AR62">
        <f t="shared" si="27"/>
      </c>
      <c r="AV62">
        <f t="shared" si="6"/>
        <v>0</v>
      </c>
      <c r="AW62">
        <f>ROUND(IF(AV62=0,0,(AV62)/#REF!),0)</f>
        <v>0</v>
      </c>
      <c r="AX62">
        <v>0</v>
      </c>
      <c r="AY62">
        <f>ROUND(IF(AX62=0,0,(AX62)/#REF!),0)</f>
        <v>0</v>
      </c>
    </row>
    <row r="63" ht="14.25" customHeight="1">
      <c r="A63">
        <f t="shared" si="18"/>
        <v>27</v>
      </c>
      <c r="B63" t="s">
        <v>1933</v>
      </c>
      <c r="D63">
        <f>IF(ISBLANK(D$3),SUMIF('OS Analysis'!$BM3:$BM1002,$B63,'OS Analysis'!$CB3:$CB1002),INDEX($J63:$U63,1,MATCH(D$3,$J$4:$U$4,0)))</f>
        <v>0</v>
      </c>
      <c r="E63">
        <f t="shared" si="25"/>
        <v>0</v>
      </c>
      <c r="F63">
        <f>IF(ISBLANK(F$3),SUMIF('OS Analysis'!$AV3:$AV1002,$B63,'OS Analysis'!$BK3:$BK1002),INDEX($J63:$U63,1,MATCH(F$3,$J$4:$U$4,0)))</f>
        <v>0</v>
      </c>
      <c r="G63">
        <f t="shared" si="25"/>
        <v>0</v>
      </c>
      <c r="H63">
        <f>IF(ISBLANK(H$3),SUMIF('OS Analysis'!$AE3:$AE1002,$B63,'OS Analysis'!$AT3:$AT1002),INDEX($J63:$U63,1,MATCH(H$3,$J$4:$U$4,0)))</f>
        <v>0</v>
      </c>
      <c r="I63">
        <f t="shared" si="25"/>
        <v>0</v>
      </c>
      <c r="J63">
        <f>((SUMIF('OS Analysis'!$B3:$B1002,B63,'OS Analysis'!$AC3:$AC1002))/12)*12</f>
        <v>204085</v>
      </c>
      <c r="K63">
        <f>((SUMIF('OS Analysis'!$B3:$B1002,B63,'OS Analysis'!$AB3:$AB1002))/11)*12</f>
        <v>192807.27272727274</v>
      </c>
      <c r="L63">
        <f>((SUMIF('OS Analysis'!$B3:$B1002,B63,'OS Analysis'!$AA3:$AA1002))/10)*12</f>
        <v>188283.59999999998</v>
      </c>
      <c r="M63">
        <f>((SUMIF('OS Analysis'!$B3:$B1002,B63,'OS Analysis'!$Z3:$Z1002))/9)*12</f>
        <v>187734.66666666666</v>
      </c>
      <c r="N63">
        <f>((SUMIF('OS Analysis'!$B3:$B1002,B63,'OS Analysis'!$Y3:$Y1002))/8)*12</f>
        <v>177015</v>
      </c>
      <c r="O63">
        <f>((SUMIF('OS Analysis'!$B3:$B1002,B63,'OS Analysis'!$X3:$X1002))/7)*12</f>
        <v>175253.14285714284</v>
      </c>
      <c r="P63">
        <f>((SUMIF('OS Analysis'!$B3:$B1002,B63,'OS Analysis'!$W3:$W1002))/6)*12</f>
        <v>178708</v>
      </c>
      <c r="Q63">
        <f>((SUMIF('OS Analysis'!$B3:$B1002,B63,'OS Analysis'!$V3:$V1002))/5)*12</f>
        <v>163255.2</v>
      </c>
      <c r="R63">
        <f>((SUMIF('OS Analysis'!$B3:$B1002,B63,'OS Analysis'!$U3:$U1002))/4)*12</f>
        <v>188778</v>
      </c>
      <c r="S63">
        <f>((SUMIF('OS Analysis'!$B3:$B1002,B63,'OS Analysis'!$T3:$T1002))/3)*12</f>
        <v>200908</v>
      </c>
      <c r="T63">
        <f>((SUMIF('OS Analysis'!$B3:$B1002,B63,'OS Analysis'!$S3:$S1002))/2)*12</f>
        <v>215946</v>
      </c>
      <c r="U63">
        <f>(SUMIF('OS Analysis'!$B3:$B1002,B63,'OS Analysis'!$R3:$R1002))*12</f>
        <v>193488</v>
      </c>
      <c r="V63">
        <f>SUMIF('OS Analysis'!$B$3:$B$1002,$B63,'OS Analysis'!$Q$3:$Q$1002)</f>
        <v>204085</v>
      </c>
      <c r="W63">
        <f t="shared" si="5"/>
        <v>204085</v>
      </c>
      <c r="X63">
        <f t="shared" si="25"/>
        <v>2021</v>
      </c>
      <c r="Y63">
        <f>SUMIF('OS Analysis'!$CD3:$CD1002,$B63,'OS Analysis'!$CS3:$CS1002)</f>
        <v>0</v>
      </c>
      <c r="Z63">
        <f t="shared" si="25"/>
        <v>0</v>
      </c>
      <c r="AA63">
        <f>SUMIF('OS Analysis'!$CU3:$CU1002,$B63,'OS Analysis'!$CW3:$CW1002)</f>
        <v>0</v>
      </c>
      <c r="AB63">
        <f t="shared" si="25"/>
        <v>0</v>
      </c>
      <c r="AC63">
        <f>SUMIF('OS Analysis'!$CU3:$CU1002,$B63,'OS Analysis'!$CX3:$CX1002)</f>
        <v>0</v>
      </c>
      <c r="AD63">
        <f t="shared" si="25"/>
        <v>0</v>
      </c>
      <c r="AE63">
        <v>0</v>
      </c>
      <c r="AF63">
        <f t="shared" si="25"/>
        <v>0</v>
      </c>
      <c r="AG63">
        <v>0</v>
      </c>
      <c r="AH63">
        <f t="shared" si="25"/>
        <v>0</v>
      </c>
      <c r="AI63">
        <v>0</v>
      </c>
      <c r="AJ63">
        <f t="shared" si="25"/>
        <v>0</v>
      </c>
      <c r="AK63">
        <f t="shared" si="26"/>
        <v>210207.55</v>
      </c>
      <c r="AL63">
        <f t="shared" si="25"/>
        <v>2081</v>
      </c>
      <c r="AM63">
        <v>0</v>
      </c>
      <c r="AN63">
        <f t="shared" si="25"/>
        <v>0</v>
      </c>
      <c r="AQ63" t="str">
        <f t="shared" si="3"/>
        <v>General Administrative</v>
      </c>
      <c r="AR63" t="str">
        <f t="shared" si="27"/>
        <v>T-12 + 3%</v>
      </c>
      <c r="AV63">
        <f t="shared" si="6"/>
        <v>0</v>
      </c>
      <c r="AW63">
        <f>ROUND(IF(AV63=0,0,(AV63)/V1),0)</f>
        <v>0</v>
      </c>
      <c r="AX63">
        <v>0</v>
      </c>
      <c r="AY63">
        <f>ROUND(IF(AX63=0,0,(AX63)/V1),0)</f>
        <v>0</v>
      </c>
    </row>
    <row r="64" ht="14.25" customHeight="1">
      <c r="A64">
        <f t="shared" si="18"/>
        <v>28</v>
      </c>
      <c r="B64" t="s">
        <v>1934</v>
      </c>
      <c r="D64">
        <f>IF(ISBLANK(D$3),-SUMIF('OS Analysis'!$BM3:$BM1002,"Office / Model Apts. (income line item)",'OS Analysis'!$CB3:$CB1002)+SUMIF('OS Analysis'!$BM3:$BM1002,"Office / Model Apts. (expense line item)",'OS Analysis'!$CB3:$CB1002),INDEX($J64:$U64,1,MATCH(D$3,$J$4:$U$4,0)))</f>
        <v>0</v>
      </c>
      <c r="E64">
        <f t="shared" si="25"/>
        <v>0</v>
      </c>
      <c r="F64">
        <f>IF(ISBLANK(F$3),-SUMIF('OS Analysis'!$AV3:$AV1002,"Office / Model Apts. (income line item)",'OS Analysis'!$BK3:$BK1002)+SUMIF('OS Analysis'!$AV3:$AV1002,"Office / Model Apts. (expense line item)",'OS Analysis'!$BK3:$BK1002),INDEX($J64:$U64,1,MATCH(F$3,$J$4:$U$4,0)))</f>
        <v>0</v>
      </c>
      <c r="G64">
        <f t="shared" si="25"/>
        <v>0</v>
      </c>
      <c r="H64">
        <f>IF(ISBLANK(H$3),-SUMIF('OS Analysis'!$AE3:$AE1002,"Office / Model Apts. (income line item)",'OS Analysis'!$AT3:$AT1002)+SUMIF('OS Analysis'!$AE3:$AE1002,"Office / Model Apts. (expense line item)",'OS Analysis'!$AT3:$AT1002),INDEX($J64:$U64,1,MATCH(H$3,$J$4:$U$4,0)))</f>
        <v>0</v>
      </c>
      <c r="I64">
        <f t="shared" si="25"/>
        <v>0</v>
      </c>
      <c r="J64">
        <f>-(((SUMIF('OS Analysis'!$B3:$B1002,"Office / Model Apts. (income line item)",'OS Analysis'!$AC3:$AC1002))/12)*12)+(((SUMIF('OS Analysis'!$B3:$B1002,"Office / Model Apts. (expense line item)",'OS Analysis'!$AC3:$AC1002))/12)*12)</f>
        <v>0</v>
      </c>
      <c r="K64">
        <f>-(((SUMIF('OS Analysis'!$B3:$B1002,"Office / Model Apts. (income line item)",'OS Analysis'!$AB3:$AB1002))/11)*12)+(((SUMIF('OS Analysis'!$B3:$B1002,"Office / Model Apts. (expense line item)",'OS Analysis'!$AB3:$AB1002))/11)*12)</f>
        <v>0</v>
      </c>
      <c r="L64">
        <f>-(((SUMIF('OS Analysis'!$B3:$B1002,"Office / Model Apts. (income line item)",'OS Analysis'!$AA3:$AA1002))/10)*12)+(((SUMIF('OS Analysis'!$B3:$B1002,"Office / Model Apts. (expense line item)",'OS Analysis'!$AA3:$AA1002))/10)*12)</f>
        <v>0</v>
      </c>
      <c r="M64">
        <f>-(((SUMIF('OS Analysis'!$B3:$B1002,"Office / Model Apts. (income line item)",'OS Analysis'!$Z3:$Z1002))/9)*12)+(((SUMIF('OS Analysis'!$B3:$B1002,"Office / Model Apts. (expense line item)",'OS Analysis'!$Z3:$Z1002))/9)*12)</f>
        <v>0</v>
      </c>
      <c r="N64">
        <f>-(((SUMIF('OS Analysis'!$B3:$B1002,"Office / Model Apts. (income line item)",'OS Analysis'!$Y3:$Y1002))/8)*12)+(((SUMIF('OS Analysis'!$B3:$B1002,"Office / Model Apts. (expense line item)",'OS Analysis'!$Y3:$Y1002))/8)*12)</f>
        <v>0</v>
      </c>
      <c r="O64">
        <f>-(((SUMIF('OS Analysis'!$B3:$B1002,"Office / Model Apts. (income line item)",'OS Analysis'!$X3:$X1002))/7)*12)+(((SUMIF('OS Analysis'!$B3:$B1002,"Office / Model Apts. (expense line item)",'OS Analysis'!$X3:$X1002))/7)*12)</f>
        <v>0</v>
      </c>
      <c r="P64">
        <f>-(((SUMIF('OS Analysis'!$B3:$B1002,"Office / Model Apts. (income line item)",'OS Analysis'!$W3:$W1002))/6)*12)+(((SUMIF('OS Analysis'!$B3:$B1002,"Office / Model Apts. (expense line item)",'OS Analysis'!$W3:$W1002))/6)*12)</f>
        <v>0</v>
      </c>
      <c r="Q64">
        <f>-(((SUMIF('OS Analysis'!$B3:$B1002,"Office / Model Apts. (income line item)",'OS Analysis'!$V3:$V1002))/5)*12)+(((SUMIF('OS Analysis'!$B3:$B1002,"Office / Model Apts. (expense line item)",'OS Analysis'!$V3:$V1002))/5)*12)</f>
        <v>0</v>
      </c>
      <c r="R64">
        <f>-(((SUMIF('OS Analysis'!$B3:$B1002,"Office / Model Apts. (income line item)",'OS Analysis'!$U3:$U1002))/4)*12)+(((SUMIF('OS Analysis'!$B3:$B1002,"Office / Model Apts. (expense line item)",'OS Analysis'!$U3:$U1002))/4)*12)</f>
        <v>0</v>
      </c>
      <c r="S64">
        <f>-(((SUMIF('OS Analysis'!$B3:$B1002,"Office / Model Apts. (income line item)",'OS Analysis'!$T3:$T1002))/3)*12)+(((SUMIF('OS Analysis'!$B3:$B1002,"Office / Model Apts. (expense line item)",'OS Analysis'!$T3:$T1002))/3)*12)</f>
        <v>0</v>
      </c>
      <c r="T64">
        <f>-(((SUMIF('OS Analysis'!$B3:$B1002,"Office / Model Apts. (income line item)",'OS Analysis'!$S3:$S1002))/2)*12)+(((SUMIF('OS Analysis'!$B3:$B1002,"Office / Model Apts. (expense line item)",'OS Analysis'!$S3:$S1002))/2)*12)</f>
        <v>0</v>
      </c>
      <c r="U64">
        <f>-(((SUMIF('OS Analysis'!$B3:$B1002,"Office / Model Apts. (income line item)",'OS Analysis'!$R3:$R1002)))*12)+(((SUMIF('OS Analysis'!$B3:$B1002,"Office / Model Apts. (expense line item)",'OS Analysis'!$R3:$R1002)))*12)</f>
        <v>0</v>
      </c>
      <c r="V64">
        <f>-SUMIF('OS Analysis'!$B$3:$B$1002,"Office / Model Apts. (income line item)",'OS Analysis'!$Q$3:$Q$1002)+SUMIF('OS Analysis'!$B$3:$B$1002,"Office / Model Apts. (expense line item)",'OS Analysis'!$Q$3:$Q$1002)</f>
        <v>0</v>
      </c>
      <c r="W64">
        <f t="shared" si="5"/>
        <v>0</v>
      </c>
      <c r="X64">
        <f t="shared" si="25"/>
        <v>0</v>
      </c>
      <c r="Y64">
        <f>-SUMIF('OS Analysis'!$CD3:$CD1002,"Office / Model Apts. (income line item)",'OS Analysis'!$CS3:$CS1002)+SUMIF('OS Analysis'!$CD3:$CD1002,"Office / Model Apts. (expense line item)",'OS Analysis'!$CS3:$CS1002)</f>
        <v>0</v>
      </c>
      <c r="Z64">
        <f t="shared" si="25"/>
        <v>0</v>
      </c>
      <c r="AA64">
        <f>-SUMIF('OS Analysis'!$CU3:$CU1002,"Office / Model Apts. (income line item)",'OS Analysis'!$CW3:$CW1002)+SUMIF('OS Analysis'!$CU3:$CU1002,"Office / Model Apts. (expense line item)",'OS Analysis'!$CW3:$CW1002)</f>
        <v>0</v>
      </c>
      <c r="AB64">
        <f t="shared" si="25"/>
        <v>0</v>
      </c>
      <c r="AC64">
        <f>-SUMIF('OS Analysis'!$CU3:$CU1002,"Office / Model Apts. (income line item)",'OS Analysis'!$CX3:$CX1002)+SUMIF('OS Analysis'!$CU3:$CU1002,"Office / Model Apts. (expense line item)",'OS Analysis'!$CX3:$CX1002)</f>
        <v>0</v>
      </c>
      <c r="AD64">
        <f t="shared" si="25"/>
        <v>0</v>
      </c>
      <c r="AE64">
        <v>0</v>
      </c>
      <c r="AF64">
        <f t="shared" si="25"/>
        <v>0</v>
      </c>
      <c r="AG64">
        <v>0</v>
      </c>
      <c r="AH64">
        <f t="shared" si="25"/>
        <v>0</v>
      </c>
      <c r="AI64">
        <v>0</v>
      </c>
      <c r="AJ64">
        <f t="shared" si="25"/>
        <v>0</v>
      </c>
      <c r="AK64">
        <f t="shared" si="26"/>
        <v>0</v>
      </c>
      <c r="AL64">
        <f t="shared" si="25"/>
        <v>0</v>
      </c>
      <c r="AM64">
        <v>0</v>
      </c>
      <c r="AN64">
        <f t="shared" si="25"/>
        <v>0</v>
      </c>
      <c r="AQ64" t="str">
        <f t="shared" si="3"/>
        <v>Office / Model Apts.</v>
      </c>
      <c r="AR64">
        <f t="shared" si="27"/>
      </c>
      <c r="AV64">
        <f t="shared" si="6"/>
        <v>0</v>
      </c>
      <c r="AW64">
        <f>ROUND(IF(AV64=0,0,(AV64)/V1),0)</f>
        <v>0</v>
      </c>
      <c r="AX64">
        <v>0</v>
      </c>
      <c r="AY64">
        <f>ROUND(IF(AX64=0,0,(AX64)/V1),0)</f>
        <v>0</v>
      </c>
    </row>
    <row r="65" ht="14.25" customHeight="1">
      <c r="A65">
        <f t="shared" si="18"/>
        <v>29</v>
      </c>
      <c r="B65" t="s">
        <v>1935</v>
      </c>
      <c r="D65">
        <f>IF(ISBLANK(D$3),SUMIF('OS Analysis'!$BM3:$BM1002,$B65,'OS Analysis'!$CB3:$CB1002),INDEX($J65:$U65,1,MATCH(D$3,$J$4:$U$4,0)))</f>
        <v>0</v>
      </c>
      <c r="E65">
        <f t="shared" si="25"/>
        <v>0</v>
      </c>
      <c r="F65">
        <f>IF(ISBLANK(F$3),SUMIF('OS Analysis'!$AV3:$AV1002,$B65,'OS Analysis'!$BK3:$BK1002),INDEX($J65:$U65,1,MATCH(F$3,$J$4:$U$4,0)))</f>
        <v>0</v>
      </c>
      <c r="G65">
        <f t="shared" si="25"/>
        <v>0</v>
      </c>
      <c r="H65">
        <f>IF(ISBLANK(H$3),SUMIF('OS Analysis'!$AE3:$AE1002,$B65,'OS Analysis'!$AT3:$AT1002),INDEX($J65:$U65,1,MATCH(H$3,$J$4:$U$4,0)))</f>
        <v>0</v>
      </c>
      <c r="I65">
        <f t="shared" si="25"/>
        <v>0</v>
      </c>
      <c r="J65">
        <f>((SUMIF('OS Analysis'!$B3:$B1002,B65,'OS Analysis'!$AC3:$AC1002))/12)*12</f>
        <v>11567</v>
      </c>
      <c r="K65">
        <f>((SUMIF('OS Analysis'!$B3:$B1002,B65,'OS Analysis'!$AB3:$AB1002))/11)*12</f>
        <v>11842.90909090909</v>
      </c>
      <c r="L65">
        <f>((SUMIF('OS Analysis'!$B3:$B1002,B65,'OS Analysis'!$AA3:$AA1002))/10)*12</f>
        <v>12118.8</v>
      </c>
      <c r="M65">
        <f>((SUMIF('OS Analysis'!$B3:$B1002,B65,'OS Analysis'!$Z3:$Z1002))/9)*12</f>
        <v>11872</v>
      </c>
      <c r="N65">
        <f>((SUMIF('OS Analysis'!$B3:$B1002,B65,'OS Analysis'!$Y3:$Y1002))/8)*12</f>
        <v>12801</v>
      </c>
      <c r="O65">
        <f>((SUMIF('OS Analysis'!$B3:$B1002,B65,'OS Analysis'!$X3:$X1002))/7)*12</f>
        <v>12605.142857142855</v>
      </c>
      <c r="P65">
        <f>((SUMIF('OS Analysis'!$B3:$B1002,B65,'OS Analysis'!$W3:$W1002))/6)*12</f>
        <v>13148</v>
      </c>
      <c r="Q65">
        <f>((SUMIF('OS Analysis'!$B3:$B1002,B65,'OS Analysis'!$V3:$V1002))/5)*12</f>
        <v>12969.599999999999</v>
      </c>
      <c r="R65">
        <f>((SUMIF('OS Analysis'!$B3:$B1002,B65,'OS Analysis'!$U3:$U1002))/4)*12</f>
        <v>12714</v>
      </c>
      <c r="S65">
        <f>((SUMIF('OS Analysis'!$B3:$B1002,B65,'OS Analysis'!$T3:$T1002))/3)*12</f>
        <v>12744</v>
      </c>
      <c r="T65">
        <f>((SUMIF('OS Analysis'!$B3:$B1002,B65,'OS Analysis'!$S3:$S1002))/2)*12</f>
        <v>12018</v>
      </c>
      <c r="U65">
        <f>(SUMIF('OS Analysis'!$B3:$B1002,B65,'OS Analysis'!$R3:$R1002))*12</f>
        <v>11568</v>
      </c>
      <c r="V65">
        <f>SUMIF('OS Analysis'!$B$3:$B$1002,$B65,'OS Analysis'!$Q$3:$Q$1002)</f>
        <v>11567</v>
      </c>
      <c r="W65">
        <f t="shared" si="5"/>
        <v>11567</v>
      </c>
      <c r="X65">
        <f t="shared" si="25"/>
        <v>115</v>
      </c>
      <c r="Y65">
        <f>SUMIF('OS Analysis'!$CD3:$CD1002,$B65,'OS Analysis'!$CS3:$CS1002)</f>
        <v>0</v>
      </c>
      <c r="Z65">
        <f t="shared" si="25"/>
        <v>0</v>
      </c>
      <c r="AA65">
        <f>SUMIF('OS Analysis'!$CU3:$CU1002,$B65,'OS Analysis'!$CW3:$CW1002)</f>
        <v>0</v>
      </c>
      <c r="AB65">
        <f t="shared" si="25"/>
        <v>0</v>
      </c>
      <c r="AC65">
        <f>SUMIF('OS Analysis'!$CU3:$CU1002,$B65,'OS Analysis'!$CX3:$CX1002)</f>
        <v>0</v>
      </c>
      <c r="AD65">
        <f t="shared" si="25"/>
        <v>0</v>
      </c>
      <c r="AE65">
        <v>0</v>
      </c>
      <c r="AF65">
        <f t="shared" si="25"/>
        <v>0</v>
      </c>
      <c r="AG65">
        <v>0</v>
      </c>
      <c r="AH65">
        <f t="shared" si="25"/>
        <v>0</v>
      </c>
      <c r="AI65">
        <v>0</v>
      </c>
      <c r="AJ65">
        <f t="shared" si="25"/>
        <v>0</v>
      </c>
      <c r="AK65">
        <f t="shared" si="26"/>
        <v>11914.01</v>
      </c>
      <c r="AL65">
        <f t="shared" si="25"/>
        <v>118</v>
      </c>
      <c r="AM65">
        <v>0</v>
      </c>
      <c r="AN65">
        <f t="shared" si="25"/>
        <v>0</v>
      </c>
      <c r="AQ65" t="str">
        <f t="shared" si="3"/>
        <v>Telephone / Cable</v>
      </c>
      <c r="AR65" t="str">
        <f t="shared" si="27"/>
        <v>T-12 + 3%</v>
      </c>
      <c r="AV65">
        <f t="shared" si="6"/>
        <v>0</v>
      </c>
      <c r="AW65">
        <f>ROUND(IF(AV65=0,0,(AV65)/V1),0)</f>
        <v>0</v>
      </c>
      <c r="AX65">
        <v>0</v>
      </c>
      <c r="AY65">
        <f>ROUND(IF(AX65=0,0,(AX65)/V1),0)</f>
        <v>0</v>
      </c>
    </row>
    <row r="66" ht="14.25" customHeight="1">
      <c r="A66">
        <f t="shared" si="18"/>
        <v>30</v>
      </c>
      <c r="B66" t="s">
        <v>1936</v>
      </c>
      <c r="D66">
        <f>IF(ISBLANK(D$3),SUMIF('OS Analysis'!$BM3:$BM1002,$B66,'OS Analysis'!$CB3:$CB1002),INDEX($J66:$U66,1,MATCH(D$3,$J$4:$U$4,0)))</f>
        <v>0</v>
      </c>
      <c r="E66">
        <f t="shared" si="25"/>
        <v>0</v>
      </c>
      <c r="F66">
        <f>IF(ISBLANK(F$3),SUMIF('OS Analysis'!$AV3:$AV1002,$B66,'OS Analysis'!$BK3:$BK1002),INDEX($J66:$U66,1,MATCH(F$3,$J$4:$U$4,0)))</f>
        <v>0</v>
      </c>
      <c r="G66">
        <f t="shared" si="25"/>
        <v>0</v>
      </c>
      <c r="H66">
        <f>IF(ISBLANK(H$3),SUMIF('OS Analysis'!$AE3:$AE1002,$B66,'OS Analysis'!$AT3:$AT1002),INDEX($J66:$U66,1,MATCH(H$3,$J$4:$U$4,0)))</f>
        <v>0</v>
      </c>
      <c r="I66">
        <f t="shared" si="25"/>
        <v>0</v>
      </c>
      <c r="J66">
        <f>((SUMIF('OS Analysis'!$B3:$B1002,B66,'OS Analysis'!$AC3:$AC1002))/12)*12</f>
        <v>0</v>
      </c>
      <c r="K66">
        <f>((SUMIF('OS Analysis'!$B3:$B1002,B66,'OS Analysis'!$AB3:$AB1002))/11)*12</f>
        <v>0</v>
      </c>
      <c r="L66">
        <f>((SUMIF('OS Analysis'!$B3:$B1002,B66,'OS Analysis'!$AA3:$AA1002))/10)*12</f>
        <v>0</v>
      </c>
      <c r="M66">
        <f>((SUMIF('OS Analysis'!$B3:$B1002,B66,'OS Analysis'!$Z3:$Z1002))/9)*12</f>
        <v>0</v>
      </c>
      <c r="N66">
        <f>((SUMIF('OS Analysis'!$B3:$B1002,B66,'OS Analysis'!$Y3:$Y1002))/8)*12</f>
        <v>0</v>
      </c>
      <c r="O66">
        <f>((SUMIF('OS Analysis'!$B3:$B1002,B66,'OS Analysis'!$X3:$X1002))/7)*12</f>
        <v>0</v>
      </c>
      <c r="P66">
        <f>((SUMIF('OS Analysis'!$B3:$B1002,B66,'OS Analysis'!$W3:$W1002))/6)*12</f>
        <v>0</v>
      </c>
      <c r="Q66">
        <f>((SUMIF('OS Analysis'!$B3:$B1002,B66,'OS Analysis'!$V3:$V1002))/5)*12</f>
        <v>0</v>
      </c>
      <c r="R66">
        <f>((SUMIF('OS Analysis'!$B3:$B1002,B66,'OS Analysis'!$U3:$U1002))/4)*12</f>
        <v>0</v>
      </c>
      <c r="S66">
        <f>((SUMIF('OS Analysis'!$B3:$B1002,B66,'OS Analysis'!$T3:$T1002))/3)*12</f>
        <v>0</v>
      </c>
      <c r="T66">
        <f>((SUMIF('OS Analysis'!$B3:$B1002,B66,'OS Analysis'!$S3:$S1002))/2)*12</f>
        <v>0</v>
      </c>
      <c r="U66">
        <f>(SUMIF('OS Analysis'!$B3:$B1002,B66,'OS Analysis'!$R3:$R1002))*12</f>
        <v>0</v>
      </c>
      <c r="V66">
        <f>SUMIF('OS Analysis'!$B$3:$B$1002,$B66,'OS Analysis'!$Q$3:$Q$1002)</f>
        <v>0</v>
      </c>
      <c r="W66">
        <f t="shared" si="5"/>
        <v>0</v>
      </c>
      <c r="X66">
        <f t="shared" si="25"/>
        <v>0</v>
      </c>
      <c r="Y66">
        <f>SUMIF('OS Analysis'!$CD3:$CD1002,$B66,'OS Analysis'!$CS3:$CS1002)</f>
        <v>0</v>
      </c>
      <c r="Z66">
        <f t="shared" si="25"/>
        <v>0</v>
      </c>
      <c r="AA66">
        <f>SUMIF('OS Analysis'!$CU3:$CU1002,$B66,'OS Analysis'!$CW3:$CW1002)</f>
        <v>0</v>
      </c>
      <c r="AB66">
        <f t="shared" si="25"/>
        <v>0</v>
      </c>
      <c r="AC66">
        <f>SUMIF('OS Analysis'!$CU3:$CU1002,$B66,'OS Analysis'!$CX3:$CX1002)</f>
        <v>0</v>
      </c>
      <c r="AD66">
        <f t="shared" si="25"/>
        <v>0</v>
      </c>
      <c r="AE66">
        <v>0</v>
      </c>
      <c r="AF66">
        <f t="shared" si="25"/>
        <v>0</v>
      </c>
      <c r="AG66">
        <v>0</v>
      </c>
      <c r="AH66">
        <f t="shared" si="25"/>
        <v>0</v>
      </c>
      <c r="AI66">
        <v>0</v>
      </c>
      <c r="AJ66">
        <f t="shared" si="25"/>
        <v>0</v>
      </c>
      <c r="AK66">
        <f t="shared" si="26"/>
        <v>0</v>
      </c>
      <c r="AL66">
        <f t="shared" si="25"/>
        <v>0</v>
      </c>
      <c r="AM66">
        <v>0</v>
      </c>
      <c r="AN66">
        <f t="shared" si="25"/>
        <v>0</v>
      </c>
      <c r="AQ66" t="str">
        <f t="shared" si="3"/>
        <v>Security Contract</v>
      </c>
      <c r="AR66">
        <f t="shared" si="27"/>
      </c>
      <c r="AV66">
        <f t="shared" si="6"/>
        <v>0</v>
      </c>
      <c r="AW66">
        <f>ROUND(IF(AV66=0,0,(AV66)/V1),0)</f>
        <v>0</v>
      </c>
      <c r="AX66">
        <v>0</v>
      </c>
      <c r="AY66">
        <f>ROUND(IF(AX66=0,0,(AX66)/V1),0)</f>
        <v>0</v>
      </c>
    </row>
    <row r="67" ht="15" customHeight="1">
      <c r="A67">
        <f t="shared" si="18"/>
        <v>31</v>
      </c>
      <c r="B67" t="s">
        <v>1937</v>
      </c>
      <c r="D67">
        <f>IF(ISBLANK(D$3),SUMIF('OS Analysis'!$BM3:$BM1002,$B67,'OS Analysis'!$CB3:$CB1002),INDEX($J67:$U67,1,MATCH(D$3,$J$4:$U$4,0)))</f>
        <v>0</v>
      </c>
      <c r="E67">
        <f t="shared" si="25"/>
        <v>0</v>
      </c>
      <c r="F67">
        <f>IF(ISBLANK(F$3),SUMIF('OS Analysis'!$AV3:$AV1002,$B67,'OS Analysis'!$BK3:$BK1002),INDEX($J67:$U67,1,MATCH(F$3,$J$4:$U$4,0)))</f>
        <v>0</v>
      </c>
      <c r="G67">
        <f t="shared" si="25"/>
        <v>0</v>
      </c>
      <c r="H67">
        <f>IF(ISBLANK(H$3),SUMIF('OS Analysis'!$AE3:$AE1002,$B67,'OS Analysis'!$AT3:$AT1002),INDEX($J67:$U67,1,MATCH(H$3,$J$4:$U$4,0)))</f>
        <v>0</v>
      </c>
      <c r="I67">
        <f t="shared" si="25"/>
        <v>0</v>
      </c>
      <c r="J67">
        <f>((SUMIF('OS Analysis'!$B3:$B1002,B67,'OS Analysis'!$AC3:$AC1002))/12)*12</f>
        <v>0</v>
      </c>
      <c r="K67">
        <f>((SUMIF('OS Analysis'!$B3:$B1002,B67,'OS Analysis'!$AB3:$AB1002))/11)*12</f>
        <v>0</v>
      </c>
      <c r="L67">
        <f>((SUMIF('OS Analysis'!$B3:$B1002,B67,'OS Analysis'!$AA3:$AA1002))/10)*12</f>
        <v>0</v>
      </c>
      <c r="M67">
        <f>((SUMIF('OS Analysis'!$B3:$B1002,B67,'OS Analysis'!$Z3:$Z1002))/9)*12</f>
        <v>0</v>
      </c>
      <c r="N67">
        <f>((SUMIF('OS Analysis'!$B3:$B1002,B67,'OS Analysis'!$Y3:$Y1002))/8)*12</f>
        <v>0</v>
      </c>
      <c r="O67">
        <f>((SUMIF('OS Analysis'!$B3:$B1002,B67,'OS Analysis'!$X3:$X1002))/7)*12</f>
        <v>0</v>
      </c>
      <c r="P67">
        <f>((SUMIF('OS Analysis'!$B3:$B1002,B67,'OS Analysis'!$W3:$W1002))/6)*12</f>
        <v>0</v>
      </c>
      <c r="Q67">
        <f>((SUMIF('OS Analysis'!$B3:$B1002,B67,'OS Analysis'!$V3:$V1002))/5)*12</f>
        <v>0</v>
      </c>
      <c r="R67">
        <f>((SUMIF('OS Analysis'!$B3:$B1002,B67,'OS Analysis'!$U3:$U1002))/4)*12</f>
        <v>0</v>
      </c>
      <c r="S67">
        <f>((SUMIF('OS Analysis'!$B3:$B1002,B67,'OS Analysis'!$T3:$T1002))/3)*12</f>
        <v>0</v>
      </c>
      <c r="T67">
        <f>((SUMIF('OS Analysis'!$B3:$B1002,B67,'OS Analysis'!$S3:$S1002))/2)*12</f>
        <v>0</v>
      </c>
      <c r="U67">
        <f>(SUMIF('OS Analysis'!$B3:$B1002,B67,'OS Analysis'!$R3:$R1002))*12</f>
        <v>0</v>
      </c>
      <c r="V67">
        <f>SUMIF('OS Analysis'!$B$3:$B$1002,$B67,'OS Analysis'!$Q$3:$Q$1002)</f>
        <v>0</v>
      </c>
      <c r="W67">
        <f t="shared" si="5"/>
        <v>0</v>
      </c>
      <c r="X67">
        <f t="shared" si="25"/>
        <v>0</v>
      </c>
      <c r="Y67">
        <f>SUMIF('OS Analysis'!$CD3:$CD1002,$B67,'OS Analysis'!$CS3:$CS1002)</f>
        <v>0</v>
      </c>
      <c r="Z67">
        <f t="shared" si="25"/>
        <v>0</v>
      </c>
      <c r="AA67">
        <f>SUMIF('OS Analysis'!$CU3:$CU1002,$B67,'OS Analysis'!$CW3:$CW1002)</f>
        <v>0</v>
      </c>
      <c r="AB67">
        <f t="shared" si="25"/>
        <v>0</v>
      </c>
      <c r="AC67">
        <f>SUMIF('OS Analysis'!$CU3:$CU1002,$B67,'OS Analysis'!$CX3:$CX1002)</f>
        <v>0</v>
      </c>
      <c r="AD67">
        <f t="shared" si="25"/>
        <v>0</v>
      </c>
      <c r="AE67">
        <v>0</v>
      </c>
      <c r="AF67">
        <f t="shared" si="25"/>
        <v>0</v>
      </c>
      <c r="AG67">
        <v>0</v>
      </c>
      <c r="AH67">
        <f t="shared" si="25"/>
        <v>0</v>
      </c>
      <c r="AI67">
        <v>0</v>
      </c>
      <c r="AJ67">
        <f t="shared" si="25"/>
        <v>0</v>
      </c>
      <c r="AK67">
        <f t="shared" si="26"/>
        <v>0</v>
      </c>
      <c r="AL67">
        <f t="shared" si="25"/>
        <v>0</v>
      </c>
      <c r="AM67">
        <v>0</v>
      </c>
      <c r="AN67">
        <f t="shared" si="25"/>
        <v>0</v>
      </c>
      <c r="AQ67" t="str">
        <f t="shared" si="3"/>
        <v>Other Administrative</v>
      </c>
      <c r="AR67">
        <f t="shared" si="27"/>
      </c>
      <c r="AV67">
        <f t="shared" si="6"/>
        <v>0</v>
      </c>
      <c r="AW67">
        <f>ROUND(IF(AV67=0,0,(AV67)/V1),0)</f>
        <v>0</v>
      </c>
      <c r="AX67">
        <v>0</v>
      </c>
      <c r="AY67">
        <f>ROUND(IF(AX67=0,0,(AX67)/V1),0)</f>
        <v>0</v>
      </c>
    </row>
    <row r="68" ht="15" customHeight="1">
      <c r="A68">
        <f t="shared" si="18"/>
        <v>32</v>
      </c>
      <c r="B68" t="s">
        <v>1938</v>
      </c>
      <c r="D68">
        <f>IF(ISBLANK(D$3),SUMIF('OS Analysis'!$BM3:$BM1002,$B68,'OS Analysis'!$CB3:$CB1002),INDEX($J68:$U68,1,MATCH(D$3,$J$4:$U$4,0)))</f>
        <v>0</v>
      </c>
      <c r="E68">
        <f t="shared" si="25"/>
        <v>0</v>
      </c>
      <c r="F68">
        <f>IF(ISBLANK(F$3),SUMIF('OS Analysis'!$AV3:$AV1002,$B68,'OS Analysis'!$BK3:$BK1002),INDEX($J68:$U68,1,MATCH(F$3,$J$4:$U$4,0)))</f>
        <v>0</v>
      </c>
      <c r="G68">
        <f t="shared" si="25"/>
        <v>0</v>
      </c>
      <c r="H68">
        <f>IF(ISBLANK(H$3),SUMIF('OS Analysis'!$AE3:$AE1002,$B68,'OS Analysis'!$AT3:$AT1002),INDEX($J68:$U68,1,MATCH(H$3,$J$4:$U$4,0)))</f>
        <v>0</v>
      </c>
      <c r="I68">
        <f t="shared" si="25"/>
        <v>0</v>
      </c>
      <c r="J68">
        <f>((SUMIF('OS Analysis'!$B3:$B1002,B68,'OS Analysis'!$AC3:$AC1002))/12)*12</f>
        <v>0</v>
      </c>
      <c r="K68">
        <f>((SUMIF('OS Analysis'!$B3:$B1002,B68,'OS Analysis'!$AB3:$AB1002))/11)*12</f>
        <v>0</v>
      </c>
      <c r="L68">
        <f>((SUMIF('OS Analysis'!$B3:$B1002,B68,'OS Analysis'!$AA3:$AA1002))/10)*12</f>
        <v>0</v>
      </c>
      <c r="M68">
        <f>((SUMIF('OS Analysis'!$B3:$B1002,B68,'OS Analysis'!$Z3:$Z1002))/9)*12</f>
        <v>0</v>
      </c>
      <c r="N68">
        <f>((SUMIF('OS Analysis'!$B3:$B1002,B68,'OS Analysis'!$Y3:$Y1002))/8)*12</f>
        <v>0</v>
      </c>
      <c r="O68">
        <f>((SUMIF('OS Analysis'!$B3:$B1002,B68,'OS Analysis'!$X3:$X1002))/7)*12</f>
        <v>0</v>
      </c>
      <c r="P68">
        <f>((SUMIF('OS Analysis'!$B3:$B1002,B68,'OS Analysis'!$W3:$W1002))/6)*12</f>
        <v>0</v>
      </c>
      <c r="Q68">
        <f>((SUMIF('OS Analysis'!$B3:$B1002,B68,'OS Analysis'!$V3:$V1002))/5)*12</f>
        <v>0</v>
      </c>
      <c r="R68">
        <f>((SUMIF('OS Analysis'!$B3:$B1002,B68,'OS Analysis'!$U3:$U1002))/4)*12</f>
        <v>0</v>
      </c>
      <c r="S68">
        <f>((SUMIF('OS Analysis'!$B3:$B1002,B68,'OS Analysis'!$T3:$T1002))/3)*12</f>
        <v>0</v>
      </c>
      <c r="T68">
        <f>((SUMIF('OS Analysis'!$B3:$B1002,B68,'OS Analysis'!$S3:$S1002))/2)*12</f>
        <v>0</v>
      </c>
      <c r="U68">
        <f>(SUMIF('OS Analysis'!$B3:$B1002,B68,'OS Analysis'!$R3:$R1002))*12</f>
        <v>0</v>
      </c>
      <c r="V68">
        <f>SUMIF('OS Analysis'!$B$3:$B$1002,$B68,'OS Analysis'!$Q$3:$Q$1002)</f>
        <v>0</v>
      </c>
      <c r="W68">
        <f t="shared" si="5"/>
        <v>0</v>
      </c>
      <c r="X68">
        <f t="shared" si="25"/>
        <v>0</v>
      </c>
      <c r="Y68">
        <f>SUMIF('OS Analysis'!$CD3:$CD1002,$B68,'OS Analysis'!$CS3:$CS1002)</f>
        <v>0</v>
      </c>
      <c r="Z68">
        <f t="shared" si="25"/>
        <v>0</v>
      </c>
      <c r="AA68">
        <f>SUMIF('OS Analysis'!$CU3:$CU1002,$B68,'OS Analysis'!$CW3:$CW1002)</f>
        <v>0</v>
      </c>
      <c r="AB68">
        <f t="shared" si="25"/>
        <v>0</v>
      </c>
      <c r="AC68">
        <f>SUMIF('OS Analysis'!$CU3:$CU1002,$B68,'OS Analysis'!$CX3:$CX1002)</f>
        <v>0</v>
      </c>
      <c r="AD68">
        <f t="shared" si="25"/>
        <v>0</v>
      </c>
      <c r="AE68">
        <v>0</v>
      </c>
      <c r="AF68">
        <f t="shared" si="25"/>
        <v>0</v>
      </c>
      <c r="AG68">
        <v>0</v>
      </c>
      <c r="AH68">
        <f t="shared" si="25"/>
        <v>0</v>
      </c>
      <c r="AI68">
        <v>0</v>
      </c>
      <c r="AJ68">
        <f t="shared" si="25"/>
        <v>0</v>
      </c>
      <c r="AK68">
        <f t="shared" si="26"/>
        <v>0</v>
      </c>
      <c r="AL68">
        <f t="shared" si="25"/>
        <v>0</v>
      </c>
      <c r="AM68">
        <v>0</v>
      </c>
      <c r="AN68">
        <f t="shared" si="25"/>
        <v>0</v>
      </c>
      <c r="AQ68" t="str">
        <f t="shared" si="3"/>
        <v>Other Expense</v>
      </c>
      <c r="AR68">
        <f t="shared" si="27"/>
      </c>
      <c r="AV68">
        <f t="shared" si="6"/>
        <v>0</v>
      </c>
      <c r="AW68">
        <f>ROUND(IF(AV68=0,0,(AV68)/B28),0)</f>
        <v>0</v>
      </c>
      <c r="AX68">
        <v>0</v>
      </c>
      <c r="AY68">
        <f>ROUND(IF(AX68=0,0,(AX68)/B28),0)</f>
        <v>0</v>
      </c>
    </row>
    <row r="69" ht="15" customHeight="1">
      <c r="B69" t="s">
        <v>1814</v>
      </c>
      <c r="D69">
        <f t="shared" si="29" ref="D69:AX69">SUM(D40:D68)</f>
        <v>0</v>
      </c>
      <c r="E69">
        <f t="shared" si="25"/>
        <v>0</v>
      </c>
      <c r="F69">
        <f t="shared" si="29"/>
        <v>0</v>
      </c>
      <c r="G69">
        <f t="shared" si="25"/>
        <v>0</v>
      </c>
      <c r="H69">
        <f t="shared" si="29"/>
        <v>0</v>
      </c>
      <c r="I69">
        <f t="shared" si="25"/>
        <v>0</v>
      </c>
      <c r="J69">
        <f t="shared" si="29"/>
        <v>1611560</v>
      </c>
      <c r="K69">
        <f t="shared" si="29"/>
        <v>1631131.6363636365</v>
      </c>
      <c r="L69">
        <f t="shared" si="29"/>
        <v>1635092.4000000001</v>
      </c>
      <c r="M69">
        <f t="shared" si="29"/>
        <v>1582290.6666666665</v>
      </c>
      <c r="N69">
        <f t="shared" si="29"/>
        <v>1596495</v>
      </c>
      <c r="O69">
        <f t="shared" si="29"/>
        <v>1578108.0000000002</v>
      </c>
      <c r="P69">
        <f t="shared" si="29"/>
        <v>1549434</v>
      </c>
      <c r="Q69">
        <f t="shared" si="29"/>
        <v>1572705.6</v>
      </c>
      <c r="R69">
        <f t="shared" si="29"/>
        <v>1632474</v>
      </c>
      <c r="S69">
        <f t="shared" si="29"/>
        <v>1645484</v>
      </c>
      <c r="T69">
        <f t="shared" si="29"/>
        <v>1625928</v>
      </c>
      <c r="U69">
        <f t="shared" si="29"/>
        <v>1658784</v>
      </c>
      <c r="V69">
        <f t="shared" si="29"/>
        <v>1611560</v>
      </c>
      <c r="W69">
        <f t="shared" si="29"/>
        <v>1611560</v>
      </c>
      <c r="X69">
        <f t="shared" si="25"/>
        <v>15956</v>
      </c>
      <c r="Y69">
        <f t="shared" si="29"/>
        <v>0</v>
      </c>
      <c r="Z69">
        <f t="shared" si="25"/>
        <v>0</v>
      </c>
      <c r="AA69">
        <f t="shared" si="29"/>
        <v>0</v>
      </c>
      <c r="AB69">
        <f t="shared" si="25"/>
        <v>0</v>
      </c>
      <c r="AC69">
        <f t="shared" si="29"/>
        <v>0</v>
      </c>
      <c r="AD69">
        <f t="shared" si="25"/>
        <v>0</v>
      </c>
      <c r="AE69">
        <f t="shared" si="29"/>
        <v>0</v>
      </c>
      <c r="AF69">
        <f t="shared" si="25"/>
        <v>0</v>
      </c>
      <c r="AG69">
        <f t="shared" si="29"/>
        <v>0</v>
      </c>
      <c r="AH69">
        <f t="shared" si="25"/>
        <v>0</v>
      </c>
      <c r="AI69">
        <f t="shared" si="29"/>
        <v>0</v>
      </c>
      <c r="AJ69">
        <f t="shared" si="25"/>
        <v>0</v>
      </c>
      <c r="AK69">
        <f t="shared" si="29"/>
        <v>1519966.82</v>
      </c>
      <c r="AL69">
        <f t="shared" si="25"/>
        <v>15049</v>
      </c>
      <c r="AM69">
        <f t="shared" si="29"/>
        <v>0</v>
      </c>
      <c r="AN69">
        <f t="shared" si="25"/>
        <v>0</v>
      </c>
      <c r="AQ69" t="str">
        <f t="shared" si="3"/>
        <v>TOTAL OPERATING EXPENSES</v>
      </c>
      <c r="AV69">
        <f t="shared" si="29"/>
        <v>0</v>
      </c>
      <c r="AW69">
        <f>ROUND(IF(AV69=0,0,(AV69)/V1),0)</f>
        <v>0</v>
      </c>
      <c r="AX69">
        <f t="shared" si="29"/>
        <v>0</v>
      </c>
      <c r="AY69">
        <f>ROUND(IF(AX69=0,0,(AX69)/V1),0)</f>
        <v>0</v>
      </c>
    </row>
    <row r="70" ht="15" customHeight="1"/>
    <row r="71" ht="15" customHeight="1">
      <c r="B71" t="s">
        <v>1816</v>
      </c>
      <c r="D71">
        <f t="shared" si="30" ref="D71:AX71">D38+D69</f>
        <v>0</v>
      </c>
      <c r="E71">
        <f t="shared" si="25"/>
        <v>0</v>
      </c>
      <c r="F71">
        <f t="shared" si="30"/>
        <v>0</v>
      </c>
      <c r="G71">
        <f t="shared" si="25"/>
        <v>0</v>
      </c>
      <c r="H71">
        <f t="shared" si="30"/>
        <v>0</v>
      </c>
      <c r="I71">
        <f t="shared" si="25"/>
        <v>0</v>
      </c>
      <c r="J71">
        <f t="shared" si="30"/>
        <v>2863573</v>
      </c>
      <c r="K71">
        <f t="shared" si="30"/>
        <v>2880624</v>
      </c>
      <c r="L71">
        <f t="shared" si="30"/>
        <v>2882508</v>
      </c>
      <c r="M71">
        <f t="shared" si="30"/>
        <v>2824940</v>
      </c>
      <c r="N71">
        <f t="shared" si="30"/>
        <v>2835856.5</v>
      </c>
      <c r="O71">
        <f t="shared" si="30"/>
        <v>2809081.7142857146</v>
      </c>
      <c r="P71">
        <f t="shared" si="30"/>
        <v>2782166</v>
      </c>
      <c r="Q71">
        <f t="shared" si="30"/>
        <v>2794845.6000000006</v>
      </c>
      <c r="R71">
        <f t="shared" si="30"/>
        <v>2943321</v>
      </c>
      <c r="S71">
        <f t="shared" si="30"/>
        <v>2954596</v>
      </c>
      <c r="T71">
        <f t="shared" si="30"/>
        <v>2952864</v>
      </c>
      <c r="U71">
        <f t="shared" si="30"/>
        <v>2978124</v>
      </c>
      <c r="V71">
        <f t="shared" si="30"/>
        <v>2863573</v>
      </c>
      <c r="W71">
        <f t="shared" si="30"/>
        <v>2863573</v>
      </c>
      <c r="X71">
        <f t="shared" si="25"/>
        <v>28352</v>
      </c>
      <c r="Y71">
        <f t="shared" si="30"/>
        <v>0</v>
      </c>
      <c r="Z71">
        <f t="shared" si="25"/>
        <v>0</v>
      </c>
      <c r="AA71">
        <f t="shared" si="30"/>
        <v>0</v>
      </c>
      <c r="AB71">
        <f t="shared" si="25"/>
        <v>0</v>
      </c>
      <c r="AC71">
        <f t="shared" si="30"/>
        <v>0</v>
      </c>
      <c r="AD71">
        <f t="shared" si="25"/>
        <v>0</v>
      </c>
      <c r="AE71">
        <f t="shared" si="30"/>
        <v>0</v>
      </c>
      <c r="AF71">
        <f t="shared" si="25"/>
        <v>0</v>
      </c>
      <c r="AG71">
        <f t="shared" si="30"/>
        <v>0</v>
      </c>
      <c r="AH71">
        <f t="shared" si="25"/>
        <v>0</v>
      </c>
      <c r="AI71">
        <f t="shared" si="30"/>
        <v>0</v>
      </c>
      <c r="AJ71">
        <f t="shared" si="25"/>
        <v>0</v>
      </c>
      <c r="AK71">
        <f t="shared" si="30"/>
        <v>2809540.21</v>
      </c>
      <c r="AL71">
        <f t="shared" si="25"/>
        <v>27817</v>
      </c>
      <c r="AM71">
        <f t="shared" si="30"/>
        <v>0</v>
      </c>
      <c r="AN71">
        <f t="shared" si="25"/>
        <v>0</v>
      </c>
      <c r="AQ71" t="str">
        <f t="shared" si="3"/>
        <v>TOTAL EXPENSES</v>
      </c>
      <c r="AV71">
        <f t="shared" si="30"/>
        <v>0</v>
      </c>
      <c r="AW71">
        <f>ROUND(IF(AV71=0,0,(AV71)/V1),0)</f>
        <v>0</v>
      </c>
      <c r="AX71">
        <f t="shared" si="30"/>
        <v>0</v>
      </c>
      <c r="AY71">
        <f>ROUND(IF(AX71=0,0,(AX71)/V1),0)</f>
        <v>0</v>
      </c>
    </row>
    <row r="72" ht="14.25" customHeight="1">
      <c r="AK72">
        <f t="shared" si="31" ref="AK72:AK73">TotalUnits*250</f>
        <v>21250</v>
      </c>
    </row>
    <row r="73" ht="14.25" customHeight="1">
      <c r="B73" t="s">
        <v>1939</v>
      </c>
      <c r="D73">
        <f>IF(ISBLANK(D$3),SUMIF('OS Analysis'!$BM3:$BM1002,$B73,'OS Analysis'!$CB3:$CB1002),INDEX($J73:$U73,1,MATCH(D$3,$J$4:$U$4,0)))</f>
        <v>0</v>
      </c>
      <c r="E73">
        <f t="shared" si="25"/>
        <v>0</v>
      </c>
      <c r="F73">
        <f>IF(ISBLANK(F$3),SUMIF('OS Analysis'!$AV3:$AV1002,$B73,'OS Analysis'!$BK3:$BK1002),INDEX($J73:$U73,1,MATCH(F$3,$J$4:$U$4,0)))</f>
        <v>0</v>
      </c>
      <c r="G73">
        <f t="shared" si="25"/>
        <v>0</v>
      </c>
      <c r="H73">
        <f>IF(ISBLANK(H$3),SUMIF('OS Analysis'!$AE3:$AE1002,$B73,'OS Analysis'!$AT3:$AT1002),INDEX($J73:$U73,1,MATCH(H$3,$J$4:$U$4,0)))</f>
        <v>0</v>
      </c>
      <c r="I73">
        <f t="shared" si="25"/>
        <v>0</v>
      </c>
      <c r="J73">
        <f>((SUMIF('OS Analysis'!$B3:$B1002,B73,'OS Analysis'!$AC3:$AC1002))/12)*12</f>
        <v>0</v>
      </c>
      <c r="K73">
        <f>((SUMIF('OS Analysis'!$B3:$B1002,B73,'OS Analysis'!$AB3:$AB1002))/11)*12</f>
        <v>0</v>
      </c>
      <c r="L73">
        <f>((SUMIF('OS Analysis'!$B3:$B1002,B73,'OS Analysis'!$AA3:$AA1002))/10)*12</f>
        <v>0</v>
      </c>
      <c r="M73">
        <f>((SUMIF('OS Analysis'!$B3:$B1002,B73,'OS Analysis'!$Z3:$Z1002))/9)*12</f>
        <v>0</v>
      </c>
      <c r="N73">
        <f>((SUMIF('OS Analysis'!$B3:$B1002,B73,'OS Analysis'!$Y3:$Y1002))/8)*12</f>
        <v>0</v>
      </c>
      <c r="O73">
        <f>((SUMIF('OS Analysis'!$B3:$B1002,B73,'OS Analysis'!$X3:$X1002))/7)*12</f>
        <v>0</v>
      </c>
      <c r="P73">
        <f>((SUMIF('OS Analysis'!$B3:$B1002,B73,'OS Analysis'!$W3:$W1002))/6)*12</f>
        <v>0</v>
      </c>
      <c r="Q73">
        <f>((SUMIF('OS Analysis'!$B3:$B1002,B73,'OS Analysis'!$V3:$V1002))/5)*12</f>
        <v>0</v>
      </c>
      <c r="R73">
        <f>((SUMIF('OS Analysis'!$B3:$B1002,B73,'OS Analysis'!$U3:$U1002))/4)*12</f>
        <v>0</v>
      </c>
      <c r="S73">
        <f>((SUMIF('OS Analysis'!$B3:$B1002,B73,'OS Analysis'!$T3:$T1002))/3)*12</f>
        <v>0</v>
      </c>
      <c r="T73">
        <f>((SUMIF('OS Analysis'!$B3:$B1002,B73,'OS Analysis'!$S3:$S1002))/2)*12</f>
        <v>0</v>
      </c>
      <c r="U73">
        <f>(SUMIF('OS Analysis'!$B3:$B1002,B73,'OS Analysis'!$R3:$R1002))*12</f>
        <v>0</v>
      </c>
      <c r="V73">
        <f>SUMIF('OS Analysis'!$B$3:$B$1002,$B73,'OS Analysis'!$Q$3:$Q$1002)</f>
        <v>0</v>
      </c>
      <c r="W73">
        <f t="shared" si="5"/>
        <v>0</v>
      </c>
      <c r="X73">
        <f t="shared" si="25"/>
        <v>0</v>
      </c>
      <c r="Y73">
        <f>SUMIF('OS Analysis'!$CD3:$CD1002,$B73,'OS Analysis'!$CS3:$CS1002)</f>
        <v>0</v>
      </c>
      <c r="Z73">
        <f t="shared" si="25"/>
        <v>0</v>
      </c>
      <c r="AA73">
        <f>SUMIF('OS Analysis'!$CU3:$CU1002,$B73,'OS Analysis'!$CW3:$CW1002)</f>
        <v>0</v>
      </c>
      <c r="AB73">
        <f t="shared" si="25"/>
        <v>0</v>
      </c>
      <c r="AC73">
        <f>SUMIF('OS Analysis'!$CU3:$CU1002,$B73,'OS Analysis'!$CX3:$CX1002)</f>
        <v>0</v>
      </c>
      <c r="AD73">
        <f t="shared" si="25"/>
        <v>0</v>
      </c>
      <c r="AE73">
        <v>0</v>
      </c>
      <c r="AF73">
        <f t="shared" si="25"/>
        <v>0</v>
      </c>
      <c r="AG73">
        <v>0</v>
      </c>
      <c r="AH73">
        <f t="shared" si="25"/>
        <v>0</v>
      </c>
      <c r="AI73">
        <v>0</v>
      </c>
      <c r="AJ73">
        <f t="shared" si="25"/>
        <v>0</v>
      </c>
      <c r="AK73">
        <f t="shared" si="31"/>
        <v>21250</v>
      </c>
      <c r="AL73">
        <f t="shared" si="25"/>
        <v>210</v>
      </c>
      <c r="AM73">
        <v>0</v>
      </c>
      <c r="AN73">
        <f t="shared" si="25"/>
        <v>0</v>
      </c>
      <c r="AQ73" t="str">
        <f t="shared" si="3"/>
        <v>Capital Expenditures (Replacement Reserves)</v>
      </c>
      <c r="AR73" t="str">
        <f>IF(AK73=TotalUnits*250,"#Units * 250","Non-Standard Assumption - Please Clarify")</f>
        <v>#Units * 250</v>
      </c>
      <c r="AV73">
        <f t="shared" si="6"/>
        <v>0</v>
      </c>
      <c r="AW73">
        <f>ROUND(IF(AV73=0,0,(AV73)/V1),0)</f>
        <v>0</v>
      </c>
      <c r="AX73">
        <v>0</v>
      </c>
      <c r="AY73">
        <f>ROUND(IF(AX73=0,0,(AX73)/V1),0)</f>
        <v>0</v>
      </c>
    </row>
    <row r="74" ht="15" customHeight="1"/>
    <row r="75" ht="15" customHeight="1">
      <c r="B75" t="s">
        <v>1818</v>
      </c>
      <c r="D75">
        <f t="shared" si="32" ref="D75:AX75">D71+D73</f>
        <v>0</v>
      </c>
      <c r="E75">
        <f t="shared" si="25"/>
        <v>0</v>
      </c>
      <c r="F75">
        <f t="shared" si="32"/>
        <v>0</v>
      </c>
      <c r="G75">
        <f t="shared" si="25"/>
        <v>0</v>
      </c>
      <c r="H75">
        <f t="shared" si="32"/>
        <v>0</v>
      </c>
      <c r="I75">
        <f t="shared" si="25"/>
        <v>0</v>
      </c>
      <c r="J75">
        <f t="shared" si="32"/>
        <v>2863573</v>
      </c>
      <c r="K75">
        <f t="shared" si="32"/>
        <v>2880624</v>
      </c>
      <c r="L75">
        <f t="shared" si="32"/>
        <v>2882508</v>
      </c>
      <c r="M75">
        <f t="shared" si="32"/>
        <v>2824940</v>
      </c>
      <c r="N75">
        <f t="shared" si="32"/>
        <v>2835856.5</v>
      </c>
      <c r="O75">
        <f t="shared" si="32"/>
        <v>2809081.7142857146</v>
      </c>
      <c r="P75">
        <f t="shared" si="32"/>
        <v>2782166</v>
      </c>
      <c r="Q75">
        <f t="shared" si="32"/>
        <v>2794845.6000000006</v>
      </c>
      <c r="R75">
        <f t="shared" si="32"/>
        <v>2943321</v>
      </c>
      <c r="S75">
        <f t="shared" si="32"/>
        <v>2954596</v>
      </c>
      <c r="T75">
        <f t="shared" si="32"/>
        <v>2952864</v>
      </c>
      <c r="U75">
        <f t="shared" si="32"/>
        <v>2978124</v>
      </c>
      <c r="V75">
        <f t="shared" si="32"/>
        <v>2863573</v>
      </c>
      <c r="W75">
        <f t="shared" si="32"/>
        <v>2863573</v>
      </c>
      <c r="X75">
        <f t="shared" si="25"/>
        <v>28352</v>
      </c>
      <c r="Y75">
        <f t="shared" si="32"/>
        <v>0</v>
      </c>
      <c r="Z75">
        <f t="shared" si="25"/>
        <v>0</v>
      </c>
      <c r="AA75">
        <f t="shared" si="32"/>
        <v>0</v>
      </c>
      <c r="AB75">
        <f t="shared" si="25"/>
        <v>0</v>
      </c>
      <c r="AC75">
        <f t="shared" si="32"/>
        <v>0</v>
      </c>
      <c r="AD75">
        <f t="shared" si="25"/>
        <v>0</v>
      </c>
      <c r="AE75">
        <f t="shared" si="32"/>
        <v>0</v>
      </c>
      <c r="AF75">
        <f t="shared" si="25"/>
        <v>0</v>
      </c>
      <c r="AG75">
        <f t="shared" si="32"/>
        <v>0</v>
      </c>
      <c r="AH75">
        <f t="shared" si="25"/>
        <v>0</v>
      </c>
      <c r="AI75">
        <f t="shared" si="32"/>
        <v>0</v>
      </c>
      <c r="AJ75">
        <f t="shared" si="25"/>
        <v>0</v>
      </c>
      <c r="AK75">
        <f t="shared" si="32"/>
        <v>2830790.21</v>
      </c>
      <c r="AL75">
        <f t="shared" si="25"/>
        <v>28028</v>
      </c>
      <c r="AM75">
        <f t="shared" si="32"/>
        <v>0</v>
      </c>
      <c r="AN75">
        <f t="shared" si="25"/>
        <v>0</v>
      </c>
      <c r="AQ75" t="str">
        <f t="shared" si="3"/>
        <v>Total Expenses &amp; Reserves</v>
      </c>
      <c r="AV75">
        <f t="shared" si="32"/>
        <v>0</v>
      </c>
      <c r="AW75">
        <f>ROUND(IF(AV75=0,0,(AV75)/V1),0)</f>
        <v>0</v>
      </c>
      <c r="AX75">
        <f t="shared" si="32"/>
        <v>0</v>
      </c>
      <c r="AY75">
        <f>ROUND(IF(AX75=0,0,(AX75)/V1),0)</f>
        <v>0</v>
      </c>
    </row>
    <row r="76" ht="14.25" customHeight="1"/>
    <row r="77" ht="14.25" customHeight="1">
      <c r="B77" t="s">
        <v>1941</v>
      </c>
      <c r="D77">
        <f t="shared" si="33" ref="D77:AM77">D30-D75</f>
        <v>0</v>
      </c>
      <c r="E77">
        <f t="shared" si="25"/>
        <v>0</v>
      </c>
      <c r="F77">
        <f t="shared" si="33"/>
        <v>0</v>
      </c>
      <c r="G77">
        <f t="shared" si="25"/>
        <v>0</v>
      </c>
      <c r="H77">
        <f t="shared" si="33"/>
        <v>0</v>
      </c>
      <c r="I77">
        <f t="shared" si="25"/>
        <v>0</v>
      </c>
      <c r="J77">
        <f t="shared" si="33"/>
        <v>1727509</v>
      </c>
      <c r="K77">
        <f t="shared" si="33"/>
        <v>1698953.4545454541</v>
      </c>
      <c r="L77">
        <f t="shared" si="33"/>
        <v>1696038</v>
      </c>
      <c r="M77">
        <f t="shared" si="33"/>
        <v>1784596</v>
      </c>
      <c r="N77">
        <f t="shared" si="33"/>
        <v>1792488</v>
      </c>
      <c r="O77">
        <f t="shared" si="33"/>
        <v>1823540.5714285718</v>
      </c>
      <c r="P77">
        <f t="shared" si="33"/>
        <v>1904372</v>
      </c>
      <c r="Q77">
        <f t="shared" si="33"/>
        <v>1940620.7999999998</v>
      </c>
      <c r="R77">
        <f t="shared" si="33"/>
        <v>1797276</v>
      </c>
      <c r="S77">
        <f t="shared" si="33"/>
        <v>1745348</v>
      </c>
      <c r="T77">
        <f t="shared" si="33"/>
        <v>1761144</v>
      </c>
      <c r="U77">
        <f t="shared" si="33"/>
        <v>1628928</v>
      </c>
      <c r="V77">
        <f t="shared" si="33"/>
        <v>1727509</v>
      </c>
      <c r="W77">
        <f t="shared" si="33"/>
        <v>1727509</v>
      </c>
      <c r="X77">
        <f t="shared" si="25"/>
        <v>17104</v>
      </c>
      <c r="Y77">
        <f t="shared" si="33"/>
        <v>0</v>
      </c>
      <c r="Z77">
        <f t="shared" si="25"/>
        <v>0</v>
      </c>
      <c r="AA77">
        <f t="shared" si="33"/>
        <v>0</v>
      </c>
      <c r="AB77">
        <f t="shared" si="25"/>
        <v>0</v>
      </c>
      <c r="AC77">
        <f t="shared" si="33"/>
        <v>0</v>
      </c>
      <c r="AD77">
        <f t="shared" si="25"/>
        <v>0</v>
      </c>
      <c r="AE77">
        <f t="shared" si="33"/>
        <v>0</v>
      </c>
      <c r="AF77">
        <f t="shared" si="25"/>
        <v>0</v>
      </c>
      <c r="AG77">
        <f t="shared" si="33"/>
        <v>0</v>
      </c>
      <c r="AH77">
        <f t="shared" si="25"/>
        <v>0</v>
      </c>
      <c r="AI77">
        <f t="shared" si="33"/>
        <v>0</v>
      </c>
      <c r="AJ77">
        <f t="shared" si="25"/>
        <v>0</v>
      </c>
      <c r="AK77">
        <f t="shared" si="33"/>
        <v>-1720952.21</v>
      </c>
      <c r="AL77">
        <f t="shared" si="25"/>
        <v>-17039</v>
      </c>
      <c r="AM77">
        <f t="shared" si="33"/>
        <v>0</v>
      </c>
      <c r="AN77">
        <f t="shared" si="25"/>
        <v>0</v>
      </c>
      <c r="AQ77" t="str">
        <f t="shared" si="3"/>
        <v>Net Cash Flow</v>
      </c>
    </row>
    <row r="78" ht="14.25" customHeight="1"/>
    <row r="79" ht="14.25" customHeight="1">
      <c r="B79" t="s">
        <v>1942</v>
      </c>
      <c r="D79">
        <f t="shared" si="34" ref="D79:AM79">D75-D73-D33</f>
        <v>0</v>
      </c>
      <c r="E79">
        <f t="shared" si="25"/>
        <v>0</v>
      </c>
      <c r="F79">
        <f t="shared" si="34"/>
        <v>0</v>
      </c>
      <c r="G79">
        <f t="shared" si="25"/>
        <v>0</v>
      </c>
      <c r="H79">
        <f t="shared" si="34"/>
        <v>0</v>
      </c>
      <c r="I79">
        <f t="shared" si="25"/>
        <v>0</v>
      </c>
      <c r="J79">
        <f t="shared" si="34"/>
        <v>1857376</v>
      </c>
      <c r="K79">
        <f t="shared" si="34"/>
        <v>1877428.3636363635</v>
      </c>
      <c r="L79">
        <f t="shared" si="34"/>
        <v>1882545.6</v>
      </c>
      <c r="M79">
        <f t="shared" si="34"/>
        <v>1830824</v>
      </c>
      <c r="N79">
        <f t="shared" si="34"/>
        <v>1844293.5</v>
      </c>
      <c r="O79">
        <f t="shared" si="34"/>
        <v>1827898.285714286</v>
      </c>
      <c r="P79">
        <f t="shared" si="34"/>
        <v>1801076</v>
      </c>
      <c r="Q79">
        <f t="shared" si="34"/>
        <v>1823088.0000000005</v>
      </c>
      <c r="R79">
        <f t="shared" si="34"/>
        <v>1881759</v>
      </c>
      <c r="S79">
        <f t="shared" si="34"/>
        <v>1894032</v>
      </c>
      <c r="T79">
        <f t="shared" si="34"/>
        <v>1874196</v>
      </c>
      <c r="U79">
        <f t="shared" si="34"/>
        <v>1898784</v>
      </c>
      <c r="V79">
        <f t="shared" si="34"/>
        <v>1857376</v>
      </c>
      <c r="W79">
        <f t="shared" si="34"/>
        <v>1857376</v>
      </c>
      <c r="X79">
        <f t="shared" si="25"/>
        <v>18390</v>
      </c>
      <c r="Y79">
        <f t="shared" si="34"/>
        <v>0</v>
      </c>
      <c r="Z79">
        <f t="shared" si="25"/>
        <v>0</v>
      </c>
      <c r="AA79">
        <f t="shared" si="34"/>
        <v>0</v>
      </c>
      <c r="AB79">
        <f t="shared" si="25"/>
        <v>0</v>
      </c>
      <c r="AC79">
        <f t="shared" si="34"/>
        <v>0</v>
      </c>
      <c r="AD79">
        <f t="shared" si="25"/>
        <v>0</v>
      </c>
      <c r="AE79">
        <f t="shared" si="34"/>
        <v>0</v>
      </c>
      <c r="AF79">
        <f t="shared" si="25"/>
        <v>0</v>
      </c>
      <c r="AG79">
        <f t="shared" si="34"/>
        <v>0</v>
      </c>
      <c r="AH79">
        <f t="shared" si="25"/>
        <v>0</v>
      </c>
      <c r="AI79">
        <f t="shared" si="34"/>
        <v>0</v>
      </c>
      <c r="AJ79">
        <f t="shared" si="25"/>
        <v>0</v>
      </c>
      <c r="AK79">
        <f t="shared" si="34"/>
        <v>1773157.2999999998</v>
      </c>
      <c r="AL79">
        <f t="shared" si="25"/>
        <v>17556</v>
      </c>
      <c r="AM79">
        <f t="shared" si="34"/>
        <v>0</v>
      </c>
      <c r="AN79">
        <f t="shared" si="25"/>
        <v>0</v>
      </c>
      <c r="AQ79" t="str">
        <f t="shared" si="3"/>
        <v>Total Expenses Less RET &amp; RR</v>
      </c>
    </row>
    <row r="80" ht="14.25" customHeight="1"/>
    <row r="81" ht="14.25" customHeight="1">
      <c r="B81" t="s">
        <v>1943</v>
      </c>
    </row>
    <row r="82" ht="14.25" customHeight="1">
      <c r="B82" t="s">
        <v>1944</v>
      </c>
      <c r="D82">
        <f>IF(ISBLANK(D$3),SUMIF('OS Analysis'!$BM3:$BM1002,$B82,'OS Analysis'!$CB3:$CB1002),INDEX($J82:$U82,1,MATCH(D$3,$J$4:$U$4,0)))</f>
        <v>0</v>
      </c>
      <c r="F82">
        <f>IF(ISBLANK(F$3),SUMIF('OS Analysis'!$AV3:$AV1002,$B82,'OS Analysis'!$BK3:$BK1002),INDEX($J82:$U82,1,MATCH(F$3,$J$4:$U$4,0)))</f>
        <v>0</v>
      </c>
      <c r="H82">
        <f>IF(ISBLANK(H$3),SUMIF('OS Analysis'!$AE3:$AE1002,$B82,'OS Analysis'!$AT3:$AT1002),INDEX($J82:$U82,1,MATCH(H$3,$J$4:$U$4,0)))</f>
        <v>0</v>
      </c>
      <c r="J82">
        <f>((SUMIF('OS Analysis'!$B3:$B1002,B82,'OS Analysis'!$AC3:$AC1002))/12)*12</f>
        <v>0</v>
      </c>
      <c r="K82">
        <f>((SUMIF('OS Analysis'!$B3:$B1002,B82,'OS Analysis'!$AB3:$AB1002))/11)*12</f>
        <v>0</v>
      </c>
      <c r="L82">
        <f>((SUMIF('OS Analysis'!$B3:$B1002,B82,'OS Analysis'!$AA3:$AA1002))/10)*12</f>
        <v>0</v>
      </c>
      <c r="M82">
        <f>((SUMIF('OS Analysis'!$B3:$B1002,B82,'OS Analysis'!$Z3:$Z1002))/9)*12</f>
        <v>0</v>
      </c>
      <c r="N82">
        <f>((SUMIF('OS Analysis'!$B3:$B1002,B82,'OS Analysis'!$Y3:$Y1002))/8)*12</f>
        <v>0</v>
      </c>
      <c r="O82">
        <f>((SUMIF('OS Analysis'!$B3:$B1002,B82,'OS Analysis'!$X3:$X1002))/7)*12</f>
        <v>0</v>
      </c>
      <c r="P82">
        <f>((SUMIF('OS Analysis'!$B3:$B1002,B82,'OS Analysis'!$W3:$W1002))/6)*12</f>
        <v>0</v>
      </c>
      <c r="Q82">
        <f>((SUMIF('OS Analysis'!$B3:$B1002,B82,'OS Analysis'!$V3:$V1002))/5)*12</f>
        <v>0</v>
      </c>
      <c r="R82">
        <f>((SUMIF('OS Analysis'!$B3:$B1002,B82,'OS Analysis'!$U3:$U1002))/4)*12</f>
        <v>0</v>
      </c>
      <c r="S82">
        <f>((SUMIF('OS Analysis'!$B3:$B1002,B82,'OS Analysis'!$T3:$T1002))/3)*12</f>
        <v>0</v>
      </c>
      <c r="T82">
        <f>((SUMIF('OS Analysis'!$B3:$B1002,B82,'OS Analysis'!$S3:$S1002))/2)*12</f>
        <v>0</v>
      </c>
      <c r="U82">
        <f>(SUMIF('OS Analysis'!$B3:$B1002,B82,'OS Analysis'!$R3:$R1002))*12</f>
        <v>0</v>
      </c>
      <c r="V82">
        <f>SUMIF('OS Analysis'!$B$3:$B$1002,$B82,'OS Analysis'!$Q$3:$Q$1002)</f>
        <v>0</v>
      </c>
      <c r="Y82">
        <f>SUMIF('OS Analysis'!$CD3:$CD1002,$B82,'OS Analysis'!$CS3:$CS1002)</f>
        <v>0</v>
      </c>
      <c r="AA82">
        <f>SUMIF('OS Analysis'!$CU3:$CU1002,$B82,'OS Analysis'!$CW3:$CW1002)</f>
        <v>0</v>
      </c>
      <c r="AC82">
        <f>SUMIF('OS Analysis'!$CU3:$CU1002,$B82,'OS Analysis'!$CX3:$CX1002)</f>
        <v>0</v>
      </c>
    </row>
    <row r="83" ht="14.25" customHeight="1">
      <c r="B83" t="s">
        <v>1945</v>
      </c>
      <c r="D83">
        <f>IF(ISBLANK(D$3),SUMIF('OS Analysis'!$BM3:$BM1002,$B83,'OS Analysis'!$CB3:$CB1002),INDEX($J83:$U83,1,MATCH(D$3,$J$4:$U$4,0)))</f>
        <v>0</v>
      </c>
      <c r="F83">
        <f>IF(ISBLANK(F$3),SUMIF('OS Analysis'!$AV3:$AV1002,$B83,'OS Analysis'!$BK3:$BK1002),INDEX($J83:$U83,1,MATCH(F$3,$J$4:$U$4,0)))</f>
        <v>0</v>
      </c>
      <c r="H83">
        <f>IF(ISBLANK(H$3),SUMIF('OS Analysis'!$AE3:$AE1002,$B83,'OS Analysis'!$AT3:$AT1002),INDEX($J83:$U83,1,MATCH(H$3,$J$4:$U$4,0)))</f>
        <v>0</v>
      </c>
      <c r="J83">
        <f>((SUMIF('OS Analysis'!$B3:$B1002,B83,'OS Analysis'!$AC3:$AC1002))/12)*12</f>
        <v>0</v>
      </c>
      <c r="K83">
        <f>((SUMIF('OS Analysis'!$B3:$B1002,B83,'OS Analysis'!$AB3:$AB1002))/11)*12</f>
        <v>0</v>
      </c>
      <c r="L83">
        <f>((SUMIF('OS Analysis'!$B3:$B1002,B83,'OS Analysis'!$AA3:$AA1002))/10)*12</f>
        <v>0</v>
      </c>
      <c r="M83">
        <f>((SUMIF('OS Analysis'!$B3:$B1002,B83,'OS Analysis'!$Z3:$Z1002))/9)*12</f>
        <v>0</v>
      </c>
      <c r="N83">
        <f>((SUMIF('OS Analysis'!$B3:$B1002,B83,'OS Analysis'!$Y3:$Y1002))/8)*12</f>
        <v>0</v>
      </c>
      <c r="O83">
        <f>((SUMIF('OS Analysis'!$B3:$B1002,B83,'OS Analysis'!$X3:$X1002))/7)*12</f>
        <v>0</v>
      </c>
      <c r="P83">
        <f>((SUMIF('OS Analysis'!$B3:$B1002,B83,'OS Analysis'!$W3:$W1002))/6)*12</f>
        <v>0</v>
      </c>
      <c r="Q83">
        <f>((SUMIF('OS Analysis'!$B3:$B1002,B83,'OS Analysis'!$V3:$V1002))/5)*12</f>
        <v>0</v>
      </c>
      <c r="R83">
        <f>((SUMIF('OS Analysis'!$B3:$B1002,B83,'OS Analysis'!$U3:$U1002))/4)*12</f>
        <v>0</v>
      </c>
      <c r="S83">
        <f>((SUMIF('OS Analysis'!$B3:$B1002,B83,'OS Analysis'!$T3:$T1002))/3)*12</f>
        <v>0</v>
      </c>
      <c r="T83">
        <f>((SUMIF('OS Analysis'!$B3:$B1002,B83,'OS Analysis'!$S3:$S1002))/2)*12</f>
        <v>0</v>
      </c>
      <c r="U83">
        <f>(SUMIF('OS Analysis'!$B3:$B1002,B83,'OS Analysis'!$R3:$R1002))*12</f>
        <v>0</v>
      </c>
      <c r="V83">
        <f>SUMIF('OS Analysis'!$B$3:$B$1002,$B83,'OS Analysis'!$Q$3:$Q$1002)</f>
        <v>0</v>
      </c>
      <c r="Y83">
        <f>SUMIF('OS Analysis'!$CD3:$CD1002,$B83,'OS Analysis'!$CS3:$CS1002)</f>
        <v>0</v>
      </c>
      <c r="AA83">
        <f>SUMIF('OS Analysis'!$CU3:$CU1002,$B83,'OS Analysis'!$CW3:$CW1002)</f>
        <v>0</v>
      </c>
      <c r="AC83">
        <f>SUMIF('OS Analysis'!$CU3:$CU1002,$B83,'OS Analysis'!$CX3:$CX1002)</f>
        <v>0</v>
      </c>
    </row>
    <row r="84" ht="14.25" customHeight="1">
      <c r="B84" t="s">
        <v>1946</v>
      </c>
      <c r="D84">
        <f>IF(ISBLANK(D$3),SUMIF('OS Analysis'!$BM3:$BM1002,$B84,'OS Analysis'!$CB3:$CB1002),INDEX($J84:$U84,1,MATCH(D$3,$J$4:$U$4,0)))</f>
        <v>0</v>
      </c>
      <c r="F84">
        <f>IF(ISBLANK(F$3),SUMIF('OS Analysis'!$AV3:$AV1002,$B84,'OS Analysis'!$BK3:$BK1002),INDEX($J84:$U84,1,MATCH(F$3,$J$4:$U$4,0)))</f>
        <v>0</v>
      </c>
      <c r="H84">
        <f>IF(ISBLANK(H$3),SUMIF('OS Analysis'!$AE3:$AE1002,$B84,'OS Analysis'!$AT3:$AT1002),INDEX($J84:$U84,1,MATCH(H$3,$J$4:$U$4,0)))</f>
        <v>0</v>
      </c>
      <c r="J84">
        <f>((SUMIF('OS Analysis'!$B3:$B1002,B84,'OS Analysis'!$AC3:$AC1002))/12)*12</f>
        <v>0</v>
      </c>
      <c r="K84">
        <f>((SUMIF('OS Analysis'!$B3:$B1002,B84,'OS Analysis'!$AB3:$AB1002))/11)*12</f>
        <v>0</v>
      </c>
      <c r="L84">
        <f>((SUMIF('OS Analysis'!$B3:$B1002,B84,'OS Analysis'!$AA3:$AA1002))/10)*12</f>
        <v>0</v>
      </c>
      <c r="M84">
        <f>((SUMIF('OS Analysis'!$B3:$B1002,B84,'OS Analysis'!$Z3:$Z1002))/9)*12</f>
        <v>0</v>
      </c>
      <c r="N84">
        <f>((SUMIF('OS Analysis'!$B3:$B1002,B84,'OS Analysis'!$Y3:$Y1002))/8)*12</f>
        <v>0</v>
      </c>
      <c r="O84">
        <f>((SUMIF('OS Analysis'!$B3:$B1002,B84,'OS Analysis'!$X3:$X1002))/7)*12</f>
        <v>0</v>
      </c>
      <c r="P84">
        <f>((SUMIF('OS Analysis'!$B3:$B1002,B84,'OS Analysis'!$W3:$W1002))/6)*12</f>
        <v>0</v>
      </c>
      <c r="Q84">
        <f>((SUMIF('OS Analysis'!$B3:$B1002,B84,'OS Analysis'!$V3:$V1002))/5)*12</f>
        <v>0</v>
      </c>
      <c r="R84">
        <f>((SUMIF('OS Analysis'!$B3:$B1002,B84,'OS Analysis'!$U3:$U1002))/4)*12</f>
        <v>0</v>
      </c>
      <c r="S84">
        <f>((SUMIF('OS Analysis'!$B3:$B1002,B84,'OS Analysis'!$T3:$T1002))/3)*12</f>
        <v>0</v>
      </c>
      <c r="T84">
        <f>((SUMIF('OS Analysis'!$B3:$B1002,B84,'OS Analysis'!$S3:$S1002))/2)*12</f>
        <v>0</v>
      </c>
      <c r="U84">
        <f>(SUMIF('OS Analysis'!$B3:$B1002,B84,'OS Analysis'!$R3:$R1002))*12</f>
        <v>0</v>
      </c>
      <c r="V84">
        <f>SUMIF('OS Analysis'!$B$3:$B$1002,$B84,'OS Analysis'!$Q$3:$Q$1002)</f>
        <v>0</v>
      </c>
      <c r="Y84">
        <f>SUMIF('OS Analysis'!$CD3:$CD1002,$B84,'OS Analysis'!$CS3:$CS1002)</f>
        <v>0</v>
      </c>
      <c r="AA84">
        <f>SUMIF('OS Analysis'!$CU3:$CU1002,$B84,'OS Analysis'!$CW3:$CW1002)</f>
        <v>0</v>
      </c>
      <c r="AC84">
        <f>SUMIF('OS Analysis'!$CU3:$CU1002,$B84,'OS Analysis'!$CX3:$CX1002)</f>
        <v>0</v>
      </c>
    </row>
    <row r="85" ht="14.25" customHeight="1">
      <c r="B85" t="s">
        <v>1947</v>
      </c>
      <c r="D85">
        <f>IF(ISBLANK(D$3),SUMIF('OS Analysis'!$BM3:$BM1002,$B85,'OS Analysis'!$CB3:$CB1002),INDEX($J85:$U85,1,MATCH(D$3,$J$4:$U$4,0)))</f>
        <v>0</v>
      </c>
      <c r="F85">
        <f>IF(ISBLANK(F$3),SUMIF('OS Analysis'!$AV3:$AV1002,$B85,'OS Analysis'!$BK3:$BK1002),INDEX($J85:$U85,1,MATCH(F$3,$J$4:$U$4,0)))</f>
        <v>0</v>
      </c>
      <c r="H85">
        <f>IF(ISBLANK(H$3),SUMIF('OS Analysis'!$AE3:$AE1002,$B85,'OS Analysis'!$AT3:$AT1002),INDEX($J85:$U85,1,MATCH(H$3,$J$4:$U$4,0)))</f>
        <v>0</v>
      </c>
      <c r="J85">
        <f>((SUMIF('OS Analysis'!$B3:$B1002,B85,'OS Analysis'!$AC3:$AC1002))/12)*12</f>
        <v>0</v>
      </c>
      <c r="K85">
        <f>((SUMIF('OS Analysis'!$B3:$B1002,B85,'OS Analysis'!$AB3:$AB1002))/11)*12</f>
        <v>0</v>
      </c>
      <c r="L85">
        <f>((SUMIF('OS Analysis'!$B3:$B1002,B85,'OS Analysis'!$AA3:$AA1002))/10)*12</f>
        <v>0</v>
      </c>
      <c r="M85">
        <f>((SUMIF('OS Analysis'!$B3:$B1002,B85,'OS Analysis'!$Z3:$Z1002))/9)*12</f>
        <v>0</v>
      </c>
      <c r="N85">
        <f>((SUMIF('OS Analysis'!$B3:$B1002,B85,'OS Analysis'!$Y3:$Y1002))/8)*12</f>
        <v>0</v>
      </c>
      <c r="O85">
        <f>((SUMIF('OS Analysis'!$B3:$B1002,B85,'OS Analysis'!$X3:$X1002))/7)*12</f>
        <v>0</v>
      </c>
      <c r="P85">
        <f>((SUMIF('OS Analysis'!$B3:$B1002,B85,'OS Analysis'!$W3:$W1002))/6)*12</f>
        <v>0</v>
      </c>
      <c r="Q85">
        <f>((SUMIF('OS Analysis'!$B3:$B1002,B85,'OS Analysis'!$V3:$V1002))/5)*12</f>
        <v>0</v>
      </c>
      <c r="R85">
        <f>((SUMIF('OS Analysis'!$B3:$B1002,B85,'OS Analysis'!$U3:$U1002))/4)*12</f>
        <v>0</v>
      </c>
      <c r="S85">
        <f>((SUMIF('OS Analysis'!$B3:$B1002,B85,'OS Analysis'!$T3:$T1002))/3)*12</f>
        <v>0</v>
      </c>
      <c r="T85">
        <f>((SUMIF('OS Analysis'!$B3:$B1002,B85,'OS Analysis'!$S3:$S1002))/2)*12</f>
        <v>0</v>
      </c>
      <c r="U85">
        <f>(SUMIF('OS Analysis'!$B3:$B1002,B85,'OS Analysis'!$R3:$R1002))*12</f>
        <v>0</v>
      </c>
      <c r="V85">
        <f>SUMIF('OS Analysis'!$B$3:$B$1002,$B85,'OS Analysis'!$Q$3:$Q$1002)</f>
        <v>0</v>
      </c>
      <c r="Y85">
        <f>SUMIF('OS Analysis'!$CD3:$CD1002,$B85,'OS Analysis'!$CS3:$CS1002)</f>
        <v>0</v>
      </c>
      <c r="AA85">
        <f>SUMIF('OS Analysis'!$CU3:$CU1002,$B85,'OS Analysis'!$CW3:$CW1002)</f>
        <v>0</v>
      </c>
      <c r="AC85">
        <f>SUMIF('OS Analysis'!$CU3:$CU1002,$B85,'OS Analysis'!$CX3:$CX1002)</f>
        <v>0</v>
      </c>
    </row>
    <row r="86" ht="14.25" customHeight="1">
      <c r="B86" t="s">
        <v>1948</v>
      </c>
      <c r="D86">
        <f>IF(ISBLANK(D$3),SUMIF('OS Analysis'!$BM3:$BM1002,$B86,'OS Analysis'!$CB3:$CB1002),INDEX($J86:$U86,1,MATCH(D$3,$J$4:$U$4,0)))</f>
        <v>0</v>
      </c>
      <c r="F86">
        <f>IF(ISBLANK(F$3),SUMIF('OS Analysis'!$AV3:$AV1002,$B86,'OS Analysis'!$BK3:$BK1002),INDEX($J86:$U86,1,MATCH(F$3,$J$4:$U$4,0)))</f>
        <v>0</v>
      </c>
      <c r="H86">
        <f>IF(ISBLANK(H$3),SUMIF('OS Analysis'!$AE3:$AE1002,$B86,'OS Analysis'!$AT3:$AT1002),INDEX($J86:$U86,1,MATCH(H$3,$J$4:$U$4,0)))</f>
        <v>0</v>
      </c>
      <c r="J86">
        <f>((SUMIF('OS Analysis'!$B3:$B1002,B86,'OS Analysis'!$AC3:$AC1002))/12)*12</f>
        <v>0</v>
      </c>
      <c r="K86">
        <f>((SUMIF('OS Analysis'!$B3:$B1002,B86,'OS Analysis'!$AB3:$AB1002))/11)*12</f>
        <v>0</v>
      </c>
      <c r="L86">
        <f>((SUMIF('OS Analysis'!$B3:$B1002,B86,'OS Analysis'!$AA3:$AA1002))/10)*12</f>
        <v>0</v>
      </c>
      <c r="M86">
        <f>((SUMIF('OS Analysis'!$B3:$B1002,B86,'OS Analysis'!$Z3:$Z1002))/9)*12</f>
        <v>0</v>
      </c>
      <c r="N86">
        <f>((SUMIF('OS Analysis'!$B3:$B1002,B86,'OS Analysis'!$Y3:$Y1002))/8)*12</f>
        <v>0</v>
      </c>
      <c r="O86">
        <f>((SUMIF('OS Analysis'!$B3:$B1002,B86,'OS Analysis'!$X3:$X1002))/7)*12</f>
        <v>0</v>
      </c>
      <c r="P86">
        <f>((SUMIF('OS Analysis'!$B3:$B1002,B86,'OS Analysis'!$W3:$W1002))/6)*12</f>
        <v>0</v>
      </c>
      <c r="Q86">
        <f>((SUMIF('OS Analysis'!$B3:$B1002,B86,'OS Analysis'!$V3:$V1002))/5)*12</f>
        <v>0</v>
      </c>
      <c r="R86">
        <f>((SUMIF('OS Analysis'!$B3:$B1002,B86,'OS Analysis'!$U3:$U1002))/4)*12</f>
        <v>0</v>
      </c>
      <c r="S86">
        <f>((SUMIF('OS Analysis'!$B3:$B1002,B86,'OS Analysis'!$T3:$T1002))/3)*12</f>
        <v>0</v>
      </c>
      <c r="T86">
        <f>((SUMIF('OS Analysis'!$B3:$B1002,B86,'OS Analysis'!$S3:$S1002))/2)*12</f>
        <v>0</v>
      </c>
      <c r="U86">
        <f>(SUMIF('OS Analysis'!$B3:$B1002,B86,'OS Analysis'!$R3:$R1002))*12</f>
        <v>0</v>
      </c>
      <c r="V86">
        <f>SUMIF('OS Analysis'!$B$3:$B$1002,$B86,'OS Analysis'!$Q$3:$Q$1002)</f>
        <v>0</v>
      </c>
      <c r="Y86">
        <f>SUMIF('OS Analysis'!$CD3:$CD1002,$B86,'OS Analysis'!$CS3:$CS1002)</f>
        <v>0</v>
      </c>
      <c r="AA86">
        <f>SUMIF('OS Analysis'!$CU3:$CU1002,$B86,'OS Analysis'!$CW3:$CW1002)</f>
        <v>0</v>
      </c>
      <c r="AC86">
        <f>SUMIF('OS Analysis'!$CU3:$CU1002,$B86,'OS Analysis'!$CX3:$CX1002)</f>
        <v>0</v>
      </c>
    </row>
    <row r="87" ht="14.25" customHeight="1">
      <c r="B87" t="s">
        <v>1949</v>
      </c>
      <c r="D87">
        <f>IF(ISBLANK(D$3),SUMIF('OS Analysis'!$BM3:$BM1002,$B87,'OS Analysis'!$CB3:$CB1002),INDEX($J87:$U87,1,MATCH(D$3,$J$4:$U$4,0)))</f>
        <v>0</v>
      </c>
      <c r="F87">
        <f>IF(ISBLANK(F$3),SUMIF('OS Analysis'!$AV3:$AV1002,$B87,'OS Analysis'!$BK3:$BK1002),INDEX($J87:$U87,1,MATCH(F$3,$J$4:$U$4,0)))</f>
        <v>0</v>
      </c>
      <c r="H87">
        <f>IF(ISBLANK(H$3),SUMIF('OS Analysis'!$AE3:$AE1002,$B87,'OS Analysis'!$AT3:$AT1002),INDEX($J87:$U87,1,MATCH(H$3,$J$4:$U$4,0)))</f>
        <v>0</v>
      </c>
      <c r="J87">
        <f>((SUMIF('OS Analysis'!$B3:$B1002,B87,'OS Analysis'!$AC3:$AC1002))/12)*12</f>
        <v>0</v>
      </c>
      <c r="K87">
        <f>((SUMIF('OS Analysis'!$B3:$B1002,B87,'OS Analysis'!$AB3:$AB1002))/11)*12</f>
        <v>0</v>
      </c>
      <c r="L87">
        <f>((SUMIF('OS Analysis'!$B3:$B1002,B87,'OS Analysis'!$AA3:$AA1002))/10)*12</f>
        <v>0</v>
      </c>
      <c r="M87">
        <f>((SUMIF('OS Analysis'!$B3:$B1002,B87,'OS Analysis'!$Z3:$Z1002))/9)*12</f>
        <v>0</v>
      </c>
      <c r="N87">
        <f>((SUMIF('OS Analysis'!$B3:$B1002,B87,'OS Analysis'!$Y3:$Y1002))/8)*12</f>
        <v>0</v>
      </c>
      <c r="O87">
        <f>((SUMIF('OS Analysis'!$B3:$B1002,B87,'OS Analysis'!$X3:$X1002))/7)*12</f>
        <v>0</v>
      </c>
      <c r="P87">
        <f>((SUMIF('OS Analysis'!$B3:$B1002,B87,'OS Analysis'!$W3:$W1002))/6)*12</f>
        <v>0</v>
      </c>
      <c r="Q87">
        <f>((SUMIF('OS Analysis'!$B3:$B1002,B87,'OS Analysis'!$V3:$V1002))/5)*12</f>
        <v>0</v>
      </c>
      <c r="R87">
        <f>((SUMIF('OS Analysis'!$B3:$B1002,B87,'OS Analysis'!$U3:$U1002))/4)*12</f>
        <v>0</v>
      </c>
      <c r="S87">
        <f>((SUMIF('OS Analysis'!$B3:$B1002,B87,'OS Analysis'!$T3:$T1002))/3)*12</f>
        <v>0</v>
      </c>
      <c r="T87">
        <f>((SUMIF('OS Analysis'!$B3:$B1002,B87,'OS Analysis'!$S3:$S1002))/2)*12</f>
        <v>0</v>
      </c>
      <c r="U87">
        <f>(SUMIF('OS Analysis'!$B3:$B1002,B87,'OS Analysis'!$R3:$R1002))*12</f>
        <v>0</v>
      </c>
      <c r="V87">
        <f>SUMIF('OS Analysis'!$B$3:$B$1002,$B87,'OS Analysis'!$Q$3:$Q$1002)</f>
        <v>0</v>
      </c>
      <c r="Y87">
        <f>SUMIF('OS Analysis'!$CD3:$CD1002,$B87,'OS Analysis'!$CS3:$CS1002)</f>
        <v>0</v>
      </c>
      <c r="AA87">
        <f>SUMIF('OS Analysis'!$CU3:$CU1002,$B87,'OS Analysis'!$CW3:$CW1002)</f>
        <v>0</v>
      </c>
      <c r="AC87">
        <f>SUMIF('OS Analysis'!$CU3:$CU1002,$B87,'OS Analysis'!$CX3:$CX1002)</f>
        <v>0</v>
      </c>
    </row>
    <row r="88" ht="14.25" customHeight="1">
      <c r="B88" t="s">
        <v>1950</v>
      </c>
      <c r="D88">
        <f>IF(ISBLANK(D$3),SUMIF('OS Analysis'!$BM3:$BM1002,$B88,'OS Analysis'!$CB3:$CB1002),INDEX($J88:$U88,1,MATCH(D$3,$J$4:$U$4,0)))</f>
        <v>0</v>
      </c>
      <c r="F88">
        <f>IF(ISBLANK(F$3),SUMIF('OS Analysis'!$AV3:$AV1002,$B88,'OS Analysis'!$BK3:$BK1002),INDEX($J88:$U88,1,MATCH(F$3,$J$4:$U$4,0)))</f>
        <v>0</v>
      </c>
      <c r="H88">
        <f>IF(ISBLANK(H$3),SUMIF('OS Analysis'!$AE3:$AE1002,$B88,'OS Analysis'!$AT3:$AT1002),INDEX($J88:$U88,1,MATCH(H$3,$J$4:$U$4,0)))</f>
        <v>0</v>
      </c>
      <c r="J88">
        <f>((SUMIF('OS Analysis'!$B3:$B1002,B88,'OS Analysis'!$AC3:$AC1002))/12)*12</f>
        <v>0</v>
      </c>
      <c r="K88">
        <f>((SUMIF('OS Analysis'!$B3:$B1002,B88,'OS Analysis'!$AB3:$AB1002))/11)*12</f>
        <v>0</v>
      </c>
      <c r="L88">
        <f>((SUMIF('OS Analysis'!$B3:$B1002,B88,'OS Analysis'!$AA3:$AA1002))/10)*12</f>
        <v>0</v>
      </c>
      <c r="M88">
        <f>((SUMIF('OS Analysis'!$B3:$B1002,B88,'OS Analysis'!$Z3:$Z1002))/9)*12</f>
        <v>0</v>
      </c>
      <c r="N88">
        <f>((SUMIF('OS Analysis'!$B3:$B1002,B88,'OS Analysis'!$Y3:$Y1002))/8)*12</f>
        <v>0</v>
      </c>
      <c r="O88">
        <f>((SUMIF('OS Analysis'!$B3:$B1002,B88,'OS Analysis'!$X3:$X1002))/7)*12</f>
        <v>0</v>
      </c>
      <c r="P88">
        <f>((SUMIF('OS Analysis'!$B3:$B1002,B88,'OS Analysis'!$W3:$W1002))/6)*12</f>
        <v>0</v>
      </c>
      <c r="Q88">
        <f>((SUMIF('OS Analysis'!$B3:$B1002,B88,'OS Analysis'!$V3:$V1002))/5)*12</f>
        <v>0</v>
      </c>
      <c r="R88">
        <f>((SUMIF('OS Analysis'!$B3:$B1002,B88,'OS Analysis'!$U3:$U1002))/4)*12</f>
        <v>0</v>
      </c>
      <c r="S88">
        <f>((SUMIF('OS Analysis'!$B3:$B1002,B88,'OS Analysis'!$T3:$T1002))/3)*12</f>
        <v>0</v>
      </c>
      <c r="T88">
        <f>((SUMIF('OS Analysis'!$B3:$B1002,B88,'OS Analysis'!$S3:$S1002))/2)*12</f>
        <v>0</v>
      </c>
      <c r="U88">
        <f>(SUMIF('OS Analysis'!$B3:$B1002,B88,'OS Analysis'!$R3:$R1002))*12</f>
        <v>0</v>
      </c>
      <c r="V88">
        <f>SUMIF('OS Analysis'!$B$3:$B$1002,$B88,'OS Analysis'!$Q$3:$Q$1002)</f>
        <v>0</v>
      </c>
      <c r="Y88">
        <f>SUMIF('OS Analysis'!$CD3:$CD1002,$B88,'OS Analysis'!$CS3:$CS1002)</f>
        <v>0</v>
      </c>
      <c r="AA88">
        <f>SUMIF('OS Analysis'!$CU3:$CU1002,$B88,'OS Analysis'!$CW3:$CW1002)</f>
        <v>0</v>
      </c>
      <c r="AC88">
        <f>SUMIF('OS Analysis'!$CU3:$CU1002,$B88,'OS Analysis'!$CX3:$CX1002)</f>
        <v>0</v>
      </c>
    </row>
    <row r="89" ht="14.25" customHeight="1"/>
    <row r="90" ht="14.25" customHeight="1">
      <c r="B90" t="s">
        <v>1951</v>
      </c>
      <c r="D90">
        <f t="shared" si="35" ref="D90:AC90">D77</f>
        <v>0</v>
      </c>
      <c r="F90">
        <f t="shared" si="35"/>
        <v>0</v>
      </c>
      <c r="H90">
        <f t="shared" si="35"/>
        <v>0</v>
      </c>
      <c r="J90">
        <f t="shared" si="35"/>
        <v>1727509</v>
      </c>
      <c r="K90">
        <f t="shared" si="35"/>
        <v>1698953.4545454541</v>
      </c>
      <c r="L90">
        <f t="shared" si="35"/>
        <v>1696038</v>
      </c>
      <c r="M90">
        <f t="shared" si="35"/>
        <v>1784596</v>
      </c>
      <c r="N90">
        <f t="shared" si="35"/>
        <v>1792488</v>
      </c>
      <c r="O90">
        <f t="shared" si="35"/>
        <v>1823540.5714285718</v>
      </c>
      <c r="P90">
        <f t="shared" si="35"/>
        <v>1904372</v>
      </c>
      <c r="Q90">
        <f t="shared" si="35"/>
        <v>1940620.7999999998</v>
      </c>
      <c r="R90">
        <f t="shared" si="35"/>
        <v>1797276</v>
      </c>
      <c r="S90">
        <f t="shared" si="35"/>
        <v>1745348</v>
      </c>
      <c r="T90">
        <f t="shared" si="35"/>
        <v>1761144</v>
      </c>
      <c r="U90">
        <f t="shared" si="35"/>
        <v>1628928</v>
      </c>
      <c r="V90">
        <f t="shared" si="35"/>
        <v>1727509</v>
      </c>
      <c r="Y90">
        <f t="shared" si="35"/>
        <v>0</v>
      </c>
      <c r="AA90">
        <f t="shared" si="35"/>
        <v>0</v>
      </c>
      <c r="AC90">
        <f t="shared" si="35"/>
        <v>0</v>
      </c>
    </row>
    <row r="91" ht="14.25" customHeight="1">
      <c r="B91" t="s">
        <v>1952</v>
      </c>
      <c r="D91">
        <f t="shared" si="36" ref="D91:AC91">D28</f>
        <v>0</v>
      </c>
      <c r="F91">
        <f t="shared" si="36"/>
        <v>0</v>
      </c>
      <c r="H91">
        <f t="shared" si="36"/>
        <v>0</v>
      </c>
      <c r="J91">
        <f t="shared" si="36"/>
        <v>0</v>
      </c>
      <c r="K91">
        <f t="shared" si="36"/>
        <v>0</v>
      </c>
      <c r="L91">
        <f t="shared" si="36"/>
        <v>0</v>
      </c>
      <c r="M91">
        <f t="shared" si="36"/>
        <v>0</v>
      </c>
      <c r="N91">
        <f t="shared" si="36"/>
        <v>0</v>
      </c>
      <c r="O91">
        <f t="shared" si="36"/>
        <v>0</v>
      </c>
      <c r="P91">
        <f t="shared" si="36"/>
        <v>0</v>
      </c>
      <c r="Q91">
        <f t="shared" si="36"/>
        <v>0</v>
      </c>
      <c r="R91">
        <f t="shared" si="36"/>
        <v>0</v>
      </c>
      <c r="S91">
        <f t="shared" si="36"/>
        <v>0</v>
      </c>
      <c r="T91">
        <f t="shared" si="36"/>
        <v>0</v>
      </c>
      <c r="U91">
        <f t="shared" si="36"/>
        <v>0</v>
      </c>
      <c r="V91">
        <f t="shared" si="36"/>
        <v>0</v>
      </c>
      <c r="Y91">
        <f t="shared" si="36"/>
        <v>0</v>
      </c>
      <c r="AA91">
        <f t="shared" si="36"/>
        <v>0</v>
      </c>
      <c r="AC91">
        <f t="shared" si="36"/>
        <v>0</v>
      </c>
    </row>
    <row r="92" ht="14.25" customHeight="1">
      <c r="B92" t="s">
        <v>1953</v>
      </c>
      <c r="D92">
        <f t="shared" si="37" ref="D92:AC92">SUM(D82:D88)</f>
        <v>0</v>
      </c>
      <c r="F92">
        <f t="shared" si="37"/>
        <v>0</v>
      </c>
      <c r="H92">
        <f t="shared" si="37"/>
        <v>0</v>
      </c>
      <c r="J92">
        <f t="shared" si="37"/>
        <v>0</v>
      </c>
      <c r="K92">
        <f t="shared" si="37"/>
        <v>0</v>
      </c>
      <c r="L92">
        <f t="shared" si="37"/>
        <v>0</v>
      </c>
      <c r="M92">
        <f t="shared" si="37"/>
        <v>0</v>
      </c>
      <c r="N92">
        <f t="shared" si="37"/>
        <v>0</v>
      </c>
      <c r="O92">
        <f t="shared" si="37"/>
        <v>0</v>
      </c>
      <c r="P92">
        <f t="shared" si="37"/>
        <v>0</v>
      </c>
      <c r="Q92">
        <f t="shared" si="37"/>
        <v>0</v>
      </c>
      <c r="R92">
        <f t="shared" si="37"/>
        <v>0</v>
      </c>
      <c r="S92">
        <f t="shared" si="37"/>
        <v>0</v>
      </c>
      <c r="T92">
        <f t="shared" si="37"/>
        <v>0</v>
      </c>
      <c r="U92">
        <f t="shared" si="37"/>
        <v>0</v>
      </c>
      <c r="V92">
        <f t="shared" si="37"/>
        <v>0</v>
      </c>
      <c r="Y92">
        <f t="shared" si="37"/>
        <v>0</v>
      </c>
      <c r="AA92">
        <f t="shared" si="37"/>
        <v>0</v>
      </c>
      <c r="AC92">
        <f t="shared" si="37"/>
        <v>0</v>
      </c>
    </row>
    <row r="93" ht="14.25" customHeight="1">
      <c r="B93" t="s">
        <v>1954</v>
      </c>
      <c r="D93">
        <f>IF(ISBLANK(D$3),SUMIF('OS Analysis'!$BM3:$BM1002,"Operating Statement NOI",'OS Analysis'!$CB3:$CB1002),INDEX($J93:$U93,1,MATCH(D$3,$J$4:$U$4,0)))</f>
        <v>0</v>
      </c>
      <c r="F93">
        <f>IF(ISBLANK(F$3),SUMIF('OS Analysis'!$AV3:$AV1002,"Operating Statement NOI",'OS Analysis'!$BK3:$BK1002),INDEX($J93:$U93,1,MATCH(F$3,$J$4:$U$4,0)))</f>
        <v>0</v>
      </c>
      <c r="H93">
        <f>IF(ISBLANK(H$3),SUMIF('OS Analysis'!$AE3:$AE1002,"Operating Statement NOI",'OS Analysis'!$AT3:$AT1002),INDEX($J93:$U93,1,MATCH(H$3,$J$4:$U$4,0)))</f>
        <v>0</v>
      </c>
      <c r="J93">
        <f>((SUMIF('OS Analysis'!$B3:$B1002,"Operating Statement NOI",'OS Analysis'!$AC3:$AC1002))/12)*12</f>
        <v>0</v>
      </c>
      <c r="K93">
        <f>((SUMIF('OS Analysis'!$B3:$B1002,"Operating Statement NOI",'OS Analysis'!$AB3:$AB1002))/11)*12</f>
        <v>0</v>
      </c>
      <c r="L93">
        <f>((SUMIF('OS Analysis'!$B3:$B1002,"Operating Statement NOI",'OS Analysis'!$AA3:$AA1002))/10)*12</f>
        <v>0</v>
      </c>
      <c r="M93">
        <f>((SUMIF('OS Analysis'!$B3:$B1002,"Operating Statement NOI",'OS Analysis'!$Z3:$Z1002))/9)*12</f>
        <v>0</v>
      </c>
      <c r="N93">
        <f>((SUMIF('OS Analysis'!$B3:$B1002,"Operating Statement NOI",'OS Analysis'!$Y3:$Y1002))/8)*12</f>
        <v>0</v>
      </c>
      <c r="O93">
        <f>((SUMIF('OS Analysis'!$B3:$B1002,"Operating Statement NOI",'OS Analysis'!$X3:$X1002))/7)*12</f>
        <v>0</v>
      </c>
      <c r="P93">
        <f>((SUMIF('OS Analysis'!$B3:$B1002,"Operating Statement NOI",'OS Analysis'!$W3:$W1002))/6)*12</f>
        <v>0</v>
      </c>
      <c r="Q93">
        <f>((SUMIF('OS Analysis'!$B3:$B1002,"Operating Statement NOI",'OS Analysis'!$V3:$V1002))/5)*12</f>
        <v>0</v>
      </c>
      <c r="R93">
        <f>((SUMIF('OS Analysis'!$B3:$B1002,"Operating Statement NOI",'OS Analysis'!$U3:$U1002))/4)*12</f>
        <v>0</v>
      </c>
      <c r="S93">
        <f>((SUMIF('OS Analysis'!$B3:$B1002,"Operating Statement NOI",'OS Analysis'!$T3:$T1002))/3)*12</f>
        <v>0</v>
      </c>
      <c r="T93">
        <f>((SUMIF('OS Analysis'!$B3:$B1002,"Operating Statement NOI",'OS Analysis'!$S3:$S1002))/2)*12</f>
        <v>0</v>
      </c>
      <c r="U93">
        <f>((SUMIF('OS Analysis'!$B3:$B1002,"Operating Statement NOI",'OS Analysis'!$R3:$R1002)))*12</f>
        <v>0</v>
      </c>
      <c r="V93">
        <f>SUMIF('OS Analysis'!$B$3:$B$1002,"Operating Statement NOI",'OS Analysis'!$Q$3:$Q$1002)</f>
        <v>0</v>
      </c>
      <c r="Y93">
        <f>SUMIF('OS Analysis'!$CD3:$CD1002,"Operating Statement NOI",'OS Analysis'!$CS3:$CS1002)</f>
        <v>0</v>
      </c>
      <c r="AA93">
        <f>SUMIF('OS Analysis'!$CU3:$CU1002,"Operating Statement NOI",'OS Analysis'!$CW3:$CW1002)</f>
        <v>0</v>
      </c>
      <c r="AC93">
        <f>SUMIF('OS Analysis'!$CU3:$CU1002,"Operating Statement NOI",'OS Analysis'!$CX3:$CX1002)</f>
        <v>0</v>
      </c>
    </row>
    <row r="94" ht="14.25" customHeight="1"/>
    <row r="95" ht="14.25" customHeight="1">
      <c r="B95" t="s">
        <v>1955</v>
      </c>
      <c r="D95">
        <f t="shared" si="38" ref="D95:AC95">(D90+D91+D73-D92)-D93</f>
        <v>0</v>
      </c>
      <c r="F95">
        <f t="shared" si="38"/>
        <v>0</v>
      </c>
      <c r="H95">
        <f t="shared" si="38"/>
        <v>0</v>
      </c>
      <c r="J95">
        <f t="shared" si="38"/>
        <v>1727509</v>
      </c>
      <c r="K95">
        <f t="shared" si="38"/>
        <v>1698953.4545454541</v>
      </c>
      <c r="L95">
        <f t="shared" si="38"/>
        <v>1696038</v>
      </c>
      <c r="M95">
        <f t="shared" si="38"/>
        <v>1784596</v>
      </c>
      <c r="N95">
        <f t="shared" si="38"/>
        <v>1792488</v>
      </c>
      <c r="O95">
        <f t="shared" si="38"/>
        <v>1823540.5714285718</v>
      </c>
      <c r="P95">
        <f t="shared" si="38"/>
        <v>1904372</v>
      </c>
      <c r="Q95">
        <f t="shared" si="38"/>
        <v>1940620.7999999998</v>
      </c>
      <c r="R95">
        <f t="shared" si="38"/>
        <v>1797276</v>
      </c>
      <c r="S95">
        <f t="shared" si="38"/>
        <v>1745348</v>
      </c>
      <c r="T95">
        <f t="shared" si="38"/>
        <v>1761144</v>
      </c>
      <c r="U95">
        <f t="shared" si="38"/>
        <v>1628928</v>
      </c>
      <c r="V95">
        <f t="shared" si="38"/>
        <v>1727509</v>
      </c>
      <c r="Y95">
        <f t="shared" si="38"/>
        <v>0</v>
      </c>
      <c r="AA95">
        <f t="shared" si="38"/>
        <v>0</v>
      </c>
      <c r="AC95">
        <f t="shared" si="38"/>
        <v>0</v>
      </c>
    </row>
    <row r="96" ht="14.25" customHeight="1"/>
    <row r="97" ht="14.25" customHeight="1">
      <c r="B97" t="s">
        <v>1956</v>
      </c>
      <c r="D97">
        <f>IF(ISBLANK(D$3),SUMIF('OS Analysis'!$BM3:$BM1002,$B97,'OS Analysis'!$CB3:$CB1002),INDEX($J97:$U97,1,MATCH(D$3,$J$4:$U$4,0)))</f>
        <v>0</v>
      </c>
      <c r="F97">
        <f>IF(ISBLANK(F$3),SUMIF('OS Analysis'!$AV3:$AV1002,$B97,'OS Analysis'!$BK3:$BK1002),INDEX($J97:$U97,1,MATCH(F$3,$J$4:$U$4,0)))</f>
        <v>0</v>
      </c>
      <c r="H97">
        <f>IF(ISBLANK(H$3),SUMIF('OS Analysis'!$AE3:$AE1002,$B97,'OS Analysis'!$AT3:$AT1002),INDEX($J97:$U97,1,MATCH(H$3,$J$4:$U$4,0)))</f>
        <v>0</v>
      </c>
      <c r="J97">
        <f>((SUMIF('OS Analysis'!$B3:$B1002,$B97,'OS Analysis'!$AC3:$AC1002))/12)*12</f>
        <v>0</v>
      </c>
      <c r="K97">
        <f>((SUMIF('OS Analysis'!$B3:$B1002,$B97,'OS Analysis'!$AB3:$AB1002))/11)*12</f>
        <v>0</v>
      </c>
      <c r="L97">
        <f>((SUMIF('OS Analysis'!$B3:$B1002,$B97,'OS Analysis'!$AA3:$AA1002))/10)*12</f>
        <v>0</v>
      </c>
      <c r="M97">
        <f>((SUMIF('OS Analysis'!$B3:$B1002,$B97,'OS Analysis'!$Z3:$Z1002))/9)*12</f>
        <v>0</v>
      </c>
      <c r="N97">
        <f>((SUMIF('OS Analysis'!$B3:$B1002,$B97,'OS Analysis'!$Y3:$Y1002))/8)*12</f>
        <v>0</v>
      </c>
      <c r="O97">
        <f>((SUMIF('OS Analysis'!$B3:$B1002,$B97,'OS Analysis'!$X3:$X1002))/7)*12</f>
        <v>0</v>
      </c>
      <c r="P97">
        <f>((SUMIF('OS Analysis'!$B3:$B1002,$B97,'OS Analysis'!$W3:$W1002))/6)*12</f>
        <v>0</v>
      </c>
      <c r="Q97">
        <f>((SUMIF('OS Analysis'!$B3:$B1002,$B97,'OS Analysis'!$V3:$V1002))/5)*12</f>
        <v>0</v>
      </c>
      <c r="R97">
        <f>((SUMIF('OS Analysis'!$B3:$B1002,$B97,'OS Analysis'!$U3:$U1002))/4)*12</f>
        <v>0</v>
      </c>
      <c r="S97">
        <f>((SUMIF('OS Analysis'!$B3:$B1002,$B97,'OS Analysis'!$T3:$T1002))/3)*12</f>
        <v>0</v>
      </c>
      <c r="T97">
        <f>((SUMIF('OS Analysis'!$B3:$B1002,$B97,'OS Analysis'!$S3:$S1002))/2)*12</f>
        <v>0</v>
      </c>
      <c r="U97">
        <f>(SUMIF('OS Analysis'!$B3:$B1002,$B97,'OS Analysis'!$R3:$R1002))*12</f>
        <v>0</v>
      </c>
      <c r="V97">
        <f>SUMIF('OS Analysis'!$B$3:$B$1002,$B97,'OS Analysis'!$Q$3:$Q$1002)</f>
        <v>0</v>
      </c>
      <c r="Y97">
        <f>SUMIF('OS Analysis'!$CD3:$CD1002,$B97,'OS Analysis'!$CS3:$CS1002)</f>
        <v>0</v>
      </c>
      <c r="AA97">
        <f>SUMIF('OS Analysis'!$CU3:$CU1002,$B97,'OS Analysis'!$CW3:$CW1002)</f>
        <v>0</v>
      </c>
      <c r="AC97">
        <f>SUMIF('OS Analysis'!$CU3:$CU1002,$B97,'OS Analysis'!$CX3:$CX1002)</f>
        <v>0</v>
      </c>
    </row>
    <row r="98" ht="14.25" customHeight="1"/>
  </sheetData>
  <sheetProtection formatCells="0" formatColumns="0" formatRows="0" insertColumns="0" insertRows="0" insertHyperlinks="0" sort="0" autoFilter="0" pivotTables="0"/>
  <printOptions horizontalCentered="1"/>
  <pageMargins left="0.25" right="0.25" top="0.25" bottom="0.25" header="0.25" footer="0.25"/>
  <pageSetup useFirstPageNumber="1" fitToHeight="1" fitToWidth="1" paperSize="5" firstPageNumber="1" scale="51" pageOrder="overThenDown" orientation="landscape"/>
  <headerFooter>
    <oddHeader>&amp;L&amp;C&amp;R</oddHeader>
    <oddFooter>&amp;L&amp;C&amp;R</oddFooter>
  </headerFooter>
  <rowBreaks count="1" manualBreakCount="1">
    <brk id="80" man="1" max="1048576"/>
  </rowBreaks>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A0C09E-EBCE-2958-829B-27FC3BEFEC14}" mc:Ignorable="x14ac xr xr2 xr3">
  <sheetPr>
    <tabColor rgb="FF00B050"/>
    <pageSetUpPr fitToPage="1"/>
  </sheetPr>
  <dimension ref="A1:H56"/>
  <sheetViews>
    <sheetView topLeftCell="A1" workbookViewId="0">
      <selection activeCell="A1" sqref="A1"/>
    </sheetView>
  </sheetViews>
  <sheetFormatPr defaultRowHeight="15" defaultColWidth="0" customHeight="1"/>
  <cols>
    <col min="1" max="1" width="9.140625" customWidth="1"/>
    <col min="2" max="2" width="31.8515625" customWidth="1"/>
    <col min="3" max="3" width="87.7109375" customWidth="1"/>
    <col min="4" max="7" width="9.140625" customWidth="1"/>
    <col min="8" max="8" width="10.57421875" hidden="1" customWidth="1"/>
  </cols>
  <sheetData>
    <row r="1" ht="40.5" customHeight="1">
      <c r="B1" t="str">
        <f>"W&amp;D Kick-Off Memo - "&amp;property_name&amp;", "&amp;SblQuotes_CityState</f>
        <v>W&amp;D Kick-Off Memo - XXXX, City, XX</v>
      </c>
    </row>
    <row r="2" ht="14.25" customHeight="1"/>
    <row r="3" ht="24" customHeight="1"/>
    <row r="4" ht="15.75" customHeight="1">
      <c r="B4" t="s">
        <v>1958</v>
      </c>
    </row>
    <row r="5" ht="15.75" customHeight="1">
      <c r="B5" t="s">
        <v>1959</v>
      </c>
      <c r="C5" t="str">
        <f>'SBL Quotes'!$B$58</f>
        <v>Select</v>
      </c>
    </row>
    <row r="6" ht="15.75" customHeight="1">
      <c r="B6" t="s">
        <v>1960</v>
      </c>
      <c r="C6" t="s">
        <v>1961</v>
      </c>
    </row>
    <row r="7" ht="15.75" customHeight="1">
      <c r="B7" t="s">
        <v>1962</v>
      </c>
      <c r="C7" t="str">
        <f>address&amp;", "&amp;SblQuotes_CityState&amp;" "&amp;SBL_ZipCode</f>
        <v>, City, XX XXXXX</v>
      </c>
    </row>
    <row r="8" ht="15.75" customHeight="1">
      <c r="B8" t="s">
        <v>239</v>
      </c>
      <c r="C8" t="str">
        <f>'SBL Quotes'!$B$64</f>
        <v>XXXX</v>
      </c>
    </row>
    <row r="9" ht="15.75" customHeight="1">
      <c r="B9" t="s">
        <v>1964</v>
      </c>
      <c r="C9" t="s">
        <v>451</v>
      </c>
    </row>
    <row r="10" ht="15.75" customHeight="1">
      <c r="B10" t="s">
        <v>1965</v>
      </c>
      <c r="C10" t="s">
        <v>1966</v>
      </c>
    </row>
    <row r="11" ht="15.75" customHeight="1">
      <c r="B11" t="s">
        <v>1967</v>
      </c>
    </row>
    <row r="12" ht="15.75" customHeight="1">
      <c r="B12" t="s">
        <v>1968</v>
      </c>
      <c r="C12" t="s">
        <v>1969</v>
      </c>
    </row>
    <row r="13" ht="15.75" customHeight="1">
      <c r="C13" t="s">
        <v>1970</v>
      </c>
    </row>
    <row r="14" ht="15.75" customHeight="1">
      <c r="C14" t="s">
        <v>1971</v>
      </c>
    </row>
    <row r="15" ht="15.75" customHeight="1">
      <c r="B15" t="s">
        <v>1972</v>
      </c>
      <c r="C15" t="s">
        <v>1973</v>
      </c>
    </row>
    <row r="16" ht="15.75" customHeight="1">
      <c r="C16" t="s">
        <v>1974</v>
      </c>
    </row>
    <row r="17" ht="15.75" customHeight="1">
      <c r="C17" t="s">
        <v>1975</v>
      </c>
    </row>
    <row r="18" ht="15.75" customHeight="1">
      <c r="C18" t="s">
        <v>1976</v>
      </c>
    </row>
    <row r="19" ht="15.75" customHeight="1">
      <c r="B19" t="s">
        <v>1977</v>
      </c>
      <c r="C19" t="s">
        <v>1978</v>
      </c>
    </row>
    <row r="20" ht="15.75" customHeight="1">
      <c r="C20" t="s">
        <v>1979</v>
      </c>
    </row>
    <row r="21" ht="15.75" customHeight="1">
      <c r="C21" t="s">
        <v>1980</v>
      </c>
    </row>
    <row r="22" ht="15.75" customHeight="1">
      <c r="C22" t="s">
        <v>1981</v>
      </c>
    </row>
    <row r="23" ht="15.75" customHeight="1">
      <c r="B23" t="s">
        <v>1982</v>
      </c>
    </row>
    <row r="24" ht="15.75" customHeight="1">
      <c r="B24" t="s">
        <v>1983</v>
      </c>
      <c r="C24" s="0">
        <v>1</v>
      </c>
    </row>
    <row r="25" ht="15.75" customHeight="1">
      <c r="B25" t="s">
        <v>1984</v>
      </c>
      <c r="C25" s="0">
        <v>1</v>
      </c>
    </row>
    <row r="26" ht="15.75" customHeight="1">
      <c r="B26" t="s">
        <v>1985</v>
      </c>
      <c r="C26" s="0">
        <v>1</v>
      </c>
    </row>
    <row r="27" ht="15.75" customHeight="1">
      <c r="B27" t="s">
        <v>1986</v>
      </c>
      <c r="C27" s="0">
        <v>1</v>
      </c>
    </row>
    <row r="28" ht="15.75" customHeight="1">
      <c r="B28" t="s">
        <v>1987</v>
      </c>
      <c r="C28" s="0">
        <v>1</v>
      </c>
    </row>
    <row r="29" ht="15.75" customHeight="1">
      <c r="B29" t="s">
        <v>1988</v>
      </c>
    </row>
    <row r="30" ht="15.75" customHeight="1">
      <c r="B30" t="s">
        <v>1989</v>
      </c>
      <c r="C30" t="s">
        <v>269</v>
      </c>
    </row>
    <row r="31" ht="15.75" customHeight="1">
      <c r="B31" t="s">
        <v>1990</v>
      </c>
      <c r="C31" t="s">
        <v>451</v>
      </c>
    </row>
    <row r="32" ht="15.75" customHeight="1">
      <c r="B32" t="s">
        <v>1991</v>
      </c>
      <c r="C32" t="s">
        <v>1992</v>
      </c>
    </row>
    <row r="33" ht="15.75" customHeight="1">
      <c r="C33" t="s">
        <v>1993</v>
      </c>
    </row>
    <row r="34" ht="15.75" customHeight="1">
      <c r="C34" t="s">
        <v>1994</v>
      </c>
    </row>
    <row r="35" ht="15.75" customHeight="1">
      <c r="C35" t="s">
        <v>1995</v>
      </c>
    </row>
    <row r="36" ht="56.25" customHeight="1">
      <c r="B36" t="s">
        <v>1996</v>
      </c>
      <c r="C36" t="s">
        <v>1997</v>
      </c>
    </row>
    <row r="37" ht="15.75" customHeight="1">
      <c r="B37" t="s">
        <v>1998</v>
      </c>
    </row>
    <row r="38" ht="80.25" customHeight="1">
      <c r="B38" t="s">
        <v>1999</v>
      </c>
      <c r="C38" t="s">
        <v>2000</v>
      </c>
    </row>
    <row r="39" ht="15.75" customHeight="1">
      <c r="B39" t="s">
        <v>2001</v>
      </c>
    </row>
    <row r="40" ht="80.25" customHeight="1">
      <c r="B40" t="s">
        <v>239</v>
      </c>
      <c r="C40" t="s">
        <v>2002</v>
      </c>
    </row>
    <row r="41" ht="80.25" customHeight="1">
      <c r="B41" t="s">
        <v>2003</v>
      </c>
      <c r="C41" t="s">
        <v>2004</v>
      </c>
    </row>
    <row r="42" ht="80.25" customHeight="1">
      <c r="B42" t="s">
        <v>1059</v>
      </c>
      <c r="C42" t="s">
        <v>2005</v>
      </c>
    </row>
    <row r="43" ht="80.25" customHeight="1">
      <c r="B43" t="s">
        <v>1132</v>
      </c>
      <c r="C43" t="s">
        <v>2006</v>
      </c>
    </row>
    <row r="44" ht="80.25" customHeight="1">
      <c r="B44" t="s">
        <v>236</v>
      </c>
      <c r="C44" t="s">
        <v>2007</v>
      </c>
    </row>
    <row r="46" ht="15" customHeight="1" hidden="1"/>
    <row r="47" ht="15" customHeight="1" hidden="1"/>
    <row r="48" ht="15" customHeight="1" hidden="1"/>
    <row r="49" ht="15" customHeight="1" hidden="1"/>
    <row r="50" ht="15" customHeight="1" hidden="1"/>
    <row r="51" ht="15" customHeight="1" hidden="1"/>
    <row r="52" ht="15" customHeight="1" hidden="1"/>
    <row r="53" ht="15" customHeight="1" hidden="1"/>
    <row r="54" ht="15" customHeight="1" hidden="1"/>
    <row r="55" ht="15" customHeight="1" hidden="1"/>
    <row r="56" ht="15" customHeight="1" hidden="1"/>
  </sheetData>
  <printOptions/>
  <pageMargins left="0.7" right="0.7" top="0.75" bottom="0.75" header="0.3" footer="0.3"/>
  <pageSetup useFirstPageNumber="1" fitToHeight="-1" fitToWidth="1" paperSize="1" firstPageNumber="1" scale="75" pageOrder="downThenOver" orientation="portrait"/>
  <headerFooter>
    <oddHeader>&amp;L&amp;C&amp;R</oddHeader>
    <oddFooter>&amp;L&amp;C&amp;R</oddFooter>
  </headerFooter>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DAA66C6-5012-158C-8EF5-34E8C4295DEB}" mc:Ignorable="x14ac xr xr2 xr3">
  <dimension ref="A1:Q96"/>
  <sheetViews>
    <sheetView showGridLines="0" topLeftCell="A4" workbookViewId="0">
      <selection activeCell="F11" sqref="F11"/>
    </sheetView>
  </sheetViews>
  <sheetFormatPr defaultRowHeight="14.002500000000003" defaultColWidth="9.140625" customHeight="1"/>
  <cols>
    <col min="1" max="1" width="11.8515625" customWidth="1"/>
    <col min="2" max="2" width="9.57421875" customWidth="1"/>
    <col min="3" max="3" width="3.140625" customWidth="1"/>
    <col min="4" max="4" width="23.140625" customWidth="1"/>
    <col min="5" max="8" width="20.00390625" customWidth="1"/>
    <col min="9" max="16" width="20.00390625" hidden="1" customWidth="1"/>
    <col min="17" max="17" width="3.00390625" customWidth="1"/>
  </cols>
  <sheetData>
    <row r="1" ht="14.25" customHeight="1" hidden="1">
      <c r="B1" t="s">
        <v>2008</v>
      </c>
    </row>
    <row r="2" ht="14.25" customHeight="1" hidden="1">
      <c r="B2">
        <f>MAX(1,B10,B39,B71)</f>
        <v>3</v>
      </c>
    </row>
    <row r="3" ht="14.25" customHeight="1" hidden="1"/>
    <row r="4" ht="7.5" customHeight="1"/>
    <row r="5" ht="11.25" customHeight="1">
      <c r="E5" t="str">
        <f t="shared" si="3" ref="E5:E66">IF(ProducerName="Select","Producer's Name",ProducerName)</f>
        <v>Producer's Name</v>
      </c>
    </row>
    <row r="6" ht="11.25" customHeight="1">
      <c r="E6" t="str">
        <f>_xlfn.XLOOKUP('SBL Quotes'!B58,DropDowns_ProducerNames,'Dropdowns (DNP)'!$GR$2:$GR$14,"Producer's Email")</f>
        <v>Producer's Email</v>
      </c>
    </row>
    <row r="7" ht="11.25" customHeight="1">
      <c r="E7" t="str">
        <f>_xlfn.XLOOKUP('SBL Quotes'!B58,DropDowns_ProducerNames,'Dropdowns (DNP)'!$GS$2:$GS$14,"Producer's Phone#(s)")</f>
        <v>Producer's Phone#(s)</v>
      </c>
    </row>
    <row r="8" ht="20.25" customHeight="1">
      <c r="B8" t="s">
        <v>2012</v>
      </c>
      <c r="D8" t="str">
        <f>'SBL Quotes'!$E$2</f>
        <v> | City, XX</v>
      </c>
    </row>
    <row r="9" ht="18" customHeight="1">
      <c r="D9" t="s">
        <v>2013</v>
      </c>
    </row>
    <row r="10" ht="15" customHeight="1">
      <c r="B10">
        <f>SBL_FreddieOptionsToView</f>
        <v>3</v>
      </c>
      <c r="D10" t="s">
        <v>2014</v>
      </c>
    </row>
    <row r="11" ht="9.75" customHeight="1">
      <c r="E11" t="str">
        <f>'SBL Quotes'!E6</f>
        <v>5 YR Fixed</v>
      </c>
      <c r="F11" t="str">
        <f>'SBL Quotes'!F6</f>
        <v>7 YR Fixed</v>
      </c>
      <c r="G11" t="str">
        <f>'SBL Quotes'!G6</f>
        <v>10 YR Fixed</v>
      </c>
      <c r="H11" t="str">
        <f>'SBL Quotes'!H6</f>
        <v>5 YR Fixed</v>
      </c>
      <c r="I11" t="str">
        <f>'SBL Quotes'!I6</f>
        <v>7 YR Fixed</v>
      </c>
      <c r="J11" t="str">
        <f>'SBL Quotes'!J6</f>
        <v>10 YR Fixed</v>
      </c>
      <c r="K11" t="str">
        <f>'SBL Quotes'!K6</f>
        <v>5 YR Hybrid</v>
      </c>
      <c r="L11" t="str">
        <f>'SBL Quotes'!L6</f>
        <v>7 YR Hybrid</v>
      </c>
      <c r="M11" t="str">
        <f>'SBL Quotes'!M6</f>
        <v>10 YR Fixed</v>
      </c>
      <c r="N11" t="str">
        <f>'SBL Quotes'!N6</f>
        <v>5 YR Hybrid</v>
      </c>
      <c r="O11" t="str">
        <f>'SBL Quotes'!O6</f>
        <v>7 YR Hybrid</v>
      </c>
      <c r="P11" t="str">
        <f>'SBL Quotes'!P6</f>
        <v>10 YR Fixed</v>
      </c>
    </row>
    <row r="12" ht="9.75" customHeight="1">
      <c r="D12" t="s">
        <v>2015</v>
      </c>
      <c r="E12">
        <f>'SBL Quotes'!E7</f>
        <v>0</v>
      </c>
      <c r="F12">
        <f>'SBL Quotes'!F7</f>
        <v>0</v>
      </c>
      <c r="G12">
        <f>'SBL Quotes'!G7</f>
        <v>0</v>
      </c>
      <c r="H12">
        <f>'SBL Quotes'!H7</f>
        <v>0</v>
      </c>
      <c r="I12">
        <f>'SBL Quotes'!I7</f>
        <v>0</v>
      </c>
      <c r="J12">
        <f>'SBL Quotes'!J7</f>
        <v>0</v>
      </c>
      <c r="K12">
        <f>'SBL Quotes'!K7</f>
        <v>0</v>
      </c>
      <c r="L12">
        <f>'SBL Quotes'!L7</f>
        <v>0</v>
      </c>
      <c r="M12">
        <f>'SBL Quotes'!M7</f>
        <v>0</v>
      </c>
      <c r="N12">
        <f>'SBL Quotes'!N7</f>
        <v>0</v>
      </c>
      <c r="O12">
        <f>'SBL Quotes'!O7</f>
        <v>0</v>
      </c>
      <c r="P12">
        <f>'SBL Quotes'!P7</f>
        <v>0</v>
      </c>
    </row>
    <row r="13" ht="9" customHeight="1">
      <c r="D13" t="s">
        <v>2016</v>
      </c>
      <c r="E13" t="e">
        <f>'SBL Quotes'!E68</f>
        <v>#N/A</v>
      </c>
      <c r="F13" t="e">
        <f>'SBL Quotes'!F68</f>
        <v>#N/A</v>
      </c>
      <c r="G13" t="e">
        <f>'SBL Quotes'!G68</f>
        <v>#N/A</v>
      </c>
      <c r="H13" t="e">
        <f>'SBL Quotes'!H68</f>
        <v>#N/A</v>
      </c>
      <c r="I13" t="e">
        <f>'SBL Quotes'!I68</f>
        <v>#N/A</v>
      </c>
      <c r="J13" t="e">
        <f>'SBL Quotes'!J68</f>
        <v>#N/A</v>
      </c>
      <c r="K13" t="e">
        <f>'SBL Quotes'!K68</f>
        <v>#N/A</v>
      </c>
      <c r="L13" t="e">
        <f>'SBL Quotes'!L68</f>
        <v>#N/A</v>
      </c>
      <c r="M13" t="e">
        <f>'SBL Quotes'!M68</f>
        <v>#N/A</v>
      </c>
      <c r="N13" t="e">
        <f>'SBL Quotes'!N68</f>
        <v>#N/A</v>
      </c>
      <c r="O13" t="e">
        <f>'SBL Quotes'!O68</f>
        <v>#N/A</v>
      </c>
      <c r="P13" t="e">
        <f>'SBL Quotes'!P68</f>
        <v>#N/A</v>
      </c>
    </row>
    <row r="14" ht="9.75" customHeight="1">
      <c r="D14" t="s">
        <v>1370</v>
      </c>
      <c r="E14">
        <f>'SBL Quotes'!E41</f>
        <v>0</v>
      </c>
      <c r="F14">
        <f>'SBL Quotes'!F41</f>
        <v>0</v>
      </c>
      <c r="G14">
        <f>'SBL Quotes'!G41</f>
        <v>0</v>
      </c>
      <c r="H14">
        <f>'SBL Quotes'!H41</f>
        <v>0</v>
      </c>
      <c r="I14">
        <f>'SBL Quotes'!I41</f>
        <v>0</v>
      </c>
      <c r="J14">
        <f>'SBL Quotes'!J41</f>
        <v>0</v>
      </c>
      <c r="K14">
        <f>'SBL Quotes'!K41</f>
        <v>0</v>
      </c>
      <c r="L14">
        <f>'SBL Quotes'!L41</f>
        <v>0</v>
      </c>
      <c r="M14">
        <f>'SBL Quotes'!M41</f>
        <v>0</v>
      </c>
      <c r="N14">
        <f>'SBL Quotes'!N41</f>
        <v>0</v>
      </c>
      <c r="O14">
        <f>'SBL Quotes'!O41</f>
        <v>0</v>
      </c>
      <c r="P14">
        <f>'SBL Quotes'!P41</f>
        <v>0</v>
      </c>
    </row>
    <row r="15" ht="9.75" customHeight="1">
      <c r="D15" t="s">
        <v>2017</v>
      </c>
      <c r="E15">
        <f>'SBL Quotes'!E74</f>
        <v>0.7</v>
      </c>
      <c r="F15">
        <f>'SBL Quotes'!F74</f>
        <v>0.7</v>
      </c>
      <c r="G15">
        <f>'SBL Quotes'!G74</f>
        <v>0.7</v>
      </c>
      <c r="H15">
        <f>'SBL Quotes'!H74</f>
        <v>0.7</v>
      </c>
      <c r="I15">
        <f>'SBL Quotes'!I74</f>
        <v>0.7</v>
      </c>
      <c r="J15">
        <f>'SBL Quotes'!J74</f>
        <v>0.7</v>
      </c>
      <c r="K15">
        <f>'SBL Quotes'!K74</f>
        <v>0.7</v>
      </c>
      <c r="L15">
        <f>'SBL Quotes'!L74</f>
        <v>0.7</v>
      </c>
      <c r="M15">
        <f>'SBL Quotes'!M74</f>
        <v>0.7</v>
      </c>
      <c r="N15">
        <f>'SBL Quotes'!N74</f>
        <v>0.7</v>
      </c>
      <c r="O15">
        <f>'SBL Quotes'!O74</f>
        <v>0.7</v>
      </c>
      <c r="P15">
        <f>'SBL Quotes'!P74</f>
        <v>0.7</v>
      </c>
    </row>
    <row r="16" ht="9" customHeight="1">
      <c r="D16" t="s">
        <v>1373</v>
      </c>
      <c r="E16" t="str">
        <f>'SBL Quotes'!E40</f>
        <v>--</v>
      </c>
      <c r="F16" t="str">
        <f>'SBL Quotes'!F40</f>
        <v>--</v>
      </c>
      <c r="G16" t="str">
        <f>'SBL Quotes'!G40</f>
        <v>--</v>
      </c>
      <c r="H16" t="str">
        <f>'SBL Quotes'!H40</f>
        <v>--</v>
      </c>
      <c r="I16" t="str">
        <f>'SBL Quotes'!I40</f>
        <v>--</v>
      </c>
      <c r="J16" t="str">
        <f>'SBL Quotes'!J40</f>
        <v>--</v>
      </c>
      <c r="K16" t="str">
        <f>'SBL Quotes'!K40</f>
        <v>--</v>
      </c>
      <c r="L16" t="str">
        <f>'SBL Quotes'!L40</f>
        <v>--</v>
      </c>
      <c r="M16" t="str">
        <f>'SBL Quotes'!M40</f>
        <v>--</v>
      </c>
      <c r="N16" t="str">
        <f>'SBL Quotes'!N40</f>
        <v>--</v>
      </c>
      <c r="O16" t="str">
        <f>'SBL Quotes'!O40</f>
        <v>--</v>
      </c>
      <c r="P16" t="str">
        <f>'SBL Quotes'!P40</f>
        <v>--</v>
      </c>
    </row>
    <row r="17" ht="9.75" customHeight="1">
      <c r="D17" t="s">
        <v>2018</v>
      </c>
      <c r="E17">
        <f>'SBL Quotes'!E72</f>
        <v>1.4</v>
      </c>
      <c r="F17">
        <f>'SBL Quotes'!F72</f>
        <v>1.4</v>
      </c>
      <c r="G17">
        <f>'SBL Quotes'!G72</f>
        <v>1.4</v>
      </c>
      <c r="H17">
        <f>'SBL Quotes'!H72</f>
        <v>1.4</v>
      </c>
      <c r="I17">
        <f>'SBL Quotes'!I72</f>
        <v>1.4</v>
      </c>
      <c r="J17">
        <f>'SBL Quotes'!J72</f>
        <v>1.4</v>
      </c>
      <c r="K17">
        <f>'SBL Quotes'!K72</f>
        <v>1.4</v>
      </c>
      <c r="L17">
        <f>'SBL Quotes'!L72</f>
        <v>1.4</v>
      </c>
      <c r="M17">
        <f>'SBL Quotes'!M72</f>
        <v>1.4</v>
      </c>
      <c r="N17">
        <f>'SBL Quotes'!N72</f>
        <v>1.4</v>
      </c>
      <c r="O17">
        <f>'SBL Quotes'!O72</f>
        <v>1.4</v>
      </c>
      <c r="P17">
        <f>'SBL Quotes'!P72</f>
        <v>1.4</v>
      </c>
    </row>
    <row r="18" ht="9" customHeight="1">
      <c r="D18" t="s">
        <v>1351</v>
      </c>
      <c r="E18">
        <f>'SBL Quotes'!E98</f>
        <v>5</v>
      </c>
      <c r="F18">
        <f>'SBL Quotes'!F98</f>
        <v>7</v>
      </c>
      <c r="G18">
        <f>'SBL Quotes'!G98</f>
        <v>10</v>
      </c>
      <c r="H18">
        <f>'SBL Quotes'!H98</f>
        <v>5</v>
      </c>
      <c r="I18">
        <f>'SBL Quotes'!I98</f>
        <v>7</v>
      </c>
      <c r="J18">
        <f>'SBL Quotes'!J98</f>
        <v>10</v>
      </c>
      <c r="K18">
        <f>'SBL Quotes'!K98</f>
        <v>5</v>
      </c>
      <c r="L18">
        <f>'SBL Quotes'!L98</f>
        <v>7</v>
      </c>
      <c r="M18">
        <f>'SBL Quotes'!M98</f>
        <v>10</v>
      </c>
      <c r="N18">
        <f>'SBL Quotes'!N98</f>
        <v>5</v>
      </c>
      <c r="O18">
        <f>'SBL Quotes'!O98</f>
        <v>7</v>
      </c>
      <c r="P18">
        <f>'SBL Quotes'!P98</f>
        <v>10</v>
      </c>
    </row>
    <row r="19" ht="9.75" customHeight="1">
      <c r="D19" t="s">
        <v>604</v>
      </c>
      <c r="E19">
        <f>'SBL Quotes'!E46</f>
        <v>30</v>
      </c>
      <c r="F19">
        <f>'SBL Quotes'!F46</f>
        <v>30</v>
      </c>
      <c r="G19">
        <f>'SBL Quotes'!G46</f>
        <v>30</v>
      </c>
      <c r="H19">
        <f>'SBL Quotes'!H46</f>
        <v>30</v>
      </c>
      <c r="I19">
        <f>'SBL Quotes'!I46</f>
        <v>30</v>
      </c>
      <c r="J19">
        <f>'SBL Quotes'!J46</f>
        <v>30</v>
      </c>
      <c r="K19">
        <f>'SBL Quotes'!K46</f>
        <v>30</v>
      </c>
      <c r="L19">
        <f>'SBL Quotes'!L46</f>
        <v>30</v>
      </c>
      <c r="M19">
        <f>'SBL Quotes'!M46</f>
        <v>30</v>
      </c>
      <c r="N19">
        <f>'SBL Quotes'!N46</f>
        <v>30</v>
      </c>
      <c r="O19">
        <f>'SBL Quotes'!O46</f>
        <v>30</v>
      </c>
      <c r="P19">
        <f>'SBL Quotes'!P46</f>
        <v>30</v>
      </c>
    </row>
    <row r="20" ht="9.75" customHeight="1">
      <c r="D20" t="s">
        <v>1362</v>
      </c>
      <c r="E20">
        <f>'SBL Quotes'!E43</f>
        <v>0</v>
      </c>
      <c r="F20">
        <f>'SBL Quotes'!F43</f>
        <v>1</v>
      </c>
      <c r="G20">
        <f>'SBL Quotes'!G43</f>
        <v>2</v>
      </c>
      <c r="H20">
        <f>'SBL Quotes'!H43</f>
        <v>0</v>
      </c>
      <c r="I20">
        <f>'SBL Quotes'!I43</f>
        <v>1</v>
      </c>
      <c r="J20">
        <f>'SBL Quotes'!J43</f>
        <v>2</v>
      </c>
      <c r="K20">
        <f>'SBL Quotes'!K43</f>
        <v>0</v>
      </c>
      <c r="L20">
        <f>'SBL Quotes'!L43</f>
        <v>1</v>
      </c>
      <c r="M20">
        <f>'SBL Quotes'!M43</f>
        <v>2</v>
      </c>
      <c r="N20">
        <f>'SBL Quotes'!N43</f>
        <v>0</v>
      </c>
      <c r="O20">
        <f>'SBL Quotes'!O43</f>
        <v>1</v>
      </c>
      <c r="P20">
        <f>'SBL Quotes'!P43</f>
        <v>2</v>
      </c>
    </row>
    <row r="21" ht="9" customHeight="1">
      <c r="D21" t="s">
        <v>2019</v>
      </c>
      <c r="E21" t="str">
        <f>SUBSTITUTE('SBL Quotes'!E11,"YM","Yield Maintenance")</f>
        <v>Yield Maintenance</v>
      </c>
      <c r="F21" t="str">
        <f>SUBSTITUTE('SBL Quotes'!F11,"YM","Yield Maintenance")</f>
        <v>Yield Maintenance</v>
      </c>
      <c r="G21" t="str">
        <f>SUBSTITUTE('SBL Quotes'!G11,"YM","Yield Maintenance")</f>
        <v>Yield Maintenance</v>
      </c>
      <c r="H21" t="str">
        <f>SUBSTITUTE('SBL Quotes'!H11,"YM","Yield Maintenance")</f>
        <v>Yield Maintenance</v>
      </c>
      <c r="I21" t="str">
        <f>SUBSTITUTE('SBL Quotes'!I11,"YM","Yield Maintenance")</f>
        <v>Yield Maintenance</v>
      </c>
      <c r="J21" t="str">
        <f>SUBSTITUTE('SBL Quotes'!J11,"YM","Yield Maintenance")</f>
        <v>Yield Maintenance</v>
      </c>
      <c r="K21" t="str">
        <f>SUBSTITUTE('SBL Quotes'!K11,"YM","Yield Maintenance")</f>
        <v>Yield Maintenance,1%</v>
      </c>
      <c r="L21" t="str">
        <f>SUBSTITUTE('SBL Quotes'!L11,"YM","Yield Maintenance")</f>
        <v>Yield Maintenance,1%</v>
      </c>
      <c r="M21" t="str">
        <f>SUBSTITUTE('SBL Quotes'!M11,"YM","Yield Maintenance")</f>
        <v>Yield Maintenance</v>
      </c>
      <c r="N21" t="str">
        <f>SUBSTITUTE('SBL Quotes'!N11,"YM","Yield Maintenance")</f>
        <v>Yield Maintenance,1%</v>
      </c>
      <c r="O21" t="str">
        <f>SUBSTITUTE('SBL Quotes'!O11,"YM","Yield Maintenance")</f>
        <v>Yield Maintenance,1%</v>
      </c>
      <c r="P21" t="str">
        <f>SUBSTITUTE('SBL Quotes'!P11,"YM","Yield Maintenance")</f>
        <v>Yield Maintenance</v>
      </c>
    </row>
    <row r="22" ht="9.75" customHeight="1">
      <c r="D22" t="s">
        <v>2021</v>
      </c>
      <c r="E22" t="s">
        <v>2022</v>
      </c>
      <c r="F22" t="s">
        <v>2022</v>
      </c>
      <c r="G22" t="s">
        <v>2022</v>
      </c>
      <c r="H22" t="s">
        <v>2022</v>
      </c>
      <c r="I22" t="s">
        <v>2022</v>
      </c>
      <c r="J22" t="s">
        <v>2022</v>
      </c>
      <c r="K22" t="s">
        <v>2022</v>
      </c>
      <c r="L22" t="s">
        <v>2022</v>
      </c>
      <c r="M22" t="s">
        <v>2022</v>
      </c>
      <c r="N22" t="s">
        <v>2022</v>
      </c>
      <c r="O22" t="s">
        <v>2022</v>
      </c>
      <c r="P22" t="s">
        <v>2022</v>
      </c>
    </row>
    <row r="23" ht="9" customHeight="1">
      <c r="D23" t="s">
        <v>2023</v>
      </c>
      <c r="E23" t="str">
        <f t="shared" si="0" ref="E23:P23">IF(E14&gt;65%,"Taxes","Deferred")</f>
        <v>Deferred</v>
      </c>
      <c r="F23" t="str">
        <f t="shared" si="0"/>
        <v>Deferred</v>
      </c>
      <c r="G23" t="str">
        <f t="shared" si="0"/>
        <v>Deferred</v>
      </c>
      <c r="H23" t="str">
        <f t="shared" si="0"/>
        <v>Deferred</v>
      </c>
      <c r="I23" t="str">
        <f t="shared" si="0"/>
        <v>Deferred</v>
      </c>
      <c r="J23" t="str">
        <f t="shared" si="0"/>
        <v>Deferred</v>
      </c>
      <c r="K23" t="str">
        <f t="shared" si="0"/>
        <v>Deferred</v>
      </c>
      <c r="L23" t="str">
        <f t="shared" si="0"/>
        <v>Deferred</v>
      </c>
      <c r="M23" t="str">
        <f t="shared" si="0"/>
        <v>Deferred</v>
      </c>
      <c r="N23" t="str">
        <f t="shared" si="0"/>
        <v>Deferred</v>
      </c>
      <c r="O23" t="str">
        <f t="shared" si="0"/>
        <v>Deferred</v>
      </c>
      <c r="P23" t="str">
        <f t="shared" si="0"/>
        <v>Deferred</v>
      </c>
    </row>
    <row r="24" ht="9.75" customHeight="1">
      <c r="D24" t="s">
        <v>2025</v>
      </c>
      <c r="E24">
        <f>'SBL Quotes'!E31</f>
        <v>0.01</v>
      </c>
      <c r="F24">
        <f>'SBL Quotes'!F31</f>
        <v>0.01</v>
      </c>
      <c r="G24">
        <f>'SBL Quotes'!G31</f>
        <v>0.01</v>
      </c>
      <c r="H24">
        <f>'SBL Quotes'!H31</f>
        <v>0.01</v>
      </c>
      <c r="I24">
        <f>'SBL Quotes'!I31</f>
        <v>0.01</v>
      </c>
      <c r="J24">
        <f>'SBL Quotes'!J31</f>
        <v>0.01</v>
      </c>
      <c r="K24">
        <f>'SBL Quotes'!K31</f>
        <v>0.01</v>
      </c>
      <c r="L24">
        <f>'SBL Quotes'!L31</f>
        <v>0.01</v>
      </c>
      <c r="M24">
        <f>'SBL Quotes'!M31</f>
        <v>0.01</v>
      </c>
      <c r="N24">
        <f>'SBL Quotes'!N31</f>
        <v>0.01</v>
      </c>
      <c r="O24">
        <f>'SBL Quotes'!O31</f>
        <v>0.01</v>
      </c>
      <c r="P24">
        <f>'SBL Quotes'!P31</f>
        <v>0.01</v>
      </c>
    </row>
    <row r="25" ht="9" customHeight="1">
      <c r="D25" t="s">
        <v>2026</v>
      </c>
      <c r="E25">
        <f t="shared" si="1" ref="E25:P25">IF(SblQuotes_FreddieMktTier="Top","NA",0.1%)</f>
        <v>0.001</v>
      </c>
      <c r="F25">
        <f t="shared" si="1"/>
        <v>0.001</v>
      </c>
      <c r="G25">
        <f t="shared" si="1"/>
        <v>0.001</v>
      </c>
      <c r="H25">
        <f t="shared" si="1"/>
        <v>0.001</v>
      </c>
      <c r="I25">
        <f t="shared" si="1"/>
        <v>0.001</v>
      </c>
      <c r="J25">
        <f t="shared" si="1"/>
        <v>0.001</v>
      </c>
      <c r="K25">
        <f t="shared" si="1"/>
        <v>0.001</v>
      </c>
      <c r="L25">
        <f t="shared" si="1"/>
        <v>0.001</v>
      </c>
      <c r="M25">
        <f t="shared" si="1"/>
        <v>0.001</v>
      </c>
      <c r="N25">
        <f t="shared" si="1"/>
        <v>0.001</v>
      </c>
      <c r="O25">
        <f t="shared" si="1"/>
        <v>0.001</v>
      </c>
      <c r="P25">
        <f t="shared" si="1"/>
        <v>0.001</v>
      </c>
    </row>
    <row r="26" ht="9" customHeight="1">
      <c r="D26" t="s">
        <v>2027</v>
      </c>
      <c r="E26">
        <v>7500</v>
      </c>
      <c r="F26">
        <v>7500</v>
      </c>
      <c r="G26">
        <v>7500</v>
      </c>
      <c r="H26">
        <v>7500</v>
      </c>
      <c r="I26">
        <v>7500</v>
      </c>
      <c r="J26">
        <v>7500</v>
      </c>
      <c r="K26">
        <v>7500</v>
      </c>
      <c r="L26">
        <v>7500</v>
      </c>
      <c r="M26">
        <v>7500</v>
      </c>
      <c r="N26">
        <v>7500</v>
      </c>
      <c r="O26">
        <v>7500</v>
      </c>
      <c r="P26">
        <v>7500</v>
      </c>
    </row>
    <row r="27" ht="9.75" customHeight="1">
      <c r="D27" t="s">
        <v>2028</v>
      </c>
      <c r="E27">
        <v>0.01</v>
      </c>
      <c r="F27">
        <v>0.02</v>
      </c>
      <c r="G27">
        <v>0.02</v>
      </c>
      <c r="H27">
        <v>0.02</v>
      </c>
      <c r="I27">
        <v>0.02</v>
      </c>
      <c r="J27">
        <v>0.02</v>
      </c>
      <c r="K27">
        <v>0.02</v>
      </c>
      <c r="L27">
        <v>0.02</v>
      </c>
      <c r="M27">
        <v>0.02</v>
      </c>
      <c r="N27">
        <v>0.02</v>
      </c>
      <c r="O27">
        <v>0.02</v>
      </c>
      <c r="P27">
        <v>0.02</v>
      </c>
    </row>
    <row r="28" ht="9" customHeight="1">
      <c r="D28" t="s">
        <v>2029</v>
      </c>
      <c r="E28">
        <v>15000</v>
      </c>
      <c r="F28">
        <v>15000</v>
      </c>
      <c r="G28">
        <v>15000</v>
      </c>
      <c r="H28">
        <v>15000</v>
      </c>
      <c r="I28">
        <v>15000</v>
      </c>
      <c r="J28">
        <v>15000</v>
      </c>
      <c r="K28">
        <v>15000</v>
      </c>
      <c r="L28">
        <v>15000</v>
      </c>
      <c r="M28">
        <v>15000</v>
      </c>
      <c r="N28">
        <v>15000</v>
      </c>
      <c r="O28">
        <v>15000</v>
      </c>
      <c r="P28">
        <v>15000</v>
      </c>
    </row>
    <row r="29" ht="9.75" customHeight="1">
      <c r="D29" t="s">
        <v>2030</v>
      </c>
      <c r="E29" t="s">
        <v>257</v>
      </c>
      <c r="F29" t="s">
        <v>257</v>
      </c>
      <c r="G29" t="s">
        <v>257</v>
      </c>
      <c r="H29" t="s">
        <v>257</v>
      </c>
      <c r="I29" t="s">
        <v>257</v>
      </c>
      <c r="J29" t="s">
        <v>257</v>
      </c>
      <c r="K29" t="s">
        <v>257</v>
      </c>
      <c r="L29" t="s">
        <v>257</v>
      </c>
      <c r="M29" t="s">
        <v>257</v>
      </c>
      <c r="N29" t="s">
        <v>257</v>
      </c>
      <c r="O29" t="s">
        <v>257</v>
      </c>
      <c r="P29" t="s">
        <v>257</v>
      </c>
    </row>
    <row r="30" ht="14.25" customHeight="1"/>
    <row r="31" ht="12.75" customHeight="1" hidden="1">
      <c r="D31" t="str">
        <f t="shared" si="2" ref="D31:D32">D95</f>
        <v>Additional Quote Stipulations</v>
      </c>
    </row>
    <row r="32" ht="84.75" customHeight="1" hidden="1">
      <c r="D32" t="str">
        <f t="shared" si="2"/>
        <v>Proposed loan terms are based on an estimated underwritten NOI of $-1,616,089 and are subject to Lender approval and appraisal support. Terms assume borrower meets minimum requirements including, but not limited to: (1) minimum net worth greater than or equal to the loan amount; (2) combined liquidity greater than or equal to 9 months' debt service; (3) acceptable credit history; and (4) acceptable experience owning/operating multifamily. Terms also assume the property is stabilized at an average occupancy of no less than 90% for the trailing three months and collections over the trailing three-month period are steady or improving. Quote dated xx/xx/xxxx.</v>
      </c>
    </row>
    <row r="33" ht="7.5" customHeight="1"/>
    <row r="34" ht="11.25" customHeight="1" hidden="1">
      <c r="E34" t="str">
        <f t="shared" si="3"/>
        <v>Producer's Name</v>
      </c>
    </row>
    <row r="35" ht="10.5" customHeight="1" hidden="1">
      <c r="E35" t="str">
        <f>_xlfn.XLOOKUP('SBL Quotes'!B85,DropDowns_ProducerNames,'Dropdowns (DNP)'!$GR$2:$GR$14,"Producer's Email")</f>
        <v>Producer's Email</v>
      </c>
    </row>
    <row r="36" ht="14.25" customHeight="1" hidden="1">
      <c r="E36" t="str">
        <f>_xlfn.XLOOKUP('SBL Quotes'!B85,DropDowns_ProducerNames,'Dropdowns (DNP)'!$GS$2:$GS$14,"Producer's Phone#(s)")</f>
        <v>Producer's Phone#(s)</v>
      </c>
    </row>
    <row r="37" ht="19.5" customHeight="1" hidden="1">
      <c r="D37" t="str">
        <f>'SBL Quotes'!$E$2</f>
        <v> | City, XX</v>
      </c>
    </row>
    <row r="38" ht="18" customHeight="1" hidden="1">
      <c r="D38" t="str">
        <f>D9</f>
        <v>We have reviewed the information on the above referenced property and are pleased to offer the following loan proposal:</v>
      </c>
    </row>
    <row r="39" ht="15" customHeight="1">
      <c r="B39">
        <f>SBL_FannieOptionsToView</f>
        <v>3</v>
      </c>
      <c r="D39" t="s">
        <v>2033</v>
      </c>
    </row>
    <row r="40" ht="9" customHeight="1">
      <c r="E40" t="str">
        <f>'SBL Quotes'!R6</f>
        <v>10 YR Fixed</v>
      </c>
      <c r="F40" t="str">
        <f>'SBL Quotes'!S6</f>
        <v>12 YR Fixed</v>
      </c>
      <c r="G40" t="str">
        <f>'SBL Quotes'!T6</f>
        <v>15 YR Fixed</v>
      </c>
      <c r="H40" t="str">
        <f>'SBL Quotes'!U6</f>
        <v>10 YR Fixed</v>
      </c>
      <c r="I40" t="str">
        <f>'SBL Quotes'!V6</f>
        <v>10 YR Fixed</v>
      </c>
      <c r="J40" t="str">
        <f>'SBL Quotes'!W6</f>
        <v>5 YR Fixed</v>
      </c>
      <c r="K40" t="str">
        <f>'SBL Quotes'!X6</f>
        <v>5 YR Fixed</v>
      </c>
      <c r="L40" t="str">
        <f>'SBL Quotes'!Y6</f>
        <v>10 YR Variable</v>
      </c>
    </row>
    <row r="41" ht="9" customHeight="1">
      <c r="D41" t="s">
        <v>2015</v>
      </c>
      <c r="E41">
        <f>'SBL Quotes'!R7</f>
        <v>0</v>
      </c>
      <c r="F41">
        <f>'SBL Quotes'!S7</f>
        <v>0</v>
      </c>
      <c r="G41">
        <f>'SBL Quotes'!T7</f>
        <v>0</v>
      </c>
      <c r="H41">
        <f>'SBL Quotes'!U7</f>
        <v>0</v>
      </c>
      <c r="I41">
        <f>'SBL Quotes'!V7</f>
        <v>0</v>
      </c>
      <c r="J41">
        <f>'SBL Quotes'!W7</f>
        <v>0</v>
      </c>
      <c r="K41">
        <f>'SBL Quotes'!X7</f>
        <v>0</v>
      </c>
      <c r="L41">
        <f>'SBL Quotes'!Y7</f>
        <v>0</v>
      </c>
    </row>
    <row r="42" ht="9" customHeight="1">
      <c r="D42" t="s">
        <v>2016</v>
      </c>
      <c r="E42">
        <f>'SBL Quotes'!R68</f>
        <v>0.070944</v>
      </c>
      <c r="F42">
        <f>'SBL Quotes'!S68</f>
        <v>0.072144</v>
      </c>
      <c r="G42">
        <f>'SBL Quotes'!T68</f>
        <v>0.07394400000000001</v>
      </c>
      <c r="H42">
        <f>'SBL Quotes'!U68</f>
        <v>0.06896658000000001</v>
      </c>
      <c r="I42">
        <f>'SBL Quotes'!V68</f>
        <v>0.06694135000000001</v>
      </c>
      <c r="J42">
        <f>'SBL Quotes'!W68</f>
        <v>0.07172228</v>
      </c>
      <c r="K42">
        <f>'SBL Quotes'!X68</f>
        <v>0.06967273</v>
      </c>
      <c r="L42">
        <f>'SBL Quotes'!Y68</f>
        <v>0.070944</v>
      </c>
    </row>
    <row r="43" ht="9" customHeight="1">
      <c r="D43" t="s">
        <v>2034</v>
      </c>
      <c r="E43">
        <f>'SBL Quotes'!R51+'SBL Quotes'!R52+'SBL Quotes'!R67</f>
        <v>0.0278</v>
      </c>
      <c r="F43">
        <f>'SBL Quotes'!S51+'SBL Quotes'!S52+'SBL Quotes'!S67</f>
        <v>0.028999999999999998</v>
      </c>
      <c r="G43">
        <f>'SBL Quotes'!T51+'SBL Quotes'!T52+'SBL Quotes'!T67</f>
        <v>0.030799999999999998</v>
      </c>
      <c r="H43">
        <f>'SBL Quotes'!U51+'SBL Quotes'!U52+'SBL Quotes'!U67</f>
        <v>0.02582258</v>
      </c>
      <c r="I43">
        <f>'SBL Quotes'!V51+'SBL Quotes'!V52+'SBL Quotes'!V67</f>
        <v>0.02379735</v>
      </c>
      <c r="J43">
        <f>'SBL Quotes'!W51+'SBL Quotes'!W52+'SBL Quotes'!W67</f>
        <v>0.02721328</v>
      </c>
      <c r="K43">
        <f>'SBL Quotes'!X51+'SBL Quotes'!X52+'SBL Quotes'!X67</f>
        <v>0.02516373</v>
      </c>
      <c r="L43">
        <f>'SBL Quotes'!Y51+'SBL Quotes'!Y52+'SBL Quotes'!Y67</f>
        <v>0.0278</v>
      </c>
    </row>
    <row r="44" ht="9" customHeight="1">
      <c r="D44" t="s">
        <v>2035</v>
      </c>
      <c r="E44" t="str">
        <f>_xlfn.LET(_xlpm.term_yrs,'SBL Quotes'!R98,_xlpm.is_variable_rate,_xlfn.IFERROR(SEARCH("Variable",'SBL Quotes'!R$26)&gt;0,FALSE),_xlpm.treasury_index,IF(_xlpm.is_variable_rate,"30-Day Average SOFR",IF(_xlpm.term_yrs&lt;7,5,IF(_xlpm.term_yrs&lt;10,7,IF(_xlpm.term_yrs&lt;30,10,30)))),_xlpm.treasury_index&amp;IF(_xlpm.is_variable_rate,"","-year UST"))</f>
        <v>10-year UST</v>
      </c>
      <c r="F44" t="str">
        <f>_xlfn.LET(_xlpm.term_yrs,'SBL Quotes'!S98,_xlpm.is_variable_rate,_xlfn.IFERROR(SEARCH("Variable",'SBL Quotes'!S$26)&gt;0,FALSE),_xlpm.treasury_index,IF(_xlpm.is_variable_rate,"30-Day Average SOFR",IF(_xlpm.term_yrs&lt;7,5,IF(_xlpm.term_yrs&lt;10,7,IF(_xlpm.term_yrs&lt;30,10,30)))),_xlpm.treasury_index&amp;IF(_xlpm.is_variable_rate,"","-year UST"))</f>
        <v>10-year UST</v>
      </c>
      <c r="G44" t="str">
        <f>_xlfn.LET(_xlpm.term_yrs,'SBL Quotes'!T98,_xlpm.is_variable_rate,_xlfn.IFERROR(SEARCH("Variable",'SBL Quotes'!T$26)&gt;0,FALSE),_xlpm.treasury_index,IF(_xlpm.is_variable_rate,"30-Day Average SOFR",IF(_xlpm.term_yrs&lt;7,5,IF(_xlpm.term_yrs&lt;10,7,IF(_xlpm.term_yrs&lt;30,10,30)))),_xlpm.treasury_index&amp;IF(_xlpm.is_variable_rate,"","-year UST"))</f>
        <v>10-year UST</v>
      </c>
      <c r="H44" t="str">
        <f>_xlfn.LET(_xlpm.term_yrs,'SBL Quotes'!U98,_xlpm.is_variable_rate,_xlfn.IFERROR(SEARCH("Variable",'SBL Quotes'!U$26)&gt;0,FALSE),_xlpm.treasury_index,IF(_xlpm.is_variable_rate,"30-Day Average SOFR",IF(_xlpm.term_yrs&lt;7,5,IF(_xlpm.term_yrs&lt;10,7,IF(_xlpm.term_yrs&lt;30,10,30)))),_xlpm.treasury_index&amp;IF(_xlpm.is_variable_rate,"","-year UST"))</f>
        <v>10-year UST</v>
      </c>
      <c r="I44" t="str">
        <f>_xlfn.LET(_xlpm.term_yrs,'SBL Quotes'!V98,_xlpm.is_variable_rate,_xlfn.IFERROR(SEARCH("Variable",'SBL Quotes'!V$26)&gt;0,FALSE),_xlpm.treasury_index,IF(_xlpm.is_variable_rate,"30-Day Average SOFR",IF(_xlpm.term_yrs&lt;7,5,IF(_xlpm.term_yrs&lt;10,7,IF(_xlpm.term_yrs&lt;30,10,30)))),_xlpm.treasury_index&amp;IF(_xlpm.is_variable_rate,"","-year UST"))</f>
        <v>10-year UST</v>
      </c>
      <c r="J44" t="str">
        <f>_xlfn.LET(_xlpm.term_yrs,'SBL Quotes'!W98,_xlpm.is_variable_rate,_xlfn.IFERROR(SEARCH("Variable",'SBL Quotes'!W$26)&gt;0,FALSE),_xlpm.treasury_index,IF(_xlpm.is_variable_rate,"30-Day Average SOFR",IF(_xlpm.term_yrs&lt;7,5,IF(_xlpm.term_yrs&lt;10,7,IF(_xlpm.term_yrs&lt;30,10,30)))),_xlpm.treasury_index&amp;IF(_xlpm.is_variable_rate,"","-year UST"))</f>
        <v>5-year UST</v>
      </c>
      <c r="K44" t="str">
        <f>_xlfn.LET(_xlpm.term_yrs,'SBL Quotes'!X98,_xlpm.is_variable_rate,_xlfn.IFERROR(SEARCH("Variable",'SBL Quotes'!X$26)&gt;0,FALSE),_xlpm.treasury_index,IF(_xlpm.is_variable_rate,"30-Day Average SOFR",IF(_xlpm.term_yrs&lt;7,5,IF(_xlpm.term_yrs&lt;10,7,IF(_xlpm.term_yrs&lt;30,10,30)))),_xlpm.treasury_index&amp;IF(_xlpm.is_variable_rate,"","-year UST"))</f>
        <v>5-year UST</v>
      </c>
      <c r="L44" t="str">
        <f>_xlfn.LET(_xlpm.term_yrs,'SBL Quotes'!Y98,_xlpm.is_variable_rate,_xlfn.IFERROR(SEARCH("Variable",'SBL Quotes'!Y$26)&gt;0,FALSE),_xlpm.treasury_index,IF(_xlpm.is_variable_rate,"30-Day Average SOFR",IF(_xlpm.term_yrs&lt;7,5,IF(_xlpm.term_yrs&lt;10,7,IF(_xlpm.term_yrs&lt;30,10,30)))),_xlpm.treasury_index&amp;IF(_xlpm.is_variable_rate,"","-year UST"))</f>
        <v>30-Day Average SOFR</v>
      </c>
    </row>
    <row r="45" ht="9" customHeight="1">
      <c r="D45" t="s">
        <v>1612</v>
      </c>
      <c r="E45">
        <f>'SBL Quotes'!R50</f>
        <v>0.043144</v>
      </c>
      <c r="F45">
        <f>'SBL Quotes'!S50</f>
        <v>0.043144</v>
      </c>
      <c r="G45">
        <f>'SBL Quotes'!T50</f>
        <v>0.043144</v>
      </c>
      <c r="H45">
        <f>'SBL Quotes'!U50</f>
        <v>0.043144</v>
      </c>
      <c r="I45">
        <f>'SBL Quotes'!V50</f>
        <v>0.043144</v>
      </c>
      <c r="J45">
        <f>'SBL Quotes'!W50</f>
        <v>0.044509</v>
      </c>
      <c r="K45">
        <f>'SBL Quotes'!X50</f>
        <v>0.044509</v>
      </c>
      <c r="L45">
        <f>'SBL Quotes'!Y50</f>
        <v>0.043144</v>
      </c>
    </row>
    <row r="46" ht="9" customHeight="1">
      <c r="D46" t="s">
        <v>1370</v>
      </c>
      <c r="E46">
        <f>'SBL Quotes'!R41</f>
        <v>0</v>
      </c>
      <c r="F46">
        <f>'SBL Quotes'!S41</f>
        <v>0</v>
      </c>
      <c r="G46">
        <f>'SBL Quotes'!T41</f>
        <v>0</v>
      </c>
      <c r="H46">
        <f>'SBL Quotes'!U41</f>
        <v>0</v>
      </c>
      <c r="I46">
        <f>'SBL Quotes'!V41</f>
        <v>0</v>
      </c>
      <c r="J46">
        <f>'SBL Quotes'!W41</f>
        <v>0</v>
      </c>
      <c r="K46">
        <f>'SBL Quotes'!X41</f>
        <v>0</v>
      </c>
      <c r="L46">
        <f>'SBL Quotes'!Y41</f>
        <v>0</v>
      </c>
    </row>
    <row r="47" ht="9" customHeight="1">
      <c r="D47" t="s">
        <v>2017</v>
      </c>
      <c r="E47">
        <f>'SBL Quotes'!R74</f>
        <v>0.8</v>
      </c>
      <c r="F47">
        <f>'SBL Quotes'!S74</f>
        <v>0.8</v>
      </c>
      <c r="G47">
        <f>'SBL Quotes'!T74</f>
        <v>0.8</v>
      </c>
      <c r="H47">
        <f>'SBL Quotes'!U74</f>
        <v>0.65</v>
      </c>
      <c r="I47">
        <f>'SBL Quotes'!V74</f>
        <v>0.55</v>
      </c>
      <c r="J47">
        <f>'SBL Quotes'!W74</f>
        <v>0.65</v>
      </c>
      <c r="K47">
        <f>'SBL Quotes'!X74</f>
        <v>0.55</v>
      </c>
      <c r="L47">
        <f>'SBL Quotes'!Y74</f>
        <v>0.8</v>
      </c>
    </row>
    <row r="48" ht="9" customHeight="1">
      <c r="D48" t="s">
        <v>1373</v>
      </c>
      <c r="E48" t="str">
        <f>'SBL Quotes'!R40</f>
        <v>--</v>
      </c>
      <c r="F48" t="str">
        <f>'SBL Quotes'!S40</f>
        <v>--</v>
      </c>
      <c r="G48" t="str">
        <f>'SBL Quotes'!T40</f>
        <v>--</v>
      </c>
      <c r="H48" t="str">
        <f>'SBL Quotes'!U40</f>
        <v>--</v>
      </c>
      <c r="I48" t="str">
        <f>'SBL Quotes'!V40</f>
        <v>--</v>
      </c>
      <c r="J48" t="str">
        <f>'SBL Quotes'!W40</f>
        <v>--</v>
      </c>
      <c r="K48" t="str">
        <f>'SBL Quotes'!X40</f>
        <v>--</v>
      </c>
      <c r="L48" t="str">
        <f>'SBL Quotes'!Y40</f>
        <v>--</v>
      </c>
    </row>
    <row r="49" ht="9" customHeight="1">
      <c r="D49" t="s">
        <v>2018</v>
      </c>
      <c r="E49">
        <f>'SBL Quotes'!R72</f>
        <v>1.25</v>
      </c>
      <c r="F49">
        <f>'SBL Quotes'!S72</f>
        <v>1.25</v>
      </c>
      <c r="G49">
        <f>'SBL Quotes'!T72</f>
        <v>1.25</v>
      </c>
      <c r="H49">
        <f>'SBL Quotes'!U72</f>
        <v>1.35</v>
      </c>
      <c r="I49">
        <f>'SBL Quotes'!V72</f>
        <v>1.55</v>
      </c>
      <c r="J49">
        <f>'SBL Quotes'!W72</f>
        <v>1.35</v>
      </c>
      <c r="K49">
        <f>'SBL Quotes'!X72</f>
        <v>1.55</v>
      </c>
      <c r="L49">
        <f>'SBL Quotes'!Y72</f>
        <v>1.25</v>
      </c>
    </row>
    <row r="50" ht="9" customHeight="1">
      <c r="D50" t="s">
        <v>1351</v>
      </c>
      <c r="E50">
        <f>'SBL Quotes'!R98</f>
        <v>10</v>
      </c>
      <c r="F50">
        <f>'SBL Quotes'!S98</f>
        <v>12</v>
      </c>
      <c r="G50">
        <f>'SBL Quotes'!T98</f>
        <v>15</v>
      </c>
      <c r="H50">
        <f>'SBL Quotes'!U98</f>
        <v>10</v>
      </c>
      <c r="I50">
        <f>'SBL Quotes'!V98</f>
        <v>10</v>
      </c>
      <c r="J50">
        <f>'SBL Quotes'!W98</f>
        <v>5</v>
      </c>
      <c r="K50">
        <f>'SBL Quotes'!X98</f>
        <v>5</v>
      </c>
      <c r="L50">
        <f>'SBL Quotes'!Y98</f>
        <v>10</v>
      </c>
    </row>
    <row r="51" ht="9" customHeight="1">
      <c r="D51" t="s">
        <v>604</v>
      </c>
      <c r="E51">
        <f>'SBL Quotes'!R46</f>
        <v>30</v>
      </c>
      <c r="F51">
        <f>'SBL Quotes'!S46</f>
        <v>30</v>
      </c>
      <c r="G51">
        <f>'SBL Quotes'!T46</f>
        <v>30</v>
      </c>
      <c r="H51">
        <f>'SBL Quotes'!U46</f>
        <v>30</v>
      </c>
      <c r="I51">
        <f>'SBL Quotes'!V46</f>
        <v>30</v>
      </c>
      <c r="J51">
        <f>'SBL Quotes'!W46</f>
        <v>30</v>
      </c>
      <c r="K51">
        <f>'SBL Quotes'!X46</f>
        <v>30</v>
      </c>
      <c r="L51">
        <f>'SBL Quotes'!Y46</f>
        <v>30</v>
      </c>
    </row>
    <row r="52" ht="9" customHeight="1">
      <c r="D52" t="s">
        <v>1362</v>
      </c>
      <c r="E52">
        <f>'SBL Quotes'!R43</f>
        <v>0</v>
      </c>
      <c r="F52">
        <f>'SBL Quotes'!S43</f>
        <v>0</v>
      </c>
      <c r="G52">
        <f>'SBL Quotes'!T43</f>
        <v>0</v>
      </c>
      <c r="H52">
        <f>'SBL Quotes'!U43</f>
        <v>5</v>
      </c>
      <c r="I52">
        <f>'SBL Quotes'!V43</f>
        <v>10</v>
      </c>
      <c r="J52">
        <f>'SBL Quotes'!W43</f>
        <v>2</v>
      </c>
      <c r="K52">
        <f>'SBL Quotes'!X43</f>
        <v>5</v>
      </c>
      <c r="L52">
        <f>'SBL Quotes'!Y43</f>
        <v>0</v>
      </c>
    </row>
    <row r="53" ht="9" customHeight="1">
      <c r="D53" t="s">
        <v>2019</v>
      </c>
      <c r="E53" t="str">
        <f>SUBSTITUTE('SBL Quotes'!R11,"YM","Yield Maintenance")</f>
        <v>Yield Maintenance,1%</v>
      </c>
      <c r="F53" t="str">
        <f>SUBSTITUTE('SBL Quotes'!S11,"YM","Yield Maintenance")</f>
        <v>Yield Maintenance,1%</v>
      </c>
      <c r="G53" t="str">
        <f>SUBSTITUTE('SBL Quotes'!T11,"YM","Yield Maintenance")</f>
        <v>Yield Maintenance,1%</v>
      </c>
      <c r="H53" t="str">
        <f>SUBSTITUTE('SBL Quotes'!U11,"YM","Yield Maintenance")</f>
        <v>Yield Maintenance,1%</v>
      </c>
      <c r="I53" t="str">
        <f>SUBSTITUTE('SBL Quotes'!V11,"YM","Yield Maintenance")</f>
        <v>Yield Maintenance,1%</v>
      </c>
      <c r="J53" t="str">
        <f>SUBSTITUTE('SBL Quotes'!W11,"YM","Yield Maintenance")</f>
        <v>Yield Maintenance,1%</v>
      </c>
      <c r="K53" t="str">
        <f>SUBSTITUTE('SBL Quotes'!X11,"YM","Yield Maintenance")</f>
        <v>Yield Maintenance,1%</v>
      </c>
      <c r="L53" t="str">
        <f>SUBSTITUTE('SBL Quotes'!Y11,"YM","Yield Maintenance")</f>
        <v>Yield Maintenance,1%</v>
      </c>
    </row>
    <row r="54" ht="9" customHeight="1">
      <c r="D54" t="s">
        <v>2021</v>
      </c>
      <c r="E54" t="s">
        <v>2022</v>
      </c>
      <c r="F54" t="s">
        <v>2022</v>
      </c>
      <c r="G54" t="s">
        <v>2022</v>
      </c>
      <c r="H54" t="s">
        <v>2022</v>
      </c>
      <c r="I54" t="s">
        <v>2022</v>
      </c>
      <c r="J54" t="s">
        <v>2022</v>
      </c>
      <c r="K54" t="s">
        <v>2022</v>
      </c>
      <c r="L54" t="s">
        <v>2022</v>
      </c>
    </row>
    <row r="55" ht="9" customHeight="1">
      <c r="D55" t="s">
        <v>2023</v>
      </c>
      <c r="E55" t="s">
        <v>2039</v>
      </c>
      <c r="F55" t="s">
        <v>2039</v>
      </c>
      <c r="G55" t="s">
        <v>2039</v>
      </c>
      <c r="H55" t="s">
        <v>2039</v>
      </c>
      <c r="I55" t="s">
        <v>2039</v>
      </c>
      <c r="J55" t="s">
        <v>2039</v>
      </c>
      <c r="K55" t="s">
        <v>2039</v>
      </c>
      <c r="L55" t="s">
        <v>2039</v>
      </c>
    </row>
    <row r="56" ht="9" customHeight="1">
      <c r="D56" t="s">
        <v>2025</v>
      </c>
      <c r="E56">
        <f>'SBL Quotes'!R31</f>
        <v>0.01</v>
      </c>
      <c r="F56">
        <f>'SBL Quotes'!S31</f>
        <v>0.01</v>
      </c>
      <c r="G56">
        <f>'SBL Quotes'!T31</f>
        <v>0.01</v>
      </c>
      <c r="H56">
        <f>'SBL Quotes'!U31</f>
        <v>0.005</v>
      </c>
      <c r="I56">
        <f>'SBL Quotes'!V31</f>
        <v>0.005</v>
      </c>
      <c r="J56">
        <f>'SBL Quotes'!W31</f>
        <v>0.005</v>
      </c>
      <c r="K56">
        <f>'SBL Quotes'!X31</f>
        <v>0.005</v>
      </c>
      <c r="L56">
        <f>'SBL Quotes'!Y31</f>
        <v>0.01</v>
      </c>
    </row>
    <row r="57" ht="9" customHeight="1">
      <c r="D57" t="s">
        <v>2040</v>
      </c>
      <c r="E57">
        <v>0.001</v>
      </c>
      <c r="F57">
        <v>0.001</v>
      </c>
      <c r="G57">
        <v>0.001</v>
      </c>
      <c r="H57">
        <v>0.001</v>
      </c>
      <c r="I57">
        <v>0.001</v>
      </c>
      <c r="J57">
        <v>0.001</v>
      </c>
      <c r="K57">
        <v>0.001</v>
      </c>
      <c r="L57">
        <v>0.001</v>
      </c>
    </row>
    <row r="58" ht="9" customHeight="1">
      <c r="D58" t="s">
        <v>2027</v>
      </c>
      <c r="E58">
        <v>7500</v>
      </c>
      <c r="F58">
        <v>7500</v>
      </c>
      <c r="G58">
        <v>7500</v>
      </c>
      <c r="H58">
        <v>7500</v>
      </c>
      <c r="I58">
        <v>7500</v>
      </c>
      <c r="J58">
        <v>7500</v>
      </c>
      <c r="K58">
        <v>7500</v>
      </c>
      <c r="L58">
        <v>7500</v>
      </c>
    </row>
    <row r="59" ht="9" customHeight="1">
      <c r="D59" t="s">
        <v>2028</v>
      </c>
      <c r="E59" t="s">
        <v>2041</v>
      </c>
      <c r="F59" t="s">
        <v>2041</v>
      </c>
      <c r="G59" t="s">
        <v>2041</v>
      </c>
      <c r="H59" t="s">
        <v>2041</v>
      </c>
      <c r="I59" t="s">
        <v>2041</v>
      </c>
      <c r="J59" t="s">
        <v>2041</v>
      </c>
      <c r="K59" t="s">
        <v>2041</v>
      </c>
      <c r="L59" t="s">
        <v>2041</v>
      </c>
    </row>
    <row r="60" ht="9" customHeight="1">
      <c r="D60" t="s">
        <v>2029</v>
      </c>
      <c r="E60">
        <v>15000</v>
      </c>
      <c r="F60">
        <v>15000</v>
      </c>
      <c r="G60">
        <v>15000</v>
      </c>
      <c r="H60">
        <v>15000</v>
      </c>
      <c r="I60">
        <v>15000</v>
      </c>
      <c r="J60">
        <v>15000</v>
      </c>
      <c r="K60">
        <v>15000</v>
      </c>
      <c r="L60">
        <v>15000</v>
      </c>
    </row>
    <row r="61" ht="9" customHeight="1">
      <c r="D61" t="s">
        <v>2030</v>
      </c>
      <c r="E61" t="s">
        <v>2042</v>
      </c>
      <c r="F61" t="s">
        <v>2042</v>
      </c>
      <c r="G61" t="s">
        <v>2042</v>
      </c>
      <c r="H61" t="s">
        <v>2042</v>
      </c>
      <c r="I61" t="s">
        <v>2042</v>
      </c>
      <c r="J61" t="s">
        <v>2042</v>
      </c>
      <c r="K61" t="s">
        <v>2042</v>
      </c>
      <c r="L61" t="s">
        <v>2042</v>
      </c>
    </row>
    <row r="62" ht="14.25" customHeight="1"/>
    <row r="63" ht="12.75" customHeight="1" hidden="1">
      <c r="D63" t="str">
        <f t="shared" si="4" ref="D63:D64">D95</f>
        <v>Additional Quote Stipulations</v>
      </c>
    </row>
    <row r="64" ht="84.75" customHeight="1" hidden="1">
      <c r="D64" t="str">
        <f t="shared" si="4"/>
        <v>Proposed loan terms are based on an estimated underwritten NOI of $-1,616,089 and are subject to Lender approval and appraisal support. Terms assume borrower meets minimum requirements including, but not limited to: (1) minimum net worth greater than or equal to the loan amount; (2) combined liquidity greater than or equal to 9 months' debt service; (3) acceptable credit history; and (4) acceptable experience owning/operating multifamily. Terms also assume the property is stabilized at an average occupancy of no less than 90% for the trailing three months and collections over the trailing three-month period are steady or improving. Quote dated xx/xx/xxxx.</v>
      </c>
    </row>
    <row r="65" ht="7.5" customHeight="1"/>
    <row r="66" ht="12" customHeight="1" hidden="1">
      <c r="E66" t="str">
        <f t="shared" si="3"/>
        <v>Producer's Name</v>
      </c>
    </row>
    <row r="67" ht="10.5" customHeight="1" hidden="1">
      <c r="E67" t="str">
        <f>_xlfn.XLOOKUP('SBL Quotes'!B117,DropDowns_ProducerNames,'Dropdowns (DNP)'!$GR$2:$GR$14,"Producer's Email")</f>
        <v>Producer's Email</v>
      </c>
    </row>
    <row r="68" ht="9" customHeight="1" hidden="1">
      <c r="E68" t="str">
        <f>_xlfn.XLOOKUP('SBL Quotes'!B117,DropDowns_ProducerNames,'Dropdowns (DNP)'!$GS$2:$GS$14,"Producer's Phone#(s)")</f>
        <v>Producer's Phone#(s)</v>
      </c>
    </row>
    <row r="69" ht="20.25" customHeight="1" hidden="1">
      <c r="D69" t="str">
        <f>'SBL Quotes'!$E$2</f>
        <v> | City, XX</v>
      </c>
    </row>
    <row r="70" ht="18" customHeight="1" hidden="1">
      <c r="D70" t="str">
        <f>D9</f>
        <v>We have reviewed the information on the above referenced property and are pleased to offer the following loan proposal:</v>
      </c>
    </row>
    <row r="71" ht="15" customHeight="1">
      <c r="B71">
        <f>SBL_ProprietaryCapitalOptionsToView</f>
        <v>2</v>
      </c>
      <c r="D71" t="s">
        <v>2043</v>
      </c>
    </row>
    <row r="72" ht="9" customHeight="1">
      <c r="E72" t="str">
        <f>'SBL Quotes'!AA6</f>
        <v>3 YR Floating</v>
      </c>
      <c r="F72" t="str">
        <f>'SBL Quotes'!AB6</f>
        <v>5 YR Floating</v>
      </c>
      <c r="G72" t="str">
        <f>'SBL Quotes'!AC6</f>
        <v>7 YR Floating</v>
      </c>
      <c r="H72" t="str">
        <f>'SBL Quotes'!AD6</f>
        <v>3 YR Floating</v>
      </c>
      <c r="I72" t="str">
        <f>'SBL Quotes'!AE6</f>
        <v>5 YR Floating</v>
      </c>
      <c r="J72" t="str">
        <f>'SBL Quotes'!AF6</f>
        <v>7 YR Floating</v>
      </c>
      <c r="K72" t="str">
        <f>'SBL Quotes'!AG6</f>
        <v>3 YR Floating</v>
      </c>
      <c r="L72" t="str">
        <f>'SBL Quotes'!AH6</f>
        <v>5 YR Floating</v>
      </c>
    </row>
    <row r="73" ht="9" customHeight="1">
      <c r="D73" t="s">
        <v>2015</v>
      </c>
      <c r="E73">
        <f>'SBL Quotes'!AA7</f>
        <v>0</v>
      </c>
      <c r="F73">
        <f>'SBL Quotes'!AB7</f>
        <v>0</v>
      </c>
      <c r="G73">
        <f>'SBL Quotes'!AC7</f>
        <v>0</v>
      </c>
      <c r="H73">
        <f>'SBL Quotes'!AD7</f>
        <v>0</v>
      </c>
      <c r="I73">
        <f>'SBL Quotes'!AE7</f>
        <v>0</v>
      </c>
      <c r="J73">
        <f>'SBL Quotes'!AF7</f>
        <v>0</v>
      </c>
      <c r="K73">
        <f>'SBL Quotes'!AG7</f>
        <v>0</v>
      </c>
      <c r="L73">
        <f>'SBL Quotes'!AH7</f>
        <v>0</v>
      </c>
    </row>
    <row r="74" ht="9" customHeight="1">
      <c r="D74" t="s">
        <v>2016</v>
      </c>
      <c r="E74">
        <f>'SBL Quotes'!AA68</f>
        <v>0.053704</v>
      </c>
      <c r="F74">
        <f>'SBL Quotes'!AB68</f>
        <v>0.053704</v>
      </c>
      <c r="G74">
        <f>'SBL Quotes'!AC68</f>
        <v>0.053704</v>
      </c>
      <c r="H74">
        <f>'SBL Quotes'!AD68</f>
        <v>0.053704</v>
      </c>
      <c r="I74">
        <f>'SBL Quotes'!AE68</f>
        <v>0.053704</v>
      </c>
      <c r="J74">
        <f>'SBL Quotes'!AF68</f>
        <v>0.053704</v>
      </c>
      <c r="K74">
        <f>'SBL Quotes'!AG68</f>
        <v>0.053704</v>
      </c>
      <c r="L74">
        <f>'SBL Quotes'!AH68</f>
        <v>0.053704</v>
      </c>
    </row>
    <row r="75" ht="9" customHeight="1">
      <c r="D75" t="s">
        <v>2034</v>
      </c>
      <c r="E75">
        <f>'SBL Quotes'!AA67</f>
        <v>0</v>
      </c>
      <c r="F75">
        <f>'SBL Quotes'!AB67</f>
        <v>0</v>
      </c>
      <c r="G75">
        <f>'SBL Quotes'!AC67</f>
        <v>0</v>
      </c>
      <c r="H75">
        <f>'SBL Quotes'!AD67</f>
        <v>0</v>
      </c>
      <c r="I75">
        <f>'SBL Quotes'!AE67</f>
        <v>0</v>
      </c>
      <c r="J75">
        <f>'SBL Quotes'!AF67</f>
        <v>0</v>
      </c>
      <c r="K75">
        <f>'SBL Quotes'!AG67</f>
        <v>0</v>
      </c>
      <c r="L75">
        <f>'SBL Quotes'!AH67</f>
        <v>0</v>
      </c>
    </row>
    <row r="76" ht="9" customHeight="1">
      <c r="D76" t="s">
        <v>2035</v>
      </c>
      <c r="E76" t="s">
        <v>2044</v>
      </c>
      <c r="F76" t="s">
        <v>2044</v>
      </c>
      <c r="G76" t="s">
        <v>2044</v>
      </c>
      <c r="H76" t="s">
        <v>2044</v>
      </c>
      <c r="I76" t="s">
        <v>2044</v>
      </c>
      <c r="J76" t="s">
        <v>2044</v>
      </c>
      <c r="K76" t="s">
        <v>2044</v>
      </c>
      <c r="L76" t="s">
        <v>2044</v>
      </c>
    </row>
    <row r="77" ht="9" customHeight="1">
      <c r="D77" t="s">
        <v>1612</v>
      </c>
      <c r="E77">
        <f>'SBL Quotes'!AA50</f>
        <v>0.053704</v>
      </c>
      <c r="F77">
        <f>'SBL Quotes'!AB50</f>
        <v>0.053704</v>
      </c>
      <c r="G77">
        <f>'SBL Quotes'!AC50</f>
        <v>0.053704</v>
      </c>
      <c r="H77">
        <f>'SBL Quotes'!AD50</f>
        <v>0.053704</v>
      </c>
      <c r="I77">
        <f>'SBL Quotes'!AE50</f>
        <v>0.053704</v>
      </c>
      <c r="J77">
        <f>'SBL Quotes'!AF50</f>
        <v>0.053704</v>
      </c>
      <c r="K77">
        <f>'SBL Quotes'!AG50</f>
        <v>0.053704</v>
      </c>
      <c r="L77">
        <f>'SBL Quotes'!AH50</f>
        <v>0.053704</v>
      </c>
    </row>
    <row r="78" ht="9" customHeight="1">
      <c r="D78" t="s">
        <v>1370</v>
      </c>
      <c r="E78">
        <f>'SBL Quotes'!AA41</f>
        <v>0</v>
      </c>
      <c r="F78">
        <f>'SBL Quotes'!AB41</f>
        <v>0</v>
      </c>
      <c r="G78">
        <f>'SBL Quotes'!AC41</f>
        <v>0</v>
      </c>
      <c r="H78">
        <f>'SBL Quotes'!AD41</f>
        <v>0</v>
      </c>
      <c r="I78">
        <f>'SBL Quotes'!AE41</f>
        <v>0</v>
      </c>
      <c r="J78">
        <f>'SBL Quotes'!AF41</f>
        <v>0</v>
      </c>
      <c r="K78">
        <f>'SBL Quotes'!AG41</f>
        <v>0</v>
      </c>
      <c r="L78">
        <f>'SBL Quotes'!AH41</f>
        <v>0</v>
      </c>
    </row>
    <row r="79" ht="9" customHeight="1">
      <c r="D79" t="s">
        <v>2017</v>
      </c>
      <c r="E79">
        <f>'SBL Quotes'!AA74</f>
        <v>0.7</v>
      </c>
      <c r="F79">
        <f>'SBL Quotes'!AB74</f>
        <v>0.7</v>
      </c>
      <c r="G79">
        <f>'SBL Quotes'!AC74</f>
        <v>0.7</v>
      </c>
      <c r="H79">
        <f>'SBL Quotes'!AD74</f>
        <v>0.7</v>
      </c>
      <c r="I79">
        <f>'SBL Quotes'!AE74</f>
        <v>0.7</v>
      </c>
      <c r="J79">
        <f>'SBL Quotes'!AF74</f>
        <v>0.7</v>
      </c>
      <c r="K79">
        <f>'SBL Quotes'!AG74</f>
        <v>0.7</v>
      </c>
      <c r="L79">
        <f>'SBL Quotes'!AH74</f>
        <v>0.7</v>
      </c>
    </row>
    <row r="80" ht="9" customHeight="1">
      <c r="D80" t="s">
        <v>1373</v>
      </c>
      <c r="E80" t="str">
        <f>'SBL Quotes'!AA40</f>
        <v>--</v>
      </c>
      <c r="F80" t="str">
        <f>'SBL Quotes'!AB40</f>
        <v>--</v>
      </c>
      <c r="G80" t="str">
        <f>'SBL Quotes'!AC40</f>
        <v>--</v>
      </c>
      <c r="H80" t="str">
        <f>'SBL Quotes'!AD40</f>
        <v>--</v>
      </c>
      <c r="I80" t="str">
        <f>'SBL Quotes'!AE40</f>
        <v>--</v>
      </c>
      <c r="J80" t="str">
        <f>'SBL Quotes'!AF40</f>
        <v>--</v>
      </c>
      <c r="K80" t="str">
        <f>'SBL Quotes'!AG40</f>
        <v>--</v>
      </c>
      <c r="L80" t="str">
        <f>'SBL Quotes'!AH40</f>
        <v>--</v>
      </c>
    </row>
    <row r="81" ht="9" customHeight="1">
      <c r="D81" t="s">
        <v>2018</v>
      </c>
      <c r="E81">
        <f>'SBL Quotes'!AA72</f>
        <v>1.35</v>
      </c>
      <c r="F81">
        <f>'SBL Quotes'!AB72</f>
        <v>1.35</v>
      </c>
      <c r="G81">
        <f>'SBL Quotes'!AC72</f>
        <v>1.35</v>
      </c>
      <c r="H81">
        <f>'SBL Quotes'!AD72</f>
        <v>1.35</v>
      </c>
      <c r="I81">
        <f>'SBL Quotes'!AE72</f>
        <v>1.35</v>
      </c>
      <c r="J81">
        <f>'SBL Quotes'!AF72</f>
        <v>1.35</v>
      </c>
      <c r="K81">
        <f>'SBL Quotes'!AG72</f>
        <v>1.35</v>
      </c>
      <c r="L81">
        <f>'SBL Quotes'!AH72</f>
        <v>1.35</v>
      </c>
    </row>
    <row r="82" ht="9" customHeight="1">
      <c r="D82" t="s">
        <v>1351</v>
      </c>
      <c r="E82">
        <f>'SBL Quotes'!AA98</f>
        <v>3</v>
      </c>
      <c r="F82">
        <f>'SBL Quotes'!AB98</f>
        <v>5</v>
      </c>
      <c r="G82">
        <f>'SBL Quotes'!AC98</f>
        <v>7</v>
      </c>
      <c r="H82">
        <f>'SBL Quotes'!AD98</f>
        <v>3</v>
      </c>
      <c r="I82">
        <f>'SBL Quotes'!AE98</f>
        <v>5</v>
      </c>
      <c r="J82">
        <f>'SBL Quotes'!AF98</f>
        <v>7</v>
      </c>
      <c r="K82">
        <f>'SBL Quotes'!AG98</f>
        <v>3</v>
      </c>
      <c r="L82">
        <f>'SBL Quotes'!AH98</f>
        <v>5</v>
      </c>
    </row>
    <row r="83" ht="9" customHeight="1">
      <c r="D83" t="s">
        <v>604</v>
      </c>
      <c r="E83">
        <f>'SBL Quotes'!AA46</f>
        <v>30</v>
      </c>
      <c r="F83">
        <f>'SBL Quotes'!AB46</f>
        <v>30</v>
      </c>
      <c r="G83">
        <f>'SBL Quotes'!AC46</f>
        <v>30</v>
      </c>
      <c r="H83">
        <f>'SBL Quotes'!AD46</f>
        <v>30</v>
      </c>
      <c r="I83">
        <f>'SBL Quotes'!AE46</f>
        <v>30</v>
      </c>
      <c r="J83">
        <f>'SBL Quotes'!AF46</f>
        <v>30</v>
      </c>
      <c r="K83">
        <f>'SBL Quotes'!AG46</f>
        <v>30</v>
      </c>
      <c r="L83">
        <f>'SBL Quotes'!AH46</f>
        <v>30</v>
      </c>
    </row>
    <row r="84" ht="9" customHeight="1">
      <c r="D84" t="s">
        <v>1362</v>
      </c>
      <c r="E84">
        <f>'SBL Quotes'!AA43</f>
        <v>3</v>
      </c>
      <c r="F84">
        <f>'SBL Quotes'!AB43</f>
        <v>5</v>
      </c>
      <c r="G84">
        <f>'SBL Quotes'!AC43</f>
        <v>7</v>
      </c>
      <c r="H84">
        <f>'SBL Quotes'!AD43</f>
        <v>3</v>
      </c>
      <c r="I84">
        <f>'SBL Quotes'!AE43</f>
        <v>5</v>
      </c>
      <c r="J84">
        <f>'SBL Quotes'!AF43</f>
        <v>7</v>
      </c>
      <c r="K84">
        <f>'SBL Quotes'!AG43</f>
        <v>3</v>
      </c>
      <c r="L84">
        <f>'SBL Quotes'!AH43</f>
        <v>5</v>
      </c>
    </row>
    <row r="85" ht="9" customHeight="1">
      <c r="D85" t="s">
        <v>2019</v>
      </c>
      <c r="E85" t="str">
        <f>SUBSTITUTE('SBL Quotes'!AA11,"YM","Yield Maintenance")</f>
        <v>1% Prepayment</v>
      </c>
      <c r="F85" t="str">
        <f>SUBSTITUTE('SBL Quotes'!AB11,"YM","Yield Maintenance")</f>
        <v>1% Prepayment</v>
      </c>
      <c r="G85" t="str">
        <f>SUBSTITUTE('SBL Quotes'!AC11,"YM","Yield Maintenance")</f>
        <v>1% Prepayment</v>
      </c>
      <c r="H85" t="str">
        <f>SUBSTITUTE('SBL Quotes'!AD11,"YM","Yield Maintenance")</f>
        <v>1% Prepayment</v>
      </c>
      <c r="I85" t="str">
        <f>SUBSTITUTE('SBL Quotes'!AE11,"YM","Yield Maintenance")</f>
        <v>1% Prepayment</v>
      </c>
      <c r="J85" t="str">
        <f>SUBSTITUTE('SBL Quotes'!AF11,"YM","Yield Maintenance")</f>
        <v>1% Prepayment</v>
      </c>
      <c r="K85" t="str">
        <f>SUBSTITUTE('SBL Quotes'!AG11,"YM","Yield Maintenance")</f>
        <v>1% Prepayment</v>
      </c>
      <c r="L85" t="str">
        <f>SUBSTITUTE('SBL Quotes'!AH11,"YM","Yield Maintenance")</f>
        <v>1% Prepayment</v>
      </c>
    </row>
    <row r="86" ht="9" customHeight="1">
      <c r="D86" t="s">
        <v>2021</v>
      </c>
      <c r="E86" t="s">
        <v>2022</v>
      </c>
      <c r="F86" t="s">
        <v>2022</v>
      </c>
      <c r="G86" t="s">
        <v>2022</v>
      </c>
      <c r="H86" t="s">
        <v>2022</v>
      </c>
      <c r="I86" t="s">
        <v>2022</v>
      </c>
      <c r="J86" t="s">
        <v>2022</v>
      </c>
      <c r="K86" t="s">
        <v>2022</v>
      </c>
      <c r="L86" t="s">
        <v>2022</v>
      </c>
    </row>
    <row r="87" ht="9" customHeight="1">
      <c r="D87" t="s">
        <v>2023</v>
      </c>
      <c r="E87" t="s">
        <v>2039</v>
      </c>
      <c r="F87" t="s">
        <v>2039</v>
      </c>
      <c r="G87" t="s">
        <v>2039</v>
      </c>
      <c r="H87" t="s">
        <v>2039</v>
      </c>
      <c r="I87" t="s">
        <v>2039</v>
      </c>
      <c r="J87" t="s">
        <v>2039</v>
      </c>
      <c r="K87" t="s">
        <v>2039</v>
      </c>
      <c r="L87" t="s">
        <v>2039</v>
      </c>
    </row>
    <row r="88" ht="9" customHeight="1">
      <c r="D88" t="s">
        <v>2025</v>
      </c>
      <c r="E88">
        <f>'SBL Quotes'!AA31</f>
        <v>0.01</v>
      </c>
      <c r="F88">
        <f>'SBL Quotes'!AB31</f>
        <v>0.01</v>
      </c>
      <c r="G88">
        <f>'SBL Quotes'!AC31</f>
        <v>0.01</v>
      </c>
      <c r="H88">
        <f>'SBL Quotes'!AD31</f>
        <v>0.01</v>
      </c>
      <c r="I88">
        <f>'SBL Quotes'!AE31</f>
        <v>0.01</v>
      </c>
      <c r="J88">
        <f>'SBL Quotes'!AF31</f>
        <v>0.01</v>
      </c>
      <c r="K88">
        <f>'SBL Quotes'!AG31</f>
        <v>0.01</v>
      </c>
      <c r="L88">
        <f>'SBL Quotes'!AH31</f>
        <v>0.01</v>
      </c>
    </row>
    <row r="89" ht="9" customHeight="1">
      <c r="D89" t="s">
        <v>2045</v>
      </c>
      <c r="E89" t="s">
        <v>257</v>
      </c>
      <c r="F89" t="s">
        <v>257</v>
      </c>
      <c r="G89" t="s">
        <v>257</v>
      </c>
      <c r="H89" t="s">
        <v>257</v>
      </c>
      <c r="I89" t="s">
        <v>257</v>
      </c>
      <c r="J89" t="s">
        <v>257</v>
      </c>
      <c r="K89" t="s">
        <v>257</v>
      </c>
      <c r="L89" t="s">
        <v>257</v>
      </c>
    </row>
    <row r="90" ht="9" customHeight="1">
      <c r="D90" t="s">
        <v>2027</v>
      </c>
      <c r="E90">
        <f>IF('SBL Quotes'!AA$7&lt;10000000,12500,IF('SBL Quotes'!AA$7&gt;=20000000,30000,20000))</f>
        <v>12500</v>
      </c>
      <c r="F90">
        <f>IF('SBL Quotes'!AB$7&lt;10000000,12500,IF('SBL Quotes'!AB$7&gt;=20000000,30000,20000))</f>
        <v>12500</v>
      </c>
      <c r="G90">
        <f>IF('SBL Quotes'!AC$7&lt;10000000,12500,IF('SBL Quotes'!AC$7&gt;=20000000,30000,20000))</f>
        <v>12500</v>
      </c>
      <c r="H90">
        <f>IF('SBL Quotes'!AD$7&lt;10000000,12500,IF('SBL Quotes'!AD$7&gt;=20000000,30000,20000))</f>
        <v>12500</v>
      </c>
      <c r="I90">
        <f>IF('SBL Quotes'!AE$7&lt;10000000,12500,IF('SBL Quotes'!AE$7&gt;=20000000,30000,20000))</f>
        <v>12500</v>
      </c>
      <c r="J90">
        <f>IF('SBL Quotes'!AF$7&lt;10000000,12500,IF('SBL Quotes'!AF$7&gt;=20000000,30000,20000))</f>
        <v>12500</v>
      </c>
      <c r="K90">
        <f>IF('SBL Quotes'!AG$7&lt;10000000,12500,IF('SBL Quotes'!AG$7&gt;=20000000,30000,20000))</f>
        <v>12500</v>
      </c>
      <c r="L90">
        <f>IF('SBL Quotes'!AH$7&lt;10000000,12500,IF('SBL Quotes'!AH$7&gt;=20000000,30000,20000))</f>
        <v>12500</v>
      </c>
    </row>
    <row r="91" ht="9" customHeight="1">
      <c r="D91" t="s">
        <v>2028</v>
      </c>
      <c r="E91">
        <v>0.01</v>
      </c>
      <c r="F91">
        <v>0.01</v>
      </c>
      <c r="G91">
        <v>0.01</v>
      </c>
      <c r="H91">
        <v>0.01</v>
      </c>
      <c r="I91">
        <v>0.01</v>
      </c>
      <c r="J91">
        <v>0.01</v>
      </c>
      <c r="K91">
        <v>0.01</v>
      </c>
      <c r="L91">
        <v>0.01</v>
      </c>
    </row>
    <row r="92" ht="9" customHeight="1">
      <c r="D92" t="s">
        <v>2029</v>
      </c>
      <c r="E92">
        <v>15000</v>
      </c>
      <c r="F92">
        <v>15000</v>
      </c>
      <c r="G92">
        <v>15000</v>
      </c>
      <c r="H92">
        <v>15000</v>
      </c>
      <c r="I92">
        <v>15000</v>
      </c>
      <c r="J92">
        <v>15000</v>
      </c>
      <c r="K92">
        <v>15000</v>
      </c>
      <c r="L92">
        <v>15000</v>
      </c>
    </row>
    <row r="93" ht="9" customHeight="1">
      <c r="D93" t="s">
        <v>2030</v>
      </c>
      <c r="E93" t="s">
        <v>257</v>
      </c>
      <c r="F93" t="s">
        <v>257</v>
      </c>
      <c r="G93" t="s">
        <v>257</v>
      </c>
      <c r="H93" t="s">
        <v>257</v>
      </c>
      <c r="I93" t="s">
        <v>257</v>
      </c>
      <c r="J93" t="s">
        <v>257</v>
      </c>
      <c r="K93" t="s">
        <v>257</v>
      </c>
      <c r="L93" t="s">
        <v>257</v>
      </c>
    </row>
    <row r="94" ht="14.25" customHeight="1">
      <c r="A94" t="s">
        <v>2046</v>
      </c>
      <c r="B94">
        <f>_xlfn.LET(_xlpm.no_freddie_options,QLtr_NmbrOfColumnsToShow_FRE=0,_xlpm.only_freddie_options,QLtr_NmbrOfColumnsToShow_FNM+QLtr_NmbrOfColumnsToShow_WPL=0,_xlpm.is_blank_sizer,SBL_FreddieNOI+SBL_FannieNOI=0,_xlpm.noi_to_display,MAX(SBL_FreddieNOI,SBL_FannieNOI),IF(_xlpm.is_blank_sizer,"xxx,xxx",IF(_xlpm.only_freddie_options,SBL_FreddieNOI,IF(_xlpm.no_freddie_options,SBL_FannieNOI,_xlpm.noi_to_display))))</f>
        <v>-1616089.29</v>
      </c>
    </row>
    <row r="95" ht="14.25" customHeight="1">
      <c r="A95" t="s">
        <v>2047</v>
      </c>
      <c r="B95" t="s">
        <v>2048</v>
      </c>
      <c r="D95" t="s">
        <v>2031</v>
      </c>
    </row>
    <row r="96" ht="84.75" customHeight="1">
      <c r="D96" t="str">
        <f>_xlfn.CONCAT("Proposed loan terms are based on an estimated underwritten NOI of $",TEXT(B94,"#,##0")," and are subject to Lender approval and appraisal support. Terms assume borrower meets minimum requirements including, but not limited to: ","(1) minimum net worth greater than or equal to the loan amount; ","(2) combined liquidity greater than or equal to 9 months' debt service; ","(3) acceptable credit history; and ","(4) acceptable experience owning/operating multifamily. ","Terms also assume the property is stabilized at an average occupancy of no less than 90% for the trailing three months and collections over the trailing three-month period are steady or improving. ","Quote dated ",TEXT(B95,"mm/dd/yyyy"),".")</f>
        <v>Proposed loan terms are based on an estimated underwritten NOI of $-1,616,089 and are subject to Lender approval and appraisal support. Terms assume borrower meets minimum requirements including, but not limited to: (1) minimum net worth greater than or equal to the loan amount; (2) combined liquidity greater than or equal to 9 months' debt service; (3) acceptable credit history; and (4) acceptable experience owning/operating multifamily. Terms also assume the property is stabilized at an average occupancy of no less than 90% for the trailing three months and collections over the trailing three-month period are steady or improving. Quote dated xx/xx/xxxx.</v>
      </c>
    </row>
  </sheetData>
  <printOptions/>
  <pageMargins left="0.7" right="0.7" top="0.75" bottom="0.75" header="0.3" footer="0.3"/>
  <pageSetup paperSize="1" useFirstPageNumber="1" firstPageNumber="1" scale="88" pageOrder="downThenOver" orientation="landscape"/>
  <headerFooter>
    <oddFooter>&amp;L&amp;D &amp;B&amp;I, &amp;I&amp;B&amp;T&amp;CPage &amp;P of &amp;N&amp;R</oddFooter>
  </headerFooter>
  <rowBreaks count="2" manualBreakCount="2">
    <brk id="33" man="1" max="1048576"/>
    <brk id="65" man="1" max="1048576"/>
  </rowBreaks>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03242EF-EA3D-4CC7-2035-66C5E0573C62}" mc:Ignorable="x14ac xr xr2 xr3">
  <sheetPr>
    <tabColor rgb="FF00B050"/>
    <pageSetUpPr fitToPage="1"/>
  </sheetPr>
  <dimension ref="A1:AE46"/>
  <sheetViews>
    <sheetView topLeftCell="A8" workbookViewId="0">
      <selection activeCell="B35" sqref="B35"/>
    </sheetView>
  </sheetViews>
  <sheetFormatPr defaultRowHeight="15" defaultColWidth="0" customHeight="1"/>
  <cols>
    <col min="1" max="1" width="34.28125" customWidth="1"/>
    <col min="2" max="4" width="15.7109375" customWidth="1"/>
    <col min="5" max="13" width="19.7109375" hidden="1" customWidth="1"/>
    <col min="14" max="16" width="15.7109375" customWidth="1"/>
    <col min="17" max="21" width="19.7109375" hidden="1" customWidth="1"/>
    <col min="22" max="23" width="15.7109375" customWidth="1"/>
    <col min="24" max="29" width="19.7109375" hidden="1" customWidth="1"/>
    <col min="30" max="30" width="3.57421875" customWidth="1"/>
    <col min="31" max="31" width="24.7109375" hidden="1" customWidth="1"/>
  </cols>
  <sheetData>
    <row r="1" ht="15" customHeight="1" hidden="1">
      <c r="A1" t="s">
        <v>2049</v>
      </c>
      <c r="B1" cm="1">
        <f t="array" ref="B1">IF(INDEX(CELL("width",B1),1)=0,0,1)</f>
        <v>1</v>
      </c>
      <c r="C1" cm="1">
        <f t="array" ref="C1">IF(INDEX(CELL("width",C1),1)=0,0,MAX($B1:B1)+1)</f>
        <v>2</v>
      </c>
      <c r="D1" cm="1">
        <f t="array" ref="D1">IF(INDEX(CELL("width",D1),1)=0,0,MAX($B1:C1)+1)</f>
        <v>3</v>
      </c>
      <c r="E1" cm="1">
        <f t="array" ref="E1">IF(INDEX(CELL("width",E1),1)=0,0,MAX($B1:D1)+1)</f>
        <v>0</v>
      </c>
      <c r="F1" cm="1">
        <f t="array" ref="F1">IF(INDEX(CELL("width",F1),1)=0,0,MAX($B1:E1)+1)</f>
        <v>0</v>
      </c>
      <c r="G1" cm="1">
        <f t="array" ref="G1">IF(INDEX(CELL("width",G1),1)=0,0,MAX($B1:F1)+1)</f>
        <v>0</v>
      </c>
      <c r="H1" cm="1">
        <f t="array" ref="H1">IF(INDEX(CELL("width",H1),1)=0,0,MAX($B1:G1)+1)</f>
        <v>0</v>
      </c>
      <c r="I1" cm="1">
        <f t="array" ref="I1">IF(INDEX(CELL("width",I1),1)=0,0,MAX($B1:H1)+1)</f>
        <v>0</v>
      </c>
      <c r="J1" cm="1">
        <f t="array" ref="J1">IF(INDEX(CELL("width",J1),1)=0,0,MAX($B1:I1)+1)</f>
        <v>0</v>
      </c>
      <c r="K1" cm="1">
        <f t="array" ref="K1">IF(INDEX(CELL("width",K1),1)=0,0,MAX($B1:J1)+1)</f>
        <v>0</v>
      </c>
      <c r="L1" cm="1">
        <f t="array" ref="L1">IF(INDEX(CELL("width",L1),1)=0,0,MAX($B1:K1)+1)</f>
        <v>0</v>
      </c>
      <c r="M1" cm="1">
        <f t="array" ref="M1">IF(INDEX(CELL("width",M1),1)=0,0,MAX($B1:L1)+1)</f>
        <v>0</v>
      </c>
      <c r="N1" cm="1">
        <f t="array" ref="N1">IF(INDEX(CELL("width",N1),1)=0,0,MAX($B1:M1)+1)</f>
        <v>4</v>
      </c>
      <c r="O1" cm="1">
        <f t="array" ref="O1">IF(INDEX(CELL("width",O1),1)=0,0,MAX($B1:N1)+1)</f>
        <v>5</v>
      </c>
      <c r="P1" cm="1">
        <f t="array" ref="P1">IF(INDEX(CELL("width",P1),1)=0,0,MAX($B1:O1)+1)</f>
        <v>6</v>
      </c>
      <c r="Q1" cm="1">
        <f t="array" ref="Q1">IF(INDEX(CELL("width",Q1),1)=0,0,MAX($B1:P1)+1)</f>
        <v>0</v>
      </c>
      <c r="R1" cm="1">
        <f t="array" ref="R1">IF(INDEX(CELL("width",R1),1)=0,0,MAX($B1:Q1)+1)</f>
        <v>0</v>
      </c>
      <c r="S1" cm="1">
        <f t="array" ref="S1">IF(INDEX(CELL("width",S1),1)=0,0,MAX($B1:R1)+1)</f>
        <v>0</v>
      </c>
      <c r="T1" cm="1">
        <f t="array" ref="T1">IF(INDEX(CELL("width",T1),1)=0,0,MAX($B1:S1)+1)</f>
        <v>0</v>
      </c>
      <c r="U1" cm="1">
        <f t="array" ref="U1">IF(INDEX(CELL("width",U1),1)=0,0,MAX($B1:T1)+1)</f>
        <v>0</v>
      </c>
      <c r="V1" cm="1">
        <f t="array" ref="V1">IF(INDEX(CELL("width",V1),1)=0,0,MAX($B1:U1)+1)</f>
        <v>7</v>
      </c>
      <c r="W1" cm="1">
        <f t="array" ref="W1">IF(INDEX(CELL("width",W1),1)=0,0,MAX($B1:V1)+1)</f>
        <v>8</v>
      </c>
      <c r="X1" cm="1">
        <f t="array" ref="X1">IF(INDEX(CELL("width",X1),1)=0,0,MAX($B1:W1)+1)</f>
        <v>0</v>
      </c>
      <c r="Y1" cm="1">
        <f t="array" ref="Y1">IF(INDEX(CELL("width",Y1),1)=0,0,MAX($B1:X1)+1)</f>
        <v>0</v>
      </c>
      <c r="Z1" cm="1">
        <f t="array" ref="Z1">IF(INDEX(CELL("width",Z1),1)=0,0,MAX($B1:Y1)+1)</f>
        <v>0</v>
      </c>
      <c r="AA1" cm="1">
        <f t="array" ref="AA1">IF(INDEX(CELL("width",AA1),1)=0,0,MAX($B1:Z1)+1)</f>
        <v>0</v>
      </c>
      <c r="AB1" cm="1">
        <f t="array" ref="AB1">IF(INDEX(CELL("width",AB1),1)=0,0,MAX($B1:AA1)+1)</f>
        <v>0</v>
      </c>
      <c r="AC1" cm="1">
        <f t="array" ref="AC1">IF(INDEX(CELL("width",AC1),1)=0,0,MAX($B1:AB1)+1)</f>
        <v>0</v>
      </c>
    </row>
    <row r="2" ht="30" customHeight="1" hidden="1">
      <c r="A2" t="str">
        <f>"QUOTE SHEET"&amp;IF(LEN(A7)&gt;0,""," (Effective "&amp;TEXT(IF(LEN(SBL_DatePriced)&gt;0,SBL_DatePriced,DailyPricing!E6),"ddd m/d/yy")&amp;")")</f>
        <v>QUOTE SHEET</v>
      </c>
    </row>
    <row r="3" ht="9" customHeight="1"/>
    <row r="4" ht="23.25" customHeight="1">
      <c r="A4" t="str">
        <f>IF('SBL Quotes'!$B$6=0,"Property Name",'SBL Quotes'!$B$6)</f>
        <v>XXXX</v>
      </c>
    </row>
    <row r="5" ht="6" customHeight="1"/>
    <row r="6" ht="25.5" customHeight="1">
      <c r="A6" t="str">
        <f>'SBL Quotes'!E2</f>
        <v> | City, XX</v>
      </c>
    </row>
    <row r="7" ht="15.75" customHeight="1">
      <c r="A7" t="str">
        <f>IF(SBL_FreddieOptionsToView+SBL_FannieOptionsToView&lt;5,"Pricing Effective "&amp;TEXT(IF(LEN(SBL_DatePriced)&gt;0,SBL_DatePriced,DailyPricing!E6),"ddd m/d/yy"),IF(A4="XXXX","-",""))</f>
        <v>-</v>
      </c>
      <c r="B7">
        <v>1</v>
      </c>
      <c r="C7">
        <v>2</v>
      </c>
      <c r="D7">
        <v>3</v>
      </c>
      <c r="E7">
        <v>4</v>
      </c>
      <c r="F7">
        <v>5</v>
      </c>
      <c r="G7">
        <v>6</v>
      </c>
      <c r="H7">
        <v>7</v>
      </c>
      <c r="I7">
        <v>8</v>
      </c>
      <c r="J7">
        <v>9</v>
      </c>
      <c r="K7">
        <v>10</v>
      </c>
      <c r="L7">
        <v>11</v>
      </c>
      <c r="M7">
        <v>12</v>
      </c>
      <c r="N7">
        <v>1</v>
      </c>
      <c r="O7">
        <v>2</v>
      </c>
      <c r="P7">
        <v>3</v>
      </c>
      <c r="Q7">
        <v>4</v>
      </c>
      <c r="R7">
        <v>5</v>
      </c>
      <c r="S7">
        <v>6</v>
      </c>
      <c r="T7">
        <v>7</v>
      </c>
      <c r="U7">
        <v>8</v>
      </c>
      <c r="V7">
        <v>1</v>
      </c>
      <c r="W7">
        <v>2</v>
      </c>
      <c r="X7">
        <v>3</v>
      </c>
      <c r="Y7">
        <v>4</v>
      </c>
      <c r="Z7">
        <v>5</v>
      </c>
      <c r="AA7">
        <v>6</v>
      </c>
      <c r="AB7">
        <v>7</v>
      </c>
      <c r="AC7">
        <v>8</v>
      </c>
    </row>
    <row r="8" ht="15.75" customHeight="1">
      <c r="B8" t="s">
        <v>2051</v>
      </c>
      <c r="C8" t="s">
        <v>2051</v>
      </c>
      <c r="D8" t="s">
        <v>2051</v>
      </c>
      <c r="E8" t="s">
        <v>2051</v>
      </c>
      <c r="F8" t="s">
        <v>2051</v>
      </c>
      <c r="G8" t="s">
        <v>2051</v>
      </c>
      <c r="H8" t="s">
        <v>2051</v>
      </c>
      <c r="I8" t="s">
        <v>2051</v>
      </c>
      <c r="J8" t="s">
        <v>2051</v>
      </c>
      <c r="K8" t="s">
        <v>2051</v>
      </c>
      <c r="L8" t="s">
        <v>2051</v>
      </c>
      <c r="M8" t="s">
        <v>2051</v>
      </c>
      <c r="N8" t="s">
        <v>2052</v>
      </c>
      <c r="O8" t="s">
        <v>2052</v>
      </c>
      <c r="P8" t="s">
        <v>2052</v>
      </c>
      <c r="Q8" t="s">
        <v>2052</v>
      </c>
      <c r="R8" t="s">
        <v>2052</v>
      </c>
      <c r="S8" t="s">
        <v>2052</v>
      </c>
      <c r="T8" t="s">
        <v>2052</v>
      </c>
      <c r="U8" t="s">
        <v>2052</v>
      </c>
      <c r="V8" t="s">
        <v>525</v>
      </c>
      <c r="W8" t="s">
        <v>525</v>
      </c>
      <c r="X8" t="s">
        <v>525</v>
      </c>
      <c r="Y8" t="s">
        <v>525</v>
      </c>
      <c r="Z8" t="s">
        <v>525</v>
      </c>
      <c r="AA8" t="s">
        <v>525</v>
      </c>
      <c r="AB8" t="s">
        <v>525</v>
      </c>
      <c r="AC8" t="s">
        <v>525</v>
      </c>
    </row>
    <row r="9" ht="21.75" customHeight="1">
      <c r="A9" t="s">
        <v>742</v>
      </c>
      <c r="B9" t="str">
        <f>'SBL Quotes'!E6</f>
        <v>5 YR Fixed</v>
      </c>
      <c r="C9" t="str">
        <f>'SBL Quotes'!F6</f>
        <v>7 YR Fixed</v>
      </c>
      <c r="D9" t="str">
        <f>'SBL Quotes'!G6</f>
        <v>10 YR Fixed</v>
      </c>
      <c r="E9" t="str">
        <f>'SBL Quotes'!H6</f>
        <v>5 YR Fixed</v>
      </c>
      <c r="F9" t="str">
        <f>'SBL Quotes'!I6</f>
        <v>7 YR Fixed</v>
      </c>
      <c r="G9" t="str">
        <f>'SBL Quotes'!J6</f>
        <v>10 YR Fixed</v>
      </c>
      <c r="H9" t="str">
        <f>'SBL Quotes'!K6</f>
        <v>5 YR Hybrid</v>
      </c>
      <c r="I9" t="str">
        <f>'SBL Quotes'!L6</f>
        <v>7 YR Hybrid</v>
      </c>
      <c r="J9" t="str">
        <f>'SBL Quotes'!M6</f>
        <v>10 YR Fixed</v>
      </c>
      <c r="K9" t="str">
        <f>'SBL Quotes'!N6</f>
        <v>5 YR Hybrid</v>
      </c>
      <c r="L9" t="str">
        <f>'SBL Quotes'!O6</f>
        <v>7 YR Hybrid</v>
      </c>
      <c r="M9" t="str">
        <f>'SBL Quotes'!P6</f>
        <v>10 YR Fixed</v>
      </c>
      <c r="N9" t="str">
        <f>'SBL Quotes'!R6</f>
        <v>10 YR Fixed</v>
      </c>
      <c r="O9" t="str">
        <f>'SBL Quotes'!S6</f>
        <v>12 YR Fixed</v>
      </c>
      <c r="P9" t="str">
        <f>'SBL Quotes'!T6</f>
        <v>15 YR Fixed</v>
      </c>
      <c r="Q9" t="str">
        <f>'SBL Quotes'!U6</f>
        <v>10 YR Fixed</v>
      </c>
      <c r="R9" t="str">
        <f>'SBL Quotes'!V6</f>
        <v>10 YR Fixed</v>
      </c>
      <c r="S9" t="str">
        <f>'SBL Quotes'!W6</f>
        <v>5 YR Fixed</v>
      </c>
      <c r="T9" t="str">
        <f>'SBL Quotes'!X6</f>
        <v>5 YR Fixed</v>
      </c>
      <c r="U9" t="str">
        <f>'SBL Quotes'!Y6</f>
        <v>10 YR Variable</v>
      </c>
      <c r="V9" t="str">
        <f>'SBL Quotes'!AA6</f>
        <v>3 YR Floating</v>
      </c>
      <c r="W9" t="str">
        <f>'SBL Quotes'!AB6</f>
        <v>5 YR Floating</v>
      </c>
      <c r="X9" t="str">
        <f>'SBL Quotes'!AC6</f>
        <v>7 YR Floating</v>
      </c>
      <c r="Y9" t="str">
        <f>'SBL Quotes'!AD6</f>
        <v>3 YR Floating</v>
      </c>
      <c r="Z9" t="str">
        <f>'SBL Quotes'!AE6</f>
        <v>5 YR Floating</v>
      </c>
      <c r="AA9" t="str">
        <f>'SBL Quotes'!AF6</f>
        <v>7 YR Floating</v>
      </c>
      <c r="AB9" t="str">
        <f>'SBL Quotes'!AG6</f>
        <v>3 YR Floating</v>
      </c>
      <c r="AC9" t="str">
        <f>'SBL Quotes'!AH6</f>
        <v>5 YR Floating</v>
      </c>
    </row>
    <row r="10" ht="21" customHeight="1">
      <c r="A10" t="s">
        <v>572</v>
      </c>
      <c r="B10">
        <f>'SBL Quotes'!E7</f>
        <v>0</v>
      </c>
      <c r="C10">
        <f>'SBL Quotes'!F7</f>
        <v>0</v>
      </c>
      <c r="D10">
        <f>'SBL Quotes'!G7</f>
        <v>0</v>
      </c>
      <c r="E10">
        <f>'SBL Quotes'!H7</f>
        <v>0</v>
      </c>
      <c r="F10">
        <f>'SBL Quotes'!I7</f>
        <v>0</v>
      </c>
      <c r="G10">
        <f>'SBL Quotes'!J7</f>
        <v>0</v>
      </c>
      <c r="H10">
        <f>'SBL Quotes'!K7</f>
        <v>0</v>
      </c>
      <c r="I10">
        <f>'SBL Quotes'!L7</f>
        <v>0</v>
      </c>
      <c r="J10">
        <f>'SBL Quotes'!M7</f>
        <v>0</v>
      </c>
      <c r="K10">
        <f>'SBL Quotes'!N7</f>
        <v>0</v>
      </c>
      <c r="L10">
        <f>'SBL Quotes'!O7</f>
        <v>0</v>
      </c>
      <c r="M10">
        <f>'SBL Quotes'!P7</f>
        <v>0</v>
      </c>
      <c r="N10">
        <f>'SBL Quotes'!R7</f>
        <v>0</v>
      </c>
      <c r="O10">
        <f>'SBL Quotes'!S7</f>
        <v>0</v>
      </c>
      <c r="P10">
        <f>'SBL Quotes'!T7</f>
        <v>0</v>
      </c>
      <c r="Q10">
        <f>'SBL Quotes'!U7</f>
        <v>0</v>
      </c>
      <c r="R10">
        <f>'SBL Quotes'!V7</f>
        <v>0</v>
      </c>
      <c r="S10">
        <f>'SBL Quotes'!W7</f>
        <v>0</v>
      </c>
      <c r="T10">
        <f>'SBL Quotes'!X7</f>
        <v>0</v>
      </c>
      <c r="U10">
        <f>'SBL Quotes'!Y7</f>
        <v>0</v>
      </c>
      <c r="V10">
        <f>'SBL Quotes'!AA7</f>
        <v>0</v>
      </c>
      <c r="W10">
        <f>'SBL Quotes'!AB7</f>
        <v>0</v>
      </c>
      <c r="X10">
        <f>'SBL Quotes'!AC7</f>
        <v>0</v>
      </c>
      <c r="Y10">
        <f>'SBL Quotes'!AD7</f>
        <v>0</v>
      </c>
      <c r="Z10">
        <f>'SBL Quotes'!AE7</f>
        <v>0</v>
      </c>
      <c r="AA10">
        <f>'SBL Quotes'!AF7</f>
        <v>0</v>
      </c>
      <c r="AB10">
        <f>'SBL Quotes'!AG7</f>
        <v>0</v>
      </c>
      <c r="AC10">
        <f>'SBL Quotes'!AH7</f>
        <v>0</v>
      </c>
    </row>
    <row r="11" ht="21" customHeight="1">
      <c r="A11" t="s">
        <v>211</v>
      </c>
      <c r="B11" t="str">
        <f>'SBL Quotes'!E8</f>
        <v>5 YR</v>
      </c>
      <c r="C11" t="str">
        <f>'SBL Quotes'!F8</f>
        <v>7 YR</v>
      </c>
      <c r="D11" t="str">
        <f>'SBL Quotes'!G8</f>
        <v>10 YR</v>
      </c>
      <c r="E11" t="str">
        <f>'SBL Quotes'!H8</f>
        <v>5 YR</v>
      </c>
      <c r="F11" t="str">
        <f>'SBL Quotes'!I8</f>
        <v>7 YR</v>
      </c>
      <c r="G11" t="str">
        <f>'SBL Quotes'!J8</f>
        <v>10 YR</v>
      </c>
      <c r="H11" t="str">
        <f>'SBL Quotes'!K8</f>
        <v>5 YR | 15 YR</v>
      </c>
      <c r="I11" t="str">
        <f>'SBL Quotes'!L8</f>
        <v>7 YR | 13 YR</v>
      </c>
      <c r="J11" t="str">
        <f>'SBL Quotes'!M8</f>
        <v>10 YR</v>
      </c>
      <c r="K11" t="str">
        <f>'SBL Quotes'!N8</f>
        <v>5 YR | 15 YR</v>
      </c>
      <c r="L11" t="str">
        <f>'SBL Quotes'!O8</f>
        <v>7 YR | 13 YR</v>
      </c>
      <c r="M11" t="str">
        <f>'SBL Quotes'!P8</f>
        <v>10 YR</v>
      </c>
      <c r="N11" t="str">
        <f>'SBL Quotes'!R8</f>
        <v>10 YR</v>
      </c>
      <c r="O11" t="str">
        <f>'SBL Quotes'!S8</f>
        <v>12 YR</v>
      </c>
      <c r="P11" t="str">
        <f>'SBL Quotes'!T8</f>
        <v>15 YR</v>
      </c>
      <c r="Q11" t="str">
        <f>'SBL Quotes'!U8</f>
        <v>10 YR</v>
      </c>
      <c r="R11" t="str">
        <f>'SBL Quotes'!V8</f>
        <v>10 YR</v>
      </c>
      <c r="S11" t="str">
        <f>'SBL Quotes'!W8</f>
        <v>5 YR</v>
      </c>
      <c r="T11" t="str">
        <f>'SBL Quotes'!X8</f>
        <v>5 YR</v>
      </c>
      <c r="U11" t="str">
        <f>'SBL Quotes'!Y8</f>
        <v>10 YR | 10 YR</v>
      </c>
      <c r="V11" t="str">
        <f>'SBL Quotes'!AA8</f>
        <v>3 YR</v>
      </c>
      <c r="W11" t="str">
        <f>'SBL Quotes'!AB8</f>
        <v>5 YR</v>
      </c>
      <c r="X11" t="str">
        <f>'SBL Quotes'!AC8</f>
        <v>7 YR</v>
      </c>
      <c r="Y11" t="str">
        <f>'SBL Quotes'!AD8</f>
        <v>3 YR</v>
      </c>
      <c r="Z11" t="str">
        <f>'SBL Quotes'!AE8</f>
        <v>5 YR</v>
      </c>
      <c r="AA11" t="str">
        <f>'SBL Quotes'!AF8</f>
        <v>7 YR</v>
      </c>
      <c r="AB11" t="str">
        <f>'SBL Quotes'!AG8</f>
        <v>3 YR</v>
      </c>
      <c r="AC11" t="str">
        <f>'SBL Quotes'!AH8</f>
        <v>5 YR</v>
      </c>
    </row>
    <row r="12" ht="21" customHeight="1">
      <c r="A12" t="s">
        <v>220</v>
      </c>
      <c r="B12">
        <f>'SBL Quotes'!E9</f>
        <v>30</v>
      </c>
      <c r="C12">
        <f>'SBL Quotes'!F9</f>
        <v>30</v>
      </c>
      <c r="D12">
        <f>'SBL Quotes'!G9</f>
        <v>30</v>
      </c>
      <c r="E12">
        <f>'SBL Quotes'!H9</f>
        <v>30</v>
      </c>
      <c r="F12">
        <f>'SBL Quotes'!I9</f>
        <v>30</v>
      </c>
      <c r="G12">
        <f>'SBL Quotes'!J9</f>
        <v>30</v>
      </c>
      <c r="H12">
        <f>'SBL Quotes'!K9</f>
        <v>30</v>
      </c>
      <c r="I12">
        <f>'SBL Quotes'!L9</f>
        <v>30</v>
      </c>
      <c r="J12">
        <f>'SBL Quotes'!M9</f>
        <v>30</v>
      </c>
      <c r="K12">
        <f>'SBL Quotes'!N9</f>
        <v>30</v>
      </c>
      <c r="L12">
        <f>'SBL Quotes'!O9</f>
        <v>30</v>
      </c>
      <c r="M12">
        <f>'SBL Quotes'!P9</f>
        <v>30</v>
      </c>
      <c r="N12">
        <f>'SBL Quotes'!R9</f>
        <v>30</v>
      </c>
      <c r="O12">
        <f>'SBL Quotes'!S9</f>
        <v>30</v>
      </c>
      <c r="P12">
        <f>'SBL Quotes'!T9</f>
        <v>30</v>
      </c>
      <c r="Q12">
        <f>'SBL Quotes'!U9</f>
        <v>30</v>
      </c>
      <c r="R12" t="str">
        <f>'SBL Quotes'!V9</f>
        <v>Full Term IO</v>
      </c>
      <c r="S12">
        <f>'SBL Quotes'!W9</f>
        <v>30</v>
      </c>
      <c r="T12" t="str">
        <f>'SBL Quotes'!X9</f>
        <v>Full Term IO</v>
      </c>
      <c r="U12">
        <f>'SBL Quotes'!Y9</f>
        <v>30</v>
      </c>
      <c r="V12" t="str">
        <f>'SBL Quotes'!AA9</f>
        <v>Full Term IO</v>
      </c>
      <c r="W12" t="str">
        <f>'SBL Quotes'!AB9</f>
        <v>Full Term IO</v>
      </c>
      <c r="X12" t="str">
        <f>'SBL Quotes'!AC9</f>
        <v>Full Term IO</v>
      </c>
      <c r="Y12" t="str">
        <f>'SBL Quotes'!AD9</f>
        <v>Full Term IO</v>
      </c>
      <c r="Z12" t="str">
        <f>'SBL Quotes'!AE9</f>
        <v>Full Term IO</v>
      </c>
      <c r="AA12" t="str">
        <f>'SBL Quotes'!AF9</f>
        <v>Full Term IO</v>
      </c>
      <c r="AB12" t="str">
        <f>'SBL Quotes'!AG9</f>
        <v>Full Term IO</v>
      </c>
      <c r="AC12" t="str">
        <f>'SBL Quotes'!AH9</f>
        <v>Full Term IO</v>
      </c>
    </row>
    <row r="13" ht="21" customHeight="1">
      <c r="A13" t="s">
        <v>612</v>
      </c>
      <c r="B13">
        <f>'SBL Quotes'!E10</f>
        <v>0</v>
      </c>
      <c r="C13">
        <f>'SBL Quotes'!F10</f>
        <v>1</v>
      </c>
      <c r="D13">
        <f>'SBL Quotes'!G10</f>
        <v>2</v>
      </c>
      <c r="E13">
        <f>'SBL Quotes'!H10</f>
        <v>0</v>
      </c>
      <c r="F13">
        <f>'SBL Quotes'!I10</f>
        <v>1</v>
      </c>
      <c r="G13">
        <f>'SBL Quotes'!J10</f>
        <v>2</v>
      </c>
      <c r="H13">
        <f>'SBL Quotes'!K10</f>
        <v>0</v>
      </c>
      <c r="I13">
        <f>'SBL Quotes'!L10</f>
        <v>1</v>
      </c>
      <c r="J13">
        <f>'SBL Quotes'!M10</f>
        <v>2</v>
      </c>
      <c r="K13">
        <f>'SBL Quotes'!N10</f>
        <v>0</v>
      </c>
      <c r="L13">
        <f>'SBL Quotes'!O10</f>
        <v>1</v>
      </c>
      <c r="M13">
        <f>'SBL Quotes'!P10</f>
        <v>2</v>
      </c>
      <c r="N13">
        <f>'SBL Quotes'!R10</f>
        <v>0</v>
      </c>
      <c r="O13">
        <f>'SBL Quotes'!S10</f>
        <v>0</v>
      </c>
      <c r="P13">
        <f>'SBL Quotes'!T10</f>
        <v>0</v>
      </c>
      <c r="Q13">
        <f>'SBL Quotes'!U10</f>
        <v>5</v>
      </c>
      <c r="R13">
        <f>'SBL Quotes'!V10</f>
        <v>10</v>
      </c>
      <c r="S13">
        <f>'SBL Quotes'!W10</f>
        <v>2</v>
      </c>
      <c r="T13">
        <f>'SBL Quotes'!X10</f>
        <v>5</v>
      </c>
      <c r="U13">
        <f>'SBL Quotes'!Y10</f>
        <v>0</v>
      </c>
      <c r="V13">
        <f>'SBL Quotes'!AA10</f>
        <v>3</v>
      </c>
      <c r="W13">
        <f>'SBL Quotes'!AB10</f>
        <v>5</v>
      </c>
      <c r="X13">
        <f>'SBL Quotes'!AC10</f>
        <v>7</v>
      </c>
      <c r="Y13">
        <f>'SBL Quotes'!AD10</f>
        <v>3</v>
      </c>
      <c r="Z13">
        <f>'SBL Quotes'!AE10</f>
        <v>5</v>
      </c>
      <c r="AA13">
        <f>'SBL Quotes'!AF10</f>
        <v>7</v>
      </c>
      <c r="AB13">
        <f>'SBL Quotes'!AG10</f>
        <v>3</v>
      </c>
      <c r="AC13">
        <f>'SBL Quotes'!AH10</f>
        <v>5</v>
      </c>
    </row>
    <row r="14" ht="21" customHeight="1">
      <c r="A14" t="s">
        <v>2053</v>
      </c>
      <c r="B14" t="str">
        <f>'SBL Quotes'!E11</f>
        <v>YM</v>
      </c>
      <c r="C14" t="str">
        <f>'SBL Quotes'!F11</f>
        <v>YM</v>
      </c>
      <c r="D14" t="str">
        <f>'SBL Quotes'!G11</f>
        <v>YM</v>
      </c>
      <c r="E14" t="str">
        <f>'SBL Quotes'!H11</f>
        <v>YM</v>
      </c>
      <c r="F14" t="str">
        <f>'SBL Quotes'!I11</f>
        <v>YM</v>
      </c>
      <c r="G14" t="str">
        <f>'SBL Quotes'!J11</f>
        <v>YM</v>
      </c>
      <c r="H14" t="str">
        <f>'SBL Quotes'!K11</f>
        <v>YM,1%</v>
      </c>
      <c r="I14" t="str">
        <f>'SBL Quotes'!L11</f>
        <v>YM,1%</v>
      </c>
      <c r="J14" t="str">
        <f>'SBL Quotes'!M11</f>
        <v>YM</v>
      </c>
      <c r="K14" t="str">
        <f>'SBL Quotes'!N11</f>
        <v>YM,1%</v>
      </c>
      <c r="L14" t="str">
        <f>'SBL Quotes'!O11</f>
        <v>YM,1%</v>
      </c>
      <c r="M14" t="str">
        <f>'SBL Quotes'!P11</f>
        <v>YM</v>
      </c>
      <c r="N14" t="str">
        <f>'SBL Quotes'!R11</f>
        <v>YM,1%</v>
      </c>
      <c r="O14" t="str">
        <f>'SBL Quotes'!S11</f>
        <v>YM,1%</v>
      </c>
      <c r="P14" t="str">
        <f>'SBL Quotes'!T11</f>
        <v>YM,1%</v>
      </c>
      <c r="Q14" t="str">
        <f>'SBL Quotes'!U11</f>
        <v>YM,1%</v>
      </c>
      <c r="R14" t="str">
        <f>'SBL Quotes'!V11</f>
        <v>YM,1%</v>
      </c>
      <c r="S14" t="str">
        <f>'SBL Quotes'!W11</f>
        <v>YM,1%</v>
      </c>
      <c r="T14" t="str">
        <f>'SBL Quotes'!X11</f>
        <v>YM,1%</v>
      </c>
      <c r="U14" t="str">
        <f>'SBL Quotes'!Y11</f>
        <v>YM,1%</v>
      </c>
      <c r="V14" t="str">
        <f>'SBL Quotes'!AA11</f>
        <v>1% Prepayment</v>
      </c>
      <c r="W14" t="str">
        <f>'SBL Quotes'!AB11</f>
        <v>1% Prepayment</v>
      </c>
      <c r="X14" t="str">
        <f>'SBL Quotes'!AC11</f>
        <v>1% Prepayment</v>
      </c>
      <c r="Y14" t="str">
        <f>'SBL Quotes'!AD11</f>
        <v>1% Prepayment</v>
      </c>
      <c r="Z14" t="str">
        <f>'SBL Quotes'!AE11</f>
        <v>1% Prepayment</v>
      </c>
      <c r="AA14" t="str">
        <f>'SBL Quotes'!AF11</f>
        <v>1% Prepayment</v>
      </c>
      <c r="AB14" t="str">
        <f>'SBL Quotes'!AG11</f>
        <v>1% Prepayment</v>
      </c>
      <c r="AC14" t="str">
        <f>'SBL Quotes'!AH11</f>
        <v>1% Prepayment</v>
      </c>
    </row>
    <row r="15" ht="21" customHeight="1">
      <c r="A15" t="s">
        <v>648</v>
      </c>
      <c r="B15" t="str">
        <f>'SBL Quotes'!E12</f>
        <v>Standard</v>
      </c>
      <c r="C15" t="str">
        <f>'SBL Quotes'!F12</f>
        <v>Standard</v>
      </c>
      <c r="D15" t="str">
        <f>'SBL Quotes'!G12</f>
        <v>Standard</v>
      </c>
      <c r="E15" t="str">
        <f>'SBL Quotes'!H12</f>
        <v>Standard</v>
      </c>
      <c r="F15" t="str">
        <f>'SBL Quotes'!I12</f>
        <v>Standard</v>
      </c>
      <c r="G15" t="str">
        <f>'SBL Quotes'!J12</f>
        <v>Standard</v>
      </c>
      <c r="H15" t="str">
        <f>'SBL Quotes'!K12</f>
        <v>Standard</v>
      </c>
      <c r="I15" t="str">
        <f>'SBL Quotes'!L12</f>
        <v>Standard</v>
      </c>
      <c r="J15" t="str">
        <f>'SBL Quotes'!M12</f>
        <v>Standard</v>
      </c>
      <c r="K15" t="str">
        <f>'SBL Quotes'!N12</f>
        <v>Standard</v>
      </c>
      <c r="L15" t="str">
        <f>'SBL Quotes'!O12</f>
        <v>Standard</v>
      </c>
      <c r="M15" t="str">
        <f>'SBL Quotes'!P12</f>
        <v>Standard</v>
      </c>
      <c r="N15" t="str">
        <f>'SBL Quotes'!R12</f>
        <v>Standard</v>
      </c>
      <c r="O15" t="str">
        <f>'SBL Quotes'!S12</f>
        <v>Standard</v>
      </c>
      <c r="P15" t="str">
        <f>'SBL Quotes'!T12</f>
        <v>Standard</v>
      </c>
      <c r="Q15" t="str">
        <f>'SBL Quotes'!U12</f>
        <v>Standard</v>
      </c>
      <c r="R15" t="str">
        <f>'SBL Quotes'!V12</f>
        <v>Standard</v>
      </c>
      <c r="S15" t="str">
        <f>'SBL Quotes'!W12</f>
        <v>Standard</v>
      </c>
      <c r="T15" t="str">
        <f>'SBL Quotes'!X12</f>
        <v>Standard</v>
      </c>
      <c r="U15" t="str">
        <f>'SBL Quotes'!Y12</f>
        <v>Standard</v>
      </c>
      <c r="V15" t="str">
        <f>'SBL Quotes'!AA12</f>
        <v>Standard</v>
      </c>
      <c r="W15" t="str">
        <f>'SBL Quotes'!AB12</f>
        <v>Standard</v>
      </c>
      <c r="X15" t="str">
        <f>'SBL Quotes'!AC12</f>
        <v>Standard</v>
      </c>
      <c r="Y15" t="str">
        <f>'SBL Quotes'!AD12</f>
        <v>Standard</v>
      </c>
      <c r="Z15" t="str">
        <f>'SBL Quotes'!AE12</f>
        <v>Standard</v>
      </c>
      <c r="AA15" t="str">
        <f>'SBL Quotes'!AF12</f>
        <v>Standard</v>
      </c>
      <c r="AB15" t="str">
        <f>'SBL Quotes'!AG12</f>
        <v>Standard</v>
      </c>
      <c r="AC15" t="str">
        <f>'SBL Quotes'!AH12</f>
        <v>Standard</v>
      </c>
    </row>
    <row r="16" ht="21" customHeight="1">
      <c r="A16" t="s">
        <v>2021</v>
      </c>
      <c r="B16" t="s">
        <v>2054</v>
      </c>
      <c r="C16" t="s">
        <v>2054</v>
      </c>
      <c r="D16" t="s">
        <v>2054</v>
      </c>
      <c r="E16" t="s">
        <v>2054</v>
      </c>
      <c r="F16" t="s">
        <v>2054</v>
      </c>
      <c r="G16" t="s">
        <v>2054</v>
      </c>
      <c r="H16" t="s">
        <v>2054</v>
      </c>
      <c r="I16" t="s">
        <v>2054</v>
      </c>
      <c r="J16" t="s">
        <v>2054</v>
      </c>
      <c r="K16" t="s">
        <v>2054</v>
      </c>
      <c r="L16" t="s">
        <v>2054</v>
      </c>
      <c r="M16" t="s">
        <v>2054</v>
      </c>
      <c r="N16" t="s">
        <v>2054</v>
      </c>
      <c r="O16" t="s">
        <v>2054</v>
      </c>
      <c r="P16" t="s">
        <v>2054</v>
      </c>
      <c r="Q16" t="s">
        <v>2054</v>
      </c>
      <c r="R16" t="s">
        <v>2054</v>
      </c>
      <c r="S16" t="s">
        <v>2054</v>
      </c>
      <c r="T16" t="s">
        <v>2054</v>
      </c>
      <c r="U16" t="s">
        <v>2054</v>
      </c>
      <c r="V16" t="s">
        <v>2055</v>
      </c>
      <c r="W16" t="str">
        <f t="shared" si="0" ref="W16:AC16">V16</f>
        <v>Standard Carveouts</v>
      </c>
      <c r="X16" t="str">
        <f t="shared" si="0"/>
        <v>Standard Carveouts</v>
      </c>
      <c r="Y16" t="str">
        <f t="shared" si="0"/>
        <v>Standard Carveouts</v>
      </c>
      <c r="Z16" t="str">
        <f t="shared" si="0"/>
        <v>Standard Carveouts</v>
      </c>
      <c r="AA16" t="str">
        <f t="shared" si="0"/>
        <v>Standard Carveouts</v>
      </c>
      <c r="AB16" t="str">
        <f t="shared" si="0"/>
        <v>Standard Carveouts</v>
      </c>
      <c r="AC16" t="str">
        <f t="shared" si="0"/>
        <v>Standard Carveouts</v>
      </c>
    </row>
    <row r="17" ht="21" customHeight="1">
      <c r="A17" t="s">
        <v>1317</v>
      </c>
      <c r="B17" t="str">
        <f>TEXT('SBL Quotes'!E14,"0%")</f>
        <v>70%</v>
      </c>
      <c r="C17" t="str">
        <f>TEXT('SBL Quotes'!F14,"0%")</f>
        <v>70%</v>
      </c>
      <c r="D17" t="str">
        <f>TEXT('SBL Quotes'!G14,"0%")</f>
        <v>70%</v>
      </c>
      <c r="E17" t="str">
        <f>TEXT('SBL Quotes'!H14,"0%")</f>
        <v>70%</v>
      </c>
      <c r="F17" t="str">
        <f>TEXT('SBL Quotes'!I14,"0%")</f>
        <v>70%</v>
      </c>
      <c r="G17" t="str">
        <f>TEXT('SBL Quotes'!J14,"0%")</f>
        <v>70%</v>
      </c>
      <c r="H17" t="str">
        <f>TEXT('SBL Quotes'!K14,"0%")</f>
        <v>70%</v>
      </c>
      <c r="I17" t="str">
        <f>TEXT('SBL Quotes'!L14,"0%")</f>
        <v>70%</v>
      </c>
      <c r="J17" t="str">
        <f>TEXT('SBL Quotes'!M14,"0%")</f>
        <v>70%</v>
      </c>
      <c r="K17" t="str">
        <f>TEXT('SBL Quotes'!N14,"0%")</f>
        <v>70%</v>
      </c>
      <c r="L17" t="str">
        <f>TEXT('SBL Quotes'!O14,"0%")</f>
        <v>70%</v>
      </c>
      <c r="M17" t="str">
        <f>TEXT('SBL Quotes'!P14,"0%")</f>
        <v>70%</v>
      </c>
      <c r="N17" t="str">
        <f>TEXT('SBL Quotes'!R14,"0%")</f>
        <v>80%</v>
      </c>
      <c r="O17" t="str">
        <f>TEXT('SBL Quotes'!S14,"0%")</f>
        <v>80%</v>
      </c>
      <c r="P17" t="str">
        <f>TEXT('SBL Quotes'!T14,"0%")</f>
        <v>80%</v>
      </c>
      <c r="Q17" t="str">
        <f>TEXT('SBL Quotes'!U14,"0%")</f>
        <v>65%</v>
      </c>
      <c r="R17" t="str">
        <f>TEXT('SBL Quotes'!V14,"0%")</f>
        <v>55%</v>
      </c>
      <c r="S17" t="str">
        <f>TEXT('SBL Quotes'!W14,"0%")</f>
        <v>65%</v>
      </c>
      <c r="T17" t="str">
        <f>TEXT('SBL Quotes'!X14,"0%")</f>
        <v>55%</v>
      </c>
      <c r="U17" t="str">
        <f>TEXT('SBL Quotes'!Y14,"0%")</f>
        <v>80%</v>
      </c>
      <c r="V17" t="str">
        <f>TEXT('SBL Quotes'!AA14,"0%")</f>
        <v>70%</v>
      </c>
      <c r="W17" t="str">
        <f>TEXT('SBL Quotes'!AB14,"0%")</f>
        <v>70%</v>
      </c>
      <c r="X17" t="str">
        <f>TEXT('SBL Quotes'!AC14,"0%")</f>
        <v>70%</v>
      </c>
      <c r="Y17" t="str">
        <f>TEXT('SBL Quotes'!AD14,"0%")</f>
        <v>70%</v>
      </c>
      <c r="Z17" t="str">
        <f>TEXT('SBL Quotes'!AE14,"0%")</f>
        <v>70%</v>
      </c>
      <c r="AA17" t="str">
        <f>TEXT('SBL Quotes'!AF14,"0%")</f>
        <v>70%</v>
      </c>
      <c r="AB17" t="str">
        <f>TEXT('SBL Quotes'!AG14,"0%")</f>
        <v>70%</v>
      </c>
      <c r="AC17" t="str">
        <f>TEXT('SBL Quotes'!AH14,"0%")</f>
        <v>70%</v>
      </c>
    </row>
    <row r="18" ht="21" customHeight="1">
      <c r="A18" t="s">
        <v>2060</v>
      </c>
      <c r="B18" t="str">
        <f>TEXT('SBL Quotes'!E13,"0.00")&amp;"x"</f>
        <v>1.40x</v>
      </c>
      <c r="C18" t="str">
        <f>TEXT('SBL Quotes'!F13,"0.00")&amp;"x"</f>
        <v>1.40x</v>
      </c>
      <c r="D18" t="str">
        <f>TEXT('SBL Quotes'!G13,"0.00")&amp;"x"</f>
        <v>1.40x</v>
      </c>
      <c r="E18" t="str">
        <f>TEXT('SBL Quotes'!H13,"0.00")&amp;"x"</f>
        <v>1.40x</v>
      </c>
      <c r="F18" t="str">
        <f>TEXT('SBL Quotes'!I13,"0.00")&amp;"x"</f>
        <v>1.40x</v>
      </c>
      <c r="G18" t="str">
        <f>TEXT('SBL Quotes'!J13,"0.00")&amp;"x"</f>
        <v>1.40x</v>
      </c>
      <c r="H18" t="str">
        <f>TEXT('SBL Quotes'!K13,"0.00")&amp;"x"</f>
        <v>1.40x</v>
      </c>
      <c r="I18" t="str">
        <f>TEXT('SBL Quotes'!L13,"0.00")&amp;"x"</f>
        <v>1.40x</v>
      </c>
      <c r="J18" t="str">
        <f>TEXT('SBL Quotes'!M13,"0.00")&amp;"x"</f>
        <v>1.40x</v>
      </c>
      <c r="K18" t="str">
        <f>TEXT('SBL Quotes'!N13,"0.00")&amp;"x"</f>
        <v>1.40x</v>
      </c>
      <c r="L18" t="str">
        <f>TEXT('SBL Quotes'!O13,"0.00")&amp;"x"</f>
        <v>1.40x</v>
      </c>
      <c r="M18" t="str">
        <f>TEXT('SBL Quotes'!P13,"0.00")&amp;"x"</f>
        <v>1.40x</v>
      </c>
      <c r="N18" t="str">
        <f>TEXT('SBL Quotes'!R13,"0.00")&amp;"x"</f>
        <v>1.25x</v>
      </c>
      <c r="O18" t="str">
        <f>TEXT('SBL Quotes'!S13,"0.00")&amp;"x"</f>
        <v>1.25x</v>
      </c>
      <c r="P18" t="str">
        <f>TEXT('SBL Quotes'!T13,"0.00")&amp;"x"</f>
        <v>1.25x</v>
      </c>
      <c r="Q18" t="str">
        <f>TEXT('SBL Quotes'!U13,"0.00")&amp;"x"</f>
        <v>1.35x</v>
      </c>
      <c r="R18" t="str">
        <f>TEXT('SBL Quotes'!V13,"0.00")&amp;"x"</f>
        <v>1.55x</v>
      </c>
      <c r="S18" t="str">
        <f>TEXT('SBL Quotes'!W13,"0.00")&amp;"x"</f>
        <v>1.35x</v>
      </c>
      <c r="T18" t="str">
        <f>TEXT('SBL Quotes'!X13,"0.00")&amp;"x"</f>
        <v>1.55x</v>
      </c>
      <c r="U18" t="str">
        <f>TEXT('SBL Quotes'!Y13,"0.00")&amp;"x"</f>
        <v>1.25x</v>
      </c>
      <c r="V18" t="str">
        <f>TEXT('SBL Quotes'!AA13,"0.00")&amp;"x"</f>
        <v>1.35x</v>
      </c>
      <c r="W18" t="str">
        <f>TEXT('SBL Quotes'!AB13,"0.00")&amp;"x"</f>
        <v>1.35x</v>
      </c>
      <c r="X18" t="str">
        <f>TEXT('SBL Quotes'!AC13,"0.00")&amp;"x"</f>
        <v>1.35x</v>
      </c>
      <c r="Y18" t="str">
        <f>TEXT('SBL Quotes'!AD13,"0.00")&amp;"x"</f>
        <v>1.35x</v>
      </c>
      <c r="Z18" t="str">
        <f>TEXT('SBL Quotes'!AE13,"0.00")&amp;"x"</f>
        <v>1.35x</v>
      </c>
      <c r="AA18" t="str">
        <f>TEXT('SBL Quotes'!AF13,"0.00")&amp;"x"</f>
        <v>1.35x</v>
      </c>
      <c r="AB18" t="str">
        <f>TEXT('SBL Quotes'!AG13,"0.00")&amp;"x"</f>
        <v>1.35x</v>
      </c>
      <c r="AC18" t="str">
        <f>TEXT('SBL Quotes'!AH13,"0.00")&amp;"x"</f>
        <v>1.35x</v>
      </c>
    </row>
    <row r="19" ht="21" customHeight="1">
      <c r="A19" t="s">
        <v>2065</v>
      </c>
      <c r="B19" t="str">
        <f>IF(TEXT('SBL Quotes'!E16,"0%")="",0,TEXT('SBL Quotes'!E16,"0%"))</f>
        <v>0%</v>
      </c>
      <c r="C19" t="str">
        <f>IF(TEXT('SBL Quotes'!F16,"0%")="",0,TEXT('SBL Quotes'!F16,"0%"))</f>
        <v>0%</v>
      </c>
      <c r="D19" t="str">
        <f>IF(TEXT('SBL Quotes'!G16,"0%")="",0,TEXT('SBL Quotes'!G16,"0%"))</f>
        <v>0%</v>
      </c>
      <c r="E19" t="str">
        <f>IF(TEXT('SBL Quotes'!H16,"0%")="",0,TEXT('SBL Quotes'!H16,"0%"))</f>
        <v>0%</v>
      </c>
      <c r="F19" t="str">
        <f>IF(TEXT('SBL Quotes'!I16,"0%")="",0,TEXT('SBL Quotes'!I16,"0%"))</f>
        <v>0%</v>
      </c>
      <c r="G19" t="str">
        <f>IF(TEXT('SBL Quotes'!J16,"0%")="",0,TEXT('SBL Quotes'!J16,"0%"))</f>
        <v>0%</v>
      </c>
      <c r="H19" t="str">
        <f>IF(TEXT('SBL Quotes'!K16,"0%")="",0,TEXT('SBL Quotes'!K16,"0%"))</f>
        <v>0%</v>
      </c>
      <c r="I19" t="str">
        <f>IF(TEXT('SBL Quotes'!L16,"0%")="",0,TEXT('SBL Quotes'!L16,"0%"))</f>
        <v>0%</v>
      </c>
      <c r="J19" t="str">
        <f>IF(TEXT('SBL Quotes'!M16,"0%")="",0,TEXT('SBL Quotes'!M16,"0%"))</f>
        <v>0%</v>
      </c>
      <c r="K19" t="str">
        <f>IF(TEXT('SBL Quotes'!N16,"0%")="",0,TEXT('SBL Quotes'!N16,"0%"))</f>
        <v>0%</v>
      </c>
      <c r="L19" t="str">
        <f>IF(TEXT('SBL Quotes'!O16,"0%")="",0,TEXT('SBL Quotes'!O16,"0%"))</f>
        <v>0%</v>
      </c>
      <c r="M19" t="str">
        <f>IF(TEXT('SBL Quotes'!P16,"0%")="",0,TEXT('SBL Quotes'!P16,"0%"))</f>
        <v>0%</v>
      </c>
      <c r="N19" t="str">
        <f>IF(TEXT('SBL Quotes'!R16,"0%")="",0,TEXT('SBL Quotes'!R16,"0%"))</f>
        <v>0%</v>
      </c>
      <c r="O19" t="str">
        <f>IF(TEXT('SBL Quotes'!S16,"0%")="",0,TEXT('SBL Quotes'!S16,"0%"))</f>
        <v>0%</v>
      </c>
      <c r="P19" t="str">
        <f>IF(TEXT('SBL Quotes'!T16,"0%")="",0,TEXT('SBL Quotes'!T16,"0%"))</f>
        <v>0%</v>
      </c>
      <c r="Q19" t="str">
        <f>IF(TEXT('SBL Quotes'!U16,"0%")="",0,TEXT('SBL Quotes'!U16,"0%"))</f>
        <v>0%</v>
      </c>
      <c r="R19" t="str">
        <f>IF(TEXT('SBL Quotes'!V16,"0%")="",0,TEXT('SBL Quotes'!V16,"0%"))</f>
        <v>0%</v>
      </c>
      <c r="S19" t="str">
        <f>IF(TEXT('SBL Quotes'!W16,"0%")="",0,TEXT('SBL Quotes'!W16,"0%"))</f>
        <v>0%</v>
      </c>
      <c r="T19" t="str">
        <f>IF(TEXT('SBL Quotes'!X16,"0%")="",0,TEXT('SBL Quotes'!X16,"0%"))</f>
        <v>0%</v>
      </c>
      <c r="U19" t="str">
        <f>IF(TEXT('SBL Quotes'!Y16,"0%")="",0,TEXT('SBL Quotes'!Y16,"0%"))</f>
        <v>0%</v>
      </c>
      <c r="V19" t="str">
        <f>IF(TEXT('SBL Quotes'!AA16,"0%")="",0,TEXT('SBL Quotes'!AA16,"0%"))</f>
        <v>0%</v>
      </c>
      <c r="W19" t="str">
        <f>IF(TEXT('SBL Quotes'!AB16,"0%")="",0,TEXT('SBL Quotes'!AB16,"0%"))</f>
        <v>0%</v>
      </c>
      <c r="X19" t="str">
        <f>IF(TEXT('SBL Quotes'!AC16,"0%")="",0,TEXT('SBL Quotes'!AC16,"0%"))</f>
        <v>0%</v>
      </c>
      <c r="Y19" t="str">
        <f>IF(TEXT('SBL Quotes'!AD16,"0%")="",0,TEXT('SBL Quotes'!AD16,"0%"))</f>
        <v>0%</v>
      </c>
      <c r="Z19" t="str">
        <f>IF(TEXT('SBL Quotes'!AE16,"0%")="",0,TEXT('SBL Quotes'!AE16,"0%"))</f>
        <v>0%</v>
      </c>
      <c r="AA19" t="str">
        <f>IF(TEXT('SBL Quotes'!AF16,"0%")="",0,TEXT('SBL Quotes'!AF16,"0%"))</f>
        <v>0%</v>
      </c>
      <c r="AB19" t="str">
        <f>IF(TEXT('SBL Quotes'!AG16,"0%")="",0,TEXT('SBL Quotes'!AG16,"0%"))</f>
        <v>0%</v>
      </c>
      <c r="AC19" t="str">
        <f>IF(TEXT('SBL Quotes'!AH16,"0%")="",0,TEXT('SBL Quotes'!AH16,"0%"))</f>
        <v>0%</v>
      </c>
    </row>
    <row r="20" ht="21" customHeight="1">
      <c r="A20" t="s">
        <v>1268</v>
      </c>
      <c r="B20" t="str">
        <f>TEXT('SBL Quotes'!E15,"0.00")&amp;"x"</f>
        <v>0.00x</v>
      </c>
      <c r="C20" t="str">
        <f>TEXT('SBL Quotes'!F15,"0.00")&amp;"x"</f>
        <v>0.00x</v>
      </c>
      <c r="D20" t="str">
        <f>TEXT('SBL Quotes'!G15,"0.00")&amp;"x"</f>
        <v>0.00x</v>
      </c>
      <c r="E20" t="str">
        <f>TEXT('SBL Quotes'!H15,"0.00")&amp;"x"</f>
        <v>0.00x</v>
      </c>
      <c r="F20" t="str">
        <f>TEXT('SBL Quotes'!I15,"0.00")&amp;"x"</f>
        <v>0.00x</v>
      </c>
      <c r="G20" t="str">
        <f>TEXT('SBL Quotes'!J15,"0.00")&amp;"x"</f>
        <v>0.00x</v>
      </c>
      <c r="H20" t="str">
        <f>TEXT('SBL Quotes'!K15,"0.00")&amp;"x"</f>
        <v>0.00x</v>
      </c>
      <c r="I20" t="str">
        <f>TEXT('SBL Quotes'!L15,"0.00")&amp;"x"</f>
        <v>0.00x</v>
      </c>
      <c r="J20" t="str">
        <f>TEXT('SBL Quotes'!M15,"0.00")&amp;"x"</f>
        <v>0.00x</v>
      </c>
      <c r="K20" t="str">
        <f>TEXT('SBL Quotes'!N15,"0.00")&amp;"x"</f>
        <v>0.00x</v>
      </c>
      <c r="L20" t="str">
        <f>TEXT('SBL Quotes'!O15,"0.00")&amp;"x"</f>
        <v>0.00x</v>
      </c>
      <c r="M20" t="str">
        <f>TEXT('SBL Quotes'!P15,"0.00")&amp;"x"</f>
        <v>0.00x</v>
      </c>
      <c r="N20" t="str">
        <f>TEXT('SBL Quotes'!R15,"0.00")&amp;"x"</f>
        <v>0.00x</v>
      </c>
      <c r="O20" t="str">
        <f>TEXT('SBL Quotes'!S15,"0.00")&amp;"x"</f>
        <v>0.00x</v>
      </c>
      <c r="P20" t="str">
        <f>TEXT('SBL Quotes'!T15,"0.00")&amp;"x"</f>
        <v>0.00x</v>
      </c>
      <c r="Q20" t="str">
        <f>TEXT('SBL Quotes'!U15,"0.00")&amp;"x"</f>
        <v>0.00x</v>
      </c>
      <c r="R20" t="str">
        <f>TEXT('SBL Quotes'!V15,"0.00")&amp;"x"</f>
        <v>0.00x</v>
      </c>
      <c r="S20" t="str">
        <f>TEXT('SBL Quotes'!W15,"0.00")&amp;"x"</f>
        <v>0.00x</v>
      </c>
      <c r="T20" t="str">
        <f>TEXT('SBL Quotes'!X15,"0.00")&amp;"x"</f>
        <v>0.00x</v>
      </c>
      <c r="U20" t="str">
        <f>TEXT('SBL Quotes'!Y15,"0.00")&amp;"x"</f>
        <v>0.00x</v>
      </c>
      <c r="V20" t="str">
        <f>TEXT('SBL Quotes'!AA15,"0.00")&amp;"x"</f>
        <v>0.00x</v>
      </c>
      <c r="W20" t="str">
        <f>TEXT('SBL Quotes'!AB15,"0.00")&amp;"x"</f>
        <v>0.00x</v>
      </c>
      <c r="X20" t="str">
        <f>TEXT('SBL Quotes'!AC15,"0.00")&amp;"x"</f>
        <v>0.00x</v>
      </c>
      <c r="Y20" t="str">
        <f>TEXT('SBL Quotes'!AD15,"0.00")&amp;"x"</f>
        <v>0.00x</v>
      </c>
      <c r="Z20" t="str">
        <f>TEXT('SBL Quotes'!AE15,"0.00")&amp;"x"</f>
        <v>0.00x</v>
      </c>
      <c r="AA20" t="str">
        <f>TEXT('SBL Quotes'!AF15,"0.00")&amp;"x"</f>
        <v>0.00x</v>
      </c>
      <c r="AB20" t="str">
        <f>TEXT('SBL Quotes'!AG15,"0.00")&amp;"x"</f>
        <v>0.00x</v>
      </c>
      <c r="AC20" t="str">
        <f>TEXT('SBL Quotes'!AH15,"0.00")&amp;"x"</f>
        <v>0.00x</v>
      </c>
    </row>
    <row r="21" ht="21" customHeight="1">
      <c r="A21" t="s">
        <v>417</v>
      </c>
      <c r="V21">
        <f>'SBL Quotes'!AA80</f>
        <v>0.0725</v>
      </c>
      <c r="W21">
        <f>'SBL Quotes'!AB80</f>
        <v>0.0725</v>
      </c>
      <c r="X21">
        <f>'SBL Quotes'!AC80</f>
        <v>0.0725</v>
      </c>
      <c r="Y21">
        <f>'SBL Quotes'!AD80</f>
        <v>0.0725</v>
      </c>
      <c r="Z21">
        <f>'SBL Quotes'!AE80</f>
        <v>0.0725</v>
      </c>
      <c r="AA21">
        <f>'SBL Quotes'!AF80</f>
        <v>0.0725</v>
      </c>
      <c r="AB21">
        <f>'SBL Quotes'!AG80</f>
        <v>0.0725</v>
      </c>
      <c r="AC21">
        <f>'SBL Quotes'!AH80</f>
        <v>0.0725</v>
      </c>
    </row>
    <row r="22" ht="21" customHeight="1" hidden="1">
      <c r="A22" t="s">
        <v>2068</v>
      </c>
      <c r="B22" t="s">
        <v>2069</v>
      </c>
      <c r="C22" t="s">
        <v>2070</v>
      </c>
      <c r="D22" t="s">
        <v>2071</v>
      </c>
      <c r="E22" t="s">
        <v>2069</v>
      </c>
      <c r="F22" t="s">
        <v>2070</v>
      </c>
      <c r="G22" t="s">
        <v>2071</v>
      </c>
      <c r="H22" t="s">
        <v>2069</v>
      </c>
      <c r="I22" t="s">
        <v>2070</v>
      </c>
      <c r="J22" t="s">
        <v>2071</v>
      </c>
      <c r="K22" t="s">
        <v>2069</v>
      </c>
      <c r="L22" t="s">
        <v>2070</v>
      </c>
      <c r="M22" t="s">
        <v>2071</v>
      </c>
      <c r="N22" t="s">
        <v>2072</v>
      </c>
      <c r="O22" t="s">
        <v>2070</v>
      </c>
      <c r="P22" t="s">
        <v>2071</v>
      </c>
      <c r="Q22" t="s">
        <v>2072</v>
      </c>
      <c r="R22" t="s">
        <v>2070</v>
      </c>
      <c r="S22" t="s">
        <v>2071</v>
      </c>
      <c r="T22" t="s">
        <v>2072</v>
      </c>
      <c r="U22" t="s">
        <v>2070</v>
      </c>
      <c r="V22" t="s">
        <v>2072</v>
      </c>
      <c r="W22" t="s">
        <v>2070</v>
      </c>
      <c r="X22" t="s">
        <v>2071</v>
      </c>
      <c r="Y22" t="s">
        <v>2072</v>
      </c>
      <c r="Z22" t="s">
        <v>2070</v>
      </c>
      <c r="AA22" t="s">
        <v>2071</v>
      </c>
      <c r="AB22" t="s">
        <v>2072</v>
      </c>
      <c r="AC22" t="s">
        <v>2070</v>
      </c>
    </row>
    <row r="23" ht="21" customHeight="1" hidden="1">
      <c r="A23" t="s">
        <v>2073</v>
      </c>
      <c r="B23">
        <v>0</v>
      </c>
      <c r="C23">
        <f t="shared" si="1" ref="C23:AC23">$B$23</f>
        <v>0</v>
      </c>
      <c r="D23">
        <f t="shared" si="1"/>
        <v>0</v>
      </c>
      <c r="E23">
        <v>0</v>
      </c>
      <c r="F23">
        <f t="shared" si="1"/>
        <v>0</v>
      </c>
      <c r="G23">
        <f t="shared" si="1"/>
        <v>0</v>
      </c>
      <c r="H23">
        <v>0</v>
      </c>
      <c r="I23">
        <f t="shared" si="1"/>
        <v>0</v>
      </c>
      <c r="J23">
        <f t="shared" si="1"/>
        <v>0</v>
      </c>
      <c r="K23">
        <v>0</v>
      </c>
      <c r="L23">
        <f t="shared" si="1"/>
        <v>0</v>
      </c>
      <c r="M23">
        <f t="shared" si="1"/>
        <v>0</v>
      </c>
      <c r="N23">
        <f t="shared" si="1"/>
        <v>0</v>
      </c>
      <c r="O23">
        <f t="shared" si="1"/>
        <v>0</v>
      </c>
      <c r="P23">
        <f t="shared" si="1"/>
        <v>0</v>
      </c>
      <c r="Q23">
        <f t="shared" si="1"/>
        <v>0</v>
      </c>
      <c r="R23">
        <f t="shared" si="1"/>
        <v>0</v>
      </c>
      <c r="S23">
        <f t="shared" si="1"/>
        <v>0</v>
      </c>
      <c r="T23">
        <f t="shared" si="1"/>
        <v>0</v>
      </c>
      <c r="U23">
        <f t="shared" si="1"/>
        <v>0</v>
      </c>
      <c r="V23">
        <f t="shared" si="1"/>
        <v>0</v>
      </c>
      <c r="W23">
        <f t="shared" si="1"/>
        <v>0</v>
      </c>
      <c r="X23">
        <f t="shared" si="1"/>
        <v>0</v>
      </c>
      <c r="Y23">
        <f t="shared" si="1"/>
        <v>0</v>
      </c>
      <c r="Z23">
        <f t="shared" si="1"/>
        <v>0</v>
      </c>
      <c r="AA23">
        <f t="shared" si="1"/>
        <v>0</v>
      </c>
      <c r="AB23">
        <f t="shared" si="1"/>
        <v>0</v>
      </c>
      <c r="AC23">
        <f t="shared" si="1"/>
        <v>0</v>
      </c>
    </row>
    <row r="24" ht="21" customHeight="1">
      <c r="A24" t="str">
        <f>IF('SBL Quotes'!$B$38="Acquisition","Rate","New Interest Rate")</f>
        <v>New Interest Rate</v>
      </c>
      <c r="B24" t="e">
        <f>'SBL Quotes'!E17</f>
        <v>#N/A</v>
      </c>
      <c r="C24" t="e">
        <f>'SBL Quotes'!F17</f>
        <v>#N/A</v>
      </c>
      <c r="D24" t="e">
        <f>'SBL Quotes'!G17</f>
        <v>#N/A</v>
      </c>
      <c r="E24" t="e">
        <f>'SBL Quotes'!H17</f>
        <v>#N/A</v>
      </c>
      <c r="F24" t="e">
        <f>'SBL Quotes'!I17</f>
        <v>#N/A</v>
      </c>
      <c r="G24" t="e">
        <f>'SBL Quotes'!J17</f>
        <v>#N/A</v>
      </c>
      <c r="H24" t="e">
        <f>'SBL Quotes'!K17</f>
        <v>#N/A</v>
      </c>
      <c r="I24" t="e">
        <f>'SBL Quotes'!L17</f>
        <v>#N/A</v>
      </c>
      <c r="J24" t="e">
        <f>'SBL Quotes'!M17</f>
        <v>#N/A</v>
      </c>
      <c r="K24" t="e">
        <f>'SBL Quotes'!N17</f>
        <v>#N/A</v>
      </c>
      <c r="L24" t="e">
        <f>'SBL Quotes'!O17</f>
        <v>#N/A</v>
      </c>
      <c r="M24" t="e">
        <f>'SBL Quotes'!P17</f>
        <v>#N/A</v>
      </c>
      <c r="N24">
        <f>'SBL Quotes'!R17</f>
        <v>0.070944</v>
      </c>
      <c r="O24">
        <f>'SBL Quotes'!S17</f>
        <v>0.072144</v>
      </c>
      <c r="P24">
        <f>'SBL Quotes'!T17</f>
        <v>0.07394400000000001</v>
      </c>
      <c r="Q24">
        <f>'SBL Quotes'!U17</f>
        <v>0.06896658000000001</v>
      </c>
      <c r="R24">
        <f>'SBL Quotes'!V17</f>
        <v>0.06694135000000001</v>
      </c>
      <c r="S24">
        <f>'SBL Quotes'!W17</f>
        <v>0.07172228</v>
      </c>
      <c r="T24">
        <f>'SBL Quotes'!X17</f>
        <v>0.06967273</v>
      </c>
      <c r="U24">
        <f>'SBL Quotes'!Y17</f>
        <v>0.070944</v>
      </c>
      <c r="V24">
        <f>'SBL Quotes'!AA17</f>
        <v>0.053704</v>
      </c>
      <c r="W24">
        <f>'SBL Quotes'!AB17</f>
        <v>0.053704</v>
      </c>
      <c r="X24">
        <f>'SBL Quotes'!AC17</f>
        <v>0.053704</v>
      </c>
      <c r="Y24">
        <f>'SBL Quotes'!AD17</f>
        <v>0.053704</v>
      </c>
      <c r="Z24">
        <f>'SBL Quotes'!AE17</f>
        <v>0.053704</v>
      </c>
      <c r="AA24">
        <f>'SBL Quotes'!AF17</f>
        <v>0.053704</v>
      </c>
      <c r="AB24">
        <f>'SBL Quotes'!AG17</f>
        <v>0.053704</v>
      </c>
      <c r="AC24">
        <f>'SBL Quotes'!AH17</f>
        <v>0.053704</v>
      </c>
    </row>
    <row r="25" ht="21" customHeight="1" hidden="1">
      <c r="A25" t="str">
        <f>IF('SBL Quotes'!$B$38="Acquisition","Rate Index (Floating)","New Rate Index (Floating)")</f>
        <v>New Rate Index (Floating)</v>
      </c>
      <c r="B25" t="s">
        <v>2076</v>
      </c>
      <c r="C25" t="str">
        <f t="shared" si="2" ref="C25:M25">$B$25</f>
        <v>30-Day Avg SOFR</v>
      </c>
      <c r="D25" t="str">
        <f t="shared" si="2"/>
        <v>30-Day Avg SOFR</v>
      </c>
      <c r="E25" t="s">
        <v>2076</v>
      </c>
      <c r="F25" t="str">
        <f t="shared" si="2"/>
        <v>30-Day Avg SOFR</v>
      </c>
      <c r="G25" t="str">
        <f t="shared" si="2"/>
        <v>30-Day Avg SOFR</v>
      </c>
      <c r="H25" t="s">
        <v>2076</v>
      </c>
      <c r="I25" t="str">
        <f t="shared" si="2"/>
        <v>30-Day Avg SOFR</v>
      </c>
      <c r="J25" t="str">
        <f t="shared" si="2"/>
        <v>30-Day Avg SOFR</v>
      </c>
      <c r="K25" t="s">
        <v>2076</v>
      </c>
      <c r="L25" t="str">
        <f t="shared" si="2"/>
        <v>30-Day Avg SOFR</v>
      </c>
      <c r="M25" t="str">
        <f t="shared" si="2"/>
        <v>30-Day Avg SOFR</v>
      </c>
      <c r="N25" t="s">
        <v>174</v>
      </c>
      <c r="O25" t="str">
        <f t="shared" si="3" ref="O25:U25">$N$25</f>
        <v>N/A</v>
      </c>
      <c r="P25" t="str">
        <f t="shared" si="3"/>
        <v>N/A</v>
      </c>
      <c r="Q25" t="str">
        <f t="shared" si="3"/>
        <v>N/A</v>
      </c>
      <c r="R25" t="str">
        <f t="shared" si="3"/>
        <v>N/A</v>
      </c>
      <c r="S25" t="str">
        <f t="shared" si="3"/>
        <v>N/A</v>
      </c>
      <c r="T25" t="str">
        <f t="shared" si="3"/>
        <v>N/A</v>
      </c>
      <c r="U25" t="str">
        <f t="shared" si="3"/>
        <v>N/A</v>
      </c>
      <c r="V25" t="s">
        <v>174</v>
      </c>
      <c r="W25" t="str">
        <f t="shared" si="4" ref="W25:AC25">$V$25</f>
        <v>N/A</v>
      </c>
      <c r="X25" t="str">
        <f t="shared" si="4"/>
        <v>N/A</v>
      </c>
      <c r="Y25" t="str">
        <f t="shared" si="4"/>
        <v>N/A</v>
      </c>
      <c r="Z25" t="str">
        <f t="shared" si="4"/>
        <v>N/A</v>
      </c>
      <c r="AA25" t="str">
        <f t="shared" si="4"/>
        <v>N/A</v>
      </c>
      <c r="AB25" t="str">
        <f t="shared" si="4"/>
        <v>N/A</v>
      </c>
      <c r="AC25" t="str">
        <f t="shared" si="4"/>
        <v>N/A</v>
      </c>
    </row>
    <row r="26" ht="21" customHeight="1" hidden="1">
      <c r="A26" t="str">
        <f>IF('SBL Quotes'!$B$38="Acquisition","Rate Spread (Floating)","New Rate Spread (Floating)")</f>
        <v>New Rate Spread (Floating)</v>
      </c>
      <c r="B26" t="e">
        <f>'SBL Quotes'!E17</f>
        <v>#N/A</v>
      </c>
      <c r="C26" t="e">
        <f t="shared" si="5" ref="C26:M26">$B$26</f>
        <v>#N/A</v>
      </c>
      <c r="D26" t="e">
        <f t="shared" si="5"/>
        <v>#N/A</v>
      </c>
      <c r="E26" t="e">
        <f>'SBL Quotes'!H17</f>
        <v>#N/A</v>
      </c>
      <c r="F26" t="e">
        <f t="shared" si="5"/>
        <v>#N/A</v>
      </c>
      <c r="G26" t="e">
        <f t="shared" si="5"/>
        <v>#N/A</v>
      </c>
      <c r="H26" t="e">
        <f>'SBL Quotes'!K17</f>
        <v>#N/A</v>
      </c>
      <c r="I26" t="e">
        <f t="shared" si="5"/>
        <v>#N/A</v>
      </c>
      <c r="J26" t="e">
        <f t="shared" si="5"/>
        <v>#N/A</v>
      </c>
      <c r="K26" t="e">
        <f>'SBL Quotes'!N17</f>
        <v>#N/A</v>
      </c>
      <c r="L26" t="e">
        <f t="shared" si="5"/>
        <v>#N/A</v>
      </c>
      <c r="M26" t="e">
        <f t="shared" si="5"/>
        <v>#N/A</v>
      </c>
      <c r="N26">
        <f>'SBL Quotes'!R19</f>
        <v>0</v>
      </c>
      <c r="O26">
        <f>'SBL Quotes'!S19</f>
        <v>0</v>
      </c>
      <c r="P26">
        <f>'SBL Quotes'!T19</f>
        <v>0</v>
      </c>
      <c r="Q26">
        <f>'SBL Quotes'!U19</f>
        <v>0</v>
      </c>
      <c r="R26">
        <f>'SBL Quotes'!V19</f>
        <v>0</v>
      </c>
      <c r="S26">
        <f>'SBL Quotes'!W19</f>
        <v>0</v>
      </c>
      <c r="T26">
        <f>'SBL Quotes'!X19</f>
        <v>0</v>
      </c>
      <c r="U26">
        <f>'SBL Quotes'!Y19</f>
        <v>0</v>
      </c>
      <c r="V26">
        <f>'SBL Quotes'!AA19</f>
        <v>0</v>
      </c>
      <c r="W26">
        <f>'SBL Quotes'!AB19</f>
        <v>0</v>
      </c>
      <c r="X26">
        <f>'SBL Quotes'!AC19</f>
        <v>0</v>
      </c>
      <c r="Y26">
        <f>'SBL Quotes'!AD19</f>
        <v>0</v>
      </c>
      <c r="Z26">
        <f>'SBL Quotes'!AE19</f>
        <v>0</v>
      </c>
      <c r="AA26">
        <f>'SBL Quotes'!AF19</f>
        <v>0</v>
      </c>
      <c r="AB26">
        <f>'SBL Quotes'!AG19</f>
        <v>0</v>
      </c>
      <c r="AC26">
        <f>'SBL Quotes'!AH19</f>
        <v>0</v>
      </c>
    </row>
    <row r="27" ht="21" customHeight="1" hidden="1">
      <c r="A27" t="s">
        <v>2078</v>
      </c>
      <c r="B27">
        <v>15</v>
      </c>
      <c r="C27">
        <f t="shared" si="6" ref="C27:M27">$B$27</f>
        <v>15</v>
      </c>
      <c r="D27">
        <f t="shared" si="6"/>
        <v>15</v>
      </c>
      <c r="E27">
        <v>15</v>
      </c>
      <c r="F27">
        <f t="shared" si="6"/>
        <v>15</v>
      </c>
      <c r="G27">
        <f t="shared" si="6"/>
        <v>15</v>
      </c>
      <c r="H27">
        <v>15</v>
      </c>
      <c r="I27">
        <f t="shared" si="6"/>
        <v>15</v>
      </c>
      <c r="J27">
        <f t="shared" si="6"/>
        <v>15</v>
      </c>
      <c r="K27">
        <v>15</v>
      </c>
      <c r="L27">
        <f t="shared" si="6"/>
        <v>15</v>
      </c>
      <c r="M27">
        <f t="shared" si="6"/>
        <v>15</v>
      </c>
      <c r="N27" t="s">
        <v>174</v>
      </c>
      <c r="O27" t="str">
        <f t="shared" si="7" ref="O27:U27">$N$27</f>
        <v>N/A</v>
      </c>
      <c r="P27" t="str">
        <f t="shared" si="7"/>
        <v>N/A</v>
      </c>
      <c r="Q27" t="s">
        <v>174</v>
      </c>
      <c r="R27" t="str">
        <f t="shared" si="7"/>
        <v>N/A</v>
      </c>
      <c r="S27" t="str">
        <f t="shared" si="7"/>
        <v>N/A</v>
      </c>
      <c r="T27" t="s">
        <v>174</v>
      </c>
      <c r="U27" t="str">
        <f t="shared" si="7"/>
        <v>N/A</v>
      </c>
      <c r="V27" t="s">
        <v>174</v>
      </c>
      <c r="W27" t="str">
        <f t="shared" si="8" ref="W27:AC38">$V27</f>
        <v>N/A</v>
      </c>
      <c r="X27" t="str">
        <f t="shared" si="8"/>
        <v>N/A</v>
      </c>
      <c r="Y27" t="str">
        <f t="shared" si="8"/>
        <v>N/A</v>
      </c>
      <c r="Z27" t="str">
        <f t="shared" si="8"/>
        <v>N/A</v>
      </c>
      <c r="AA27" t="str">
        <f t="shared" si="8"/>
        <v>N/A</v>
      </c>
      <c r="AB27" t="str">
        <f t="shared" si="8"/>
        <v>N/A</v>
      </c>
      <c r="AC27" t="str">
        <f t="shared" si="8"/>
        <v>N/A</v>
      </c>
    </row>
    <row r="28" ht="21" customHeight="1" hidden="1">
      <c r="A28" t="s">
        <v>2079</v>
      </c>
      <c r="B28">
        <v>0.01</v>
      </c>
      <c r="C28">
        <f t="shared" si="9" ref="C28:M28">$B$28</f>
        <v>0.01</v>
      </c>
      <c r="D28">
        <f t="shared" si="9"/>
        <v>0.01</v>
      </c>
      <c r="E28">
        <v>0.01</v>
      </c>
      <c r="F28">
        <f t="shared" si="9"/>
        <v>0.01</v>
      </c>
      <c r="G28">
        <f t="shared" si="9"/>
        <v>0.01</v>
      </c>
      <c r="H28">
        <v>0.01</v>
      </c>
      <c r="I28">
        <f t="shared" si="9"/>
        <v>0.01</v>
      </c>
      <c r="J28">
        <f t="shared" si="9"/>
        <v>0.01</v>
      </c>
      <c r="K28">
        <v>0.01</v>
      </c>
      <c r="L28">
        <f t="shared" si="9"/>
        <v>0.01</v>
      </c>
      <c r="M28">
        <f t="shared" si="9"/>
        <v>0.01</v>
      </c>
      <c r="N28" t="s">
        <v>174</v>
      </c>
      <c r="O28" t="str">
        <f t="shared" si="10" ref="O28:AC28">$N$28</f>
        <v>N/A</v>
      </c>
      <c r="P28" t="str">
        <f t="shared" si="10"/>
        <v>N/A</v>
      </c>
      <c r="Q28" t="str">
        <f t="shared" si="11" ref="Q28:T28">$N28</f>
        <v>N/A</v>
      </c>
      <c r="R28" t="str">
        <f t="shared" si="10"/>
        <v>N/A</v>
      </c>
      <c r="S28" t="str">
        <f t="shared" si="10"/>
        <v>N/A</v>
      </c>
      <c r="T28" t="str">
        <f t="shared" si="11"/>
        <v>N/A</v>
      </c>
      <c r="U28" t="str">
        <f t="shared" si="10"/>
        <v>N/A</v>
      </c>
      <c r="V28" t="s">
        <v>174</v>
      </c>
      <c r="W28" t="str">
        <f t="shared" si="10"/>
        <v>N/A</v>
      </c>
      <c r="X28" t="str">
        <f t="shared" si="10"/>
        <v>N/A</v>
      </c>
      <c r="Y28" t="s">
        <v>174</v>
      </c>
      <c r="Z28" t="str">
        <f t="shared" si="10"/>
        <v>N/A</v>
      </c>
      <c r="AA28" t="str">
        <f t="shared" si="10"/>
        <v>N/A</v>
      </c>
      <c r="AB28" t="s">
        <v>174</v>
      </c>
      <c r="AC28" t="str">
        <f t="shared" si="10"/>
        <v>N/A</v>
      </c>
    </row>
    <row r="29" ht="21" customHeight="1" hidden="1">
      <c r="A29" t="s">
        <v>2080</v>
      </c>
      <c r="B29">
        <v>0</v>
      </c>
      <c r="C29">
        <f t="shared" si="12" ref="C29:AC29">$B$29</f>
        <v>0</v>
      </c>
      <c r="D29">
        <f t="shared" si="12"/>
        <v>0</v>
      </c>
      <c r="E29">
        <v>0</v>
      </c>
      <c r="F29">
        <f t="shared" si="12"/>
        <v>0</v>
      </c>
      <c r="G29">
        <f t="shared" si="12"/>
        <v>0</v>
      </c>
      <c r="H29">
        <v>0</v>
      </c>
      <c r="I29">
        <f t="shared" si="12"/>
        <v>0</v>
      </c>
      <c r="J29">
        <f t="shared" si="12"/>
        <v>0</v>
      </c>
      <c r="K29">
        <v>0</v>
      </c>
      <c r="L29">
        <f t="shared" si="12"/>
        <v>0</v>
      </c>
      <c r="M29">
        <f t="shared" si="12"/>
        <v>0</v>
      </c>
      <c r="N29">
        <f t="shared" si="12"/>
        <v>0</v>
      </c>
      <c r="O29">
        <f t="shared" si="12"/>
        <v>0</v>
      </c>
      <c r="P29">
        <f t="shared" si="12"/>
        <v>0</v>
      </c>
      <c r="Q29">
        <f t="shared" si="12"/>
        <v>0</v>
      </c>
      <c r="R29">
        <f t="shared" si="12"/>
        <v>0</v>
      </c>
      <c r="S29">
        <f t="shared" si="12"/>
        <v>0</v>
      </c>
      <c r="T29">
        <f t="shared" si="12"/>
        <v>0</v>
      </c>
      <c r="U29">
        <f t="shared" si="12"/>
        <v>0</v>
      </c>
      <c r="V29">
        <f t="shared" si="12"/>
        <v>0</v>
      </c>
      <c r="W29">
        <f t="shared" si="12"/>
        <v>0</v>
      </c>
      <c r="X29">
        <f t="shared" si="12"/>
        <v>0</v>
      </c>
      <c r="Y29">
        <f t="shared" si="12"/>
        <v>0</v>
      </c>
      <c r="Z29">
        <f t="shared" si="12"/>
        <v>0</v>
      </c>
      <c r="AA29">
        <f t="shared" si="12"/>
        <v>0</v>
      </c>
      <c r="AB29">
        <f t="shared" si="12"/>
        <v>0</v>
      </c>
      <c r="AC29">
        <f t="shared" si="12"/>
        <v>0</v>
      </c>
    </row>
    <row r="30" ht="21" customHeight="1">
      <c r="A30" t="str">
        <f>IF('SBL Quotes'!$B$38="Acquisition","Annual Debt Service","New Annual Debt Service")</f>
        <v>New Annual Debt Service</v>
      </c>
      <c r="B30" t="e">
        <f>'SBL Quotes'!E18</f>
        <v>#N/A</v>
      </c>
      <c r="C30" t="e">
        <f>'SBL Quotes'!F18</f>
        <v>#N/A</v>
      </c>
      <c r="D30" t="e">
        <f>'SBL Quotes'!G18</f>
        <v>#N/A</v>
      </c>
      <c r="E30" t="e">
        <f>'SBL Quotes'!H18</f>
        <v>#N/A</v>
      </c>
      <c r="F30" t="e">
        <f>'SBL Quotes'!I18</f>
        <v>#N/A</v>
      </c>
      <c r="G30" t="e">
        <f>'SBL Quotes'!J18</f>
        <v>#N/A</v>
      </c>
      <c r="H30" t="e">
        <f>'SBL Quotes'!K18</f>
        <v>#N/A</v>
      </c>
      <c r="I30" t="e">
        <f>'SBL Quotes'!L18</f>
        <v>#N/A</v>
      </c>
      <c r="J30" t="e">
        <f>'SBL Quotes'!M18</f>
        <v>#N/A</v>
      </c>
      <c r="K30" t="e">
        <f>'SBL Quotes'!N18</f>
        <v>#N/A</v>
      </c>
      <c r="L30" t="e">
        <f>'SBL Quotes'!O18</f>
        <v>#N/A</v>
      </c>
      <c r="M30" t="e">
        <f>'SBL Quotes'!P18</f>
        <v>#N/A</v>
      </c>
      <c r="N30">
        <f>'SBL Quotes'!R18</f>
        <v>0</v>
      </c>
      <c r="O30">
        <f>'SBL Quotes'!S18</f>
        <v>0</v>
      </c>
      <c r="P30">
        <f>'SBL Quotes'!T18</f>
        <v>0</v>
      </c>
      <c r="Q30">
        <f>'SBL Quotes'!U18</f>
        <v>0</v>
      </c>
      <c r="R30" t="str">
        <f>'SBL Quotes'!V18</f>
        <v>NA</v>
      </c>
      <c r="S30">
        <f>'SBL Quotes'!W18</f>
        <v>0</v>
      </c>
      <c r="T30" t="str">
        <f>'SBL Quotes'!X18</f>
        <v>NA</v>
      </c>
      <c r="U30">
        <f>'SBL Quotes'!Y18</f>
        <v>0</v>
      </c>
      <c r="V30" t="str">
        <f>'SBL Quotes'!AA18</f>
        <v>NA</v>
      </c>
      <c r="W30" t="str">
        <f>'SBL Quotes'!AB18</f>
        <v>NA</v>
      </c>
      <c r="X30" t="str">
        <f>'SBL Quotes'!AC18</f>
        <v>NA</v>
      </c>
      <c r="Y30" t="str">
        <f>'SBL Quotes'!AD18</f>
        <v>NA</v>
      </c>
      <c r="Z30" t="str">
        <f>'SBL Quotes'!AE18</f>
        <v>NA</v>
      </c>
      <c r="AA30" t="str">
        <f>'SBL Quotes'!AF18</f>
        <v>NA</v>
      </c>
      <c r="AB30" t="str">
        <f>'SBL Quotes'!AG18</f>
        <v>NA</v>
      </c>
      <c r="AC30" t="str">
        <f>'SBL Quotes'!AH18</f>
        <v>NA</v>
      </c>
    </row>
    <row r="31" ht="21" customHeight="1">
      <c r="A31" t="str">
        <f>IF('SBL Quotes'!$B$38="Acquisition","Annual Debt Service (IO)","New Annual Debt Service (IO)")</f>
        <v>New Annual Debt Service (IO)</v>
      </c>
      <c r="B31" t="e">
        <f>'SBL Quotes'!E19</f>
        <v>#N/A</v>
      </c>
      <c r="C31" t="e">
        <f>'SBL Quotes'!F19</f>
        <v>#N/A</v>
      </c>
      <c r="D31" t="e">
        <f>'SBL Quotes'!G19</f>
        <v>#N/A</v>
      </c>
      <c r="E31" t="e">
        <f>'SBL Quotes'!H19</f>
        <v>#N/A</v>
      </c>
      <c r="F31" t="e">
        <f>'SBL Quotes'!I19</f>
        <v>#N/A</v>
      </c>
      <c r="G31" t="e">
        <f>'SBL Quotes'!J19</f>
        <v>#N/A</v>
      </c>
      <c r="H31" t="e">
        <f>'SBL Quotes'!K19</f>
        <v>#N/A</v>
      </c>
      <c r="I31" t="e">
        <f>'SBL Quotes'!L19</f>
        <v>#N/A</v>
      </c>
      <c r="J31" t="e">
        <f>'SBL Quotes'!M19</f>
        <v>#N/A</v>
      </c>
      <c r="K31" t="e">
        <f>'SBL Quotes'!N19</f>
        <v>#N/A</v>
      </c>
      <c r="L31" t="e">
        <f>'SBL Quotes'!O19</f>
        <v>#N/A</v>
      </c>
      <c r="M31" t="e">
        <f>'SBL Quotes'!P19</f>
        <v>#N/A</v>
      </c>
      <c r="N31">
        <f>'SBL Quotes'!R19</f>
        <v>0</v>
      </c>
      <c r="O31">
        <f>'SBL Quotes'!S19</f>
        <v>0</v>
      </c>
      <c r="P31">
        <f>'SBL Quotes'!T19</f>
        <v>0</v>
      </c>
      <c r="Q31">
        <f>'SBL Quotes'!U19</f>
        <v>0</v>
      </c>
      <c r="R31">
        <f>'SBL Quotes'!V19</f>
        <v>0</v>
      </c>
      <c r="S31">
        <f>'SBL Quotes'!W19</f>
        <v>0</v>
      </c>
      <c r="T31">
        <f>'SBL Quotes'!X19</f>
        <v>0</v>
      </c>
      <c r="U31">
        <f>'SBL Quotes'!Y19</f>
        <v>0</v>
      </c>
      <c r="V31">
        <f>'SBL Quotes'!AA19</f>
        <v>0</v>
      </c>
      <c r="W31">
        <f>'SBL Quotes'!AB19</f>
        <v>0</v>
      </c>
      <c r="X31">
        <f>'SBL Quotes'!AC19</f>
        <v>0</v>
      </c>
      <c r="Y31">
        <f>'SBL Quotes'!AD19</f>
        <v>0</v>
      </c>
      <c r="Z31">
        <f>'SBL Quotes'!AE19</f>
        <v>0</v>
      </c>
      <c r="AA31">
        <f>'SBL Quotes'!AF19</f>
        <v>0</v>
      </c>
      <c r="AB31">
        <f>'SBL Quotes'!AG19</f>
        <v>0</v>
      </c>
      <c r="AC31">
        <f>'SBL Quotes'!AH19</f>
        <v>0</v>
      </c>
    </row>
    <row r="32" ht="21" customHeight="1" hidden="1">
      <c r="A32" t="s">
        <v>2083</v>
      </c>
      <c r="B32">
        <f t="shared" si="13" ref="B32:AC32">IF(B$29=0,0,B$29-B$30)</f>
        <v>0</v>
      </c>
      <c r="C32">
        <f t="shared" si="13"/>
        <v>0</v>
      </c>
      <c r="D32">
        <f t="shared" si="13"/>
        <v>0</v>
      </c>
      <c r="E32">
        <f t="shared" si="13"/>
        <v>0</v>
      </c>
      <c r="F32">
        <f t="shared" si="13"/>
        <v>0</v>
      </c>
      <c r="G32">
        <f t="shared" si="13"/>
        <v>0</v>
      </c>
      <c r="H32">
        <f t="shared" si="13"/>
        <v>0</v>
      </c>
      <c r="I32">
        <f t="shared" si="13"/>
        <v>0</v>
      </c>
      <c r="J32">
        <f t="shared" si="13"/>
        <v>0</v>
      </c>
      <c r="K32">
        <f t="shared" si="13"/>
        <v>0</v>
      </c>
      <c r="L32">
        <f t="shared" si="13"/>
        <v>0</v>
      </c>
      <c r="M32">
        <f t="shared" si="13"/>
        <v>0</v>
      </c>
      <c r="N32">
        <f t="shared" si="13"/>
        <v>0</v>
      </c>
      <c r="O32">
        <f t="shared" si="13"/>
        <v>0</v>
      </c>
      <c r="P32">
        <f t="shared" si="13"/>
        <v>0</v>
      </c>
      <c r="Q32">
        <f t="shared" si="13"/>
        <v>0</v>
      </c>
      <c r="R32">
        <f t="shared" si="13"/>
        <v>0</v>
      </c>
      <c r="S32">
        <f t="shared" si="13"/>
        <v>0</v>
      </c>
      <c r="T32">
        <f t="shared" si="13"/>
        <v>0</v>
      </c>
      <c r="U32">
        <f t="shared" si="13"/>
        <v>0</v>
      </c>
      <c r="V32">
        <f t="shared" si="13"/>
        <v>0</v>
      </c>
      <c r="W32">
        <f t="shared" si="13"/>
        <v>0</v>
      </c>
      <c r="X32">
        <f t="shared" si="13"/>
        <v>0</v>
      </c>
      <c r="Y32">
        <f t="shared" si="13"/>
        <v>0</v>
      </c>
      <c r="Z32">
        <f t="shared" si="13"/>
        <v>0</v>
      </c>
      <c r="AA32">
        <f t="shared" si="13"/>
        <v>0</v>
      </c>
      <c r="AB32">
        <f t="shared" si="13"/>
        <v>0</v>
      </c>
      <c r="AC32">
        <f t="shared" si="13"/>
        <v>0</v>
      </c>
    </row>
    <row r="33" ht="19.5" customHeight="1" hidden="1">
      <c r="A33" t="s">
        <v>2084</v>
      </c>
      <c r="B33">
        <f t="shared" si="14" ref="B33:AC33">IF(B$29=0,0,B$29-B$31)</f>
        <v>0</v>
      </c>
      <c r="C33">
        <f t="shared" si="14"/>
        <v>0</v>
      </c>
      <c r="D33">
        <f t="shared" si="14"/>
        <v>0</v>
      </c>
      <c r="E33">
        <f t="shared" si="14"/>
        <v>0</v>
      </c>
      <c r="F33">
        <f t="shared" si="14"/>
        <v>0</v>
      </c>
      <c r="G33">
        <f t="shared" si="14"/>
        <v>0</v>
      </c>
      <c r="H33">
        <f t="shared" si="14"/>
        <v>0</v>
      </c>
      <c r="I33">
        <f t="shared" si="14"/>
        <v>0</v>
      </c>
      <c r="J33">
        <f t="shared" si="14"/>
        <v>0</v>
      </c>
      <c r="K33">
        <f t="shared" si="14"/>
        <v>0</v>
      </c>
      <c r="L33">
        <f t="shared" si="14"/>
        <v>0</v>
      </c>
      <c r="M33">
        <f t="shared" si="14"/>
        <v>0</v>
      </c>
      <c r="N33">
        <f t="shared" si="14"/>
        <v>0</v>
      </c>
      <c r="O33">
        <f t="shared" si="14"/>
        <v>0</v>
      </c>
      <c r="P33">
        <f t="shared" si="14"/>
        <v>0</v>
      </c>
      <c r="Q33">
        <f t="shared" si="14"/>
        <v>0</v>
      </c>
      <c r="R33">
        <f t="shared" si="14"/>
        <v>0</v>
      </c>
      <c r="S33">
        <f t="shared" si="14"/>
        <v>0</v>
      </c>
      <c r="T33">
        <f t="shared" si="14"/>
        <v>0</v>
      </c>
      <c r="U33">
        <f t="shared" si="14"/>
        <v>0</v>
      </c>
      <c r="V33">
        <f t="shared" si="14"/>
        <v>0</v>
      </c>
      <c r="W33">
        <f t="shared" si="14"/>
        <v>0</v>
      </c>
      <c r="X33">
        <f t="shared" si="14"/>
        <v>0</v>
      </c>
      <c r="Y33">
        <f t="shared" si="14"/>
        <v>0</v>
      </c>
      <c r="Z33">
        <f t="shared" si="14"/>
        <v>0</v>
      </c>
      <c r="AA33">
        <f t="shared" si="14"/>
        <v>0</v>
      </c>
      <c r="AB33">
        <f t="shared" si="14"/>
        <v>0</v>
      </c>
      <c r="AC33">
        <f t="shared" si="14"/>
        <v>0</v>
      </c>
    </row>
    <row r="34" ht="19.5" customHeight="1">
      <c r="A34" t="s">
        <v>2025</v>
      </c>
      <c r="B34">
        <f>'SBL Quotes'!E$31</f>
        <v>0.01</v>
      </c>
      <c r="C34">
        <f>'SBL Quotes'!F$31</f>
        <v>0.01</v>
      </c>
      <c r="D34">
        <f>'SBL Quotes'!G$31</f>
        <v>0.01</v>
      </c>
      <c r="E34">
        <f>'SBL Quotes'!H$31</f>
        <v>0.01</v>
      </c>
      <c r="F34">
        <f>'SBL Quotes'!I$31</f>
        <v>0.01</v>
      </c>
      <c r="G34">
        <f>'SBL Quotes'!J$31</f>
        <v>0.01</v>
      </c>
      <c r="H34">
        <f>'SBL Quotes'!K$31</f>
        <v>0.01</v>
      </c>
      <c r="I34">
        <f>'SBL Quotes'!L$31</f>
        <v>0.01</v>
      </c>
      <c r="J34">
        <f>'SBL Quotes'!M$31</f>
        <v>0.01</v>
      </c>
      <c r="K34">
        <f>'SBL Quotes'!N$31</f>
        <v>0.01</v>
      </c>
      <c r="L34">
        <f>'SBL Quotes'!O$31</f>
        <v>0.01</v>
      </c>
      <c r="M34">
        <f>'SBL Quotes'!P$31</f>
        <v>0.01</v>
      </c>
      <c r="N34">
        <f>'SBL Quotes'!R$31</f>
        <v>0.01</v>
      </c>
      <c r="O34">
        <f>'SBL Quotes'!S$31</f>
        <v>0.01</v>
      </c>
      <c r="P34">
        <f>'SBL Quotes'!T$31</f>
        <v>0.01</v>
      </c>
      <c r="Q34">
        <f>'SBL Quotes'!U$31</f>
        <v>0.005</v>
      </c>
      <c r="R34">
        <f>'SBL Quotes'!V$31</f>
        <v>0.005</v>
      </c>
      <c r="S34">
        <f>'SBL Quotes'!W$31</f>
        <v>0.005</v>
      </c>
      <c r="T34">
        <f>'SBL Quotes'!X$31</f>
        <v>0.005</v>
      </c>
      <c r="U34">
        <f>'SBL Quotes'!Y$31</f>
        <v>0.01</v>
      </c>
      <c r="V34">
        <f>'SBL Quotes'!AA$31</f>
        <v>0.01</v>
      </c>
      <c r="W34">
        <f>'SBL Quotes'!AB$31</f>
        <v>0.01</v>
      </c>
      <c r="X34">
        <f>'SBL Quotes'!AC$31</f>
        <v>0.01</v>
      </c>
      <c r="Y34">
        <f>'SBL Quotes'!AD$31</f>
        <v>0.01</v>
      </c>
      <c r="Z34">
        <f>'SBL Quotes'!AE$31</f>
        <v>0.01</v>
      </c>
      <c r="AA34">
        <f>'SBL Quotes'!AF$31</f>
        <v>0.01</v>
      </c>
      <c r="AB34">
        <f>'SBL Quotes'!AG$31</f>
        <v>0.01</v>
      </c>
      <c r="AC34">
        <f>'SBL Quotes'!AH$31</f>
        <v>0.01</v>
      </c>
    </row>
    <row r="35" ht="21" customHeight="1">
      <c r="A35" t="s">
        <v>877</v>
      </c>
      <c r="B35">
        <v>7500</v>
      </c>
      <c r="C35">
        <f t="shared" si="15" ref="C35:U35">B35</f>
        <v>7500</v>
      </c>
      <c r="D35">
        <f t="shared" si="15"/>
        <v>7500</v>
      </c>
      <c r="E35">
        <f t="shared" si="15"/>
        <v>7500</v>
      </c>
      <c r="F35">
        <f t="shared" si="15"/>
        <v>7500</v>
      </c>
      <c r="G35">
        <f t="shared" si="15"/>
        <v>7500</v>
      </c>
      <c r="H35">
        <f t="shared" si="15"/>
        <v>7500</v>
      </c>
      <c r="I35">
        <f t="shared" si="15"/>
        <v>7500</v>
      </c>
      <c r="J35">
        <f t="shared" si="15"/>
        <v>7500</v>
      </c>
      <c r="K35">
        <f t="shared" si="15"/>
        <v>7500</v>
      </c>
      <c r="L35">
        <f t="shared" si="15"/>
        <v>7500</v>
      </c>
      <c r="M35">
        <f t="shared" si="15"/>
        <v>7500</v>
      </c>
      <c r="N35">
        <v>7500</v>
      </c>
      <c r="O35">
        <f t="shared" si="15"/>
        <v>7500</v>
      </c>
      <c r="P35">
        <f t="shared" si="15"/>
        <v>7500</v>
      </c>
      <c r="Q35">
        <f t="shared" si="15"/>
        <v>7500</v>
      </c>
      <c r="R35">
        <f t="shared" si="15"/>
        <v>7500</v>
      </c>
      <c r="S35">
        <f t="shared" si="15"/>
        <v>7500</v>
      </c>
      <c r="T35">
        <f t="shared" si="15"/>
        <v>7500</v>
      </c>
      <c r="U35">
        <f t="shared" si="15"/>
        <v>7500</v>
      </c>
      <c r="V35">
        <v>12500</v>
      </c>
      <c r="W35">
        <f t="shared" si="8"/>
        <v>12500</v>
      </c>
      <c r="X35">
        <f t="shared" si="8"/>
        <v>12500</v>
      </c>
      <c r="Y35">
        <f t="shared" si="8"/>
        <v>12500</v>
      </c>
      <c r="Z35">
        <f t="shared" si="8"/>
        <v>12500</v>
      </c>
      <c r="AA35">
        <f t="shared" si="8"/>
        <v>12500</v>
      </c>
      <c r="AB35">
        <f t="shared" si="8"/>
        <v>12500</v>
      </c>
      <c r="AC35">
        <f t="shared" si="8"/>
        <v>12500</v>
      </c>
    </row>
    <row r="36" ht="21" customHeight="1" hidden="1">
      <c r="A36" t="s">
        <v>2085</v>
      </c>
      <c r="B36">
        <v>0</v>
      </c>
      <c r="C36">
        <f t="shared" si="16" ref="C36:M36">$B$36</f>
        <v>0</v>
      </c>
      <c r="D36">
        <f t="shared" si="16"/>
        <v>0</v>
      </c>
      <c r="E36">
        <v>0</v>
      </c>
      <c r="F36">
        <f t="shared" si="16"/>
        <v>0</v>
      </c>
      <c r="G36">
        <f t="shared" si="16"/>
        <v>0</v>
      </c>
      <c r="H36">
        <v>0</v>
      </c>
      <c r="I36">
        <f t="shared" si="16"/>
        <v>0</v>
      </c>
      <c r="J36">
        <f t="shared" si="16"/>
        <v>0</v>
      </c>
      <c r="K36">
        <v>0</v>
      </c>
      <c r="L36">
        <f t="shared" si="16"/>
        <v>0</v>
      </c>
      <c r="M36">
        <f t="shared" si="16"/>
        <v>0</v>
      </c>
      <c r="N36">
        <v>0</v>
      </c>
      <c r="O36">
        <f t="shared" si="17" ref="O36:U36">$N$36</f>
        <v>0</v>
      </c>
      <c r="P36">
        <f t="shared" si="17"/>
        <v>0</v>
      </c>
      <c r="Q36">
        <v>0</v>
      </c>
      <c r="R36">
        <f t="shared" si="17"/>
        <v>0</v>
      </c>
      <c r="S36">
        <f t="shared" si="17"/>
        <v>0</v>
      </c>
      <c r="T36">
        <v>0</v>
      </c>
      <c r="U36">
        <f t="shared" si="17"/>
        <v>0</v>
      </c>
      <c r="V36">
        <v>0</v>
      </c>
      <c r="W36">
        <f t="shared" si="8"/>
        <v>0</v>
      </c>
      <c r="X36">
        <f t="shared" si="8"/>
        <v>0</v>
      </c>
      <c r="Y36">
        <f t="shared" si="8"/>
        <v>0</v>
      </c>
      <c r="Z36">
        <f t="shared" si="8"/>
        <v>0</v>
      </c>
      <c r="AA36">
        <f t="shared" si="8"/>
        <v>0</v>
      </c>
      <c r="AB36">
        <f t="shared" si="8"/>
        <v>0</v>
      </c>
      <c r="AC36">
        <f t="shared" si="8"/>
        <v>0</v>
      </c>
    </row>
    <row r="37" ht="21" customHeight="1">
      <c r="A37" t="s">
        <v>2086</v>
      </c>
      <c r="B37">
        <f>IF(AND(SblQuotes_FreddieMktTier="Top",'SBL Quotes'!$B$28="No"),"N/A",0.1%)</f>
        <v>0.001</v>
      </c>
      <c r="C37">
        <f>IF(AND(SblQuotes_FreddieMktTier="Top",'SBL Quotes'!$B$28="No"),"N/A",0.1%)</f>
        <v>0.001</v>
      </c>
      <c r="D37">
        <f>IF(AND(SblQuotes_FreddieMktTier="Top",'SBL Quotes'!$B$28="No"),"N/A",0.1%)</f>
        <v>0.001</v>
      </c>
      <c r="E37">
        <f>IF(AND(SblQuotes_FreddieMktTier="Top",'SBL Quotes'!$B$28="No"),"N/A",0.1%)</f>
        <v>0.001</v>
      </c>
      <c r="F37">
        <f>IF(AND(SblQuotes_FreddieMktTier="Top",'SBL Quotes'!$B$28="No"),"N/A",0.1%)</f>
        <v>0.001</v>
      </c>
      <c r="G37">
        <f>IF(AND(SblQuotes_FreddieMktTier="Top",'SBL Quotes'!$B$28="No"),"N/A",0.1%)</f>
        <v>0.001</v>
      </c>
      <c r="H37">
        <f>IF(AND(SblQuotes_FreddieMktTier="Top",'SBL Quotes'!$B$28="No"),"N/A",0.1%)</f>
        <v>0.001</v>
      </c>
      <c r="I37">
        <f>IF(AND(SblQuotes_FreddieMktTier="Top",'SBL Quotes'!$B$28="No"),"N/A",0.1%)</f>
        <v>0.001</v>
      </c>
      <c r="J37">
        <f>IF(AND(SblQuotes_FreddieMktTier="Top",'SBL Quotes'!$B$28="No"),"N/A",0.1%)</f>
        <v>0.001</v>
      </c>
      <c r="K37">
        <f>IF(AND(SblQuotes_FreddieMktTier="Top",'SBL Quotes'!$B$28="No"),"N/A",0.1%)</f>
        <v>0.001</v>
      </c>
      <c r="L37">
        <f>IF(AND(SblQuotes_FreddieMktTier="Top",'SBL Quotes'!$B$28="No"),"N/A",0.1%)</f>
        <v>0.001</v>
      </c>
      <c r="M37">
        <f>IF(AND(SblQuotes_FreddieMktTier="Top",'SBL Quotes'!$B$28="No"),"N/A",0.1%)</f>
        <v>0.001</v>
      </c>
      <c r="N37">
        <v>0.001</v>
      </c>
      <c r="O37">
        <v>0.001</v>
      </c>
      <c r="P37">
        <v>0.001</v>
      </c>
      <c r="Q37">
        <v>0.001</v>
      </c>
      <c r="R37">
        <v>0.001</v>
      </c>
      <c r="S37">
        <v>0.001</v>
      </c>
      <c r="T37">
        <v>0.001</v>
      </c>
      <c r="U37">
        <v>0.001</v>
      </c>
      <c r="V37" t="s">
        <v>174</v>
      </c>
      <c r="W37" t="str">
        <f t="shared" si="8"/>
        <v>N/A</v>
      </c>
      <c r="X37" t="str">
        <f t="shared" si="8"/>
        <v>N/A</v>
      </c>
      <c r="Y37" t="str">
        <f t="shared" si="8"/>
        <v>N/A</v>
      </c>
      <c r="Z37" t="str">
        <f t="shared" si="8"/>
        <v>N/A</v>
      </c>
      <c r="AA37" t="str">
        <f t="shared" si="8"/>
        <v>N/A</v>
      </c>
      <c r="AB37" t="str">
        <f t="shared" si="8"/>
        <v>N/A</v>
      </c>
      <c r="AC37" t="str">
        <f t="shared" si="8"/>
        <v>N/A</v>
      </c>
    </row>
    <row r="38" ht="24" customHeight="1">
      <c r="A38" t="s">
        <v>2087</v>
      </c>
      <c r="B38" t="str">
        <f t="shared" si="18" ref="B38:U38">_xlfn.LET(_xlpm.IsFannie,LEFT(B8,6)="Fannie",_xlpm.LTV_Above65,B19&gt;65%,_xlpm.MoreThan50Units,number_units&gt;50,IF(_xlpm.IsFannie,"RE Tax, Insurance, Replacement Reserves",IF(_xlpm.LTV_Above65,"RE Tax","")&amp;IF(AND(_xlpm.LTV_Above65,_xlpm.MoreThan50Units),", ","")&amp;IF(_xlpm.MoreThan50Units,"Replacement Reserves",""&amp;IF(NOT(OR(_xlpm.LTV_Above65,_xlpm.MoreThan50Units)),"Waived",""))))</f>
        <v>RE Tax, Replacement Reserves</v>
      </c>
      <c r="C38" t="str">
        <f t="shared" si="18"/>
        <v>RE Tax, Replacement Reserves</v>
      </c>
      <c r="D38" t="str">
        <f t="shared" si="18"/>
        <v>RE Tax, Replacement Reserves</v>
      </c>
      <c r="E38" t="str">
        <f t="shared" si="18"/>
        <v>RE Tax, Replacement Reserves</v>
      </c>
      <c r="F38" t="str">
        <f t="shared" si="18"/>
        <v>RE Tax, Replacement Reserves</v>
      </c>
      <c r="G38" t="str">
        <f t="shared" si="18"/>
        <v>RE Tax, Replacement Reserves</v>
      </c>
      <c r="H38" t="str">
        <f t="shared" si="18"/>
        <v>RE Tax, Replacement Reserves</v>
      </c>
      <c r="I38" t="str">
        <f t="shared" si="18"/>
        <v>RE Tax, Replacement Reserves</v>
      </c>
      <c r="J38" t="str">
        <f t="shared" si="18"/>
        <v>RE Tax, Replacement Reserves</v>
      </c>
      <c r="K38" t="str">
        <f t="shared" si="18"/>
        <v>RE Tax, Replacement Reserves</v>
      </c>
      <c r="L38" t="str">
        <f t="shared" si="18"/>
        <v>RE Tax, Replacement Reserves</v>
      </c>
      <c r="M38" t="str">
        <f t="shared" si="18"/>
        <v>RE Tax, Replacement Reserves</v>
      </c>
      <c r="N38" t="str">
        <f t="shared" si="18"/>
        <v>RE Tax, Insurance, Replacement Reserves</v>
      </c>
      <c r="O38" t="str">
        <f t="shared" si="18"/>
        <v>RE Tax, Insurance, Replacement Reserves</v>
      </c>
      <c r="P38" t="str">
        <f t="shared" si="18"/>
        <v>RE Tax, Insurance, Replacement Reserves</v>
      </c>
      <c r="Q38" t="str">
        <f t="shared" si="18"/>
        <v>RE Tax, Insurance, Replacement Reserves</v>
      </c>
      <c r="R38" t="str">
        <f t="shared" si="18"/>
        <v>RE Tax, Insurance, Replacement Reserves</v>
      </c>
      <c r="S38" t="str">
        <f t="shared" si="18"/>
        <v>RE Tax, Insurance, Replacement Reserves</v>
      </c>
      <c r="T38" t="str">
        <f t="shared" si="18"/>
        <v>RE Tax, Insurance, Replacement Reserves</v>
      </c>
      <c r="U38" t="str">
        <f t="shared" si="18"/>
        <v>RE Tax, Insurance, Replacement Reserves</v>
      </c>
      <c r="V38" t="s">
        <v>2089</v>
      </c>
      <c r="W38" t="str">
        <f t="shared" si="8"/>
        <v>RE Tax, Insurance, Replacement Reserves</v>
      </c>
      <c r="X38" t="str">
        <f t="shared" si="8"/>
        <v>RE Tax, Insurance, Replacement Reserves</v>
      </c>
      <c r="Y38" t="str">
        <f t="shared" si="8"/>
        <v>RE Tax, Insurance, Replacement Reserves</v>
      </c>
      <c r="Z38" t="str">
        <f t="shared" si="8"/>
        <v>RE Tax, Insurance, Replacement Reserves</v>
      </c>
      <c r="AA38" t="str">
        <f t="shared" si="8"/>
        <v>RE Tax, Insurance, Replacement Reserves</v>
      </c>
      <c r="AB38" t="str">
        <f t="shared" si="8"/>
        <v>RE Tax, Insurance, Replacement Reserves</v>
      </c>
      <c r="AC38" t="str">
        <f t="shared" si="8"/>
        <v>RE Tax, Insurance, Replacement Reserves</v>
      </c>
    </row>
    <row r="39" ht="17.25" customHeight="1"/>
    <row r="40" ht="36.75" customHeight="1">
      <c r="A40" t="s">
        <v>2090</v>
      </c>
    </row>
    <row r="41" ht="56.25" customHeight="1"/>
    <row r="42" ht="8.25" customHeight="1"/>
    <row r="43" ht="82.5" customHeight="1">
      <c r="A43" t="str">
        <f>IF('SBL Quotes'!B59="Select Producer Above",IF(A4="XXXX","-",""),'SBL Quotes'!B59)</f>
        <v>-</v>
      </c>
    </row>
    <row r="44" ht="6.75" customHeight="1"/>
    <row r="45" ht="15" customHeight="1" hidden="1"/>
    <row r="46" ht="15" customHeight="1" hidden="1"/>
  </sheetData>
  <printOptions horizontalCentered="1"/>
  <pageMargins left="0.7" right="0.7" top="0.75" bottom="0.75" header="0.3" footer="0.3"/>
  <pageSetup useFirstPageNumber="1" fitToHeight="1" fitToWidth="1" paperSize="1" firstPageNumber="1" scale="71" pageOrder="downThenOver" orientation="landscape"/>
  <headerFooter>
    <oddHeader>&amp;L&amp;C&amp;R</oddHeader>
    <oddFooter>&amp;L&amp;C&amp;R</oddFooter>
  </headerFooter>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9D0C552-DA3A-68CF-0703-07149FDCFD64}" mc:Ignorable="x14ac xr xr2 xr3">
  <dimension ref="A1:AS37"/>
  <sheetViews>
    <sheetView topLeftCell="A1" workbookViewId="0">
      <selection activeCell="A1" sqref="A1"/>
    </sheetView>
  </sheetViews>
  <sheetFormatPr defaultRowHeight="15" defaultColWidth="9.140625" customHeight="1"/>
  <cols>
    <col min="1" max="1" width="3.7109375" customWidth="1"/>
    <col min="2" max="2" width="24.57421875" customWidth="1"/>
    <col min="3" max="5" width="14.57421875" customWidth="1"/>
    <col min="6" max="6" width="15.57421875" customWidth="1"/>
    <col min="7" max="8" width="13.57421875" customWidth="1"/>
    <col min="9" max="9" width="14.57421875" customWidth="1"/>
    <col min="10" max="10" width="5.28125" customWidth="1"/>
    <col min="11" max="11" width="16.8515625" customWidth="1"/>
    <col min="12" max="12" width="16.57421875" customWidth="1"/>
    <col min="13" max="13" width="17.8515625" customWidth="1"/>
    <col min="14" max="19" width="13.7109375" customWidth="1"/>
    <col min="20" max="20" width="4.28125" customWidth="1"/>
    <col min="21" max="22" width="15.57421875" customWidth="1"/>
    <col min="23" max="24" width="13.57421875" customWidth="1"/>
    <col min="25" max="25" width="14.57421875" customWidth="1"/>
  </cols>
  <sheetData>
    <row r="2" ht="15" customHeight="1">
      <c r="B2" t="s">
        <v>2091</v>
      </c>
      <c r="K2" t="s">
        <v>2092</v>
      </c>
      <c r="U2" t="s">
        <v>2093</v>
      </c>
    </row>
    <row r="3" ht="15" customHeight="1">
      <c r="B3" t="s">
        <v>2094</v>
      </c>
      <c r="C3" t="s">
        <v>2095</v>
      </c>
      <c r="D3" t="s">
        <v>530</v>
      </c>
      <c r="E3" t="s">
        <v>531</v>
      </c>
      <c r="F3" t="s">
        <v>532</v>
      </c>
      <c r="G3" t="s">
        <v>533</v>
      </c>
      <c r="H3" t="s">
        <v>534</v>
      </c>
      <c r="I3" t="s">
        <v>535</v>
      </c>
      <c r="K3" t="s">
        <v>2096</v>
      </c>
      <c r="L3" t="s">
        <v>2097</v>
      </c>
      <c r="M3" t="s">
        <v>2098</v>
      </c>
      <c r="N3" t="s">
        <v>530</v>
      </c>
      <c r="O3" t="s">
        <v>531</v>
      </c>
      <c r="P3" t="s">
        <v>532</v>
      </c>
      <c r="Q3" t="s">
        <v>533</v>
      </c>
      <c r="R3" t="s">
        <v>534</v>
      </c>
      <c r="S3" t="s">
        <v>535</v>
      </c>
      <c r="U3" t="s">
        <v>2095</v>
      </c>
      <c r="V3" t="s">
        <v>561</v>
      </c>
      <c r="W3" t="s">
        <v>533</v>
      </c>
      <c r="X3" t="s">
        <v>534</v>
      </c>
      <c r="Y3" t="s">
        <v>535</v>
      </c>
    </row>
    <row r="4" ht="15" customHeight="1">
      <c r="B4" t="s">
        <v>393</v>
      </c>
      <c r="C4" t="s">
        <v>2099</v>
      </c>
      <c r="K4">
        <v>0</v>
      </c>
      <c r="L4">
        <v>0</v>
      </c>
      <c r="M4">
        <v>0</v>
      </c>
      <c r="N4">
        <v>0</v>
      </c>
      <c r="O4">
        <v>0</v>
      </c>
      <c r="P4">
        <v>0</v>
      </c>
      <c r="Q4">
        <v>0</v>
      </c>
      <c r="R4">
        <v>0</v>
      </c>
      <c r="S4">
        <v>0</v>
      </c>
      <c r="U4" t="s">
        <v>393</v>
      </c>
      <c r="V4" t="s">
        <v>631</v>
      </c>
      <c r="W4" t="s">
        <v>2099</v>
      </c>
      <c r="X4" t="s">
        <v>2100</v>
      </c>
      <c r="Y4" t="s">
        <v>2101</v>
      </c>
    </row>
    <row r="5" ht="15" customHeight="1">
      <c r="B5" t="s">
        <v>393</v>
      </c>
      <c r="C5" t="s">
        <v>2100</v>
      </c>
      <c r="K5">
        <v>0.00125</v>
      </c>
      <c r="L5">
        <v>0.00125</v>
      </c>
      <c r="M5">
        <v>0</v>
      </c>
      <c r="N5">
        <v>0.00039999999999999996</v>
      </c>
      <c r="O5">
        <v>0.00030000000000000003</v>
      </c>
      <c r="P5">
        <v>0.0002</v>
      </c>
      <c r="Q5">
        <v>0.00039999999999999996</v>
      </c>
      <c r="R5">
        <v>0.00030000000000000003</v>
      </c>
      <c r="S5">
        <v>0.0002</v>
      </c>
      <c r="U5" t="s">
        <v>2102</v>
      </c>
      <c r="W5" t="s">
        <v>629</v>
      </c>
      <c r="X5" t="s">
        <v>629</v>
      </c>
      <c r="Y5" t="s">
        <v>629</v>
      </c>
    </row>
    <row r="6" ht="15" customHeight="1">
      <c r="B6" t="s">
        <v>393</v>
      </c>
      <c r="C6" t="s">
        <v>2101</v>
      </c>
      <c r="K6">
        <v>0.0025</v>
      </c>
      <c r="L6">
        <v>0.0025</v>
      </c>
      <c r="M6">
        <v>0</v>
      </c>
      <c r="N6">
        <v>0.0007</v>
      </c>
      <c r="O6">
        <v>0.0005</v>
      </c>
      <c r="P6">
        <v>0.00039999999999999996</v>
      </c>
      <c r="Q6">
        <v>0.0007</v>
      </c>
      <c r="R6">
        <v>0.0005</v>
      </c>
      <c r="S6">
        <v>0.00039999999999999996</v>
      </c>
      <c r="U6" t="s">
        <v>2103</v>
      </c>
      <c r="W6" t="s">
        <v>767</v>
      </c>
      <c r="X6" t="s">
        <v>768</v>
      </c>
      <c r="Y6" t="s">
        <v>769</v>
      </c>
    </row>
    <row r="7" ht="15" customHeight="1">
      <c r="B7" t="s">
        <v>393</v>
      </c>
      <c r="C7" t="s">
        <v>2104</v>
      </c>
      <c r="K7">
        <v>0.00375</v>
      </c>
      <c r="L7">
        <v>0.00375</v>
      </c>
      <c r="M7">
        <v>0</v>
      </c>
      <c r="N7">
        <v>0.001</v>
      </c>
      <c r="O7">
        <v>0.0008</v>
      </c>
      <c r="P7">
        <v>0.0006000000000000001</v>
      </c>
      <c r="Q7">
        <v>0.001</v>
      </c>
      <c r="R7">
        <v>0.0008</v>
      </c>
      <c r="S7">
        <v>0.0006000000000000001</v>
      </c>
      <c r="U7" t="s">
        <v>2105</v>
      </c>
      <c r="W7" t="s">
        <v>786</v>
      </c>
    </row>
    <row r="8" ht="15" customHeight="1">
      <c r="B8" t="s">
        <v>393</v>
      </c>
      <c r="C8" t="s">
        <v>2106</v>
      </c>
      <c r="K8">
        <v>0.005</v>
      </c>
      <c r="L8">
        <v>0.005</v>
      </c>
      <c r="M8">
        <v>0</v>
      </c>
      <c r="N8">
        <v>0.0013</v>
      </c>
      <c r="O8">
        <v>0.001</v>
      </c>
      <c r="P8">
        <v>0.0008</v>
      </c>
      <c r="Q8">
        <v>0.0013</v>
      </c>
      <c r="R8">
        <v>0.001</v>
      </c>
      <c r="S8">
        <v>0.0008</v>
      </c>
    </row>
    <row r="9" ht="15" customHeight="1">
      <c r="B9" t="s">
        <v>393</v>
      </c>
      <c r="C9" t="s">
        <v>2107</v>
      </c>
      <c r="K9">
        <v>0.00625</v>
      </c>
      <c r="L9">
        <v>0.00625</v>
      </c>
      <c r="M9">
        <v>0</v>
      </c>
      <c r="N9">
        <v>0.0016</v>
      </c>
      <c r="O9">
        <v>0.0013</v>
      </c>
      <c r="P9">
        <v>0.001</v>
      </c>
      <c r="Q9">
        <v>0.0016</v>
      </c>
      <c r="R9">
        <v>0.0013</v>
      </c>
      <c r="S9">
        <v>0.001</v>
      </c>
      <c r="V9" t="s">
        <v>2108</v>
      </c>
    </row>
    <row r="10" ht="15" customHeight="1">
      <c r="B10" t="s">
        <v>2102</v>
      </c>
      <c r="C10" t="s">
        <v>630</v>
      </c>
      <c r="D10">
        <f>'SBL Quotes'!BK28/10000</f>
        <v>-0.0005</v>
      </c>
      <c r="E10">
        <f>'SBL Quotes'!BL28/10000</f>
        <v>-0.001</v>
      </c>
      <c r="F10">
        <f>'SBL Quotes'!BM28/10000</f>
        <v>-0.001</v>
      </c>
      <c r="K10">
        <v>0.0075</v>
      </c>
      <c r="L10">
        <v>0.007500000000000001</v>
      </c>
      <c r="M10">
        <v>0</v>
      </c>
      <c r="N10">
        <v>0.0019</v>
      </c>
      <c r="O10">
        <v>0.0015</v>
      </c>
      <c r="P10">
        <v>0.0012000000000000001</v>
      </c>
      <c r="Q10">
        <v>0.0019</v>
      </c>
      <c r="R10">
        <v>0.0015</v>
      </c>
      <c r="S10">
        <v>0.0012000000000000001</v>
      </c>
      <c r="V10" t="s">
        <v>2109</v>
      </c>
    </row>
    <row r="11" ht="15" customHeight="1">
      <c r="B11" t="s">
        <v>2102</v>
      </c>
      <c r="C11" t="s">
        <v>629</v>
      </c>
      <c r="G11">
        <f>'SBL Quotes'!BN28/10000</f>
        <v>-0.0005</v>
      </c>
      <c r="H11">
        <f>'SBL Quotes'!BO28/10000</f>
        <v>-0.001</v>
      </c>
      <c r="I11">
        <f>'SBL Quotes'!BP28/10000</f>
        <v>-0.001</v>
      </c>
      <c r="K11">
        <v>0.00875</v>
      </c>
      <c r="L11">
        <v>0.00875</v>
      </c>
      <c r="M11">
        <v>0</v>
      </c>
      <c r="N11">
        <v>0.0021999999999999997</v>
      </c>
      <c r="O11">
        <v>0.0018</v>
      </c>
      <c r="P11">
        <v>0.0014</v>
      </c>
      <c r="Q11">
        <v>0.0021999999999999997</v>
      </c>
      <c r="R11">
        <v>0.0018</v>
      </c>
      <c r="S11">
        <v>0.0014</v>
      </c>
    </row>
    <row r="12" ht="15" customHeight="1">
      <c r="B12" t="s">
        <v>2103</v>
      </c>
      <c r="C12" t="s">
        <v>764</v>
      </c>
      <c r="D12">
        <f>'SBL Quotes'!BK31/10000</f>
        <v>0.0005</v>
      </c>
      <c r="K12">
        <v>0.01</v>
      </c>
      <c r="L12">
        <v>0.01</v>
      </c>
      <c r="M12">
        <v>0</v>
      </c>
      <c r="N12">
        <v>0.0025</v>
      </c>
      <c r="O12">
        <v>0.002</v>
      </c>
      <c r="P12">
        <v>0.0015</v>
      </c>
      <c r="Q12">
        <v>0.0025</v>
      </c>
      <c r="R12">
        <v>0.002</v>
      </c>
      <c r="S12">
        <v>0.0015</v>
      </c>
    </row>
    <row r="13" ht="15" customHeight="1">
      <c r="B13" t="s">
        <v>2103</v>
      </c>
      <c r="C13" t="s">
        <v>767</v>
      </c>
      <c r="G13">
        <f>'SBL Quotes'!BN31/10000</f>
        <v>0.0005</v>
      </c>
      <c r="K13">
        <v>0.01125</v>
      </c>
      <c r="L13">
        <v>0.01125</v>
      </c>
      <c r="M13">
        <v>0</v>
      </c>
      <c r="N13">
        <v>0.0029</v>
      </c>
      <c r="O13">
        <v>0.0023</v>
      </c>
      <c r="P13">
        <v>0.0017000000000000001</v>
      </c>
      <c r="Q13">
        <v>0.0029</v>
      </c>
      <c r="R13">
        <v>0.0023</v>
      </c>
      <c r="S13">
        <v>0.0017000000000000001</v>
      </c>
    </row>
    <row r="14" ht="15" customHeight="1">
      <c r="B14" t="s">
        <v>2103</v>
      </c>
      <c r="C14" t="s">
        <v>765</v>
      </c>
      <c r="E14">
        <f>'SBL Quotes'!BL31/10000</f>
        <v>0.001</v>
      </c>
      <c r="K14">
        <v>0.0125</v>
      </c>
      <c r="L14">
        <v>0.012499999999999999</v>
      </c>
      <c r="M14">
        <v>0</v>
      </c>
      <c r="N14">
        <v>0.0031999999999999997</v>
      </c>
      <c r="O14">
        <v>0.0025</v>
      </c>
      <c r="P14">
        <v>0.0019</v>
      </c>
      <c r="Q14">
        <v>0.0031999999999999997</v>
      </c>
      <c r="R14">
        <v>0.0025</v>
      </c>
      <c r="S14">
        <v>0.0019</v>
      </c>
    </row>
    <row r="15" ht="15" customHeight="1">
      <c r="B15" t="s">
        <v>2103</v>
      </c>
      <c r="C15" t="s">
        <v>768</v>
      </c>
      <c r="H15">
        <f>'SBL Quotes'!BO31/10000</f>
        <v>0.001</v>
      </c>
      <c r="K15">
        <v>0.01375</v>
      </c>
      <c r="L15">
        <v>0.013749999999999998</v>
      </c>
      <c r="M15">
        <v>0</v>
      </c>
      <c r="N15">
        <v>0.0034999999999999996</v>
      </c>
      <c r="O15">
        <v>0.0028</v>
      </c>
      <c r="P15">
        <v>0.0021</v>
      </c>
      <c r="Q15">
        <v>0.0034999999999999996</v>
      </c>
      <c r="R15">
        <v>0.0028</v>
      </c>
      <c r="S15">
        <v>0.0021</v>
      </c>
    </row>
    <row r="16" ht="15" customHeight="1">
      <c r="B16" t="s">
        <v>2103</v>
      </c>
      <c r="C16" t="s">
        <v>766</v>
      </c>
      <c r="F16">
        <f>'SBL Quotes'!BM31/10000</f>
        <v>0.001</v>
      </c>
      <c r="K16">
        <v>0.015</v>
      </c>
      <c r="L16">
        <v>0.015</v>
      </c>
      <c r="M16">
        <v>0</v>
      </c>
      <c r="N16">
        <v>0.0038</v>
      </c>
      <c r="O16">
        <v>0.003</v>
      </c>
      <c r="P16">
        <v>0.0023</v>
      </c>
      <c r="Q16">
        <v>0.0038</v>
      </c>
      <c r="R16">
        <v>0.003</v>
      </c>
      <c r="S16">
        <v>0.0023</v>
      </c>
    </row>
    <row r="17" ht="15" customHeight="1">
      <c r="B17" t="s">
        <v>2103</v>
      </c>
      <c r="C17" t="s">
        <v>769</v>
      </c>
      <c r="I17">
        <f>'SBL Quotes'!BP31/10000</f>
        <v>0.001</v>
      </c>
      <c r="K17">
        <v>0.01625</v>
      </c>
      <c r="L17">
        <v>0.01625</v>
      </c>
      <c r="M17">
        <v>0</v>
      </c>
      <c r="N17">
        <v>0.0041</v>
      </c>
      <c r="O17">
        <v>0.0033</v>
      </c>
      <c r="P17">
        <v>0.0024999999999999996</v>
      </c>
      <c r="Q17">
        <v>0.0041</v>
      </c>
      <c r="R17">
        <v>0.0033</v>
      </c>
      <c r="S17">
        <v>0.0024999999999999996</v>
      </c>
    </row>
    <row r="18" ht="15" customHeight="1">
      <c r="B18" t="s">
        <v>2105</v>
      </c>
      <c r="C18" t="s">
        <v>785</v>
      </c>
      <c r="D18">
        <f>'SBL Quotes'!BK34/10000</f>
        <v>0.003</v>
      </c>
      <c r="K18">
        <v>0.0175</v>
      </c>
      <c r="L18">
        <v>0.0175</v>
      </c>
      <c r="M18">
        <v>0</v>
      </c>
      <c r="N18">
        <v>0.0044</v>
      </c>
      <c r="O18">
        <v>0.0035</v>
      </c>
      <c r="P18">
        <v>0.0026999999999999997</v>
      </c>
      <c r="Q18">
        <v>0.0044</v>
      </c>
      <c r="R18">
        <v>0.0035</v>
      </c>
      <c r="S18">
        <v>0.0026999999999999997</v>
      </c>
    </row>
    <row r="19" ht="15" customHeight="1">
      <c r="B19" t="s">
        <v>2105</v>
      </c>
      <c r="C19" t="s">
        <v>786</v>
      </c>
      <c r="G19">
        <f>'SBL Quotes'!BN34/10000</f>
        <v>0.003</v>
      </c>
      <c r="K19">
        <v>0.01875</v>
      </c>
      <c r="L19">
        <v>0.01875</v>
      </c>
      <c r="M19">
        <v>0</v>
      </c>
      <c r="N19">
        <v>0.0047</v>
      </c>
      <c r="O19">
        <v>0.0038</v>
      </c>
      <c r="P19">
        <v>0.0029</v>
      </c>
      <c r="Q19">
        <v>0.0047</v>
      </c>
      <c r="R19">
        <v>0.0038</v>
      </c>
      <c r="S19">
        <v>0.0029</v>
      </c>
    </row>
    <row r="20" ht="15" customHeight="1">
      <c r="K20">
        <v>0.02</v>
      </c>
      <c r="L20">
        <v>0.02</v>
      </c>
      <c r="M20">
        <v>0</v>
      </c>
      <c r="N20">
        <v>0.005</v>
      </c>
      <c r="O20">
        <v>0.004</v>
      </c>
      <c r="P20">
        <v>0.003</v>
      </c>
      <c r="Q20">
        <v>0.005</v>
      </c>
      <c r="R20">
        <v>0.004</v>
      </c>
      <c r="S20">
        <v>0.003</v>
      </c>
    </row>
    <row r="21" ht="15" customHeight="1">
      <c r="K21">
        <v>0.02125</v>
      </c>
      <c r="L21">
        <v>0.020625</v>
      </c>
      <c r="M21">
        <v>0.0006250000000000006</v>
      </c>
      <c r="N21">
        <v>0.0054</v>
      </c>
      <c r="O21">
        <v>0.0043</v>
      </c>
      <c r="P21">
        <v>0.0031999999999999997</v>
      </c>
      <c r="Q21">
        <v>0.0054</v>
      </c>
      <c r="R21">
        <v>0.0043</v>
      </c>
      <c r="S21">
        <v>0.0031999999999999997</v>
      </c>
    </row>
    <row r="22" ht="15" customHeight="1">
      <c r="K22">
        <v>0.0225</v>
      </c>
      <c r="L22">
        <v>0.021249999999999998</v>
      </c>
      <c r="M22">
        <v>0.0012500000000000011</v>
      </c>
      <c r="N22">
        <v>0.0057</v>
      </c>
      <c r="O22">
        <v>0.0045</v>
      </c>
      <c r="P22">
        <v>0.0034</v>
      </c>
      <c r="Q22">
        <v>0.0057</v>
      </c>
      <c r="R22">
        <v>0.0045</v>
      </c>
      <c r="S22">
        <v>0.0034</v>
      </c>
    </row>
    <row r="23" ht="15" customHeight="1">
      <c r="K23">
        <v>0.02375</v>
      </c>
      <c r="L23">
        <v>0.021875</v>
      </c>
      <c r="M23">
        <v>0.0018750000000000017</v>
      </c>
      <c r="N23">
        <v>0.006</v>
      </c>
      <c r="O23">
        <v>0.0048000000000000004</v>
      </c>
      <c r="P23">
        <v>0.0036</v>
      </c>
      <c r="Q23">
        <v>0.006</v>
      </c>
      <c r="R23">
        <v>0.0048000000000000004</v>
      </c>
      <c r="S23">
        <v>0.0036</v>
      </c>
    </row>
    <row r="24" ht="15" customHeight="1">
      <c r="K24">
        <v>0.025</v>
      </c>
      <c r="L24">
        <v>0.0225</v>
      </c>
      <c r="M24">
        <v>0.0025000000000000022</v>
      </c>
      <c r="N24">
        <v>0.0063</v>
      </c>
      <c r="O24">
        <v>0.005</v>
      </c>
      <c r="P24">
        <v>0.0038</v>
      </c>
      <c r="Q24">
        <v>0.0063</v>
      </c>
      <c r="R24">
        <v>0.005</v>
      </c>
      <c r="S24">
        <v>0.0038</v>
      </c>
    </row>
    <row r="25" ht="15" customHeight="1">
      <c r="K25">
        <v>0.02625</v>
      </c>
      <c r="L25">
        <v>0.023125</v>
      </c>
      <c r="M25">
        <v>0.0031249999999999993</v>
      </c>
      <c r="N25">
        <v>0.0066</v>
      </c>
      <c r="O25">
        <v>0.0053</v>
      </c>
      <c r="P25">
        <v>0.004</v>
      </c>
      <c r="Q25">
        <v>0.0066</v>
      </c>
      <c r="R25">
        <v>0.0053</v>
      </c>
      <c r="S25">
        <v>0.004</v>
      </c>
    </row>
    <row r="26" ht="15" customHeight="1">
      <c r="K26">
        <v>0.0275</v>
      </c>
      <c r="L26">
        <v>0.02375</v>
      </c>
      <c r="M26">
        <v>0.00375</v>
      </c>
      <c r="N26">
        <v>0.0069</v>
      </c>
      <c r="O26">
        <v>0.0055</v>
      </c>
      <c r="P26">
        <v>0.004200000000000001</v>
      </c>
      <c r="Q26">
        <v>0.0069</v>
      </c>
      <c r="R26">
        <v>0.0055</v>
      </c>
      <c r="S26">
        <v>0.004200000000000001</v>
      </c>
    </row>
    <row r="27" ht="15" customHeight="1">
      <c r="K27">
        <v>0.02875</v>
      </c>
      <c r="L27">
        <v>0.024375</v>
      </c>
      <c r="M27">
        <v>0.004375</v>
      </c>
      <c r="N27">
        <v>0.007200000000000001</v>
      </c>
      <c r="O27">
        <v>0.0058000000000000005</v>
      </c>
      <c r="P27">
        <v>0.0044</v>
      </c>
      <c r="Q27">
        <v>0.007200000000000001</v>
      </c>
      <c r="R27">
        <v>0.0058000000000000005</v>
      </c>
      <c r="S27">
        <v>0.0044</v>
      </c>
    </row>
    <row r="28" ht="15" customHeight="1">
      <c r="K28">
        <v>0.03</v>
      </c>
      <c r="L28">
        <v>0.025</v>
      </c>
      <c r="M28">
        <v>0.0049999999999999975</v>
      </c>
      <c r="N28">
        <v>0.0075</v>
      </c>
      <c r="O28">
        <v>0.006</v>
      </c>
      <c r="P28">
        <v>0.0045</v>
      </c>
      <c r="Q28">
        <v>0.0075</v>
      </c>
      <c r="R28">
        <v>0.006</v>
      </c>
      <c r="S28">
        <v>0.0045</v>
      </c>
    </row>
    <row r="29" ht="15" customHeight="1">
      <c r="K29">
        <v>0.03125</v>
      </c>
      <c r="L29">
        <v>0.025625000000000002</v>
      </c>
      <c r="M29">
        <v>0.005624999999999998</v>
      </c>
      <c r="N29">
        <v>0.007899999999999999</v>
      </c>
      <c r="O29">
        <v>0.0063</v>
      </c>
      <c r="P29">
        <v>0.0047</v>
      </c>
      <c r="Q29">
        <v>0.007899999999999999</v>
      </c>
      <c r="R29">
        <v>0.0063</v>
      </c>
      <c r="S29">
        <v>0.0047</v>
      </c>
    </row>
    <row r="30" ht="15" customHeight="1">
      <c r="K30">
        <v>0.0325</v>
      </c>
      <c r="L30">
        <v>0.026250000000000002</v>
      </c>
      <c r="M30">
        <v>0.006249999999999999</v>
      </c>
      <c r="N30">
        <v>0.008199999999999999</v>
      </c>
      <c r="O30">
        <v>0.0065</v>
      </c>
      <c r="P30">
        <v>0.0049</v>
      </c>
      <c r="Q30">
        <v>0.008199999999999999</v>
      </c>
      <c r="R30">
        <v>0.0065</v>
      </c>
      <c r="S30">
        <v>0.0049</v>
      </c>
    </row>
    <row r="31" ht="15" customHeight="1">
      <c r="K31">
        <v>0.03375</v>
      </c>
      <c r="L31">
        <v>0.026875000000000003</v>
      </c>
      <c r="M31">
        <v>0.006874999999999999</v>
      </c>
      <c r="N31">
        <v>0.008499999999999999</v>
      </c>
      <c r="O31">
        <v>0.0068000000000000005</v>
      </c>
      <c r="P31">
        <v>0.0051</v>
      </c>
      <c r="Q31">
        <v>0.008499999999999999</v>
      </c>
      <c r="R31">
        <v>0.0068000000000000005</v>
      </c>
      <c r="S31">
        <v>0.0051</v>
      </c>
    </row>
    <row r="32" ht="15" customHeight="1">
      <c r="K32">
        <v>0.035</v>
      </c>
      <c r="L32">
        <v>0.027500000000000004</v>
      </c>
      <c r="M32">
        <v>0.0075</v>
      </c>
      <c r="N32">
        <v>0.008799999999999999</v>
      </c>
      <c r="O32">
        <v>0.007</v>
      </c>
      <c r="P32">
        <v>0.0053</v>
      </c>
      <c r="Q32">
        <v>0.008799999999999999</v>
      </c>
      <c r="R32">
        <v>0.007</v>
      </c>
      <c r="S32">
        <v>0.0053</v>
      </c>
    </row>
    <row r="33" ht="15" customHeight="1">
      <c r="K33">
        <v>0.03625</v>
      </c>
      <c r="L33">
        <v>0.028124999999999997</v>
      </c>
      <c r="M33">
        <v>0.008125</v>
      </c>
      <c r="N33">
        <v>0.009099999999999999</v>
      </c>
      <c r="O33">
        <v>0.0073</v>
      </c>
      <c r="P33">
        <v>0.0055000000000000005</v>
      </c>
      <c r="Q33">
        <v>0.009099999999999999</v>
      </c>
      <c r="R33">
        <v>0.0073</v>
      </c>
      <c r="S33">
        <v>0.0055000000000000005</v>
      </c>
    </row>
    <row r="34" ht="15" customHeight="1">
      <c r="K34">
        <v>0.0375</v>
      </c>
      <c r="L34">
        <v>0.028749999999999998</v>
      </c>
      <c r="M34">
        <v>0.00875</v>
      </c>
      <c r="N34">
        <v>0.009399999999999999</v>
      </c>
      <c r="O34">
        <v>0.0075</v>
      </c>
      <c r="P34">
        <v>0.0057</v>
      </c>
      <c r="Q34">
        <v>0.009399999999999999</v>
      </c>
      <c r="R34">
        <v>0.0075</v>
      </c>
      <c r="S34">
        <v>0.0057</v>
      </c>
    </row>
    <row r="35" ht="15" customHeight="1">
      <c r="K35">
        <v>0.03875</v>
      </c>
      <c r="L35">
        <v>0.029375</v>
      </c>
      <c r="M35">
        <v>0.009375000000000001</v>
      </c>
      <c r="N35">
        <v>0.009699999999999999</v>
      </c>
      <c r="O35">
        <v>0.0078000000000000005</v>
      </c>
      <c r="P35">
        <v>0.0059</v>
      </c>
      <c r="Q35">
        <v>0.009699999999999999</v>
      </c>
      <c r="R35">
        <v>0.0078000000000000005</v>
      </c>
      <c r="S35">
        <v>0.0059</v>
      </c>
    </row>
    <row r="36" ht="15" customHeight="1">
      <c r="K36">
        <v>0.04</v>
      </c>
      <c r="L36">
        <v>0.03</v>
      </c>
      <c r="M36">
        <v>0.010000000000000002</v>
      </c>
      <c r="N36">
        <v>0.01</v>
      </c>
      <c r="O36">
        <v>0.008</v>
      </c>
      <c r="P36">
        <v>0.006</v>
      </c>
      <c r="Q36">
        <v>0.01</v>
      </c>
      <c r="R36">
        <v>0.008</v>
      </c>
      <c r="S36">
        <v>0.006</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0F1DBB2-6C8C-F9F1-D55A-465ABFEE374D}" mc:Ignorable="x14ac xr xr2 xr3">
  <sheetPr>
    <tabColor theme="5" tint="0.4"/>
  </sheetPr>
  <dimension ref="A1:Q412"/>
  <sheetViews>
    <sheetView topLeftCell="A1" workbookViewId="0">
      <selection activeCell="A1" sqref="A1"/>
    </sheetView>
  </sheetViews>
  <sheetFormatPr defaultRowHeight="14.002500000000003" defaultColWidth="8.8515625" customHeight="1"/>
  <cols>
    <col min="1" max="1" width="1.7109375" customWidth="1"/>
    <col min="2" max="2" width="37.00390625" customWidth="1"/>
    <col min="3" max="3" width="61.57421875" customWidth="1"/>
    <col min="6" max="6" width="31.8515625" customWidth="1"/>
    <col min="17" max="17" width="62.7109375" customWidth="1"/>
  </cols>
  <sheetData>
    <row r="1" ht="14.25" customHeight="1">
      <c r="B1" t="s">
        <v>2110</v>
      </c>
      <c r="C1" s="1">
        <f>TODAY()</f>
        <v>45189</v>
      </c>
    </row>
    <row r="2" ht="14.25" customHeight="1">
      <c r="B2" t="s">
        <v>2111</v>
      </c>
      <c r="C2" s="1">
        <f>C1+(7-WEEKDAY(C1,2)+1)</f>
        <v>45194</v>
      </c>
    </row>
    <row r="3" ht="9.75" customHeight="1"/>
    <row r="4" ht="45" customHeight="1">
      <c r="B4" t="s">
        <v>2112</v>
      </c>
    </row>
    <row r="5" ht="9.75" customHeight="1"/>
    <row r="6" ht="14.25" customHeight="1">
      <c r="B6" t="s">
        <v>2113</v>
      </c>
      <c r="C6" t="str">
        <f t="shared" si="0" ref="C6:C208">property_name</f>
        <v>XXXX</v>
      </c>
    </row>
    <row r="7" ht="14.25" customHeight="1">
      <c r="B7" t="s">
        <v>2114</v>
      </c>
      <c r="C7" t="str">
        <f>number_units&amp;" Units"</f>
        <v>101 Units</v>
      </c>
    </row>
    <row r="8" ht="15" customHeight="1">
      <c r="B8" t="s">
        <v>2116</v>
      </c>
      <c r="C8" t="str">
        <f>address&amp;", "&amp;'SBL Quotes'!B8&amp;" "&amp;SBL_ZipCode</f>
        <v>, City, XX XXXXX</v>
      </c>
    </row>
    <row r="9" ht="14.25" customHeight="1">
      <c r="B9" t="s">
        <v>2117</v>
      </c>
      <c r="C9" t="s">
        <v>367</v>
      </c>
    </row>
    <row r="10" ht="14.25" customHeight="1">
      <c r="B10" t="s">
        <v>2118</v>
      </c>
      <c r="C10" t="str">
        <f>'SBL Quotes'!B38</f>
        <v>Refinance</v>
      </c>
    </row>
    <row r="11" ht="15" customHeight="1">
      <c r="B11" t="s">
        <v>2119</v>
      </c>
      <c r="C11" t="s">
        <v>2120</v>
      </c>
    </row>
    <row r="12" ht="9.75" customHeight="1"/>
    <row r="13" ht="74.25" customHeight="1">
      <c r="B13" t="s">
        <v>2121</v>
      </c>
    </row>
    <row r="14" ht="9.75" customHeight="1"/>
    <row r="15" ht="155.25" customHeight="1">
      <c r="B15" t="s">
        <v>2122</v>
      </c>
    </row>
    <row r="16" ht="9.75" customHeight="1"/>
    <row r="17" ht="15" customHeight="1">
      <c r="B17" t="s">
        <v>2123</v>
      </c>
      <c r="C17" cm="1" t="str">
        <f t="array" ref="C17">_xlfn.IFERROR(INDEX('SBL Quotes'!$E$7:$G$7,1,'SBL Quotes'!$B$54),"Please Select Loan Option on SBL Quotes Tab (Cell B42)")</f>
        <v>Please Select Loan Option on SBL Quotes Tab (Cell B42)</v>
      </c>
    </row>
    <row r="18" ht="9.75" customHeight="1"/>
    <row r="19" ht="15" customHeight="1">
      <c r="B19" t="s">
        <v>2125</v>
      </c>
      <c r="C19" cm="1" t="str">
        <f t="array" ref="C19">TEXT(_xlfn.IFERROR(INDEX('SBL Quotes'!$E$68:$G$68,1,'SBL Quotes'!$B$54),0),"0.00%")&amp;" as of the Date of Issuance."</f>
        <v>0.00% as of the Date of Issuance.</v>
      </c>
    </row>
    <row r="20" ht="9.75" customHeight="1"/>
    <row r="21" ht="120.75" customHeight="1">
      <c r="C21" t="s">
        <v>2127</v>
      </c>
    </row>
    <row r="22" ht="9.75" customHeight="1"/>
    <row r="23" ht="15" customHeight="1">
      <c r="B23" t="s">
        <v>2128</v>
      </c>
      <c r="C23" t="s">
        <v>2129</v>
      </c>
    </row>
    <row r="24" ht="9.75" customHeight="1"/>
    <row r="25" ht="15" customHeight="1">
      <c r="B25" t="s">
        <v>2130</v>
      </c>
      <c r="C25" cm="1" t="str">
        <f t="array" ref="C25">_xlfn.IFERROR(INDEX('SBL Quotes'!$E$6:$G$6,1,'SBL Quotes'!$B$54),"Please Select Loan Option on SBL Quotes Tab (Cell B42)")</f>
        <v>Please Select Loan Option on SBL Quotes Tab (Cell B42)</v>
      </c>
    </row>
    <row r="26" ht="9.75" customHeight="1"/>
    <row r="27" ht="15" customHeight="1">
      <c r="B27" t="s">
        <v>2131</v>
      </c>
      <c r="C27" cm="1" t="str">
        <f t="array" ref="C27">_xlfn.NUMBERVALUE(TRIM(LEFT(_xlfn.IFERROR(INDEX('SBL Quotes'!$E$6:$G$6,1,'SBL Quotes'!$B$54),0),2)))*12&amp;" months"</f>
        <v>0 months</v>
      </c>
    </row>
    <row r="28" ht="9.75" customHeight="1"/>
    <row r="29" ht="15" customHeight="1">
      <c r="B29" t="s">
        <v>2133</v>
      </c>
      <c r="C29" cm="1" t="str">
        <f t="array" ref="C29">_xlfn.NUMBERVALUE(TRIM(LEFT(_xlfn.IFERROR(INDEX('SBL Quotes'!$E$43:$G$43,1,'SBL Quotes'!$B$54),0),2)))*12&amp;" months"</f>
        <v>0 months</v>
      </c>
    </row>
    <row r="30" ht="9.75" customHeight="1"/>
    <row r="31" ht="15" customHeight="1">
      <c r="B31" t="s">
        <v>2134</v>
      </c>
      <c r="C31" cm="1" t="str">
        <f t="array" ref="C31">_xlfn.NUMBERVALUE(TRIM(LEFT(_xlfn.IFERROR(INDEX('SBL Quotes'!$E$46:$G$46,1,'SBL Quotes'!$B$54),0),2)))*12&amp;" months; balance due at loan maturity."</f>
        <v>0 months; balance due at loan maturity.</v>
      </c>
    </row>
    <row r="32" ht="9.75" customHeight="1"/>
    <row r="33" ht="14.25" customHeight="1">
      <c r="B33" t="s">
        <v>2136</v>
      </c>
      <c r="C33" cm="1" t="str">
        <f t="array" ref="C33">_xlfn.NUMBERVALUE(TRIM(LEFT(_xlfn.IFERROR(INDEX('SBL Quotes'!$E$6:$G$6,1,'SBL Quotes'!$B$54),0),2)))*12&amp;" months, loan will convert to floating rate after fixed rate period ends."</f>
        <v>0 months, loan will convert to floating rate after fixed rate period ends.</v>
      </c>
    </row>
    <row r="34" ht="9.75" customHeight="1"/>
    <row r="35" ht="15" customHeight="1">
      <c r="B35" t="s">
        <v>2138</v>
      </c>
      <c r="C35" cm="1" t="str">
        <f t="array" ref="C35">_xlfn.IFERROR(IF(TRIM(RIGHT(INDEX('SBL Quotes'!$E$6:$G$6,1,'SBL Quotes'!$B$54),6))="Fixed","N/A",Boilerplate!$C$4),"Please Select Loan Option on SBL Quotes Tab (Cell B42)")</f>
        <v>Please Select Loan Option on SBL Quotes Tab (Cell B42)</v>
      </c>
    </row>
    <row r="36" ht="9.75" customHeight="1"/>
    <row r="37" ht="15" customHeight="1">
      <c r="B37" t="s">
        <v>2139</v>
      </c>
      <c r="C37" t="str">
        <f>_xlfn.IFERROR(INDEX(Boilerplate!$C$7:$V$7,1,MATCH('SBL Quotes'!B55,Boilerplate!$C$6:$V$6,0)),"Please choose a prepayment schedule in cell B54 on the SBL Quotes tab.")</f>
        <v>Please choose a prepayment schedule in cell B54 on the SBL Quotes tab.</v>
      </c>
    </row>
    <row r="38" ht="9.75" customHeight="1"/>
    <row r="39" ht="15" customHeight="1">
      <c r="B39" t="s">
        <v>2141</v>
      </c>
      <c r="C39" cm="1" t="str">
        <f t="array" ref="C39">_xlfn.IFERROR(TEXT(INDEX('SBL Quotes'!$E$14:$G$14,1,'SBL Quotes'!$B$54),"0.0%")&amp;Boilerplate!C9,"Please Select Loan Option on SBL Quotes Tab (Cell B42)")</f>
        <v>Please Select Loan Option on SBL Quotes Tab (Cell B42)</v>
      </c>
    </row>
    <row r="40" ht="9.75" customHeight="1"/>
    <row r="41" ht="14.25" customHeight="1">
      <c r="B41" t="s">
        <v>2142</v>
      </c>
      <c r="C41" cm="1" t="str">
        <f t="array" ref="C41">_xlfn.IFERROR(TEXT(INDEX('SBL Quotes'!$E$13:$G$13,1,'SBL Quotes'!$B$54),"0.00")&amp;"x based on "&amp;INDEX('SBL Quotes'!$E$9:$G$9,1,'SBL Quotes'!$B$54)&amp;"-year amortization.","Please Select Loan Option on SBL Quotes Tab (Cell B42)")</f>
        <v>Please Select Loan Option on SBL Quotes Tab (Cell B42)</v>
      </c>
    </row>
    <row r="42" ht="9.75" customHeight="1"/>
    <row r="43" ht="45" customHeight="1">
      <c r="B43" t="s">
        <v>2143</v>
      </c>
      <c r="C43" t="s">
        <v>2144</v>
      </c>
    </row>
    <row r="44" ht="9.75" customHeight="1"/>
    <row r="45" ht="15" customHeight="1">
      <c r="B45" t="s">
        <v>2145</v>
      </c>
      <c r="C45" t="s">
        <v>2146</v>
      </c>
    </row>
    <row r="46" ht="9.75" customHeight="1"/>
    <row r="47" ht="29.25" customHeight="1">
      <c r="B47" t="s">
        <v>2147</v>
      </c>
      <c r="C47" t="s">
        <v>2148</v>
      </c>
    </row>
    <row r="48" ht="9.75" customHeight="1"/>
    <row r="49" ht="90" customHeight="1">
      <c r="B49" t="s">
        <v>2149</v>
      </c>
      <c r="C49" t="s">
        <v>2150</v>
      </c>
    </row>
    <row r="50" ht="9.75" customHeight="1"/>
    <row r="51" ht="60" customHeight="1">
      <c r="B51" t="s">
        <v>2151</v>
      </c>
      <c r="C51" t="s">
        <v>2152</v>
      </c>
    </row>
    <row r="52" ht="9.75" customHeight="1"/>
    <row r="53" ht="30.75" customHeight="1">
      <c r="C53" t="s">
        <v>2153</v>
      </c>
    </row>
    <row r="54" ht="9.75" customHeight="1"/>
    <row r="55" ht="15" customHeight="1">
      <c r="C55" t="s">
        <v>2154</v>
      </c>
    </row>
    <row r="56" ht="9.75" customHeight="1"/>
    <row r="57" ht="45" customHeight="1">
      <c r="C57" t="s">
        <v>2155</v>
      </c>
    </row>
    <row r="58" ht="9.75" customHeight="1"/>
    <row r="59" ht="43.5" customHeight="1">
      <c r="C59" t="s">
        <v>2156</v>
      </c>
    </row>
    <row r="60" ht="9.75" customHeight="1"/>
    <row r="61" ht="28.5" customHeight="1">
      <c r="C61" t="s">
        <v>2157</v>
      </c>
    </row>
    <row r="62" ht="9.75" customHeight="1"/>
    <row r="63" ht="90" customHeight="1">
      <c r="C63" t="s">
        <v>2158</v>
      </c>
    </row>
    <row r="64" ht="9.75" customHeight="1"/>
    <row r="65" ht="89.25" customHeight="1">
      <c r="C65" t="s">
        <v>2159</v>
      </c>
    </row>
    <row r="66" ht="9.75" customHeight="1"/>
    <row r="67" ht="105" customHeight="1">
      <c r="C67" t="s">
        <v>2160</v>
      </c>
    </row>
    <row r="68" ht="9.75" customHeight="1"/>
    <row r="69" ht="45" customHeight="1">
      <c r="C69" t="s">
        <v>2161</v>
      </c>
    </row>
    <row r="70" ht="9.75" customHeight="1"/>
    <row r="71" ht="76.5" customHeight="1">
      <c r="C71" t="s">
        <v>2162</v>
      </c>
    </row>
    <row r="72" ht="9.75" customHeight="1"/>
    <row r="73" ht="15" customHeight="1">
      <c r="B73" t="s">
        <v>2163</v>
      </c>
      <c r="C73" t="s">
        <v>2164</v>
      </c>
    </row>
    <row r="74" ht="14.25" customHeight="1">
      <c r="C74" t="s">
        <v>2165</v>
      </c>
    </row>
    <row r="75" ht="14.25" customHeight="1">
      <c r="C75" t="str">
        <f>IF(number_units&gt;=50,"Replacement Reserves: Required","Replacement Reserves: N/A")</f>
        <v>Replacement Reserves: Required</v>
      </c>
    </row>
    <row r="76" ht="14.25" customHeight="1">
      <c r="C76" t="s">
        <v>2167</v>
      </c>
    </row>
    <row r="77" ht="9.75" customHeight="1"/>
    <row r="78" ht="90" customHeight="1">
      <c r="B78" t="s">
        <v>2168</v>
      </c>
      <c r="C78" t="s">
        <v>2169</v>
      </c>
    </row>
    <row r="79" ht="9.75" customHeight="1"/>
    <row r="80" ht="90" customHeight="1">
      <c r="B80" t="s">
        <v>2170</v>
      </c>
      <c r="C80" t="s">
        <v>2171</v>
      </c>
    </row>
    <row r="81" ht="9.75" customHeight="1"/>
    <row r="82" ht="15" customHeight="1">
      <c r="B82" t="s">
        <v>2172</v>
      </c>
      <c r="C82" t="s">
        <v>2173</v>
      </c>
    </row>
    <row r="83" ht="9.75" customHeight="1"/>
    <row r="84" ht="60" customHeight="1">
      <c r="B84" t="s">
        <v>2174</v>
      </c>
      <c r="C84" t="s">
        <v>2175</v>
      </c>
    </row>
    <row r="85" ht="9.75" customHeight="1"/>
    <row r="86" ht="13.5" customHeight="1">
      <c r="B86" t="s">
        <v>2176</v>
      </c>
      <c r="C86">
        <f>'SBL Quotes'!B56</f>
        <v>7500</v>
      </c>
    </row>
    <row r="87" ht="9.75" customHeight="1"/>
    <row r="88" ht="195.75" customHeight="1">
      <c r="C88" t="str">
        <f>"Upon execution of this Application, Borrower will deposit with Lender the sum of "&amp;DOLLAR(C86,0)&amp;Boilerplate!C30</f>
        <v>Upon execution of this Application, Borrower will deposit with Lender the sum of $7,500 as a refundable Application Deposit, which will reimburse Lender for the cost of certain analysis and third party reports including, but not limited to, the Appraisal Report, Property Condition Report, Environmental Database Report (Phase I/II, if applicable), Zoning Report, Operations and Maintenance Programs, Credit Reports, Background Searches, Insurance Review, and Site Inspection Fees. Total Lender diligence costs have an estimated range of $15,000 to $17,500. Any due diligence costs incurred for the transaction above and beyond the initial application deposit will be paid by the borrower at closing. Conversely, should total due diligence costs come in lower than the Application deposit, the remainder shall be refundable to the Borrower.</v>
      </c>
    </row>
    <row r="89" ht="9.75" customHeight="1"/>
    <row r="90" ht="15" customHeight="1">
      <c r="B90" t="s">
        <v>2178</v>
      </c>
      <c r="C90" cm="1" t="str">
        <f t="array" ref="C90">IF(AND('SBL Quotes'!$B$22="Top",'SBL Quotes'!$B$28="No"),"N/A",IF(AND('SBL Quotes'!$B$22&lt;&gt;"Top",'SBL Quotes'!$B$28="Yes"),_xlfn.IFERROR("0.20% of the Final Loan Amount ("&amp;DOLLAR(INDEX('SBL Quotes'!$E$7:$G$7,1,'SBL Quotes'!$B$54)*0.2%,0)&amp;Boilerplate!C12,"Please Select Loan Option on SBL Quotes Tab (Cell B42)"),_xlfn.IFERROR("0.10% of the Final Loan Amount ("&amp;DOLLAR(INDEX('SBL Quotes'!$E$7:$G$7,1,'SBL Quotes'!$B$54)*0.1%,0)&amp;Boilerplate!C12,"Please Select Loan Option on SBL Quotes Tab (Cell B42)")))</f>
        <v>Please Select Loan Option on SBL Quotes Tab (Cell B42)</v>
      </c>
    </row>
    <row r="91" ht="9.75" customHeight="1"/>
    <row r="92" ht="17.25" customHeight="1">
      <c r="B92" t="s">
        <v>2179</v>
      </c>
      <c r="C92" t="str">
        <f>_xlfn.IFERROR(DOLLAR(C86+IF(ISNUMBER(C90),C90,0)),"Please Select Loan Option on SBL Quotes Tab (Cell B42)")</f>
        <v>$7,500.00</v>
      </c>
    </row>
    <row r="93" ht="9.75" customHeight="1"/>
    <row r="94" ht="105" customHeight="1">
      <c r="B94" t="s">
        <v>2181</v>
      </c>
      <c r="C94" t="s">
        <v>2182</v>
      </c>
    </row>
    <row r="95" ht="9.75" customHeight="1"/>
    <row r="96" ht="15" customHeight="1">
      <c r="B96" t="s">
        <v>2183</v>
      </c>
      <c r="C96" cm="1" t="str">
        <f t="array" ref="C96">_xlfn.IFERROR(INDEX('SBL Quotes'!$E$31:$G$31,1,'SBL Quotes'!$B$54),"Please Select Loan Option on SBL Quotes Tab (Cell B42)")</f>
        <v>Please Select Loan Option on SBL Quotes Tab (Cell B42)</v>
      </c>
    </row>
    <row r="97" ht="9.75" customHeight="1"/>
    <row r="98" ht="149.25" customHeight="1">
      <c r="B98" t="s">
        <v>2184</v>
      </c>
      <c r="C98" t="s">
        <v>2185</v>
      </c>
    </row>
    <row r="99" ht="9.75" customHeight="1">
      <c r="B99" t="s">
        <v>2186</v>
      </c>
    </row>
    <row r="100" ht="105" customHeight="1">
      <c r="B100" t="s">
        <v>2187</v>
      </c>
      <c r="C100" t="s">
        <v>2188</v>
      </c>
    </row>
    <row r="101" ht="9.75" customHeight="1"/>
    <row r="102" ht="45" customHeight="1">
      <c r="B102" t="s">
        <v>2189</v>
      </c>
      <c r="C102" t="s">
        <v>2190</v>
      </c>
    </row>
    <row r="103" ht="9.75" customHeight="1"/>
    <row r="104" ht="15" customHeight="1">
      <c r="C104" cm="1" t="str">
        <f t="array" ref="C104">_xlfn.IFERROR("• Rate is subject to a(n) "&amp;TEXT(INDEX('SBL Quotes'!$E$16:$G$16,1,'SBL Quotes'!$B$54),"0.0%")&amp;" LTV and "&amp;TEXT(INDEX('SBL Quotes'!$E$15:$G$15,1,'SBL Quotes'!$B$54),"0.00")&amp;"x DSR at the time of rate lock and close.","Please Select Loan Option on SBL Quotes Tab (Cell B42)")</f>
        <v>Please Select Loan Option on SBL Quotes Tab (Cell B42)</v>
      </c>
    </row>
    <row r="105" ht="9.75" customHeight="1"/>
    <row r="106" ht="45" customHeight="1">
      <c r="C106" t="s">
        <v>2191</v>
      </c>
    </row>
    <row r="107" ht="9.75" customHeight="1"/>
    <row r="108" ht="30" customHeight="1">
      <c r="C108" t="s">
        <v>2192</v>
      </c>
    </row>
    <row r="109" ht="9.75" customHeight="1"/>
    <row r="110" ht="30" customHeight="1">
      <c r="C110" t="s">
        <v>2193</v>
      </c>
    </row>
    <row r="111" ht="9.75" customHeight="1"/>
    <row r="112" ht="29.25" customHeight="1">
      <c r="C112" t="s">
        <v>2194</v>
      </c>
    </row>
    <row r="113" ht="9.75" customHeight="1"/>
    <row r="114" ht="15" customHeight="1">
      <c r="C114" cm="1" t="str">
        <f t="array" ref="C114">_xlfn.IFERROR("• Key Principal/Guarantor(s) to provide personal financial statement and corresponding Real Estate Owned Schedule evidencing minimum net worth of approximately "&amp;DOLLAR(INDEX('SBL Quotes'!$E$7:$G$7,1,'SBL Quotes'!$B$54),0)&amp;".","Please Select Loan Option on SBL Quotes Tab (Cell B42)")</f>
        <v>Please Select Loan Option on SBL Quotes Tab (Cell B42)</v>
      </c>
    </row>
    <row r="115" ht="9.75" customHeight="1"/>
    <row r="116" ht="15" customHeight="1">
      <c r="C116" cm="1" t="str">
        <f t="array" ref="C116">_xlfn.IFERROR("• Key Principal/Guarantor(s) to provide 2 months’ most recent bank statements (all pages) evidencing minimum liquidity of approximately "&amp;DOLLAR(INDEX('SBL Quotes'!$E$18:$G$18,1,'SBL Quotes'!$B$54)/12*9,0)&amp;".","Please Select Loan Option on SBL Quotes Tab (Cell B42)")</f>
        <v>Please Select Loan Option on SBL Quotes Tab (Cell B42)</v>
      </c>
    </row>
    <row r="117" ht="9.75" customHeight="1"/>
    <row r="118" ht="15" customHeight="1">
      <c r="C118" t="str">
        <f>"Property to meet minimum NRI of "&amp;DOLLAR(ROUND('Freddie I&amp;E'!AD23/12,2),0)&amp;"/monthly and "&amp;DOLLAR(ROUND('Freddie I&amp;E'!AD23,2),0)&amp;"/annually."</f>
        <v>Property to meet minimum NRI of $119,366/monthly and $1,432,397/annually.</v>
      </c>
    </row>
    <row r="119" ht="9.75" customHeight="1"/>
    <row r="120" ht="15" customHeight="1">
      <c r="C120" t="str">
        <f>"Property valuation to meet or exceed "&amp;DOLLAR('SBL Quotes'!$B$42,0)</f>
        <v>Property valuation to meet or exceed ($32,321,786)</v>
      </c>
    </row>
    <row r="121" ht="9.75" customHeight="1"/>
    <row r="122" ht="30" customHeight="1">
      <c r="C122" t="str">
        <f>"UW NCF to meet or exceed "&amp;DOLLAR(HOps_NetCashFlow-HOps_CapExps,0)&amp;" subject to appraisal, engineering and market support."</f>
        <v>UW NCF to meet or exceed ($1,742,202) subject to appraisal, engineering and market support.</v>
      </c>
    </row>
    <row r="123" ht="9.75" customHeight="1"/>
    <row r="124" ht="30" customHeight="1">
      <c r="C124" t="s">
        <v>2198</v>
      </c>
    </row>
    <row r="125" ht="9.75" customHeight="1"/>
    <row r="126" ht="30" customHeight="1">
      <c r="C126" t="s">
        <v>2199</v>
      </c>
    </row>
    <row r="127" ht="9.75" customHeight="1"/>
    <row r="128" ht="63.75" customHeight="1">
      <c r="C128" t="s">
        <v>2200</v>
      </c>
    </row>
    <row r="129" ht="9.75" customHeight="1"/>
    <row r="130" ht="45" customHeight="1">
      <c r="C130" t="s">
        <v>2201</v>
      </c>
    </row>
    <row r="131" ht="9.75" customHeight="1"/>
    <row r="132" ht="45" customHeight="1">
      <c r="B132" t="s">
        <v>2202</v>
      </c>
      <c r="C132" t="s">
        <v>2203</v>
      </c>
    </row>
    <row r="133" ht="9.75" customHeight="1"/>
    <row r="134" ht="60" customHeight="1">
      <c r="B134" t="s">
        <v>2204</v>
      </c>
      <c r="C134" t="s">
        <v>2205</v>
      </c>
    </row>
    <row r="135" ht="9.75" customHeight="1"/>
    <row r="136" ht="75" customHeight="1">
      <c r="B136" t="s">
        <v>2206</v>
      </c>
      <c r="C136" t="s">
        <v>2207</v>
      </c>
    </row>
    <row r="137" ht="9.75" customHeight="1"/>
    <row r="138" ht="15" customHeight="1">
      <c r="B138" t="s">
        <v>2208</v>
      </c>
      <c r="C138" t="s">
        <v>2209</v>
      </c>
    </row>
    <row r="139" ht="15" customHeight="1">
      <c r="B139" t="s">
        <v>2186</v>
      </c>
    </row>
    <row r="140" ht="15" customHeight="1">
      <c r="B140" t="s">
        <v>2210</v>
      </c>
    </row>
    <row r="141" ht="89.25" customHeight="1">
      <c r="B141" t="s">
        <v>2211</v>
      </c>
    </row>
    <row r="142" ht="9.75" customHeight="1"/>
    <row r="143" ht="9.75" customHeight="1"/>
    <row r="144" ht="15.75" customHeight="1">
      <c r="B144" t="s">
        <v>2212</v>
      </c>
    </row>
    <row r="145" ht="9.75" customHeight="1"/>
    <row r="146" ht="9.75" customHeight="1"/>
    <row r="147" ht="9.75" customHeight="1"/>
    <row r="148" ht="9.75" customHeight="1"/>
    <row r="149" ht="9.75" customHeight="1"/>
    <row r="150" ht="9.75" customHeight="1"/>
    <row r="151" ht="9.75" customHeight="1"/>
    <row r="152" ht="9.75" customHeight="1"/>
    <row r="153" ht="9.75" customHeight="1"/>
    <row r="154" ht="9.75" customHeight="1"/>
    <row r="155" ht="9.75" customHeight="1"/>
    <row r="156" ht="9.75" customHeight="1"/>
    <row r="157" ht="9.75" customHeight="1"/>
    <row r="158" ht="9.75" customHeight="1"/>
    <row r="159" ht="9.75" customHeight="1"/>
    <row r="160" ht="9.75" customHeight="1"/>
    <row r="161" ht="9.75" customHeight="1"/>
    <row r="162" ht="9.75" customHeight="1"/>
    <row r="163" ht="9.75" customHeight="1"/>
    <row r="164" ht="9.75" customHeight="1"/>
    <row r="165" ht="9.75" customHeight="1"/>
    <row r="166" ht="9.75" customHeight="1"/>
    <row r="167" ht="9.75" customHeight="1"/>
    <row r="168" ht="9.75" customHeight="1"/>
    <row r="169" ht="9.75" customHeight="1"/>
    <row r="170" ht="9.75" customHeight="1"/>
    <row r="171" ht="9.75" customHeight="1"/>
    <row r="172" ht="9.75" customHeight="1"/>
    <row r="173" ht="9.75" customHeight="1"/>
    <row r="174" ht="9.75" customHeight="1"/>
    <row r="175" ht="9.75" customHeight="1"/>
    <row r="176" ht="9.75" customHeight="1"/>
    <row r="177" ht="9.75" customHeight="1"/>
    <row r="178" ht="9.75" customHeight="1"/>
    <row r="179" ht="9.75" customHeight="1"/>
    <row r="180" ht="9.75" customHeight="1"/>
    <row r="181" ht="9.75" customHeight="1"/>
    <row r="182" ht="9.75" customHeight="1"/>
    <row r="183" ht="9.75" customHeight="1"/>
    <row r="184" ht="18" customHeight="1">
      <c r="B184" t="s">
        <v>2213</v>
      </c>
    </row>
    <row r="185" ht="9.75" customHeight="1"/>
    <row r="186" ht="90.75" customHeight="1">
      <c r="B186" t="s">
        <v>2214</v>
      </c>
    </row>
    <row r="187" ht="9.75" customHeight="1"/>
    <row r="188" ht="25.5" customHeight="1">
      <c r="B188" t="s">
        <v>2215</v>
      </c>
    </row>
    <row r="189" ht="9.75" customHeight="1"/>
    <row r="190" ht="41.25" customHeight="1">
      <c r="B190" t="s">
        <v>2216</v>
      </c>
    </row>
    <row r="191" ht="9.75" customHeight="1"/>
    <row r="192" ht="14.25" customHeight="1">
      <c r="B192" t="s">
        <v>2217</v>
      </c>
    </row>
    <row r="193" ht="9.75" customHeight="1"/>
    <row r="194" ht="12.75" customHeight="1">
      <c r="B194" t="s">
        <v>2218</v>
      </c>
    </row>
    <row r="195" ht="12.75" customHeight="1">
      <c r="B195" t="s">
        <v>2219</v>
      </c>
    </row>
    <row r="196" ht="12.75" customHeight="1">
      <c r="B196" t="s">
        <v>2220</v>
      </c>
    </row>
    <row r="197" ht="12.75" customHeight="1">
      <c r="B197" t="s">
        <v>2221</v>
      </c>
    </row>
    <row r="198" ht="9.75" customHeight="1"/>
    <row r="199" ht="14.25" customHeight="1">
      <c r="B199" t="s">
        <v>2222</v>
      </c>
    </row>
    <row r="200" ht="9.75" customHeight="1"/>
    <row r="201" ht="14.25" customHeight="1">
      <c r="B201" t="s">
        <v>2223</v>
      </c>
      <c r="C201" t="s">
        <v>2224</v>
      </c>
    </row>
    <row r="202" ht="15" customHeight="1">
      <c r="B202" t="s">
        <v>2225</v>
      </c>
      <c r="C202" t="s">
        <v>2226</v>
      </c>
    </row>
    <row r="203" ht="14.25" customHeight="1">
      <c r="B203" t="s">
        <v>2225</v>
      </c>
      <c r="C203" t="s">
        <v>2227</v>
      </c>
    </row>
    <row r="204" ht="9.75" customHeight="1">
      <c r="B204" t="s">
        <v>2228</v>
      </c>
    </row>
    <row r="205" ht="14.25" customHeight="1">
      <c r="B205" t="s">
        <v>2229</v>
      </c>
      <c r="C205" t="s">
        <v>2230</v>
      </c>
    </row>
    <row r="206" ht="14.25" customHeight="1">
      <c r="B206" t="s">
        <v>2231</v>
      </c>
      <c r="C206" t="s">
        <v>186</v>
      </c>
    </row>
    <row r="207" ht="14.25" customHeight="1">
      <c r="B207" t="s">
        <v>2232</v>
      </c>
      <c r="C207">
        <v>4212867739</v>
      </c>
    </row>
    <row r="208" ht="14.25" customHeight="1">
      <c r="B208" t="s">
        <v>2233</v>
      </c>
      <c r="C208" t="str">
        <f t="shared" si="0"/>
        <v>XXXX</v>
      </c>
    </row>
    <row r="209" ht="9.75" customHeight="1"/>
    <row r="210" ht="14.25" customHeight="1">
      <c r="B210" t="s">
        <v>2234</v>
      </c>
    </row>
    <row r="211" ht="9.75" customHeight="1"/>
    <row r="212" ht="15" customHeight="1">
      <c r="B212" t="s">
        <v>2235</v>
      </c>
    </row>
    <row r="213" ht="35.25" customHeight="1">
      <c r="B213" t="str">
        <f>'SBL Quotes'!B58</f>
        <v>Select</v>
      </c>
    </row>
    <row r="214" ht="14.25" customHeight="1">
      <c r="B214" t="str">
        <f>'SBL Quotes'!B59</f>
        <v>Select Producer Above</v>
      </c>
    </row>
    <row r="215" ht="9.75" customHeight="1"/>
    <row r="216" ht="9.75" customHeight="1"/>
    <row r="217" ht="9.75" customHeight="1"/>
    <row r="218" ht="9.75" customHeight="1"/>
    <row r="219" ht="14.25" customHeight="1">
      <c r="B219" t="s">
        <v>2236</v>
      </c>
    </row>
    <row r="220" ht="9.75" customHeight="1"/>
    <row r="221" ht="30" customHeight="1">
      <c r="B221" t="s">
        <v>2237</v>
      </c>
    </row>
    <row r="222" ht="30" customHeight="1">
      <c r="B222" t="s">
        <v>2238</v>
      </c>
    </row>
    <row r="223" ht="9.75" customHeight="1"/>
    <row r="224" ht="9.75" customHeight="1"/>
    <row r="225" ht="9.75" customHeight="1"/>
    <row r="226" ht="9.75" customHeight="1"/>
    <row r="227" ht="9.75" customHeight="1"/>
    <row r="228" ht="9.75" customHeight="1"/>
    <row r="229" ht="9.75" customHeight="1"/>
    <row r="230" ht="9.75" customHeight="1"/>
    <row r="231" ht="14.25" customHeight="1">
      <c r="B231" t="s">
        <v>2239</v>
      </c>
    </row>
    <row r="232" ht="14.25" customHeight="1"/>
    <row r="233" ht="14.25" customHeight="1">
      <c r="B233" t="s">
        <v>2240</v>
      </c>
      <c r="C233" t="s">
        <v>2241</v>
      </c>
    </row>
    <row r="234" ht="14.25" customHeight="1">
      <c r="B234" t="s">
        <v>2242</v>
      </c>
      <c r="C234" t="s">
        <v>2243</v>
      </c>
    </row>
    <row r="235" ht="14.25" customHeight="1">
      <c r="B235" t="s">
        <v>2244</v>
      </c>
      <c r="C235" t="s">
        <v>2245</v>
      </c>
    </row>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c r="B273" t="s">
        <v>2246</v>
      </c>
    </row>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c r="B322" t="s">
        <v>2247</v>
      </c>
    </row>
    <row r="323" ht="14.25" customHeight="1"/>
    <row r="324" ht="14.25" customHeight="1">
      <c r="B324" t="s">
        <v>2248</v>
      </c>
    </row>
    <row r="325" ht="14.25" customHeight="1"/>
    <row r="326" ht="14.25" customHeight="1">
      <c r="B326" t="s">
        <v>2249</v>
      </c>
    </row>
    <row r="327" ht="18" customHeight="1">
      <c r="B327" t="s">
        <v>2250</v>
      </c>
    </row>
    <row r="328" ht="18" customHeight="1">
      <c r="B328" t="s">
        <v>2251</v>
      </c>
    </row>
    <row r="329" ht="18" customHeight="1">
      <c r="B329" t="s">
        <v>2252</v>
      </c>
    </row>
    <row r="330" ht="18" customHeight="1">
      <c r="B330" t="s">
        <v>2253</v>
      </c>
    </row>
    <row r="331" ht="18" customHeight="1">
      <c r="B331" t="s">
        <v>2254</v>
      </c>
    </row>
    <row r="332" ht="18" customHeight="1">
      <c r="B332" t="s">
        <v>2255</v>
      </c>
    </row>
    <row r="333" ht="18" customHeight="1">
      <c r="B333" t="s">
        <v>2256</v>
      </c>
    </row>
    <row r="334" ht="14.25" customHeight="1"/>
    <row r="335" ht="14.25" customHeight="1">
      <c r="B335" t="s">
        <v>2257</v>
      </c>
    </row>
    <row r="336" ht="18" customHeight="1">
      <c r="B336" t="s">
        <v>2250</v>
      </c>
    </row>
    <row r="337" ht="18" customHeight="1">
      <c r="B337" t="s">
        <v>2251</v>
      </c>
    </row>
    <row r="338" ht="18" customHeight="1">
      <c r="B338" t="s">
        <v>2252</v>
      </c>
    </row>
    <row r="339" ht="18" customHeight="1">
      <c r="B339" t="s">
        <v>2253</v>
      </c>
    </row>
    <row r="340" ht="18" customHeight="1">
      <c r="B340" t="s">
        <v>2258</v>
      </c>
    </row>
    <row r="341" ht="18" customHeight="1">
      <c r="B341" t="s">
        <v>2255</v>
      </c>
    </row>
    <row r="342" ht="18" customHeight="1">
      <c r="B342" t="s">
        <v>2256</v>
      </c>
    </row>
    <row r="343" ht="14.25" customHeight="1"/>
    <row r="344" ht="14.25" customHeight="1">
      <c r="B344" t="s">
        <v>2145</v>
      </c>
    </row>
    <row r="345" ht="18" customHeight="1">
      <c r="B345" t="s">
        <v>2259</v>
      </c>
    </row>
    <row r="346" ht="18" customHeight="1">
      <c r="B346" t="s">
        <v>2260</v>
      </c>
    </row>
    <row r="347" ht="18" customHeight="1">
      <c r="B347" t="s">
        <v>2261</v>
      </c>
    </row>
    <row r="348" ht="18" customHeight="1">
      <c r="B348" t="s">
        <v>2252</v>
      </c>
    </row>
    <row r="349" ht="18" customHeight="1">
      <c r="B349" t="s">
        <v>2262</v>
      </c>
    </row>
    <row r="350" ht="18" customHeight="1">
      <c r="B350" t="s">
        <v>2255</v>
      </c>
    </row>
    <row r="351" ht="18" customHeight="1">
      <c r="B351" t="s">
        <v>2256</v>
      </c>
    </row>
    <row r="352" ht="14.25" customHeight="1"/>
    <row r="353" ht="18" customHeight="1">
      <c r="B353" t="s">
        <v>2263</v>
      </c>
    </row>
    <row r="354" ht="18" customHeight="1">
      <c r="B354" t="s">
        <v>2250</v>
      </c>
    </row>
    <row r="355" ht="18" customHeight="1">
      <c r="B355" t="s">
        <v>2251</v>
      </c>
    </row>
    <row r="356" ht="18" customHeight="1">
      <c r="B356" t="s">
        <v>2252</v>
      </c>
    </row>
    <row r="357" ht="18" customHeight="1">
      <c r="B357" t="s">
        <v>2253</v>
      </c>
    </row>
    <row r="358" ht="18" customHeight="1">
      <c r="B358" t="s">
        <v>2258</v>
      </c>
    </row>
    <row r="359" ht="18" customHeight="1">
      <c r="B359" t="s">
        <v>2255</v>
      </c>
    </row>
    <row r="360" ht="18" customHeight="1">
      <c r="B360" t="s">
        <v>2256</v>
      </c>
    </row>
    <row r="361" ht="14.25" customHeight="1"/>
    <row r="362" ht="14.25" customHeight="1"/>
    <row r="363" ht="14.25" customHeight="1"/>
    <row r="364" ht="14.25" customHeight="1"/>
    <row r="365" ht="14.25" customHeight="1">
      <c r="B365" t="s">
        <v>2264</v>
      </c>
    </row>
    <row r="366" ht="14.25" customHeight="1"/>
    <row r="367" ht="14.25" customHeight="1">
      <c r="B367" t="s">
        <v>2265</v>
      </c>
    </row>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sheetData>
  <sheetProtection formatCells="0" formatColumns="0" formatRows="0" insertColumns="0" insertRows="0" insertHyperlinks="0" deleteColumns="0" deleteRows="0" sort="0" autoFilter="0" pivotTables="0"/>
  <printOptions/>
  <pageMargins left="0.25" right="0.25" top="0.65" bottom="0.4" header="0.3" footer="0.3"/>
  <pageSetup paperSize="1" useFirstPageNumber="1" firstPageNumber="1" pageOrder="downThenOver" orientation="portrait"/>
  <headerFooter>
    <oddHeader>&amp;L&amp;C&amp;G&amp;R</oddHeader>
    <oddFooter>&amp;L&amp;8Issued On: &amp;D at &amp;T&amp;C&amp;R&amp;8&amp;P</oddFooter>
  </headerFooter>
  <rowBreaks count="5" manualBreakCount="5">
    <brk id="139" man="1" max="1048576"/>
    <brk id="183" man="1" max="1048576"/>
    <brk id="272" man="1" max="1048576"/>
    <brk id="321" man="1" max="1048576"/>
    <brk id="364" man="1" max="1048576"/>
  </rowBreaks>
  <legacyDrawingHF r:id="rId1"/>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2C96FA23-68CC-9475-C3A7-44201E8A86FC}" mc:Ignorable="x14ac xr xr2 xr3">
  <dimension ref="A1:K8"/>
  <sheetViews>
    <sheetView topLeftCell="A1" workbookViewId="0">
      <selection activeCell="A1" sqref="A1"/>
    </sheetView>
  </sheetViews>
  <sheetFormatPr defaultRowHeight="15" defaultColWidth="0" customHeight="1"/>
  <cols>
    <col min="1" max="1" width="4.28125" customWidth="1"/>
    <col min="2" max="2" width="7.00390625" customWidth="1"/>
    <col min="3" max="3" width="24.57421875" customWidth="1"/>
    <col min="4" max="4" width="13.7109375" customWidth="1"/>
    <col min="5" max="6" width="9.140625" customWidth="1"/>
    <col min="7" max="7" width="10.28125" customWidth="1"/>
    <col min="8" max="10" width="13.7109375" customWidth="1"/>
    <col min="11" max="11" width="4.8515625" customWidth="1"/>
  </cols>
  <sheetData>
    <row r="2" ht="45" customHeight="1">
      <c r="B2" t="s">
        <v>2266</v>
      </c>
      <c r="C2" t="s">
        <v>2267</v>
      </c>
      <c r="D2" t="s">
        <v>572</v>
      </c>
      <c r="E2" t="s">
        <v>760</v>
      </c>
      <c r="F2" t="s">
        <v>1225</v>
      </c>
      <c r="G2" t="s">
        <v>2268</v>
      </c>
      <c r="H2" t="s">
        <v>2269</v>
      </c>
      <c r="I2" t="s">
        <v>883</v>
      </c>
      <c r="J2" t="s">
        <v>2270</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4690CCB-E739-E09F-2142-98E27A96222E}" mc:Ignorable="x14ac xr xr2 xr3">
  <sheetPr>
    <tabColor theme="5" tint="0.4"/>
  </sheetPr>
  <dimension ref="A1:C197"/>
  <sheetViews>
    <sheetView topLeftCell="A1" workbookViewId="0">
      <selection activeCell="A1" sqref="A1"/>
    </sheetView>
  </sheetViews>
  <sheetFormatPr defaultRowHeight="14.002500000000003" defaultColWidth="0" customHeight="1"/>
  <cols>
    <col min="1" max="1" width="1.7109375" customWidth="1"/>
    <col min="2" max="2" width="37.00390625" customWidth="1"/>
    <col min="3" max="3" width="61.57421875" customWidth="1"/>
  </cols>
  <sheetData>
    <row r="1" ht="14.25" customHeight="1">
      <c r="B1" t="s">
        <v>2271</v>
      </c>
      <c r="C1" s="1">
        <f>TODAY()</f>
        <v>45189</v>
      </c>
    </row>
    <row r="2" ht="14.25" customHeight="1">
      <c r="B2" t="s">
        <v>2272</v>
      </c>
    </row>
    <row r="3" ht="14.25" customHeight="1">
      <c r="B3" t="s">
        <v>2273</v>
      </c>
    </row>
    <row r="4" ht="15" customHeight="1">
      <c r="B4" t="s">
        <v>2274</v>
      </c>
    </row>
    <row r="5" ht="14.25" customHeight="1"/>
    <row r="6" ht="14.25" customHeight="1">
      <c r="B6" t="str">
        <f>"Dear "&amp;'SBL Quotes'!B64&amp;":"</f>
        <v>Dear XXXX:</v>
      </c>
    </row>
    <row r="7" ht="14.25" customHeight="1"/>
    <row r="8" ht="64.5" customHeight="1">
      <c r="B8" t="s">
        <v>2276</v>
      </c>
    </row>
    <row r="9" ht="14.25" customHeight="1"/>
    <row r="10" ht="14.25" customHeight="1">
      <c r="B10" t="s">
        <v>2277</v>
      </c>
      <c r="C10" t="str">
        <f t="shared" si="0" ref="C10:C163">property_name</f>
        <v>XXXX</v>
      </c>
    </row>
    <row r="11" ht="14.25" customHeight="1">
      <c r="B11" t="s">
        <v>2114</v>
      </c>
      <c r="C11" t="str">
        <f>number_units&amp;" Units"</f>
        <v>101 Units</v>
      </c>
    </row>
    <row r="12" ht="14.25" customHeight="1">
      <c r="B12" t="s">
        <v>2278</v>
      </c>
      <c r="C12" t="str">
        <f>address&amp;", "&amp;'SBL Quotes'!B8&amp;" "&amp;SBL_ZipCode</f>
        <v>, City, XX XXXXX</v>
      </c>
    </row>
    <row r="13" ht="15" customHeight="1">
      <c r="B13" t="s">
        <v>2118</v>
      </c>
      <c r="C13" t="str">
        <f>'SBL Quotes'!B38</f>
        <v>Refinance</v>
      </c>
    </row>
    <row r="14" ht="14.25" customHeight="1"/>
    <row r="15" ht="45" customHeight="1">
      <c r="B15" t="s">
        <v>2279</v>
      </c>
    </row>
    <row r="16" ht="15" customHeight="1"/>
    <row r="17" ht="15" customHeight="1">
      <c r="B17" t="s">
        <v>2123</v>
      </c>
      <c r="C17" cm="1" t="str">
        <f t="array" ref="C17">_xlfn.IFERROR(INDEX('SBL Quotes'!$R$7:$T$7,1,'SBL Quotes'!$B$54),"Please Select Loan Option on SBL Quotes Tab (Cell B42)")</f>
        <v>Please Select Loan Option on SBL Quotes Tab (Cell B42)</v>
      </c>
    </row>
    <row r="18" ht="14.25" customHeight="1"/>
    <row r="19" ht="108" customHeight="1">
      <c r="B19" t="s">
        <v>2280</v>
      </c>
      <c r="C19" t="s">
        <v>2281</v>
      </c>
    </row>
    <row r="20" ht="14.25" customHeight="1"/>
    <row r="21" ht="15" customHeight="1">
      <c r="B21" t="s">
        <v>2128</v>
      </c>
      <c r="C21" t="s">
        <v>293</v>
      </c>
    </row>
    <row r="22" ht="14.25" customHeight="1"/>
    <row r="23" ht="15" customHeight="1">
      <c r="B23" t="s">
        <v>2130</v>
      </c>
      <c r="C23" cm="1" t="str">
        <f t="array" ref="C23">_xlfn.IFERROR(INDEX('SBL Quotes'!$R$6:$T$6,1,'SBL Quotes'!$B$54),"Please Select Loan Option on SBL Quotes Tab (Cell B42)")</f>
        <v>Please Select Loan Option on SBL Quotes Tab (Cell B42)</v>
      </c>
    </row>
    <row r="24" ht="14.25" customHeight="1"/>
    <row r="25" ht="15" customHeight="1">
      <c r="B25" t="s">
        <v>2131</v>
      </c>
      <c r="C25" cm="1" t="str">
        <f t="array" ref="C25">_xlfn.NUMBERVALUE(TRIM(LEFT(_xlfn.IFERROR(INDEX('SBL Quotes'!$R$6:$T$6,1,'SBL Quotes'!$B$54),0),2)))*12&amp;" months"</f>
        <v>0 months</v>
      </c>
    </row>
    <row r="26" ht="14.25" customHeight="1"/>
    <row r="27" ht="15" customHeight="1">
      <c r="B27" t="s">
        <v>2133</v>
      </c>
      <c r="C27" cm="1" t="str">
        <f t="array" ref="C27">_xlfn.NUMBERVALUE(TRIM(LEFT(_xlfn.IFERROR(INDEX('SBL Quotes'!$R$43:$T$43,1,'SBL Quotes'!$B$54),0),2)))*12&amp;" months; 360 months amortization thereafter"</f>
        <v>0 months; 360 months amortization thereafter</v>
      </c>
    </row>
    <row r="28" ht="14.25" customHeight="1"/>
    <row r="29" ht="15" customHeight="1">
      <c r="B29" t="s">
        <v>2134</v>
      </c>
      <c r="C29" cm="1" t="str">
        <f t="array" ref="C29">_xlfn.NUMBERVALUE(TRIM(LEFT(_xlfn.IFERROR(INDEX('SBL Quotes'!$R$46:$T$46,1,'SBL Quotes'!$B$54),0),2)))*12&amp;" months; balance due at loan maturity."</f>
        <v>0 months; balance due at loan maturity.</v>
      </c>
    </row>
    <row r="30" ht="14.25" customHeight="1"/>
    <row r="31" ht="15" customHeight="1">
      <c r="B31" t="s">
        <v>2283</v>
      </c>
      <c r="C31" cm="1" t="str">
        <f t="array" ref="C31">_xlfn.NUMBERVALUE(TRIM(LEFT(_xlfn.IFERROR(INDEX('SBL Quotes'!$R$6:$T$6,1,'SBL Quotes'!$B$54),0),2)))*12&amp;" months"</f>
        <v>0 months</v>
      </c>
    </row>
    <row r="32" ht="14.25" customHeight="1"/>
    <row r="33" ht="135" customHeight="1">
      <c r="B33" t="s">
        <v>2139</v>
      </c>
      <c r="C33" t="s">
        <v>2284</v>
      </c>
    </row>
    <row r="34" ht="17.25" customHeight="1"/>
    <row r="35" ht="14.25" customHeight="1"/>
    <row r="36" ht="15" customHeight="1">
      <c r="B36" t="s">
        <v>2141</v>
      </c>
      <c r="C36" cm="1" t="str">
        <f t="array" ref="C36">_xlfn.IFERROR(TEXT(INDEX('SBL Quotes'!$R$14:$T$14,1,'SBL Quotes'!$B$54),"0.0%")&amp;Boilerplate!$D$9,"Please Select Loan Option on SBL Quotes Tab (Cell B42)")</f>
        <v>Please Select Loan Option on SBL Quotes Tab (Cell B42)</v>
      </c>
    </row>
    <row r="37" ht="14.25" customHeight="1"/>
    <row r="38" ht="15" customHeight="1">
      <c r="B38" t="s">
        <v>2142</v>
      </c>
      <c r="C38" cm="1" t="str">
        <f t="array" ref="C38">_xlfn.IFERROR(TEXT(INDEX('SBL Quotes'!$R$13:$T$13,1,'SBL Quotes'!$B$54),"0.00")&amp;"x based on "&amp;INDEX('SBL Quotes'!$R$9:$T$9,1,'SBL Quotes'!$B$54)&amp;"-year amortization.","Please Select Loan Option on SBL Quotes Tab (Cell B42)")</f>
        <v>Please Select Loan Option on SBL Quotes Tab (Cell B42)</v>
      </c>
    </row>
    <row r="39" ht="14.25" customHeight="1"/>
    <row r="40" ht="15" customHeight="1">
      <c r="B40" t="s">
        <v>2285</v>
      </c>
      <c r="C40" t="s">
        <v>2286</v>
      </c>
    </row>
    <row r="41" ht="90" customHeight="1">
      <c r="C41" t="s">
        <v>2287</v>
      </c>
    </row>
    <row r="42" ht="14.25" customHeight="1"/>
    <row r="43" ht="15" customHeight="1">
      <c r="B43" t="s">
        <v>2145</v>
      </c>
      <c r="C43" t="s">
        <v>2288</v>
      </c>
    </row>
    <row r="44" ht="45" customHeight="1">
      <c r="C44" t="s">
        <v>2289</v>
      </c>
    </row>
    <row r="45" ht="14.25" customHeight="1"/>
    <row r="46" ht="30" customHeight="1">
      <c r="B46" t="s">
        <v>2147</v>
      </c>
      <c r="C46" t="s">
        <v>2290</v>
      </c>
    </row>
    <row r="47" ht="14.25" customHeight="1"/>
    <row r="48" ht="90" customHeight="1">
      <c r="B48" t="s">
        <v>2149</v>
      </c>
      <c r="C48" t="s">
        <v>2150</v>
      </c>
    </row>
    <row r="49" ht="14.25" customHeight="1"/>
    <row r="50" ht="14.25" customHeight="1">
      <c r="B50" t="s">
        <v>2163</v>
      </c>
    </row>
    <row r="51" ht="14.25" customHeight="1">
      <c r="B51" t="s">
        <v>2291</v>
      </c>
      <c r="C51" t="s">
        <v>2292</v>
      </c>
    </row>
    <row r="52" ht="15" customHeight="1">
      <c r="B52" t="s">
        <v>2293</v>
      </c>
      <c r="C52" t="s">
        <v>2292</v>
      </c>
    </row>
    <row r="53" ht="14.25" customHeight="1">
      <c r="B53" t="s">
        <v>2294</v>
      </c>
      <c r="C53" t="s">
        <v>2292</v>
      </c>
    </row>
    <row r="54" ht="14.25" customHeight="1">
      <c r="B54" t="s">
        <v>2295</v>
      </c>
      <c r="C54" t="s">
        <v>367</v>
      </c>
    </row>
    <row r="55" ht="15" customHeight="1">
      <c r="B55" t="s">
        <v>2296</v>
      </c>
      <c r="C55" t="s">
        <v>174</v>
      </c>
    </row>
    <row r="56" ht="14.25" customHeight="1"/>
    <row r="57" ht="120" customHeight="1">
      <c r="B57" t="s">
        <v>2297</v>
      </c>
      <c r="C57" t="s">
        <v>2298</v>
      </c>
    </row>
    <row r="58" ht="14.25" customHeight="1"/>
    <row r="59" ht="90" customHeight="1">
      <c r="B59" t="s">
        <v>2168</v>
      </c>
      <c r="C59" t="s">
        <v>2299</v>
      </c>
    </row>
    <row r="60" ht="14.25" customHeight="1"/>
    <row r="61" ht="45" customHeight="1">
      <c r="B61" t="s">
        <v>2170</v>
      </c>
      <c r="C61" t="s">
        <v>2300</v>
      </c>
    </row>
    <row r="62" ht="14.25" customHeight="1"/>
    <row r="63" ht="30" customHeight="1">
      <c r="B63" t="s">
        <v>2172</v>
      </c>
      <c r="C63" t="s">
        <v>2301</v>
      </c>
    </row>
    <row r="64" ht="14.25" customHeight="1"/>
    <row r="65" ht="75" customHeight="1">
      <c r="B65" t="s">
        <v>2174</v>
      </c>
      <c r="C65" t="s">
        <v>2302</v>
      </c>
    </row>
    <row r="66" ht="14.25" customHeight="1"/>
    <row r="67" ht="14.25" customHeight="1">
      <c r="B67" t="s">
        <v>2303</v>
      </c>
      <c r="C67">
        <v>15000</v>
      </c>
    </row>
    <row r="68" ht="199.5" customHeight="1">
      <c r="C68" t="s">
        <v>2304</v>
      </c>
    </row>
    <row r="69" ht="14.25" customHeight="1"/>
    <row r="70" ht="105" customHeight="1">
      <c r="B70" t="s">
        <v>2305</v>
      </c>
      <c r="C70" t="s">
        <v>2182</v>
      </c>
    </row>
    <row r="71" ht="14.25" customHeight="1"/>
    <row r="72" ht="15" customHeight="1">
      <c r="B72" t="s">
        <v>2183</v>
      </c>
      <c r="C72" t="s">
        <v>2306</v>
      </c>
    </row>
    <row r="73" ht="14.25" customHeight="1"/>
    <row r="74" ht="33" customHeight="1">
      <c r="B74" t="s">
        <v>2307</v>
      </c>
      <c r="C74" t="s">
        <v>2308</v>
      </c>
    </row>
    <row r="75" ht="14.25" customHeight="1"/>
    <row r="76" ht="30" customHeight="1">
      <c r="B76" t="s">
        <v>2309</v>
      </c>
      <c r="C76" t="s">
        <v>2310</v>
      </c>
    </row>
    <row r="77" ht="14.25" customHeight="1"/>
    <row r="78" ht="48" customHeight="1">
      <c r="B78" t="s">
        <v>2189</v>
      </c>
      <c r="C78" t="s">
        <v>2311</v>
      </c>
    </row>
    <row r="79" ht="14.25" customHeight="1"/>
    <row r="80" ht="30" customHeight="1">
      <c r="C80" t="s">
        <v>2312</v>
      </c>
    </row>
    <row r="81" ht="14.25" customHeight="1"/>
    <row r="82" ht="15" customHeight="1">
      <c r="C82" cm="1" t="str">
        <f t="array" ref="C82">_xlfn.IFERROR("o   Key Principal/Guarantor(s) to provide personal financial statement and corresponding Real Estate Owned Schedule evidencing minimum net worth of approximately "&amp;DOLLAR(INDEX('SBL Quotes'!$R$7:$T$7,1,'SBL Quotes'!$B$54),0),"Please Select Loan Option on SBL Quotes Tab (Cell B42)")</f>
        <v>Please Select Loan Option on SBL Quotes Tab (Cell B42)</v>
      </c>
    </row>
    <row r="83" ht="14.25" customHeight="1"/>
    <row r="84" ht="45" customHeight="1">
      <c r="C84" t="s">
        <v>2313</v>
      </c>
    </row>
    <row r="85" ht="14.25" customHeight="1"/>
    <row r="86" ht="45" customHeight="1">
      <c r="C86" t="str">
        <f>"Current sizing is based on a minimum net rental income (NRI) of "&amp;DOLLAR(_xlfn.SINGLE(NRI)/12,0)&amp;"/month or "&amp;DOLLAR(_xlfn.SINGLE(NRI),0)&amp;"/annualized prior to rate lock. NRI must exclude rent premiums attributed to park owned homes, if applicable."</f>
        <v>Current sizing is based on a minimum net rental income (NRI) of $119,366/month or $1,432,397/annualized prior to rate lock. NRI must exclude rent premiums attributed to park owned homes, if applicable.</v>
      </c>
    </row>
    <row r="87" ht="14.25" customHeight="1"/>
    <row r="88" ht="45" customHeight="1">
      <c r="C88" t="s">
        <v>2315</v>
      </c>
    </row>
    <row r="89" ht="14.25" customHeight="1"/>
    <row r="90" ht="30" customHeight="1">
      <c r="C90" t="str">
        <f>"Current sizing based on UW NCF "&amp;DOLLAR(HOps_NetCashFlow-HOps_CapExps,0)&amp;"/annually subject to appraisal, engineering and market support."</f>
        <v>Current sizing based on UW NCF ($1,742,202)/annually subject to appraisal, engineering and market support.</v>
      </c>
    </row>
    <row r="91" ht="14.25" customHeight="1"/>
    <row r="92" ht="15" customHeight="1">
      <c r="C92" t="s">
        <v>2317</v>
      </c>
    </row>
    <row r="93" ht="14.25" customHeight="1"/>
    <row r="94" ht="15" customHeight="1">
      <c r="C94" t="s">
        <v>2318</v>
      </c>
    </row>
    <row r="95" ht="14.25" customHeight="1"/>
    <row r="96" ht="15" customHeight="1">
      <c r="C96" t="s">
        <v>2319</v>
      </c>
    </row>
    <row r="97" ht="14.25" customHeight="1"/>
    <row r="98" ht="15" customHeight="1">
      <c r="C98" t="s">
        <v>2320</v>
      </c>
    </row>
    <row r="99" ht="14.25" customHeight="1"/>
    <row r="100" ht="30" customHeight="1">
      <c r="C100" t="s">
        <v>2321</v>
      </c>
    </row>
    <row r="101" ht="14.25" customHeight="1"/>
    <row r="102" ht="30" customHeight="1">
      <c r="C102" t="s">
        <v>2322</v>
      </c>
    </row>
    <row r="103" ht="14.25" customHeight="1"/>
    <row r="104" ht="30" customHeight="1">
      <c r="C104" t="s">
        <v>2323</v>
      </c>
    </row>
    <row r="105" ht="14.25" customHeight="1"/>
    <row r="106" ht="30" customHeight="1">
      <c r="C106" t="s">
        <v>2324</v>
      </c>
    </row>
    <row r="107" ht="14.25" customHeight="1"/>
    <row r="108" ht="15" customHeight="1">
      <c r="B108" t="s">
        <v>2210</v>
      </c>
    </row>
    <row r="109" ht="89.25" customHeight="1">
      <c r="B109" t="s">
        <v>2325</v>
      </c>
    </row>
    <row r="110" ht="14.25" customHeight="1"/>
    <row r="111" ht="30" customHeight="1">
      <c r="B111" t="s">
        <v>2202</v>
      </c>
      <c r="C111" t="s">
        <v>2326</v>
      </c>
    </row>
    <row r="112" ht="14.25" customHeight="1"/>
    <row r="113" ht="15" customHeight="1">
      <c r="C113" t="s">
        <v>2327</v>
      </c>
    </row>
    <row r="114" ht="14.25" customHeight="1"/>
    <row r="115" ht="30" customHeight="1">
      <c r="C115" t="s">
        <v>2328</v>
      </c>
    </row>
    <row r="116" ht="14.25" customHeight="1"/>
    <row r="117" ht="30" customHeight="1">
      <c r="C117" t="s">
        <v>2329</v>
      </c>
    </row>
    <row r="118" ht="14.25" customHeight="1"/>
    <row r="119" ht="14.25" customHeight="1">
      <c r="C119" t="s">
        <v>2330</v>
      </c>
    </row>
    <row r="120" ht="14.25" customHeight="1">
      <c r="C120" t="s">
        <v>2331</v>
      </c>
    </row>
    <row r="121" ht="14.25" customHeight="1">
      <c r="C121" t="s">
        <v>2332</v>
      </c>
    </row>
    <row r="122" ht="15" customHeight="1">
      <c r="B122" t="s">
        <v>2333</v>
      </c>
      <c r="C122" t="s">
        <v>2334</v>
      </c>
    </row>
    <row r="123" ht="14.25" customHeight="1"/>
    <row r="124" ht="60" customHeight="1">
      <c r="C124" t="s">
        <v>2335</v>
      </c>
    </row>
    <row r="125" ht="14.25" customHeight="1"/>
    <row r="126" ht="30" customHeight="1">
      <c r="C126" t="s">
        <v>2336</v>
      </c>
    </row>
    <row r="127" ht="14.25" customHeight="1"/>
    <row r="128" ht="14.25" customHeight="1">
      <c r="C128" t="s">
        <v>2337</v>
      </c>
    </row>
    <row r="129" ht="14.25" customHeight="1"/>
    <row r="130" ht="60" customHeight="1">
      <c r="C130" t="s">
        <v>2205</v>
      </c>
    </row>
    <row r="131" ht="14.25" customHeight="1"/>
    <row r="132" ht="14.25" customHeight="1">
      <c r="C132" t="s">
        <v>2337</v>
      </c>
    </row>
    <row r="133" ht="14.25" customHeight="1"/>
    <row r="134" ht="75" customHeight="1">
      <c r="C134" t="s">
        <v>2338</v>
      </c>
    </row>
    <row r="135" ht="14.25" customHeight="1">
      <c r="C135" t="s">
        <v>2337</v>
      </c>
    </row>
    <row r="136" ht="30" customHeight="1"/>
    <row r="137" ht="14.25" customHeight="1">
      <c r="B137" t="s">
        <v>2213</v>
      </c>
    </row>
    <row r="138" ht="14.25" customHeight="1"/>
    <row r="139" ht="124.5" customHeight="1">
      <c r="B139" t="s">
        <v>2339</v>
      </c>
    </row>
    <row r="140" ht="14.25" customHeight="1"/>
    <row r="141" ht="29.25" customHeight="1">
      <c r="B141" t="s">
        <v>2215</v>
      </c>
    </row>
    <row r="142" ht="14.25" customHeight="1"/>
    <row r="143" ht="63.75" customHeight="1">
      <c r="B143" t="s">
        <v>2216</v>
      </c>
    </row>
    <row r="144" ht="14.25" customHeight="1"/>
    <row r="145" ht="31.5" customHeight="1">
      <c r="B145" t="s">
        <v>2217</v>
      </c>
    </row>
    <row r="146" ht="14.25" customHeight="1"/>
    <row r="147" ht="14.25" customHeight="1">
      <c r="B147" t="s">
        <v>2340</v>
      </c>
    </row>
    <row r="148" ht="14.25" customHeight="1"/>
    <row r="149" ht="14.25" customHeight="1">
      <c r="B149" t="s">
        <v>2341</v>
      </c>
    </row>
    <row r="150" ht="14.25" customHeight="1">
      <c r="B150" t="s">
        <v>2220</v>
      </c>
    </row>
    <row r="151" ht="14.25" customHeight="1">
      <c r="B151" t="str">
        <f>"3. Signed credit authorizations for each Key Principal/Guarantor by "&amp;TEXT(WORKDAY(C1,3),"MM/DD/YYYY")&amp;" to the below account:"</f>
        <v>3. Signed credit authorizations for each Key Principal/Guarantor by 09/25/2023 to the below account:</v>
      </c>
    </row>
    <row r="152" ht="14.25" customHeight="1"/>
    <row r="153" ht="14.25" customHeight="1">
      <c r="B153" t="s">
        <v>2222</v>
      </c>
    </row>
    <row r="154" ht="14.25" customHeight="1"/>
    <row r="155" ht="15" customHeight="1">
      <c r="B155" t="s">
        <v>2223</v>
      </c>
      <c r="C155" t="s">
        <v>2224</v>
      </c>
    </row>
    <row r="156" ht="15" customHeight="1">
      <c r="B156" t="s">
        <v>2225</v>
      </c>
      <c r="C156" t="s">
        <v>2343</v>
      </c>
    </row>
    <row r="157" ht="15" customHeight="1">
      <c r="B157" t="s">
        <v>2225</v>
      </c>
      <c r="C157" t="s">
        <v>2227</v>
      </c>
    </row>
    <row r="158" ht="15" customHeight="1">
      <c r="B158" t="s">
        <v>2228</v>
      </c>
    </row>
    <row r="159" ht="14.25" customHeight="1"/>
    <row r="160" ht="15" customHeight="1">
      <c r="B160" t="s">
        <v>2344</v>
      </c>
      <c r="C160" t="s">
        <v>2230</v>
      </c>
    </row>
    <row r="161" ht="15" customHeight="1">
      <c r="B161" t="s">
        <v>2345</v>
      </c>
      <c r="C161" t="s">
        <v>186</v>
      </c>
    </row>
    <row r="162" ht="14.25" customHeight="1">
      <c r="B162" t="s">
        <v>2346</v>
      </c>
    </row>
    <row r="163" ht="14.25" customHeight="1">
      <c r="B163" t="s">
        <v>2347</v>
      </c>
      <c r="C163" t="str">
        <f t="shared" si="0"/>
        <v>XXXX</v>
      </c>
    </row>
    <row r="164" ht="14.25" customHeight="1"/>
    <row r="165" ht="36.75" customHeight="1">
      <c r="B165" t="s">
        <v>2234</v>
      </c>
    </row>
    <row r="166" ht="15" customHeight="1">
      <c r="B166" t="s">
        <v>2235</v>
      </c>
    </row>
    <row r="167" ht="35.25" customHeight="1">
      <c r="B167" t="str">
        <f>'SBL Quotes'!B58</f>
        <v>Select</v>
      </c>
    </row>
    <row r="168" ht="14.25" customHeight="1">
      <c r="B168" t="str">
        <f>'SBL Quotes'!B59</f>
        <v>Select Producer Above</v>
      </c>
    </row>
    <row r="169" ht="14.25" customHeight="1"/>
    <row r="170" ht="14.25" customHeight="1"/>
    <row r="171" ht="14.25" customHeight="1"/>
    <row r="172" ht="14.25" customHeight="1"/>
    <row r="173" ht="14.25" customHeight="1">
      <c r="B173" t="s">
        <v>2348</v>
      </c>
    </row>
    <row r="174" ht="14.25" customHeight="1"/>
    <row r="175" ht="14.25" customHeight="1">
      <c r="B175" t="s">
        <v>2349</v>
      </c>
    </row>
    <row r="176" ht="14.25" customHeight="1"/>
    <row r="177" ht="14.25" customHeight="1">
      <c r="B177" t="s">
        <v>2350</v>
      </c>
    </row>
    <row r="178" ht="14.25" customHeight="1"/>
    <row r="179" ht="14.25" customHeight="1">
      <c r="B179" t="s">
        <v>2351</v>
      </c>
    </row>
    <row r="180" ht="14.25" customHeight="1">
      <c r="B180" t="s">
        <v>2352</v>
      </c>
    </row>
    <row r="181" ht="14.25" customHeight="1">
      <c r="B181" t="s">
        <v>2353</v>
      </c>
    </row>
    <row r="182" ht="14.25" customHeight="1">
      <c r="B182" t="s">
        <v>2354</v>
      </c>
    </row>
    <row r="183" ht="14.25" customHeight="1">
      <c r="B183" t="s">
        <v>2355</v>
      </c>
    </row>
    <row r="184" ht="14.25" customHeight="1">
      <c r="B184" t="s">
        <v>2356</v>
      </c>
    </row>
    <row r="185" ht="14.25" customHeight="1"/>
    <row r="186" ht="15" customHeight="1">
      <c r="B186" t="s">
        <v>2357</v>
      </c>
    </row>
    <row r="187" ht="14.25" customHeight="1">
      <c r="B187" t="s">
        <v>2353</v>
      </c>
    </row>
    <row r="188" ht="14.25" customHeight="1">
      <c r="B188" t="s">
        <v>2354</v>
      </c>
    </row>
    <row r="189" ht="14.25" customHeight="1">
      <c r="B189" t="s">
        <v>2355</v>
      </c>
    </row>
    <row r="190" ht="14.25" customHeight="1">
      <c r="B190" t="s">
        <v>2356</v>
      </c>
    </row>
    <row r="191" ht="14.25" customHeight="1"/>
    <row r="192" ht="15" customHeight="1">
      <c r="B192" t="s">
        <v>2358</v>
      </c>
    </row>
    <row r="193" ht="14.25" customHeight="1">
      <c r="B193" t="s">
        <v>2353</v>
      </c>
    </row>
    <row r="194" ht="14.25" customHeight="1">
      <c r="B194" t="s">
        <v>2354</v>
      </c>
    </row>
    <row r="195" ht="14.25" customHeight="1">
      <c r="B195" t="s">
        <v>2355</v>
      </c>
    </row>
    <row r="196" ht="14.25" customHeight="1">
      <c r="B196" t="s">
        <v>2356</v>
      </c>
    </row>
    <row r="197" ht="14.25" customHeight="1"/>
  </sheetData>
  <sheetProtection formatCells="0" formatColumns="0" formatRows="0" insertColumns="0" insertRows="0" insertHyperlinks="0" deleteColumns="0" deleteRows="0" sort="0" autoFilter="0" pivotTables="0"/>
  <printOptions/>
  <pageMargins left="0.25" right="0.25" top="0.75" bottom="0.75" header="0.3" footer="0.3"/>
  <pageSetup paperSize="1" useFirstPageNumber="1" firstPageNumber="1" pageOrder="downThenOver" orientation="portrait"/>
  <headerFooter>
    <oddHeader>&amp;L&amp;C&amp;G&amp;R</oddHeader>
    <oddFooter>&amp;L&amp;8Issued On: &amp;D at &amp;T&amp;C&amp;R&amp;8&amp;P</oddFooter>
  </headerFooter>
  <rowBreaks count="2" manualBreakCount="2">
    <brk id="107" man="1" max="1048576"/>
    <brk id="136" man="1" max="1048576"/>
  </rowBreaks>
  <legacyDrawingHF r:id="rId1"/>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6610E99-42C5-C558-39E4-C94F2BB70FB5}" mc:Ignorable="x14ac xr xr2 xr3">
  <sheetPr>
    <tabColor theme="8" tint="0"/>
  </sheetPr>
  <dimension ref="A1:O90"/>
  <sheetViews>
    <sheetView topLeftCell="I1" workbookViewId="0">
      <selection activeCell="I1" sqref="I1"/>
    </sheetView>
  </sheetViews>
  <sheetFormatPr defaultRowHeight="15" defaultColWidth="8.8515625" customHeight="1"/>
  <cols>
    <col min="1" max="1" width="10.57421875" customWidth="1"/>
    <col min="2" max="2" width="12.57421875" customWidth="1"/>
    <col min="3" max="3" width="13.57421875" customWidth="1"/>
    <col min="4" max="4" width="11.8515625" customWidth="1"/>
    <col min="5" max="5" width="20.57421875" customWidth="1"/>
    <col min="6" max="6" width="6.00390625" customWidth="1"/>
    <col min="7" max="7" width="10.28125" customWidth="1"/>
    <col min="8" max="8" width="10.57421875" customWidth="1"/>
    <col min="9" max="9" width="5.28125" customWidth="1"/>
    <col min="10" max="10" width="41.7109375" customWidth="1"/>
    <col min="11" max="11" width="46.57421875" customWidth="1"/>
    <col min="12" max="12" width="10.28125" customWidth="1"/>
    <col min="13" max="13" width="32.00390625" customWidth="1"/>
    <col min="15" max="15" width="11.140625" customWidth="1"/>
  </cols>
  <sheetData>
    <row r="1" ht="15" customHeight="1">
      <c r="A1" t="s">
        <v>2359</v>
      </c>
      <c r="D1">
        <f>_xlfn.IFERROR(COUNTA(D3:D67)*(1-AVERAGEA(D3:D67)),1)</f>
        <v>1</v>
      </c>
      <c r="E1" t="s">
        <v>2360</v>
      </c>
      <c r="G1" t="s">
        <v>2361</v>
      </c>
      <c r="J1" t="s">
        <v>2362</v>
      </c>
      <c r="K1" t="str">
        <f>_xlfn.IFERROR(MATCH("Selected",'SBL Quotes'!$E$23:$P$23,0),"&lt;No FRE Option Selected&gt;")</f>
        <v>&lt;No FRE Option Selected&gt;</v>
      </c>
    </row>
    <row r="2" ht="15" customHeight="1">
      <c r="A2" t="s">
        <v>2364</v>
      </c>
      <c r="B2" t="s">
        <v>2365</v>
      </c>
      <c r="C2" t="s">
        <v>2366</v>
      </c>
      <c r="D2" t="s">
        <v>2367</v>
      </c>
      <c r="G2" t="s">
        <v>2368</v>
      </c>
      <c r="H2" t="s">
        <v>2369</v>
      </c>
      <c r="J2" t="s">
        <v>2370</v>
      </c>
      <c r="K2" t="s">
        <v>2371</v>
      </c>
    </row>
    <row r="3" ht="15" customHeight="1">
      <c r="C3" t="b">
        <v>1</v>
      </c>
      <c r="D3" t="b">
        <f>AND(LEN(B2BLink_ZipCode=5),B2BLink_ZipCode&lt;&gt;"XXXXX",ISNUMBER(VALUE(B2BLink_ZipCode)))</f>
        <v>0</v>
      </c>
      <c r="J3" t="s">
        <v>298</v>
      </c>
      <c r="K3" t="str">
        <f>SBL_ZipCode</f>
        <v>XXXXX</v>
      </c>
    </row>
    <row r="4" ht="15" customHeight="1">
      <c r="C4" t="b">
        <v>1</v>
      </c>
      <c r="D4" t="b">
        <f>AND(LEN(B2BLink_PropertyName)&gt;=3,B2BLink_PropertyName&lt;&gt;"XXXX",B2BLink_PropertyName&lt;&gt;"TBD")</f>
        <v>0</v>
      </c>
      <c r="J4" t="s">
        <v>265</v>
      </c>
      <c r="K4" t="str">
        <f>property_name</f>
        <v>XXXX</v>
      </c>
    </row>
    <row r="5" ht="15" customHeight="1">
      <c r="C5" t="b">
        <v>1</v>
      </c>
      <c r="D5" t="b">
        <f>AND(LEN(K5)&gt;=3,K5&lt;&gt;"XXXX")</f>
        <v>0</v>
      </c>
      <c r="J5" t="s">
        <v>273</v>
      </c>
      <c r="K5">
        <f>address</f>
      </c>
    </row>
    <row r="6" ht="15" customHeight="1">
      <c r="B6">
        <v>5</v>
      </c>
      <c r="C6" t="b">
        <v>1</v>
      </c>
      <c r="D6" t="b">
        <f>B2BLink_NumberOfUnits&gt;=B6</f>
        <v>1</v>
      </c>
      <c r="J6" t="s">
        <v>2372</v>
      </c>
      <c r="K6">
        <f>number_units</f>
        <v>101</v>
      </c>
    </row>
    <row r="7" ht="15" customHeight="1">
      <c r="A7">
        <v>1900</v>
      </c>
      <c r="B7" cm="1">
        <f t="array" ref="B7">ThisYear</f>
        <v>2023</v>
      </c>
      <c r="C7" t="b">
        <v>1</v>
      </c>
      <c r="D7" cm="1" t="b">
        <f t="array" ref="D7">IF(C7,_xlfn.LET(_xlpm.InputYear,K7,_xlpm.OldestYear,A7,AND(_xlpm.InputYear&lt;&gt;"XXXX",_xlpm.InputYear&gt;=_xlpm.OldestYear,_xlpm.InputYear&lt;=ThisYear)),"")</f>
        <v>0</v>
      </c>
      <c r="J7" t="s">
        <v>660</v>
      </c>
      <c r="K7" t="str">
        <f>SBL_YearBuilt</f>
        <v>XXXX</v>
      </c>
      <c r="M7" t="s">
        <v>2373</v>
      </c>
    </row>
    <row r="8" ht="15" customHeight="1">
      <c r="A8" s="1">
        <f t="shared" si="1" ref="A8:A58">B8-365</f>
        <v>44825</v>
      </c>
      <c r="B8" s="1">
        <f t="shared" si="2" ref="B8:B58">TODAY()+1</f>
        <v>45190</v>
      </c>
      <c r="C8" t="b">
        <v>1</v>
      </c>
      <c r="D8" t="b">
        <f t="shared" si="3" ref="D8:D58">IF(ISNUMBER(K8),AND(K8&gt;=A8,K8&lt;=B8),FALSE)</f>
        <v>0</v>
      </c>
      <c r="J8" t="s">
        <v>666</v>
      </c>
      <c r="K8" s="3">
        <f>SBL_DatePriced</f>
        <v>0</v>
      </c>
      <c r="M8" t="s">
        <v>2374</v>
      </c>
    </row>
    <row r="9" ht="15" customHeight="1">
      <c r="C9" t="b">
        <v>1</v>
      </c>
      <c r="D9" t="b">
        <f>AND(LEN(K9)&gt;0,RIGHT(K9,9)&lt;&gt;"Not Found")</f>
        <v>0</v>
      </c>
      <c r="J9" t="s">
        <v>283</v>
      </c>
      <c r="K9" t="str">
        <f>IF(OR(LEN(SblQuotes_County)=0,SblQuotes_County="XXXX"),"",SblQuotes_County)</f>
        <v>County not found</v>
      </c>
      <c r="M9" cm="1" t="str">
        <f t="array" ref="M9">IF(LEN(EnodoConfig_FreddieMacLoanId)&gt;0,"FRE Loan Id# "&amp;EnodoConfig_FreddieMacLoanId,"New Loan")</f>
        <v>New Loan</v>
      </c>
    </row>
    <row r="10" ht="15" customHeight="1">
      <c r="C10" t="b">
        <v>1</v>
      </c>
      <c r="D10" t="b">
        <f>AND(LEN(K10)&gt;=3,RIGHT(K10,9)&lt;&gt;"Not Found",K10&lt;&gt;"City")</f>
        <v>0</v>
      </c>
      <c r="J10" t="s">
        <v>279</v>
      </c>
      <c r="K10" t="str">
        <f>LEFT(SblQuotes_CityState,FIND(",",SblQuotes_CityState)-1)</f>
        <v>City</v>
      </c>
    </row>
    <row r="11" ht="15.75" customHeight="1">
      <c r="C11" t="b">
        <v>1</v>
      </c>
      <c r="D11" t="b">
        <f>AND(LEN(K11)=2,K11&lt;&gt;"XX")</f>
        <v>0</v>
      </c>
      <c r="J11" t="s">
        <v>289</v>
      </c>
      <c r="K11" t="str">
        <f>RIGHT(SblQuotes_CityState,2)</f>
        <v>XX</v>
      </c>
    </row>
    <row r="12" ht="15" customHeight="1">
      <c r="C12" t="b">
        <v>1</v>
      </c>
      <c r="J12" t="s">
        <v>2376</v>
      </c>
      <c r="K12" t="s">
        <v>2377</v>
      </c>
    </row>
    <row r="13" ht="15" customHeight="1">
      <c r="C13" t="b">
        <v>1</v>
      </c>
      <c r="J13" t="s">
        <v>2378</v>
      </c>
      <c r="K13">
        <v>0</v>
      </c>
    </row>
    <row r="14" ht="15" customHeight="1">
      <c r="C14" t="b">
        <v>1</v>
      </c>
      <c r="J14" t="s">
        <v>2379</v>
      </c>
      <c r="K14" t="s">
        <v>840</v>
      </c>
      <c r="M14" t="s">
        <v>2380</v>
      </c>
    </row>
    <row r="15" ht="15" customHeight="1">
      <c r="C15" t="b">
        <v>1</v>
      </c>
      <c r="J15" t="s">
        <v>2381</v>
      </c>
      <c r="K15" t="s">
        <v>174</v>
      </c>
    </row>
    <row r="16" ht="15" customHeight="1">
      <c r="C16" t="b">
        <v>1</v>
      </c>
      <c r="J16" t="s">
        <v>2382</v>
      </c>
      <c r="K16" t="s">
        <v>174</v>
      </c>
      <c r="M16" t="s">
        <v>2383</v>
      </c>
    </row>
    <row r="17" ht="15" customHeight="1">
      <c r="C17" t="b">
        <v>1</v>
      </c>
      <c r="J17" t="s">
        <v>390</v>
      </c>
      <c r="K17" t="s">
        <v>293</v>
      </c>
    </row>
    <row r="18" ht="15" customHeight="1">
      <c r="C18" t="b">
        <v>1</v>
      </c>
      <c r="J18" t="s">
        <v>1453</v>
      </c>
      <c r="K18" t="s">
        <v>384</v>
      </c>
    </row>
    <row r="19" ht="15" customHeight="1">
      <c r="C19" t="b">
        <v>1</v>
      </c>
      <c r="J19" t="s">
        <v>2384</v>
      </c>
      <c r="K19">
        <v>1</v>
      </c>
    </row>
    <row r="20" ht="15" customHeight="1">
      <c r="C20" t="b">
        <v>1</v>
      </c>
      <c r="J20" t="s">
        <v>2385</v>
      </c>
      <c r="K20">
        <v>0.0025</v>
      </c>
    </row>
    <row r="21" ht="15" customHeight="1">
      <c r="C21" t="b">
        <v>1</v>
      </c>
      <c r="J21" t="s">
        <v>2386</v>
      </c>
      <c r="K21">
        <v>0.02</v>
      </c>
    </row>
    <row r="22" ht="15" customHeight="1">
      <c r="C22" t="b">
        <v>1</v>
      </c>
      <c r="J22" t="s">
        <v>2387</v>
      </c>
      <c r="K22" t="s">
        <v>2388</v>
      </c>
    </row>
    <row r="23" ht="15" customHeight="1">
      <c r="C23" t="b">
        <v>1</v>
      </c>
      <c r="J23" t="s">
        <v>2389</v>
      </c>
      <c r="K23" t="s">
        <v>2390</v>
      </c>
      <c r="L23" t="s">
        <v>2391</v>
      </c>
    </row>
    <row r="24" ht="15" customHeight="1">
      <c r="C24" t="b">
        <v>1</v>
      </c>
      <c r="J24" t="s">
        <v>201</v>
      </c>
      <c r="K24" t="s">
        <v>202</v>
      </c>
    </row>
    <row r="25" ht="15" customHeight="1">
      <c r="C25" t="b">
        <v>1</v>
      </c>
      <c r="J25" t="s">
        <v>2392</v>
      </c>
      <c r="K25" t="s">
        <v>174</v>
      </c>
      <c r="L25" t="s">
        <v>2391</v>
      </c>
    </row>
    <row r="26" ht="15" customHeight="1">
      <c r="C26" t="b">
        <v>1</v>
      </c>
      <c r="J26" t="s">
        <v>2393</v>
      </c>
      <c r="K26" t="s">
        <v>174</v>
      </c>
      <c r="L26" t="s">
        <v>2391</v>
      </c>
    </row>
    <row r="27" ht="15" customHeight="1">
      <c r="C27" t="b">
        <v>1</v>
      </c>
      <c r="J27" t="s">
        <v>2394</v>
      </c>
      <c r="K27" t="s">
        <v>174</v>
      </c>
    </row>
    <row r="28" ht="15" customHeight="1">
      <c r="C28" t="b">
        <v>1</v>
      </c>
      <c r="J28" t="s">
        <v>2395</v>
      </c>
      <c r="K28" t="s">
        <v>174</v>
      </c>
      <c r="L28" t="s">
        <v>2391</v>
      </c>
    </row>
    <row r="29" ht="15" customHeight="1">
      <c r="C29" t="b">
        <v>1</v>
      </c>
      <c r="D29" cm="1" t="e">
        <f t="array" ref="D29">ISVALIDEMAILADDRESS(K29)</f>
        <v>#NAME?</v>
      </c>
      <c r="J29" t="s">
        <v>2396</v>
      </c>
      <c r="K29" t="s">
        <v>2397</v>
      </c>
    </row>
    <row r="30" ht="15" customHeight="1">
      <c r="C30" t="b">
        <v>1</v>
      </c>
      <c r="D30" cm="1" t="e">
        <f t="array" ref="D30">ISVALIDEMAILADDRESS(K30)</f>
        <v>#NAME?</v>
      </c>
      <c r="J30" t="s">
        <v>2398</v>
      </c>
      <c r="K30" t="str">
        <f>_xlfn.LET(_xlpm.firstNameInitial,LOWER(LEFT(ProducerName,1)),_xlpm.lastName,LOWER(RIGHT(ProducerName,LEN(ProducerName)-SEARCH(" ",ProducerName,1))),_xlfn.IFERROR(_xlpm.firstNameInitial&amp;_xlpm.lastName,"")&amp;"@walkerdunlop.com")</f>
        <v>@walkerdunlop.com</v>
      </c>
    </row>
    <row r="31" ht="15" customHeight="1">
      <c r="C31" t="b">
        <v>1</v>
      </c>
      <c r="D31" t="b">
        <f>D40</f>
        <v>0</v>
      </c>
      <c r="J31" t="s">
        <v>2399</v>
      </c>
      <c r="K31" t="str">
        <f>SBL_DealPurpose</f>
        <v>Refinance</v>
      </c>
    </row>
    <row r="32" ht="15" customHeight="1">
      <c r="C32" t="b">
        <v>1</v>
      </c>
      <c r="J32" t="s">
        <v>2400</v>
      </c>
      <c r="K32" t="e">
        <f>K34-K48</f>
        <v>#NAME?</v>
      </c>
    </row>
    <row r="33" ht="15" customHeight="1">
      <c r="C33" t="b">
        <v>1</v>
      </c>
      <c r="J33" t="s">
        <v>220</v>
      </c>
      <c r="K33" cm="1" t="e">
        <f t="array" ref="K33">GETSELECTEDFREDDIEQUOTEVALUE('SBL Quotes'!$D46)</f>
        <v>#NAME?</v>
      </c>
    </row>
    <row r="34" ht="15" customHeight="1">
      <c r="A34">
        <v>1</v>
      </c>
      <c r="B34">
        <v>360</v>
      </c>
      <c r="C34" t="b">
        <v>1</v>
      </c>
      <c r="D34" t="e">
        <f t="shared" si="0" ref="D34:D64">IF(C34,LEFT(K34,6)&lt;&gt;"Select","")</f>
        <v>#NAME?</v>
      </c>
      <c r="J34" t="s">
        <v>2401</v>
      </c>
      <c r="K34" t="e">
        <f>K33*12</f>
        <v>#NAME?</v>
      </c>
    </row>
    <row r="35" ht="15" customHeight="1">
      <c r="C35" t="b">
        <v>1</v>
      </c>
      <c r="J35" t="s">
        <v>633</v>
      </c>
      <c r="K35" cm="1" t="e">
        <f t="array" ref="K35">ROUND(GETSELECTEDFREDDIEQUOTEVALUE('SBL Quotes'!$D69),0)</f>
        <v>#NAME?</v>
      </c>
    </row>
    <row r="36" ht="15" customHeight="1">
      <c r="C36" t="b">
        <v>1</v>
      </c>
      <c r="J36" t="s">
        <v>650</v>
      </c>
      <c r="K36" cm="1" t="e">
        <f t="array" ref="K36">ROUND(GETSELECTEDFREDDIEQUOTEVALUE('SBL Quotes'!$D70),0)</f>
        <v>#NAME?</v>
      </c>
    </row>
    <row r="37" ht="15" customHeight="1">
      <c r="C37" t="b">
        <v>1</v>
      </c>
      <c r="J37" t="s">
        <v>2402</v>
      </c>
      <c r="K37" t="e">
        <f>_xlfn.LET(_xlpm.loanProduct,K55,_xlpm.loanTerm,TRIM(LEFT(_xlpm.loanProduct,2)),IF(_xlpm.loanTerm="5","5-yr UST",IF(_xlpm.loanTerm="7","7-yr Interp. UST","10-yr UST")))</f>
        <v>#NAME?</v>
      </c>
    </row>
    <row r="38" ht="15" customHeight="1">
      <c r="C38" t="b">
        <v>1</v>
      </c>
      <c r="J38" t="s">
        <v>2403</v>
      </c>
      <c r="K38" t="str">
        <f>'SBL Quotes'!B31</f>
        <v>No</v>
      </c>
    </row>
    <row r="39" ht="15" customHeight="1">
      <c r="C39" t="b">
        <v>1</v>
      </c>
      <c r="J39" t="s">
        <v>807</v>
      </c>
      <c r="K39">
        <f>'SBL Quotes'!B40</f>
        <v>0.05</v>
      </c>
    </row>
    <row r="40" ht="15" customHeight="1">
      <c r="A40">
        <v>0</v>
      </c>
      <c r="C40" t="b">
        <v>1</v>
      </c>
      <c r="D40" t="b">
        <f>IF(K31="Acquisition",K40=0,K40&gt;0)</f>
        <v>0</v>
      </c>
      <c r="J40" t="s">
        <v>2404</v>
      </c>
      <c r="K40">
        <f>'SBL Quotes'!AK32</f>
        <v>0</v>
      </c>
    </row>
    <row r="41" ht="15" customHeight="1">
      <c r="C41" t="b">
        <v>1</v>
      </c>
      <c r="J41" t="s">
        <v>681</v>
      </c>
      <c r="K41" cm="1" t="e">
        <f t="array" ref="K41">GETSELECTEDFREDDIEQUOTEVALUE('SBL Quotes'!$D68)</f>
        <v>#NAME?</v>
      </c>
    </row>
    <row r="42" ht="15" customHeight="1">
      <c r="C42" t="b">
        <v>1</v>
      </c>
      <c r="J42" t="s">
        <v>2405</v>
      </c>
      <c r="K42" cm="1" t="e">
        <f t="array" ref="K42">GETSELECTEDFREDDIEQUOTEVALUE('SBL Quotes'!$D47)</f>
        <v>#NAME?</v>
      </c>
    </row>
    <row r="43" ht="15" customHeight="1">
      <c r="C43" t="b">
        <v>1</v>
      </c>
      <c r="J43" t="s">
        <v>2406</v>
      </c>
      <c r="K43" t="e">
        <f>_xlfn.LET(_xlpm.loanProduct,TRIM(K55),IF(RIGHT(_xlpm.loanProduct,6)="Hybrid","Fixed-to-Float","N/A"))</f>
        <v>#NAME?</v>
      </c>
    </row>
    <row r="44" ht="15" customHeight="1">
      <c r="C44" t="b">
        <v>1</v>
      </c>
      <c r="J44" t="s">
        <v>2407</v>
      </c>
      <c r="K44" cm="1" t="e">
        <f t="array" ref="K44">IF(K43&lt;&gt;"Fixed-to-Float",0,20-GETSELECTEDFREDDIEQUOTEVALUE('SBL Quotes'!$D98))</f>
        <v>#NAME?</v>
      </c>
    </row>
    <row r="45" ht="15" customHeight="1">
      <c r="C45" t="b">
        <v>1</v>
      </c>
      <c r="J45" t="s">
        <v>788</v>
      </c>
      <c r="K45" cm="1" t="e">
        <f t="array" ref="K45">GETSELECTEDFREDDIEQUOTEVALUE('SBL Quotes'!$D34)</f>
        <v>#NAME?</v>
      </c>
    </row>
    <row r="46" ht="15" customHeight="1">
      <c r="C46" t="b">
        <v>1</v>
      </c>
      <c r="D46" t="e">
        <f t="shared" si="0"/>
        <v>#NAME?</v>
      </c>
      <c r="J46" t="s">
        <v>2408</v>
      </c>
      <c r="K46" t="e">
        <f>K62</f>
        <v>#NAME?</v>
      </c>
    </row>
    <row r="47" ht="15" customHeight="1">
      <c r="C47" t="b">
        <v>1</v>
      </c>
      <c r="J47" t="s">
        <v>1612</v>
      </c>
      <c r="K47" t="e">
        <f>IF(K37="5-yr UST",'SBL Quotes'!$BA$5,IF(K37="10-yr UST",'SBL Quotes'!$BC$5,'SBL Quotes'!$BB$5))</f>
        <v>#NAME?</v>
      </c>
    </row>
    <row r="48" ht="15" customHeight="1">
      <c r="C48" t="b">
        <v>1</v>
      </c>
      <c r="J48" t="s">
        <v>2409</v>
      </c>
      <c r="K48" t="e">
        <f>K49*12</f>
        <v>#NAME?</v>
      </c>
    </row>
    <row r="49" ht="15" customHeight="1">
      <c r="C49" t="b">
        <v>1</v>
      </c>
      <c r="J49" t="s">
        <v>824</v>
      </c>
      <c r="K49" cm="1" t="e">
        <f t="array" ref="K49">GETSELECTEDFREDDIEQUOTEVALUE('SBL Quotes'!$D43)</f>
        <v>#NAME?</v>
      </c>
    </row>
    <row r="50" ht="15" customHeight="1">
      <c r="A50">
        <v>1000</v>
      </c>
      <c r="C50" t="b">
        <v>1</v>
      </c>
      <c r="D50" t="e">
        <f>IF(C50,AND(IF(LEN(K50)=0,TRUE,K50&gt;=A50),IF(LEN(B50)=0,TRUE,K50&lt;=B50)),"")</f>
        <v>#NAME?</v>
      </c>
      <c r="J50" t="s">
        <v>572</v>
      </c>
      <c r="K50" cm="1" t="e">
        <f t="array" ref="K50">GETSELECTEDFREDDIEQUOTEVALUE('SBL Quotes'!$D30)</f>
        <v>#NAME?</v>
      </c>
    </row>
    <row r="51" ht="15" customHeight="1">
      <c r="C51" t="b">
        <v>1</v>
      </c>
      <c r="J51" t="s">
        <v>2025</v>
      </c>
      <c r="K51" cm="1" t="e">
        <f t="array" ref="K51">GETSELECTEDFREDDIEQUOTEVALUE('SBL Quotes'!$D31)</f>
        <v>#NAME?</v>
      </c>
    </row>
    <row r="52" ht="15" customHeight="1">
      <c r="C52" t="b">
        <v>1</v>
      </c>
      <c r="J52" t="s">
        <v>2410</v>
      </c>
      <c r="K52" cm="1" t="e">
        <f t="array" ref="K52">GETSELECTEDFREDDIEQUOTEVALUE('SBL Quotes'!$D32)</f>
        <v>#NAME?</v>
      </c>
    </row>
    <row r="53" ht="15" customHeight="1">
      <c r="C53" t="b">
        <v>1</v>
      </c>
      <c r="J53" t="s">
        <v>2411</v>
      </c>
      <c r="K53" cm="1" t="e">
        <f t="array" ref="K53">_xlfn.LET(_xlpm.termAsMonths,GETSELECTEDFREDDIEQUOTEVALUE('SBL Quotes'!$D98)*12,_xlpm.prepaymentOption,K54,IF(_xlpm.prepaymentOption="310(3)",24,_xlpm.termAsMonths-3))</f>
        <v>#NAME?</v>
      </c>
    </row>
    <row r="54" ht="15" customHeight="1">
      <c r="C54" t="b">
        <v>1</v>
      </c>
      <c r="J54" t="s">
        <v>800</v>
      </c>
      <c r="K54" cm="1" t="e">
        <f t="array" ref="K54">GETSELECTEDFREDDIEQUOTEVALUE('SBL Quotes'!$D38)</f>
        <v>#NAME?</v>
      </c>
    </row>
    <row r="55" ht="15" customHeight="1">
      <c r="C55" t="b">
        <v>1</v>
      </c>
      <c r="J55" t="s">
        <v>742</v>
      </c>
      <c r="K55" cm="1" t="e">
        <f t="array" ref="K55">GETSELECTEDFREDDIEQUOTEVALUE('SBL Quotes'!$D26)</f>
        <v>#NAME?</v>
      </c>
    </row>
    <row r="56" ht="15" customHeight="1">
      <c r="C56" t="b">
        <v>1</v>
      </c>
      <c r="J56" t="s">
        <v>804</v>
      </c>
      <c r="K56">
        <f>IF(ISNUMBER('SBL Quotes'!B39),'SBL Quotes'!B39,0)</f>
        <v>0</v>
      </c>
    </row>
    <row r="57" ht="15" customHeight="1">
      <c r="C57" t="b">
        <v>1</v>
      </c>
      <c r="J57" t="s">
        <v>736</v>
      </c>
      <c r="K57" cm="1" t="e">
        <f t="array" ref="K57">ROUND(GETSELECTEDFREDDIEQUOTEVALUE('SBL Quotes'!$D25),0)</f>
        <v>#NAME?</v>
      </c>
    </row>
    <row r="58" ht="15" customHeight="1">
      <c r="A58" s="1">
        <f t="shared" si="1"/>
        <v>44825</v>
      </c>
      <c r="B58" s="1">
        <f t="shared" si="2"/>
        <v>45190</v>
      </c>
      <c r="C58" t="b">
        <v>1</v>
      </c>
      <c r="D58" t="b">
        <f t="shared" si="3"/>
        <v>0</v>
      </c>
      <c r="J58" t="s">
        <v>2412</v>
      </c>
      <c r="K58" s="3">
        <f>RentRollDate</f>
        <v>0</v>
      </c>
    </row>
    <row r="59" ht="15" customHeight="1">
      <c r="C59" t="b">
        <v>1</v>
      </c>
      <c r="J59" t="s">
        <v>2413</v>
      </c>
      <c r="K59" t="str">
        <f>'SBL Quotes'!B28</f>
        <v>No</v>
      </c>
    </row>
    <row r="60" ht="15" customHeight="1">
      <c r="C60" t="b">
        <v>1</v>
      </c>
      <c r="J60" t="s">
        <v>461</v>
      </c>
      <c r="K60" cm="1" t="e">
        <f t="array" ref="K60">GETSELECTEDFREDDIEQUOTEVALUE('SBL Quotes'!$D104)</f>
        <v>#NAME?</v>
      </c>
    </row>
    <row r="61" ht="15" customHeight="1">
      <c r="C61" t="b">
        <v>1</v>
      </c>
      <c r="J61" t="s">
        <v>794</v>
      </c>
      <c r="K61" cm="1" t="e">
        <f t="array" ref="K61">GETSELECTEDFREDDIEQUOTEVALUE('SBL Quotes'!$D36)</f>
        <v>#NAME?</v>
      </c>
    </row>
    <row r="62" ht="15" customHeight="1">
      <c r="C62" t="b">
        <v>1</v>
      </c>
      <c r="J62" t="s">
        <v>468</v>
      </c>
      <c r="K62" cm="1" t="e">
        <f t="array" ref="K62">GETSELECTEDFREDDIEQUOTEVALUE('SBL Quotes'!$D67)</f>
        <v>#NAME?</v>
      </c>
    </row>
    <row r="63" ht="15" customHeight="1">
      <c r="C63" t="b">
        <v>1</v>
      </c>
      <c r="J63" t="s">
        <v>2414</v>
      </c>
      <c r="K63" cm="1" t="e">
        <f t="array" ref="K63">_xlfn.LET(_xlpm.loanProduct,TRIM(GETSELECTEDFREDDIEQUOTEVALUE('SBL Quotes'!$D6)),_xlpm.isHybrid,RIGHT(_xlpm.loanProduct,6)="Hybrid",_xlpm.loanTermInYrs,LEFT(_xlpm.loanProduct,2),IF(_xlpm.isHybrid,20,_xlpm.loanTermInYrs)*12)</f>
        <v>#NAME?</v>
      </c>
    </row>
    <row r="64" ht="15" customHeight="1">
      <c r="C64" t="b">
        <v>1</v>
      </c>
      <c r="D64" t="e">
        <f t="shared" si="0"/>
        <v>#NAME?</v>
      </c>
      <c r="J64" t="s">
        <v>2415</v>
      </c>
      <c r="K64" cm="1" t="e">
        <f t="array" ref="K64">GETSELECTEDFREDDIEQUOTEVALUE('SBL Quotes'!$D68)</f>
        <v>#NAME?</v>
      </c>
    </row>
    <row r="65" ht="15" customHeight="1">
      <c r="C65" t="b">
        <v>1</v>
      </c>
      <c r="J65" t="s">
        <v>2416</v>
      </c>
      <c r="K65">
        <f>ROUND('SBL Quotes'!B41,0)</f>
        <v>-1616089</v>
      </c>
    </row>
    <row r="66" ht="15" customHeight="1">
      <c r="C66" t="b">
        <v>1</v>
      </c>
      <c r="J66" t="s">
        <v>2417</v>
      </c>
      <c r="K66">
        <f>ROUND('SBL Quotes'!B42,0)</f>
        <v>-32321786</v>
      </c>
    </row>
    <row r="67" ht="15" customHeight="1">
      <c r="C67" t="b">
        <v>1</v>
      </c>
      <c r="J67" t="s">
        <v>2418</v>
      </c>
      <c r="K67">
        <f>ROUND('SBL Quotes'!B43,0)</f>
        <v>-320018</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429B0FD-0636-C1B6-1634-B94A16ABEFBD}" mc:Ignorable="x14ac xr xr2 xr3">
  <sheetPr>
    <tabColor theme="8" tint="0"/>
    <pageSetUpPr fitToPage="1"/>
  </sheetPr>
  <dimension ref="A1:BL99"/>
  <sheetViews>
    <sheetView topLeftCell="A1" zoomScale="80" workbookViewId="0">
      <selection activeCell="AV10" sqref="AV10"/>
    </sheetView>
  </sheetViews>
  <sheetFormatPr defaultRowHeight="14.497499999999997" defaultColWidth="9.57421875" customHeight="1"/>
  <cols>
    <col min="1" max="1" width="2.57421875" customWidth="1"/>
    <col min="2" max="2" width="30.57421875" customWidth="1"/>
    <col min="3" max="3" width="18.57421875" customWidth="1"/>
    <col min="4" max="4" width="13.57421875" customWidth="1"/>
    <col min="6" max="6" width="7.8515625" hidden="1" customWidth="1"/>
    <col min="7" max="7" width="13.57421875" customWidth="1"/>
    <col min="9" max="9" width="7.8515625" hidden="1" customWidth="1"/>
    <col min="10" max="10" width="13.57421875" customWidth="1"/>
    <col min="12" max="12" width="8.28125" hidden="1" customWidth="1"/>
    <col min="13" max="23" width="14.57421875" customWidth="1"/>
    <col min="24" max="25" width="13.57421875" customWidth="1"/>
    <col min="27" max="27" width="7.8515625" hidden="1" customWidth="1"/>
    <col min="28" max="28" width="13.57421875" customWidth="1"/>
    <col min="30" max="30" width="7.8515625" hidden="1" customWidth="1"/>
    <col min="31" max="31" width="13.57421875" customWidth="1"/>
    <col min="33" max="33" width="9.57421875" hidden="1" customWidth="1"/>
    <col min="34" max="34" width="13.57421875" customWidth="1"/>
    <col min="37" max="38" width="13.57421875" customWidth="1"/>
    <col min="40" max="41" width="13.57421875" customWidth="1"/>
    <col min="43" max="44" width="13.57421875" customWidth="1"/>
    <col min="45" max="45" width="7.8515625" customWidth="1"/>
    <col min="46" max="46" width="2.57421875" customWidth="1"/>
    <col min="47" max="47" width="13.57421875" customWidth="1"/>
    <col min="49" max="49" width="8.28125" hidden="1" customWidth="1"/>
    <col min="50" max="50" width="2.57421875" customWidth="1"/>
    <col min="51" max="51" width="13.57421875" customWidth="1"/>
    <col min="53" max="53" width="8.28125" hidden="1" customWidth="1"/>
    <col min="54" max="54" width="2.57421875" customWidth="1"/>
    <col min="55" max="55" width="13.57421875" customWidth="1"/>
    <col min="56" max="56" width="8.28125" customWidth="1"/>
    <col min="57" max="57" width="8.28125" hidden="1" customWidth="1"/>
    <col min="58" max="58" width="13.57421875" customWidth="1"/>
    <col min="60" max="60" width="8.28125" hidden="1" customWidth="1"/>
    <col min="61" max="61" width="13.57421875" customWidth="1"/>
    <col min="63" max="63" width="8.28125" hidden="1" customWidth="1"/>
    <col min="64" max="64" width="6.8515625" customWidth="1"/>
  </cols>
  <sheetData>
    <row r="1" ht="15" customHeight="1">
      <c r="G1" t="s">
        <v>2419</v>
      </c>
      <c r="AU1" s="1">
        <f t="shared" si="0" ref="AU1:AU2">NOW()</f>
        <v>45189.64865584491</v>
      </c>
    </row>
    <row r="2" ht="15" customHeight="1">
      <c r="B2" t="s">
        <v>2420</v>
      </c>
      <c r="C2" t="str">
        <f>PropertyName_DataPageTab</f>
        <v>XXXX</v>
      </c>
      <c r="AU2" s="1">
        <f t="shared" si="0"/>
        <v>45189.64865584491</v>
      </c>
    </row>
    <row r="3" ht="15.75" customHeight="1">
      <c r="B3" t="s">
        <v>2114</v>
      </c>
      <c r="C3">
        <f>TotalUnits</f>
        <v>85</v>
      </c>
    </row>
    <row r="4" ht="15" customHeight="1">
      <c r="B4" t="s">
        <v>2421</v>
      </c>
      <c r="C4">
        <f>TotalBeds</f>
        <v>0</v>
      </c>
      <c r="D4" t="s">
        <v>2422</v>
      </c>
      <c r="G4" t="s">
        <v>2422</v>
      </c>
      <c r="J4" t="s">
        <v>2422</v>
      </c>
      <c r="M4" t="s">
        <v>2423</v>
      </c>
      <c r="N4" t="s">
        <v>2424</v>
      </c>
      <c r="O4" t="s">
        <v>2425</v>
      </c>
      <c r="P4" t="s">
        <v>2426</v>
      </c>
      <c r="Q4" t="s">
        <v>2427</v>
      </c>
      <c r="R4" t="s">
        <v>2428</v>
      </c>
      <c r="S4" t="s">
        <v>2429</v>
      </c>
      <c r="T4" t="s">
        <v>2430</v>
      </c>
      <c r="U4" t="s">
        <v>2431</v>
      </c>
      <c r="V4" t="s">
        <v>1752</v>
      </c>
      <c r="W4" t="s">
        <v>2432</v>
      </c>
      <c r="X4" t="s">
        <v>2433</v>
      </c>
      <c r="Y4" t="str">
        <f>'Fannie Historical Ops'!W2</f>
        <v>TR-12 Statement (9/2022)</v>
      </c>
      <c r="AB4" t="str">
        <f>'Fannie Historical Ops'!Y2</f>
        <v>Budget</v>
      </c>
      <c r="AE4" t="str">
        <f>'Fannie Historical Ops'!AA2</f>
        <v>Appraisal</v>
      </c>
      <c r="AH4" t="str">
        <f>'Fannie Historical Ops'!AC2</f>
        <v>Appraisal</v>
      </c>
      <c r="AK4" t="str">
        <f>'Fannie Historical Ops'!AE2</f>
        <v>1st Lien Underwriting</v>
      </c>
      <c r="AN4" t="str">
        <f>'Fannie Historical Ops'!AG2</f>
        <v>2nd Lien Underwriting</v>
      </c>
      <c r="AQ4" t="str">
        <f>'Fannie Historical Ops'!AI2</f>
        <v>3rd Lien Underwriting</v>
      </c>
      <c r="AU4" t="s">
        <v>2434</v>
      </c>
      <c r="AY4" t="s">
        <v>1871</v>
      </c>
      <c r="BC4" t="s">
        <v>2435</v>
      </c>
      <c r="BF4">
        <f>'Fannie Historical Ops'!W4</f>
        <v>2022</v>
      </c>
      <c r="BI4" t="s">
        <v>2436</v>
      </c>
    </row>
    <row r="5" ht="15" customHeight="1">
      <c r="D5" t="s">
        <v>1762</v>
      </c>
      <c r="G5" t="s">
        <v>1762</v>
      </c>
      <c r="J5" t="s">
        <v>1762</v>
      </c>
      <c r="Y5" t="s">
        <v>1762</v>
      </c>
    </row>
    <row r="6" ht="15.75" customHeight="1">
      <c r="D6">
        <f>'Fannie Historical Ops'!D4</f>
        <v>2019</v>
      </c>
      <c r="G6">
        <f>'Fannie Historical Ops'!F4</f>
        <v>2020</v>
      </c>
      <c r="J6">
        <f>'Fannie Historical Ops'!H4</f>
        <v>2021</v>
      </c>
      <c r="Y6">
        <f>'Fannie Historical Ops'!W4</f>
        <v>2022</v>
      </c>
      <c r="AB6">
        <f>'Fannie Historical Ops'!Y4</f>
        <v>2022</v>
      </c>
      <c r="AE6" t="str">
        <f>'Fannie Historical Ops'!AA4</f>
        <v>Year 1</v>
      </c>
      <c r="AH6" t="str">
        <f>'Fannie Historical Ops'!AC4</f>
        <v>Adjusted</v>
      </c>
      <c r="AK6" t="str">
        <f>'Fannie Historical Ops'!AE4</f>
        <v>Year</v>
      </c>
      <c r="AN6" t="str">
        <f>'Fannie Historical Ops'!AG4</f>
        <v>Year</v>
      </c>
      <c r="AQ6" t="str">
        <f>'Fannie Historical Ops'!AI4</f>
        <v>Year</v>
      </c>
      <c r="AU6" t="str">
        <f>'Fannie Historical Ops'!AK4</f>
        <v>Year 1</v>
      </c>
      <c r="AY6" t="str">
        <f>AU6</f>
        <v>Year 1</v>
      </c>
      <c r="BF6" t="s">
        <v>1882</v>
      </c>
    </row>
    <row r="7" ht="15" customHeight="1">
      <c r="B7" t="s">
        <v>2437</v>
      </c>
    </row>
    <row r="8" ht="15" customHeight="1">
      <c r="E8" t="s">
        <v>1878</v>
      </c>
      <c r="F8" t="s">
        <v>2438</v>
      </c>
      <c r="H8" t="s">
        <v>1878</v>
      </c>
      <c r="I8" t="s">
        <v>2438</v>
      </c>
      <c r="K8" t="s">
        <v>1878</v>
      </c>
      <c r="L8" t="s">
        <v>2438</v>
      </c>
      <c r="Z8" t="s">
        <v>1878</v>
      </c>
      <c r="AA8" t="s">
        <v>2438</v>
      </c>
      <c r="AC8" t="s">
        <v>1878</v>
      </c>
      <c r="AD8" t="s">
        <v>2438</v>
      </c>
      <c r="AF8" t="s">
        <v>1878</v>
      </c>
      <c r="AG8" t="s">
        <v>2438</v>
      </c>
      <c r="AI8" t="s">
        <v>1878</v>
      </c>
      <c r="AJ8" t="s">
        <v>2438</v>
      </c>
      <c r="AL8" t="s">
        <v>1878</v>
      </c>
      <c r="AM8" t="s">
        <v>2438</v>
      </c>
      <c r="AO8" t="s">
        <v>1878</v>
      </c>
      <c r="AP8" t="s">
        <v>2438</v>
      </c>
      <c r="AR8" t="s">
        <v>1878</v>
      </c>
      <c r="AS8" t="s">
        <v>2438</v>
      </c>
      <c r="AV8" t="s">
        <v>1878</v>
      </c>
      <c r="AW8" t="s">
        <v>2438</v>
      </c>
      <c r="AZ8" t="s">
        <v>1878</v>
      </c>
      <c r="BA8" t="s">
        <v>2438</v>
      </c>
      <c r="BD8" t="s">
        <v>1878</v>
      </c>
      <c r="BE8" t="s">
        <v>2438</v>
      </c>
      <c r="BG8" t="s">
        <v>1878</v>
      </c>
      <c r="BH8" t="s">
        <v>2438</v>
      </c>
      <c r="BK8" t="s">
        <v>2438</v>
      </c>
    </row>
    <row r="9" ht="15" customHeight="1">
      <c r="B9" t="str">
        <f>'Fannie Historical Ops'!B5</f>
        <v>Gross Potential Rent (GPR)</v>
      </c>
      <c r="D9">
        <f>'Fannie Historical Ops'!D5</f>
        <v>0</v>
      </c>
      <c r="E9">
        <f t="shared" si="1" ref="E9:BG9">IF(D9=0,0,D9/$C$3/12)</f>
        <v>0</v>
      </c>
      <c r="F9">
        <f t="shared" si="2" ref="F9:BK9">IF(D9=0,0,D9/TotalBeds/12)</f>
        <v>0</v>
      </c>
      <c r="G9">
        <f>'Fannie Historical Ops'!F5</f>
        <v>0</v>
      </c>
      <c r="H9">
        <f t="shared" si="1"/>
        <v>0</v>
      </c>
      <c r="I9">
        <f t="shared" si="2"/>
        <v>0</v>
      </c>
      <c r="J9">
        <f>'Fannie Historical Ops'!H5</f>
        <v>0</v>
      </c>
      <c r="K9">
        <f t="shared" si="1"/>
        <v>0</v>
      </c>
      <c r="L9">
        <f t="shared" si="2"/>
        <v>0</v>
      </c>
      <c r="M9">
        <f>'Fannie Historical Ops'!J5</f>
        <v>5028324</v>
      </c>
      <c r="N9">
        <f>'Fannie Historical Ops'!K5</f>
        <v>5023599.2727272725</v>
      </c>
      <c r="O9">
        <f>'Fannie Historical Ops'!L5</f>
        <v>5019590.4</v>
      </c>
      <c r="P9">
        <f>'Fannie Historical Ops'!M5</f>
        <v>5055228</v>
      </c>
      <c r="Q9">
        <f>'Fannie Historical Ops'!N5</f>
        <v>5056887</v>
      </c>
      <c r="R9">
        <f>'Fannie Historical Ops'!O5</f>
        <v>5050911.428571429</v>
      </c>
      <c r="S9">
        <f>'Fannie Historical Ops'!P5</f>
        <v>5103032</v>
      </c>
      <c r="T9">
        <f>'Fannie Historical Ops'!Q5</f>
        <v>5146665.6</v>
      </c>
      <c r="U9">
        <f>'Fannie Historical Ops'!R5</f>
        <v>5161863</v>
      </c>
      <c r="V9">
        <f>'Fannie Historical Ops'!S5</f>
        <v>5135568</v>
      </c>
      <c r="W9">
        <f>'Fannie Historical Ops'!T5</f>
        <v>5157234</v>
      </c>
      <c r="X9">
        <f>'Fannie Historical Ops'!U5</f>
        <v>5113104</v>
      </c>
      <c r="Y9">
        <f>'Fannie Historical Ops'!W5</f>
        <v>5028324</v>
      </c>
      <c r="Z9">
        <f t="shared" si="1"/>
        <v>4929.729411764706</v>
      </c>
      <c r="AA9" t="e">
        <f t="shared" si="2"/>
        <v>#DIV/0!</v>
      </c>
      <c r="AB9">
        <f>'Fannie Historical Ops'!Y5</f>
        <v>0</v>
      </c>
      <c r="AC9">
        <f t="shared" si="1"/>
        <v>0</v>
      </c>
      <c r="AD9">
        <f t="shared" si="2"/>
        <v>0</v>
      </c>
      <c r="AE9">
        <f>'Fannie Historical Ops'!AA5</f>
        <v>0</v>
      </c>
      <c r="AF9">
        <f t="shared" si="1"/>
        <v>0</v>
      </c>
      <c r="AG9">
        <f t="shared" si="2"/>
        <v>0</v>
      </c>
      <c r="AH9">
        <f>'Fannie Historical Ops'!AC5</f>
        <v>0</v>
      </c>
      <c r="AI9">
        <f t="shared" si="1"/>
        <v>0</v>
      </c>
      <c r="AJ9">
        <f t="shared" si="2"/>
        <v>0</v>
      </c>
      <c r="AK9">
        <f>'Fannie Historical Ops'!AE5</f>
        <v>0</v>
      </c>
      <c r="AL9">
        <f t="shared" si="1"/>
        <v>0</v>
      </c>
      <c r="AM9">
        <f t="shared" si="2"/>
        <v>0</v>
      </c>
      <c r="AN9">
        <f>'Fannie Historical Ops'!AG5</f>
        <v>0</v>
      </c>
      <c r="AO9">
        <f t="shared" si="1"/>
        <v>0</v>
      </c>
      <c r="AP9">
        <f t="shared" si="2"/>
        <v>0</v>
      </c>
      <c r="AQ9">
        <f>'Fannie Historical Ops'!AI5</f>
        <v>0</v>
      </c>
      <c r="AR9">
        <f t="shared" si="1"/>
        <v>0</v>
      </c>
      <c r="AS9">
        <f t="shared" si="2"/>
        <v>0</v>
      </c>
      <c r="AU9">
        <f>ROUND('Fannie Historical Ops'!AK5,2)</f>
        <v>1556580</v>
      </c>
      <c r="AV9">
        <f t="shared" si="1"/>
        <v>1526.0588235294117</v>
      </c>
      <c r="AW9" t="e">
        <f t="shared" si="2"/>
        <v>#DIV/0!</v>
      </c>
      <c r="AY9">
        <f>'Fannie Historical Ops'!AM5</f>
        <v>0</v>
      </c>
      <c r="AZ9">
        <f t="shared" si="1"/>
        <v>0</v>
      </c>
      <c r="BA9">
        <f t="shared" si="2"/>
        <v>0</v>
      </c>
      <c r="BC9">
        <f t="shared" si="5" ref="BC9:BC82">AVERAGE(D9,G9,J9)</f>
        <v>0</v>
      </c>
      <c r="BD9">
        <f t="shared" si="1"/>
        <v>0</v>
      </c>
      <c r="BE9">
        <f t="shared" si="2"/>
        <v>0</v>
      </c>
      <c r="BF9">
        <f t="shared" si="6" ref="BF9:BF82">Y9*1.03</f>
        <v>5179173.72</v>
      </c>
      <c r="BG9">
        <f t="shared" si="1"/>
        <v>5077.621294117646</v>
      </c>
      <c r="BH9" t="e">
        <f t="shared" si="2"/>
        <v>#DIV/0!</v>
      </c>
      <c r="BK9">
        <f t="shared" si="2"/>
        <v>0</v>
      </c>
    </row>
    <row r="10" ht="15" customHeight="1">
      <c r="B10" t="str">
        <f>'Fannie Historical Ops'!B6</f>
        <v>Less Vacancy Loss</v>
      </c>
      <c r="D10">
        <f>'Fannie Historical Ops'!D6</f>
        <v>0</v>
      </c>
      <c r="E10">
        <f t="shared" si="3" ref="E10:AZ12">IF(D10=0,0,D10/D$9)*-1</f>
        <v>0</v>
      </c>
      <c r="F10">
        <f t="shared" si="4" ref="F10:BK12">IF(D10=0,0,D10/D$9)*-1</f>
        <v>0</v>
      </c>
      <c r="G10">
        <f>'Fannie Historical Ops'!F6</f>
        <v>0</v>
      </c>
      <c r="H10">
        <f t="shared" si="3"/>
        <v>0</v>
      </c>
      <c r="I10">
        <f t="shared" si="4"/>
        <v>0</v>
      </c>
      <c r="J10">
        <f>'Fannie Historical Ops'!H6</f>
        <v>0</v>
      </c>
      <c r="K10">
        <f t="shared" si="3"/>
        <v>0</v>
      </c>
      <c r="L10">
        <f t="shared" si="4"/>
        <v>0</v>
      </c>
      <c r="M10">
        <f>'Fannie Historical Ops'!J6</f>
        <v>-174838</v>
      </c>
      <c r="N10">
        <f>'Fannie Historical Ops'!K6</f>
        <v>-174100.36363636365</v>
      </c>
      <c r="O10">
        <f>'Fannie Historical Ops'!L6</f>
        <v>-167413.2</v>
      </c>
      <c r="P10">
        <f>'Fannie Historical Ops'!M6</f>
        <v>-165697.33333333334</v>
      </c>
      <c r="Q10">
        <f>'Fannie Historical Ops'!N6</f>
        <v>-151336.5</v>
      </c>
      <c r="R10">
        <f>'Fannie Historical Ops'!O6</f>
        <v>-145505.14285714284</v>
      </c>
      <c r="S10">
        <f>'Fannie Historical Ops'!P6</f>
        <v>-148634</v>
      </c>
      <c r="T10">
        <f>'Fannie Historical Ops'!Q6</f>
        <v>-165321.59999999998</v>
      </c>
      <c r="U10">
        <f>'Fannie Historical Ops'!R6</f>
        <v>-179808</v>
      </c>
      <c r="V10">
        <f>'Fannie Historical Ops'!S6</f>
        <v>-186172</v>
      </c>
      <c r="W10">
        <f>'Fannie Historical Ops'!T6</f>
        <v>-203988</v>
      </c>
      <c r="X10">
        <f>'Fannie Historical Ops'!U6</f>
        <v>-229572</v>
      </c>
      <c r="Y10">
        <f>'Fannie Historical Ops'!W6</f>
        <v>-174838</v>
      </c>
      <c r="Z10">
        <f t="shared" si="3"/>
        <v>0.0347706313276551</v>
      </c>
      <c r="AA10">
        <f t="shared" si="4"/>
        <v>0.0347706313276551</v>
      </c>
      <c r="AB10">
        <f>'Fannie Historical Ops'!Y6</f>
        <v>0</v>
      </c>
      <c r="AC10">
        <f t="shared" si="3"/>
        <v>0</v>
      </c>
      <c r="AD10">
        <f t="shared" si="4"/>
        <v>0</v>
      </c>
      <c r="AE10">
        <f>'Fannie Historical Ops'!AA6</f>
        <v>0</v>
      </c>
      <c r="AF10">
        <f t="shared" si="3"/>
        <v>0</v>
      </c>
      <c r="AG10">
        <f t="shared" si="4"/>
        <v>0</v>
      </c>
      <c r="AH10">
        <f>'Fannie Historical Ops'!AC6</f>
        <v>0</v>
      </c>
      <c r="AI10">
        <f t="shared" si="3"/>
        <v>0</v>
      </c>
      <c r="AJ10">
        <f t="shared" si="4"/>
        <v>0</v>
      </c>
      <c r="AK10">
        <f>'Fannie Historical Ops'!AE6</f>
        <v>0</v>
      </c>
      <c r="AL10">
        <f t="shared" si="3"/>
        <v>0</v>
      </c>
      <c r="AM10">
        <f t="shared" si="4"/>
        <v>0</v>
      </c>
      <c r="AN10">
        <f>'Fannie Historical Ops'!AG6</f>
        <v>0</v>
      </c>
      <c r="AO10">
        <f t="shared" si="3"/>
        <v>0</v>
      </c>
      <c r="AP10">
        <f t="shared" si="4"/>
        <v>0</v>
      </c>
      <c r="AQ10">
        <f>'Fannie Historical Ops'!AI6</f>
        <v>0</v>
      </c>
      <c r="AR10">
        <f t="shared" si="3"/>
        <v>0</v>
      </c>
      <c r="AS10">
        <f t="shared" si="4"/>
        <v>0</v>
      </c>
      <c r="AU10">
        <f>ROUND('Fannie Historical Ops'!AK6,2)</f>
        <v>-186172</v>
      </c>
      <c r="AV10">
        <f t="shared" si="3"/>
        <v>0.11960323272816045</v>
      </c>
      <c r="AW10">
        <f t="shared" si="4"/>
        <v>0.11960323272816045</v>
      </c>
      <c r="AY10">
        <f>'Fannie Historical Ops'!AM6</f>
        <v>0</v>
      </c>
      <c r="AZ10">
        <f t="shared" si="3"/>
        <v>0</v>
      </c>
      <c r="BA10">
        <f t="shared" si="4"/>
        <v>0</v>
      </c>
      <c r="BC10">
        <f t="shared" si="5"/>
        <v>0</v>
      </c>
      <c r="BD10">
        <f t="shared" si="7" ref="BD10:BG12">IF(BC10=0,0,BC10/BC$9)</f>
        <v>0</v>
      </c>
      <c r="BE10">
        <f t="shared" si="4"/>
        <v>0</v>
      </c>
      <c r="BF10">
        <f t="shared" si="6"/>
        <v>-180083.14</v>
      </c>
      <c r="BG10">
        <f t="shared" si="7"/>
        <v>-0.0347706313276551</v>
      </c>
      <c r="BH10">
        <f t="shared" si="4"/>
        <v>0.0347706313276551</v>
      </c>
      <c r="BK10">
        <f t="shared" si="4"/>
        <v>0</v>
      </c>
    </row>
    <row r="11" ht="15" customHeight="1">
      <c r="B11" t="str">
        <f>'Fannie Historical Ops'!B7</f>
        <v>Less Bad Debt</v>
      </c>
      <c r="D11">
        <f>'Fannie Historical Ops'!D7</f>
        <v>0</v>
      </c>
      <c r="E11">
        <f t="shared" si="3"/>
        <v>0</v>
      </c>
      <c r="F11">
        <f t="shared" si="4"/>
        <v>0</v>
      </c>
      <c r="G11">
        <f>'Fannie Historical Ops'!F7</f>
        <v>0</v>
      </c>
      <c r="H11">
        <f t="shared" si="3"/>
        <v>0</v>
      </c>
      <c r="I11">
        <f t="shared" si="4"/>
        <v>0</v>
      </c>
      <c r="J11">
        <f>'Fannie Historical Ops'!H7</f>
        <v>0</v>
      </c>
      <c r="K11">
        <f t="shared" si="3"/>
        <v>0</v>
      </c>
      <c r="L11">
        <f t="shared" si="4"/>
        <v>0</v>
      </c>
      <c r="M11">
        <f>'Fannie Historical Ops'!J7</f>
        <v>-46354</v>
      </c>
      <c r="N11">
        <f>'Fannie Historical Ops'!K7</f>
        <v>-50590.90909090909</v>
      </c>
      <c r="O11">
        <f>'Fannie Historical Ops'!L7</f>
        <v>-56042.399999999994</v>
      </c>
      <c r="P11">
        <f>'Fannie Historical Ops'!M7</f>
        <v>-58862.66666666667</v>
      </c>
      <c r="Q11">
        <f>'Fannie Historical Ops'!N7</f>
        <v>-56860.5</v>
      </c>
      <c r="R11">
        <f>'Fannie Historical Ops'!O7</f>
        <v>-55020</v>
      </c>
      <c r="S11">
        <f>'Fannie Historical Ops'!P7</f>
        <v>-45414</v>
      </c>
      <c r="T11">
        <f>'Fannie Historical Ops'!Q7</f>
        <v>-33984</v>
      </c>
      <c r="U11">
        <f>'Fannie Historical Ops'!R7</f>
        <v>-31167</v>
      </c>
      <c r="V11">
        <f>'Fannie Historical Ops'!S7</f>
        <v>-44520</v>
      </c>
      <c r="W11">
        <f>'Fannie Historical Ops'!T7</f>
        <v>-35256</v>
      </c>
      <c r="X11">
        <f>'Fannie Historical Ops'!U7</f>
        <v>-60120</v>
      </c>
      <c r="Y11">
        <f>'Fannie Historical Ops'!W7</f>
        <v>-46354</v>
      </c>
      <c r="Z11">
        <f t="shared" si="3"/>
        <v>0.009218578595969551</v>
      </c>
      <c r="AA11">
        <f t="shared" si="4"/>
        <v>0.009218578595969551</v>
      </c>
      <c r="AB11">
        <f>'Fannie Historical Ops'!Y7</f>
        <v>0</v>
      </c>
      <c r="AC11">
        <f t="shared" si="3"/>
        <v>0</v>
      </c>
      <c r="AD11">
        <f t="shared" si="4"/>
        <v>0</v>
      </c>
      <c r="AE11">
        <f>'Fannie Historical Ops'!AA7</f>
        <v>0</v>
      </c>
      <c r="AF11">
        <f t="shared" si="3"/>
        <v>0</v>
      </c>
      <c r="AG11">
        <f t="shared" si="4"/>
        <v>0</v>
      </c>
      <c r="AH11">
        <f>'Fannie Historical Ops'!AC7</f>
        <v>0</v>
      </c>
      <c r="AI11">
        <f t="shared" si="3"/>
        <v>0</v>
      </c>
      <c r="AJ11">
        <f t="shared" si="4"/>
        <v>0</v>
      </c>
      <c r="AK11">
        <f>'Fannie Historical Ops'!AE7</f>
        <v>0</v>
      </c>
      <c r="AL11">
        <f t="shared" si="3"/>
        <v>0</v>
      </c>
      <c r="AM11">
        <f t="shared" si="4"/>
        <v>0</v>
      </c>
      <c r="AN11">
        <f>'Fannie Historical Ops'!AG7</f>
        <v>0</v>
      </c>
      <c r="AO11">
        <f t="shared" si="3"/>
        <v>0</v>
      </c>
      <c r="AP11">
        <f t="shared" si="4"/>
        <v>0</v>
      </c>
      <c r="AQ11">
        <f>'Fannie Historical Ops'!AI7</f>
        <v>0</v>
      </c>
      <c r="AR11">
        <f t="shared" si="3"/>
        <v>0</v>
      </c>
      <c r="AS11">
        <f t="shared" si="4"/>
        <v>0</v>
      </c>
      <c r="AU11">
        <f>ROUND('Fannie Historical Ops'!AK7,2)</f>
        <v>-44520</v>
      </c>
      <c r="AV11">
        <f t="shared" si="3"/>
        <v>0.028601164090506108</v>
      </c>
      <c r="AW11">
        <f t="shared" si="4"/>
        <v>0.028601164090506108</v>
      </c>
      <c r="AY11">
        <f>'Fannie Historical Ops'!AM7</f>
        <v>0</v>
      </c>
      <c r="AZ11">
        <f t="shared" si="3"/>
        <v>0</v>
      </c>
      <c r="BA11">
        <f t="shared" si="4"/>
        <v>0</v>
      </c>
      <c r="BC11">
        <f t="shared" si="5"/>
        <v>0</v>
      </c>
      <c r="BD11">
        <f t="shared" si="7"/>
        <v>0</v>
      </c>
      <c r="BE11">
        <f t="shared" si="4"/>
        <v>0</v>
      </c>
      <c r="BF11">
        <f t="shared" si="6"/>
        <v>-47744.62</v>
      </c>
      <c r="BG11">
        <f t="shared" si="7"/>
        <v>-0.009218578595969553</v>
      </c>
      <c r="BH11">
        <f t="shared" si="4"/>
        <v>0.009218578595969553</v>
      </c>
      <c r="BK11">
        <f t="shared" si="4"/>
        <v>0</v>
      </c>
    </row>
    <row r="12" ht="15.75" customHeight="1">
      <c r="B12" t="str">
        <f>'Fannie Historical Ops'!B8</f>
        <v>Less Concessions</v>
      </c>
      <c r="D12">
        <f>'Fannie Historical Ops'!D8</f>
        <v>0</v>
      </c>
      <c r="E12">
        <f t="shared" si="3"/>
        <v>0</v>
      </c>
      <c r="F12">
        <f t="shared" si="4"/>
        <v>0</v>
      </c>
      <c r="G12">
        <f>'Fannie Historical Ops'!F8</f>
        <v>0</v>
      </c>
      <c r="H12">
        <f t="shared" si="3"/>
        <v>0</v>
      </c>
      <c r="I12">
        <f t="shared" si="4"/>
        <v>0</v>
      </c>
      <c r="J12">
        <f>'Fannie Historical Ops'!H8</f>
        <v>0</v>
      </c>
      <c r="K12">
        <f t="shared" si="3"/>
        <v>0</v>
      </c>
      <c r="L12">
        <f t="shared" si="4"/>
        <v>0</v>
      </c>
      <c r="M12">
        <f>'Fannie Historical Ops'!J8</f>
        <v>0</v>
      </c>
      <c r="N12">
        <f>'Fannie Historical Ops'!K8</f>
        <v>0</v>
      </c>
      <c r="O12">
        <f>'Fannie Historical Ops'!L8</f>
        <v>0</v>
      </c>
      <c r="P12">
        <f>'Fannie Historical Ops'!M8</f>
        <v>0</v>
      </c>
      <c r="Q12">
        <f>'Fannie Historical Ops'!N8</f>
        <v>0</v>
      </c>
      <c r="R12">
        <f>'Fannie Historical Ops'!O8</f>
        <v>0</v>
      </c>
      <c r="S12">
        <f>'Fannie Historical Ops'!P8</f>
        <v>0</v>
      </c>
      <c r="T12">
        <f>'Fannie Historical Ops'!Q8</f>
        <v>0</v>
      </c>
      <c r="U12">
        <f>'Fannie Historical Ops'!R8</f>
        <v>0</v>
      </c>
      <c r="V12">
        <f>'Fannie Historical Ops'!S8</f>
        <v>0</v>
      </c>
      <c r="W12">
        <f>'Fannie Historical Ops'!T8</f>
        <v>0</v>
      </c>
      <c r="X12">
        <f>'Fannie Historical Ops'!U8</f>
        <v>0</v>
      </c>
      <c r="Y12">
        <f>'Fannie Historical Ops'!W8</f>
        <v>0</v>
      </c>
      <c r="Z12">
        <f t="shared" si="3"/>
        <v>0</v>
      </c>
      <c r="AA12">
        <f t="shared" si="4"/>
        <v>0</v>
      </c>
      <c r="AB12">
        <f>'Fannie Historical Ops'!Y8</f>
        <v>0</v>
      </c>
      <c r="AC12">
        <f t="shared" si="3"/>
        <v>0</v>
      </c>
      <c r="AD12">
        <f t="shared" si="4"/>
        <v>0</v>
      </c>
      <c r="AE12">
        <f>'Fannie Historical Ops'!AA8</f>
        <v>0</v>
      </c>
      <c r="AF12">
        <f t="shared" si="3"/>
        <v>0</v>
      </c>
      <c r="AG12">
        <f t="shared" si="4"/>
        <v>0</v>
      </c>
      <c r="AH12">
        <f>'Fannie Historical Ops'!AC8</f>
        <v>0</v>
      </c>
      <c r="AI12">
        <f t="shared" si="3"/>
        <v>0</v>
      </c>
      <c r="AJ12">
        <f t="shared" si="4"/>
        <v>0</v>
      </c>
      <c r="AK12">
        <f>'Fannie Historical Ops'!AE8</f>
        <v>0</v>
      </c>
      <c r="AL12">
        <f t="shared" si="3"/>
        <v>0</v>
      </c>
      <c r="AM12">
        <f t="shared" si="4"/>
        <v>0</v>
      </c>
      <c r="AN12">
        <f>'Fannie Historical Ops'!AG8</f>
        <v>0</v>
      </c>
      <c r="AO12">
        <f t="shared" si="3"/>
        <v>0</v>
      </c>
      <c r="AP12">
        <f t="shared" si="4"/>
        <v>0</v>
      </c>
      <c r="AQ12">
        <f>'Fannie Historical Ops'!AI8</f>
        <v>0</v>
      </c>
      <c r="AR12">
        <f t="shared" si="3"/>
        <v>0</v>
      </c>
      <c r="AS12">
        <f t="shared" si="4"/>
        <v>0</v>
      </c>
      <c r="AU12">
        <f>ROUND('Fannie Historical Ops'!AK8,2)</f>
        <v>0</v>
      </c>
      <c r="AV12">
        <f t="shared" si="3"/>
        <v>0</v>
      </c>
      <c r="AW12">
        <f t="shared" si="4"/>
        <v>0</v>
      </c>
      <c r="AY12">
        <f>'Fannie Historical Ops'!AM8</f>
        <v>0</v>
      </c>
      <c r="AZ12">
        <f t="shared" si="3"/>
        <v>0</v>
      </c>
      <c r="BA12">
        <f t="shared" si="4"/>
        <v>0</v>
      </c>
      <c r="BC12">
        <f t="shared" si="5"/>
        <v>0</v>
      </c>
      <c r="BD12">
        <f t="shared" si="7"/>
        <v>0</v>
      </c>
      <c r="BE12">
        <f t="shared" si="4"/>
        <v>0</v>
      </c>
      <c r="BF12">
        <f t="shared" si="6"/>
        <v>0</v>
      </c>
      <c r="BG12">
        <f t="shared" si="7"/>
        <v>0</v>
      </c>
      <c r="BH12">
        <f t="shared" si="4"/>
        <v>0</v>
      </c>
      <c r="BK12">
        <f t="shared" si="4"/>
        <v>0</v>
      </c>
    </row>
    <row r="13" ht="15.75" customHeight="1">
      <c r="B13" t="str">
        <f>'Fannie Historical Ops'!B9</f>
        <v>Net Rentable Income</v>
      </c>
      <c r="D13">
        <f>'Fannie Historical Ops'!D9</f>
        <v>0</v>
      </c>
      <c r="E13">
        <f t="shared" si="8" ref="E13:BG31">ROUND(IF(D13=0,0,D13/$C$3/12),0)</f>
        <v>0</v>
      </c>
      <c r="F13">
        <f t="shared" si="9" ref="F13:BK31">ROUND(IF(D13=0,0,D13/TotalBeds/12),0)</f>
        <v>0</v>
      </c>
      <c r="G13">
        <f>'Fannie Historical Ops'!F9</f>
        <v>0</v>
      </c>
      <c r="H13">
        <f t="shared" si="8"/>
        <v>0</v>
      </c>
      <c r="I13">
        <f t="shared" si="9"/>
        <v>0</v>
      </c>
      <c r="J13">
        <f>'Fannie Historical Ops'!H9</f>
        <v>0</v>
      </c>
      <c r="K13">
        <f t="shared" si="8"/>
        <v>0</v>
      </c>
      <c r="L13">
        <f t="shared" si="9"/>
        <v>0</v>
      </c>
      <c r="M13">
        <f>'Fannie Historical Ops'!J9</f>
        <v>4807132</v>
      </c>
      <c r="N13">
        <f>'Fannie Historical Ops'!K9</f>
        <v>4798908</v>
      </c>
      <c r="O13">
        <f>'Fannie Historical Ops'!L9</f>
        <v>4796134.8</v>
      </c>
      <c r="P13">
        <f>'Fannie Historical Ops'!M9</f>
        <v>4830668</v>
      </c>
      <c r="Q13">
        <f>'Fannie Historical Ops'!N9</f>
        <v>4848690</v>
      </c>
      <c r="R13">
        <f>'Fannie Historical Ops'!O9</f>
        <v>4850386.285714286</v>
      </c>
      <c r="S13">
        <f>'Fannie Historical Ops'!P9</f>
        <v>4908984</v>
      </c>
      <c r="T13">
        <f>'Fannie Historical Ops'!Q9</f>
        <v>4947360</v>
      </c>
      <c r="U13">
        <f>'Fannie Historical Ops'!R9</f>
        <v>4950888</v>
      </c>
      <c r="V13">
        <f>'Fannie Historical Ops'!S9</f>
        <v>4904876</v>
      </c>
      <c r="W13">
        <f>'Fannie Historical Ops'!T9</f>
        <v>4917990</v>
      </c>
      <c r="X13">
        <f>'Fannie Historical Ops'!U9</f>
        <v>4823412</v>
      </c>
      <c r="Y13">
        <f>'Fannie Historical Ops'!W9</f>
        <v>4807132</v>
      </c>
      <c r="Z13">
        <f t="shared" si="8"/>
        <v>4713</v>
      </c>
      <c r="AA13" t="e">
        <f t="shared" si="9"/>
        <v>#DIV/0!</v>
      </c>
      <c r="AB13">
        <f>'Fannie Historical Ops'!Y9</f>
        <v>0</v>
      </c>
      <c r="AC13">
        <f t="shared" si="8"/>
        <v>0</v>
      </c>
      <c r="AD13">
        <f t="shared" si="9"/>
        <v>0</v>
      </c>
      <c r="AE13">
        <f>'Fannie Historical Ops'!AA9</f>
        <v>0</v>
      </c>
      <c r="AF13">
        <f t="shared" si="8"/>
        <v>0</v>
      </c>
      <c r="AG13">
        <f t="shared" si="9"/>
        <v>0</v>
      </c>
      <c r="AH13">
        <f>'Fannie Historical Ops'!AC9</f>
        <v>0</v>
      </c>
      <c r="AI13">
        <f t="shared" si="8"/>
        <v>0</v>
      </c>
      <c r="AJ13">
        <f t="shared" si="9"/>
        <v>0</v>
      </c>
      <c r="AK13">
        <f>'Fannie Historical Ops'!AE9</f>
        <v>0</v>
      </c>
      <c r="AL13">
        <f t="shared" si="8"/>
        <v>0</v>
      </c>
      <c r="AM13">
        <f t="shared" si="9"/>
        <v>0</v>
      </c>
      <c r="AN13">
        <f>'Fannie Historical Ops'!AG9</f>
        <v>0</v>
      </c>
      <c r="AO13">
        <f t="shared" si="8"/>
        <v>0</v>
      </c>
      <c r="AP13">
        <f t="shared" si="9"/>
        <v>0</v>
      </c>
      <c r="AQ13">
        <f>'Fannie Historical Ops'!AI9</f>
        <v>0</v>
      </c>
      <c r="AR13">
        <f t="shared" si="8"/>
        <v>0</v>
      </c>
      <c r="AS13">
        <f t="shared" si="9"/>
        <v>0</v>
      </c>
      <c r="AU13">
        <f>ROUND('Fannie Historical Ops'!AK9,2)</f>
        <v>1325888</v>
      </c>
      <c r="AV13">
        <f t="shared" si="8"/>
        <v>1300</v>
      </c>
      <c r="AW13" t="e">
        <f t="shared" si="9"/>
        <v>#DIV/0!</v>
      </c>
      <c r="AY13">
        <f>'Fannie Historical Ops'!AM9</f>
        <v>0</v>
      </c>
      <c r="AZ13">
        <f t="shared" si="8"/>
        <v>0</v>
      </c>
      <c r="BA13">
        <f t="shared" si="9"/>
        <v>0</v>
      </c>
      <c r="BC13">
        <f>SUM(BC9:BC12)</f>
        <v>0</v>
      </c>
      <c r="BD13">
        <f t="shared" si="8"/>
        <v>0</v>
      </c>
      <c r="BE13">
        <f t="shared" si="9"/>
        <v>0</v>
      </c>
      <c r="BF13">
        <f t="shared" si="6"/>
        <v>4951345.96</v>
      </c>
      <c r="BG13">
        <f t="shared" si="8"/>
        <v>4854</v>
      </c>
      <c r="BH13" t="e">
        <f t="shared" si="9"/>
        <v>#DIV/0!</v>
      </c>
      <c r="BK13">
        <f t="shared" si="9"/>
        <v>0</v>
      </c>
    </row>
    <row r="14" ht="15" customHeight="1">
      <c r="B14" t="s">
        <v>1888</v>
      </c>
      <c r="E14">
        <f t="shared" si="10" ref="E14:BG14">SUM(E10:E12)</f>
        <v>0</v>
      </c>
      <c r="F14">
        <f t="shared" si="10"/>
        <v>0</v>
      </c>
      <c r="H14">
        <f t="shared" si="10"/>
        <v>0</v>
      </c>
      <c r="I14">
        <f t="shared" si="10"/>
        <v>0</v>
      </c>
      <c r="K14">
        <f t="shared" si="10"/>
        <v>0</v>
      </c>
      <c r="L14">
        <f t="shared" si="11" ref="L14:BK14">L10+L11+L12</f>
        <v>0</v>
      </c>
      <c r="Z14">
        <f t="shared" si="10"/>
        <v>0.04398920992362465</v>
      </c>
      <c r="AA14">
        <f t="shared" si="10"/>
        <v>0.04398920992362465</v>
      </c>
      <c r="AC14">
        <f t="shared" si="10"/>
        <v>0</v>
      </c>
      <c r="AD14">
        <f t="shared" si="10"/>
        <v>0</v>
      </c>
      <c r="AF14">
        <f t="shared" si="10"/>
        <v>0</v>
      </c>
      <c r="AG14">
        <f t="shared" si="11"/>
        <v>0</v>
      </c>
      <c r="AI14">
        <f t="shared" si="10"/>
        <v>0</v>
      </c>
      <c r="AJ14">
        <f t="shared" si="10"/>
        <v>0</v>
      </c>
      <c r="AL14">
        <f t="shared" si="10"/>
        <v>0</v>
      </c>
      <c r="AM14">
        <f t="shared" si="10"/>
        <v>0</v>
      </c>
      <c r="AO14">
        <f t="shared" si="10"/>
        <v>0</v>
      </c>
      <c r="AP14">
        <f t="shared" si="10"/>
        <v>0</v>
      </c>
      <c r="AR14">
        <f t="shared" si="10"/>
        <v>0</v>
      </c>
      <c r="AS14">
        <f t="shared" si="10"/>
        <v>0</v>
      </c>
      <c r="AV14">
        <f t="shared" si="10"/>
        <v>0.14820439681866657</v>
      </c>
      <c r="AW14">
        <f t="shared" si="10"/>
        <v>0.14820439681866657</v>
      </c>
      <c r="AZ14">
        <f t="shared" si="10"/>
        <v>0</v>
      </c>
      <c r="BA14">
        <f t="shared" si="11"/>
        <v>0</v>
      </c>
      <c r="BD14">
        <f t="shared" si="10"/>
        <v>0</v>
      </c>
      <c r="BE14">
        <f t="shared" si="11"/>
        <v>0</v>
      </c>
      <c r="BG14">
        <f t="shared" si="10"/>
        <v>-0.04398920992362465</v>
      </c>
      <c r="BH14">
        <f t="shared" si="11"/>
        <v>0.04398920992362465</v>
      </c>
      <c r="BJ14">
        <f>'Expense Comps.'!K215</f>
        <v>0</v>
      </c>
      <c r="BK14">
        <f t="shared" si="11"/>
        <v>0</v>
      </c>
    </row>
    <row r="15" ht="15" customHeight="1">
      <c r="B15" t="str">
        <f>'Fannie Historical Ops'!B12</f>
        <v>Laundry/Vending Income (Net)</v>
      </c>
      <c r="D15">
        <f>'Fannie Historical Ops'!D12</f>
        <v>0</v>
      </c>
      <c r="E15">
        <f t="shared" si="8"/>
        <v>0</v>
      </c>
      <c r="F15">
        <f t="shared" si="9"/>
        <v>0</v>
      </c>
      <c r="G15">
        <f>'Fannie Historical Ops'!F12</f>
        <v>0</v>
      </c>
      <c r="H15">
        <f t="shared" si="8"/>
        <v>0</v>
      </c>
      <c r="I15">
        <f t="shared" si="9"/>
        <v>0</v>
      </c>
      <c r="J15">
        <f>'Fannie Historical Ops'!H12</f>
        <v>0</v>
      </c>
      <c r="K15">
        <f t="shared" si="8"/>
        <v>0</v>
      </c>
      <c r="L15">
        <f t="shared" si="9"/>
        <v>0</v>
      </c>
      <c r="M15">
        <f>'Fannie Historical Ops'!J12</f>
        <v>29692</v>
      </c>
      <c r="N15">
        <f>'Fannie Historical Ops'!K12</f>
        <v>28677.818181818184</v>
      </c>
      <c r="O15">
        <f>'Fannie Historical Ops'!L12</f>
        <v>31545.600000000002</v>
      </c>
      <c r="P15">
        <f>'Fannie Historical Ops'!M12</f>
        <v>35050.666666666664</v>
      </c>
      <c r="Q15">
        <f>'Fannie Historical Ops'!N12</f>
        <v>39432</v>
      </c>
      <c r="R15">
        <f>'Fannie Historical Ops'!O12</f>
        <v>41098.28571428571</v>
      </c>
      <c r="S15">
        <f>'Fannie Historical Ops'!P12</f>
        <v>32524</v>
      </c>
      <c r="T15">
        <f>'Fannie Historical Ops'!Q12</f>
        <v>28526.399999999998</v>
      </c>
      <c r="U15">
        <f>'Fannie Historical Ops'!R12</f>
        <v>28608</v>
      </c>
      <c r="V15">
        <f>'Fannie Historical Ops'!S12</f>
        <v>29100</v>
      </c>
      <c r="W15">
        <f>'Fannie Historical Ops'!T12</f>
        <v>27006</v>
      </c>
      <c r="X15">
        <f>'Fannie Historical Ops'!U12</f>
        <v>25440</v>
      </c>
      <c r="Y15">
        <f>'Fannie Historical Ops'!W12</f>
        <v>29692</v>
      </c>
      <c r="Z15">
        <f t="shared" si="8"/>
        <v>29</v>
      </c>
      <c r="AA15" t="e">
        <f t="shared" si="9"/>
        <v>#DIV/0!</v>
      </c>
      <c r="AB15">
        <f>'Fannie Historical Ops'!Y12</f>
        <v>0</v>
      </c>
      <c r="AC15">
        <f t="shared" si="8"/>
        <v>0</v>
      </c>
      <c r="AD15">
        <f t="shared" si="9"/>
        <v>0</v>
      </c>
      <c r="AE15">
        <f>'Fannie Historical Ops'!AA12</f>
        <v>0</v>
      </c>
      <c r="AF15">
        <f t="shared" si="8"/>
        <v>0</v>
      </c>
      <c r="AG15">
        <f t="shared" si="9"/>
        <v>0</v>
      </c>
      <c r="AH15">
        <f>'Fannie Historical Ops'!AC12</f>
        <v>0</v>
      </c>
      <c r="AI15">
        <f t="shared" si="8"/>
        <v>0</v>
      </c>
      <c r="AJ15">
        <f t="shared" si="9"/>
        <v>0</v>
      </c>
      <c r="AK15">
        <f>'Fannie Historical Ops'!AE12</f>
        <v>0</v>
      </c>
      <c r="AL15">
        <f t="shared" si="8"/>
        <v>0</v>
      </c>
      <c r="AM15">
        <f t="shared" si="9"/>
        <v>0</v>
      </c>
      <c r="AN15">
        <f>'Fannie Historical Ops'!AG12</f>
        <v>0</v>
      </c>
      <c r="AO15">
        <f t="shared" si="8"/>
        <v>0</v>
      </c>
      <c r="AP15">
        <f t="shared" si="9"/>
        <v>0</v>
      </c>
      <c r="AQ15">
        <f>'Fannie Historical Ops'!AI12</f>
        <v>0</v>
      </c>
      <c r="AR15">
        <f t="shared" si="8"/>
        <v>0</v>
      </c>
      <c r="AS15">
        <f t="shared" si="9"/>
        <v>0</v>
      </c>
      <c r="AU15">
        <f>ROUND('Fannie Historical Ops'!AK12,2)</f>
        <v>29692</v>
      </c>
      <c r="AV15">
        <f t="shared" si="8"/>
        <v>29</v>
      </c>
      <c r="AW15" t="e">
        <f t="shared" si="9"/>
        <v>#DIV/0!</v>
      </c>
      <c r="AY15">
        <f>'Fannie Historical Ops'!AM12</f>
        <v>0</v>
      </c>
      <c r="AZ15">
        <f t="shared" si="8"/>
        <v>0</v>
      </c>
      <c r="BA15">
        <f t="shared" si="9"/>
        <v>0</v>
      </c>
      <c r="BC15">
        <f t="shared" si="5"/>
        <v>0</v>
      </c>
      <c r="BD15">
        <f t="shared" si="8"/>
        <v>0</v>
      </c>
      <c r="BE15">
        <f t="shared" si="9"/>
        <v>0</v>
      </c>
      <c r="BF15">
        <f t="shared" si="6"/>
        <v>30582.760000000002</v>
      </c>
      <c r="BG15">
        <f t="shared" si="8"/>
        <v>30</v>
      </c>
      <c r="BH15" t="e">
        <f t="shared" si="9"/>
        <v>#DIV/0!</v>
      </c>
      <c r="BK15">
        <f t="shared" si="9"/>
        <v>0</v>
      </c>
    </row>
    <row r="16" ht="15" customHeight="1">
      <c r="B16" t="str">
        <f>'Fannie Historical Ops'!B13</f>
        <v>Parking Income (Net)</v>
      </c>
      <c r="D16">
        <f>'Fannie Historical Ops'!D13</f>
        <v>0</v>
      </c>
      <c r="E16">
        <f t="shared" si="8"/>
        <v>0</v>
      </c>
      <c r="F16">
        <f t="shared" si="9"/>
        <v>0</v>
      </c>
      <c r="G16">
        <f>'Fannie Historical Ops'!F13</f>
        <v>0</v>
      </c>
      <c r="H16">
        <f t="shared" si="8"/>
        <v>0</v>
      </c>
      <c r="I16">
        <f t="shared" si="9"/>
        <v>0</v>
      </c>
      <c r="J16">
        <f>'Fannie Historical Ops'!H13</f>
        <v>0</v>
      </c>
      <c r="K16">
        <f t="shared" si="8"/>
        <v>0</v>
      </c>
      <c r="L16">
        <f t="shared" si="9"/>
        <v>0</v>
      </c>
      <c r="M16">
        <f>'Fannie Historical Ops'!J13</f>
        <v>0</v>
      </c>
      <c r="N16">
        <f>'Fannie Historical Ops'!K13</f>
        <v>0</v>
      </c>
      <c r="O16">
        <f>'Fannie Historical Ops'!L13</f>
        <v>0</v>
      </c>
      <c r="P16">
        <f>'Fannie Historical Ops'!M13</f>
        <v>0</v>
      </c>
      <c r="Q16">
        <f>'Fannie Historical Ops'!N13</f>
        <v>0</v>
      </c>
      <c r="R16">
        <f>'Fannie Historical Ops'!O13</f>
        <v>0</v>
      </c>
      <c r="S16">
        <f>'Fannie Historical Ops'!P13</f>
        <v>0</v>
      </c>
      <c r="T16">
        <f>'Fannie Historical Ops'!Q13</f>
        <v>0</v>
      </c>
      <c r="U16">
        <f>'Fannie Historical Ops'!R13</f>
        <v>0</v>
      </c>
      <c r="V16">
        <f>'Fannie Historical Ops'!S13</f>
        <v>0</v>
      </c>
      <c r="W16">
        <f>'Fannie Historical Ops'!T13</f>
        <v>0</v>
      </c>
      <c r="X16">
        <f>'Fannie Historical Ops'!U13</f>
        <v>0</v>
      </c>
      <c r="Y16">
        <f>'Fannie Historical Ops'!W13</f>
        <v>0</v>
      </c>
      <c r="Z16">
        <f t="shared" si="8"/>
        <v>0</v>
      </c>
      <c r="AA16">
        <f t="shared" si="9"/>
        <v>0</v>
      </c>
      <c r="AB16">
        <f>'Fannie Historical Ops'!Y13</f>
        <v>0</v>
      </c>
      <c r="AC16">
        <f t="shared" si="8"/>
        <v>0</v>
      </c>
      <c r="AD16">
        <f t="shared" si="9"/>
        <v>0</v>
      </c>
      <c r="AE16">
        <f>'Fannie Historical Ops'!AA13</f>
        <v>0</v>
      </c>
      <c r="AF16">
        <f t="shared" si="8"/>
        <v>0</v>
      </c>
      <c r="AG16">
        <f t="shared" si="9"/>
        <v>0</v>
      </c>
      <c r="AH16">
        <f>'Fannie Historical Ops'!AC13</f>
        <v>0</v>
      </c>
      <c r="AI16">
        <f t="shared" si="8"/>
        <v>0</v>
      </c>
      <c r="AJ16">
        <f t="shared" si="9"/>
        <v>0</v>
      </c>
      <c r="AK16">
        <f>'Fannie Historical Ops'!AE13</f>
        <v>0</v>
      </c>
      <c r="AL16">
        <f t="shared" si="8"/>
        <v>0</v>
      </c>
      <c r="AM16">
        <f t="shared" si="9"/>
        <v>0</v>
      </c>
      <c r="AN16">
        <f>'Fannie Historical Ops'!AG13</f>
        <v>0</v>
      </c>
      <c r="AO16">
        <f t="shared" si="8"/>
        <v>0</v>
      </c>
      <c r="AP16">
        <f t="shared" si="9"/>
        <v>0</v>
      </c>
      <c r="AQ16">
        <f>'Fannie Historical Ops'!AI13</f>
        <v>0</v>
      </c>
      <c r="AR16">
        <f t="shared" si="8"/>
        <v>0</v>
      </c>
      <c r="AS16">
        <f t="shared" si="9"/>
        <v>0</v>
      </c>
      <c r="AU16">
        <f>ROUND('Fannie Historical Ops'!AK13,2)</f>
        <v>0</v>
      </c>
      <c r="AV16">
        <f t="shared" si="8"/>
        <v>0</v>
      </c>
      <c r="AW16">
        <f t="shared" si="9"/>
        <v>0</v>
      </c>
      <c r="AY16">
        <f>'Fannie Historical Ops'!AM13</f>
        <v>0</v>
      </c>
      <c r="AZ16">
        <f t="shared" si="8"/>
        <v>0</v>
      </c>
      <c r="BA16">
        <f t="shared" si="9"/>
        <v>0</v>
      </c>
      <c r="BC16">
        <f t="shared" si="5"/>
        <v>0</v>
      </c>
      <c r="BD16">
        <f t="shared" si="8"/>
        <v>0</v>
      </c>
      <c r="BE16">
        <f t="shared" si="9"/>
        <v>0</v>
      </c>
      <c r="BF16">
        <f t="shared" si="6"/>
        <v>0</v>
      </c>
      <c r="BG16">
        <f t="shared" si="8"/>
        <v>0</v>
      </c>
      <c r="BH16">
        <f t="shared" si="9"/>
        <v>0</v>
      </c>
      <c r="BK16">
        <f t="shared" si="9"/>
        <v>0</v>
      </c>
    </row>
    <row r="17" ht="15" customHeight="1">
      <c r="B17" t="str">
        <f>'Fannie Historical Ops'!B14</f>
        <v>Commercial Income (Net)</v>
      </c>
      <c r="D17">
        <f>'Fannie Historical Ops'!D14</f>
        <v>0</v>
      </c>
      <c r="E17">
        <f t="shared" si="8"/>
        <v>0</v>
      </c>
      <c r="F17">
        <f t="shared" si="9"/>
        <v>0</v>
      </c>
      <c r="G17">
        <f>'Fannie Historical Ops'!F14</f>
        <v>0</v>
      </c>
      <c r="H17">
        <f t="shared" si="8"/>
        <v>0</v>
      </c>
      <c r="I17">
        <f t="shared" si="9"/>
        <v>0</v>
      </c>
      <c r="J17">
        <f>'Fannie Historical Ops'!H14</f>
        <v>0</v>
      </c>
      <c r="K17">
        <f t="shared" si="8"/>
        <v>0</v>
      </c>
      <c r="L17">
        <f t="shared" si="9"/>
        <v>0</v>
      </c>
      <c r="M17">
        <f>'Fannie Historical Ops'!J14</f>
        <v>0</v>
      </c>
      <c r="N17">
        <f>'Fannie Historical Ops'!K14</f>
        <v>0</v>
      </c>
      <c r="O17">
        <f>'Fannie Historical Ops'!L14</f>
        <v>0</v>
      </c>
      <c r="P17">
        <f>'Fannie Historical Ops'!M14</f>
        <v>0</v>
      </c>
      <c r="Q17">
        <f>'Fannie Historical Ops'!N14</f>
        <v>0</v>
      </c>
      <c r="R17">
        <f>'Fannie Historical Ops'!O14</f>
        <v>0</v>
      </c>
      <c r="S17">
        <f>'Fannie Historical Ops'!P14</f>
        <v>0</v>
      </c>
      <c r="T17">
        <f>'Fannie Historical Ops'!Q14</f>
        <v>0</v>
      </c>
      <c r="U17">
        <f>'Fannie Historical Ops'!R14</f>
        <v>0</v>
      </c>
      <c r="V17">
        <f>'Fannie Historical Ops'!S14</f>
        <v>0</v>
      </c>
      <c r="W17">
        <f>'Fannie Historical Ops'!T14</f>
        <v>0</v>
      </c>
      <c r="X17">
        <f>'Fannie Historical Ops'!U14</f>
        <v>0</v>
      </c>
      <c r="Y17">
        <f>'Fannie Historical Ops'!W14</f>
        <v>0</v>
      </c>
      <c r="Z17">
        <f t="shared" si="8"/>
        <v>0</v>
      </c>
      <c r="AA17">
        <f t="shared" si="9"/>
        <v>0</v>
      </c>
      <c r="AB17">
        <f>'Fannie Historical Ops'!Y14</f>
        <v>0</v>
      </c>
      <c r="AC17">
        <f t="shared" si="8"/>
        <v>0</v>
      </c>
      <c r="AD17">
        <f t="shared" si="9"/>
        <v>0</v>
      </c>
      <c r="AE17">
        <f>'Fannie Historical Ops'!AA14</f>
        <v>0</v>
      </c>
      <c r="AF17">
        <f t="shared" si="8"/>
        <v>0</v>
      </c>
      <c r="AG17">
        <f t="shared" si="9"/>
        <v>0</v>
      </c>
      <c r="AH17">
        <f>'Fannie Historical Ops'!AC14</f>
        <v>0</v>
      </c>
      <c r="AI17">
        <f t="shared" si="8"/>
        <v>0</v>
      </c>
      <c r="AJ17">
        <f t="shared" si="9"/>
        <v>0</v>
      </c>
      <c r="AK17">
        <f>'Fannie Historical Ops'!AE14</f>
        <v>0</v>
      </c>
      <c r="AL17">
        <f t="shared" si="8"/>
        <v>0</v>
      </c>
      <c r="AM17">
        <f t="shared" si="9"/>
        <v>0</v>
      </c>
      <c r="AN17">
        <f>'Fannie Historical Ops'!AG14</f>
        <v>0</v>
      </c>
      <c r="AO17">
        <f t="shared" si="8"/>
        <v>0</v>
      </c>
      <c r="AP17">
        <f t="shared" si="9"/>
        <v>0</v>
      </c>
      <c r="AQ17">
        <f>'Fannie Historical Ops'!AI14</f>
        <v>0</v>
      </c>
      <c r="AR17">
        <f t="shared" si="8"/>
        <v>0</v>
      </c>
      <c r="AS17">
        <f t="shared" si="9"/>
        <v>0</v>
      </c>
      <c r="AU17">
        <f>ROUND('Fannie Historical Ops'!AK14,2)</f>
        <v>0</v>
      </c>
      <c r="AV17">
        <f t="shared" si="8"/>
        <v>0</v>
      </c>
      <c r="AW17">
        <f t="shared" si="9"/>
        <v>0</v>
      </c>
      <c r="AY17">
        <f>'Fannie Historical Ops'!AM14</f>
        <v>0</v>
      </c>
      <c r="AZ17">
        <f t="shared" si="8"/>
        <v>0</v>
      </c>
      <c r="BA17">
        <f t="shared" si="9"/>
        <v>0</v>
      </c>
      <c r="BC17">
        <f t="shared" si="5"/>
        <v>0</v>
      </c>
      <c r="BD17">
        <f t="shared" si="8"/>
        <v>0</v>
      </c>
      <c r="BE17">
        <f t="shared" si="9"/>
        <v>0</v>
      </c>
      <c r="BF17">
        <f t="shared" si="6"/>
        <v>0</v>
      </c>
      <c r="BG17">
        <f t="shared" si="8"/>
        <v>0</v>
      </c>
      <c r="BH17">
        <f t="shared" si="9"/>
        <v>0</v>
      </c>
      <c r="BK17">
        <f t="shared" si="9"/>
        <v>0</v>
      </c>
    </row>
    <row r="18" ht="15" customHeight="1">
      <c r="B18" t="str">
        <f>'Fannie Historical Ops'!B15</f>
        <v>Other (describe)</v>
      </c>
    </row>
    <row r="19" ht="15" customHeight="1">
      <c r="B19" t="s">
        <v>1896</v>
      </c>
      <c r="C19" t="s">
        <v>2439</v>
      </c>
      <c r="D19">
        <f>SUM('Fannie Historical Ops'!D16:D21)</f>
        <v>0</v>
      </c>
      <c r="E19">
        <f t="shared" si="8"/>
        <v>0</v>
      </c>
      <c r="F19">
        <f t="shared" si="9"/>
        <v>0</v>
      </c>
      <c r="G19">
        <f>SUM('Fannie Historical Ops'!F16:F21)</f>
        <v>0</v>
      </c>
      <c r="H19">
        <f t="shared" si="8"/>
        <v>0</v>
      </c>
      <c r="I19">
        <f t="shared" si="9"/>
        <v>0</v>
      </c>
      <c r="J19">
        <f>SUM('Fannie Historical Ops'!H16:H21)</f>
        <v>0</v>
      </c>
      <c r="K19">
        <f t="shared" si="8"/>
        <v>0</v>
      </c>
      <c r="L19">
        <f t="shared" si="9"/>
        <v>0</v>
      </c>
      <c r="M19">
        <f>SUM('Fannie Historical Ops'!J16:J21)</f>
        <v>-245742</v>
      </c>
      <c r="N19">
        <f>SUM('Fannie Historical Ops'!K16:K21)</f>
        <v>-248008.36363636365</v>
      </c>
      <c r="O19">
        <f>SUM('Fannie Historical Ops'!L16:L21)</f>
        <v>-249134.39999999997</v>
      </c>
      <c r="P19">
        <f>SUM('Fannie Historical Ops'!M16:M21)</f>
        <v>-256182.66666666663</v>
      </c>
      <c r="Q19">
        <f>SUM('Fannie Historical Ops'!N16:N21)</f>
        <v>-259777.5</v>
      </c>
      <c r="R19">
        <f>SUM('Fannie Historical Ops'!O16:O21)</f>
        <v>-258862.2857142857</v>
      </c>
      <c r="S19">
        <f>SUM('Fannie Historical Ops'!P16:P21)</f>
        <v>-254970</v>
      </c>
      <c r="T19">
        <f>SUM('Fannie Historical Ops'!Q16:Q21)</f>
        <v>-240420</v>
      </c>
      <c r="U19">
        <f>SUM('Fannie Historical Ops'!R16:R21)</f>
        <v>-238899</v>
      </c>
      <c r="V19">
        <f>SUM('Fannie Historical Ops'!S16:S21)</f>
        <v>-234032</v>
      </c>
      <c r="W19">
        <f>SUM('Fannie Historical Ops'!T16:T21)</f>
        <v>-230988</v>
      </c>
      <c r="X19">
        <f>SUM('Fannie Historical Ops'!U16:U21)</f>
        <v>-241800</v>
      </c>
      <c r="Y19">
        <f>SUM('Fannie Historical Ops'!W16:W21)</f>
        <v>-245742</v>
      </c>
      <c r="Z19">
        <f t="shared" si="8"/>
        <v>-241</v>
      </c>
      <c r="AA19" t="e">
        <f t="shared" si="9"/>
        <v>#DIV/0!</v>
      </c>
      <c r="AB19">
        <f>SUM('Fannie Historical Ops'!Y16:Y21)</f>
        <v>0</v>
      </c>
      <c r="AC19">
        <f t="shared" si="8"/>
        <v>0</v>
      </c>
      <c r="AD19">
        <f t="shared" si="9"/>
        <v>0</v>
      </c>
      <c r="AE19">
        <f>SUM('Fannie Historical Ops'!AA16:AA21)</f>
        <v>0</v>
      </c>
      <c r="AF19">
        <f t="shared" si="8"/>
        <v>0</v>
      </c>
      <c r="AG19">
        <f t="shared" si="9"/>
        <v>0</v>
      </c>
      <c r="AH19">
        <f>SUM('Fannie Historical Ops'!AC16:AC21)</f>
        <v>0</v>
      </c>
      <c r="AI19">
        <f t="shared" si="8"/>
        <v>0</v>
      </c>
      <c r="AJ19">
        <f t="shared" si="9"/>
        <v>0</v>
      </c>
      <c r="AK19">
        <f>SUM('Fannie Historical Ops'!AE16:AE21)</f>
        <v>0</v>
      </c>
      <c r="AL19">
        <f t="shared" si="8"/>
        <v>0</v>
      </c>
      <c r="AM19">
        <f t="shared" si="9"/>
        <v>0</v>
      </c>
      <c r="AN19">
        <f>SUM('Fannie Historical Ops'!AG16:AG21)</f>
        <v>0</v>
      </c>
      <c r="AO19">
        <f t="shared" si="8"/>
        <v>0</v>
      </c>
      <c r="AP19">
        <f t="shared" si="9"/>
        <v>0</v>
      </c>
      <c r="AQ19">
        <f>SUM('Fannie Historical Ops'!AI16:AI21)</f>
        <v>0</v>
      </c>
      <c r="AR19">
        <f t="shared" si="8"/>
        <v>0</v>
      </c>
      <c r="AS19">
        <f t="shared" si="9"/>
        <v>0</v>
      </c>
      <c r="AU19">
        <f>ROUND(SUM('Fannie Historical Ops'!AK16:AK21),2)</f>
        <v>-245742</v>
      </c>
      <c r="AV19">
        <f t="shared" si="8"/>
        <v>-241</v>
      </c>
      <c r="AW19" t="e">
        <f t="shared" si="9"/>
        <v>#DIV/0!</v>
      </c>
      <c r="AY19">
        <f>SUM('Fannie Historical Ops'!AM16:AM21)</f>
        <v>0</v>
      </c>
      <c r="AZ19">
        <f t="shared" si="8"/>
        <v>0</v>
      </c>
      <c r="BA19">
        <f t="shared" si="9"/>
        <v>0</v>
      </c>
      <c r="BC19">
        <f t="shared" si="5"/>
        <v>0</v>
      </c>
      <c r="BD19">
        <f t="shared" si="8"/>
        <v>0</v>
      </c>
      <c r="BE19">
        <f t="shared" si="9"/>
        <v>0</v>
      </c>
      <c r="BF19">
        <f t="shared" si="6"/>
        <v>-253114.26</v>
      </c>
      <c r="BG19">
        <f t="shared" si="8"/>
        <v>-248</v>
      </c>
      <c r="BH19" t="e">
        <f t="shared" si="9"/>
        <v>#DIV/0!</v>
      </c>
      <c r="BK19">
        <f t="shared" si="9"/>
        <v>0</v>
      </c>
    </row>
    <row r="20" ht="15" customHeight="1">
      <c r="B20" t="str">
        <f>'Fannie Historical Ops'!B22</f>
        <v>Premiums</v>
      </c>
      <c r="C20" t="s">
        <v>2440</v>
      </c>
      <c r="D20">
        <f>'Fannie Historical Ops'!D22</f>
        <v>0</v>
      </c>
      <c r="E20">
        <f t="shared" si="8"/>
        <v>0</v>
      </c>
      <c r="F20">
        <f t="shared" si="9"/>
        <v>0</v>
      </c>
      <c r="G20">
        <f>'Fannie Historical Ops'!F22</f>
        <v>0</v>
      </c>
      <c r="H20">
        <f t="shared" si="8"/>
        <v>0</v>
      </c>
      <c r="I20">
        <f t="shared" si="9"/>
        <v>0</v>
      </c>
      <c r="J20">
        <f>'Fannie Historical Ops'!H22</f>
        <v>0</v>
      </c>
      <c r="K20">
        <f t="shared" si="8"/>
        <v>0</v>
      </c>
      <c r="L20">
        <f t="shared" si="9"/>
        <v>0</v>
      </c>
      <c r="M20">
        <f>'Fannie Historical Ops'!J22</f>
        <v>0</v>
      </c>
      <c r="N20">
        <f>'Fannie Historical Ops'!K22</f>
        <v>0</v>
      </c>
      <c r="O20">
        <f>'Fannie Historical Ops'!L22</f>
        <v>0</v>
      </c>
      <c r="P20">
        <f>'Fannie Historical Ops'!M22</f>
        <v>0</v>
      </c>
      <c r="Q20">
        <f>'Fannie Historical Ops'!N22</f>
        <v>0</v>
      </c>
      <c r="R20">
        <f>'Fannie Historical Ops'!O22</f>
        <v>0</v>
      </c>
      <c r="S20">
        <f>'Fannie Historical Ops'!P22</f>
        <v>0</v>
      </c>
      <c r="T20">
        <f>'Fannie Historical Ops'!Q22</f>
        <v>0</v>
      </c>
      <c r="U20">
        <f>'Fannie Historical Ops'!R22</f>
        <v>0</v>
      </c>
      <c r="V20">
        <f>'Fannie Historical Ops'!S22</f>
        <v>0</v>
      </c>
      <c r="W20">
        <f>'Fannie Historical Ops'!T22</f>
        <v>0</v>
      </c>
      <c r="X20">
        <f>'Fannie Historical Ops'!U22</f>
        <v>0</v>
      </c>
      <c r="Y20">
        <f>'Fannie Historical Ops'!W22</f>
        <v>0</v>
      </c>
      <c r="Z20">
        <f t="shared" si="8"/>
        <v>0</v>
      </c>
      <c r="AA20">
        <f t="shared" si="9"/>
        <v>0</v>
      </c>
      <c r="AB20">
        <f>'Fannie Historical Ops'!Y22</f>
        <v>0</v>
      </c>
      <c r="AC20">
        <f t="shared" si="8"/>
        <v>0</v>
      </c>
      <c r="AD20">
        <f t="shared" si="9"/>
        <v>0</v>
      </c>
      <c r="AE20">
        <f>'Fannie Historical Ops'!AA22</f>
        <v>0</v>
      </c>
      <c r="AF20">
        <f t="shared" si="8"/>
        <v>0</v>
      </c>
      <c r="AG20">
        <f t="shared" si="9"/>
        <v>0</v>
      </c>
      <c r="AH20">
        <f>'Fannie Historical Ops'!AC22</f>
        <v>0</v>
      </c>
      <c r="AI20">
        <f t="shared" si="8"/>
        <v>0</v>
      </c>
      <c r="AJ20">
        <f t="shared" si="9"/>
        <v>0</v>
      </c>
      <c r="AK20">
        <f>'Fannie Historical Ops'!AE22</f>
        <v>0</v>
      </c>
      <c r="AL20">
        <f t="shared" si="8"/>
        <v>0</v>
      </c>
      <c r="AM20">
        <f t="shared" si="9"/>
        <v>0</v>
      </c>
      <c r="AN20">
        <f>'Fannie Historical Ops'!AG22</f>
        <v>0</v>
      </c>
      <c r="AO20">
        <f t="shared" si="8"/>
        <v>0</v>
      </c>
      <c r="AP20">
        <f t="shared" si="9"/>
        <v>0</v>
      </c>
      <c r="AQ20">
        <f>'Fannie Historical Ops'!AI22</f>
        <v>0</v>
      </c>
      <c r="AR20">
        <f t="shared" si="8"/>
        <v>0</v>
      </c>
      <c r="AS20">
        <f t="shared" si="9"/>
        <v>0</v>
      </c>
      <c r="AU20">
        <f>ROUND('Fannie Historical Ops'!AK22,2)</f>
        <v>0</v>
      </c>
      <c r="AV20">
        <f t="shared" si="8"/>
        <v>0</v>
      </c>
      <c r="AW20">
        <f t="shared" si="9"/>
        <v>0</v>
      </c>
      <c r="AY20">
        <f>'Fannie Historical Ops'!AM22</f>
        <v>0</v>
      </c>
      <c r="AZ20">
        <f t="shared" si="8"/>
        <v>0</v>
      </c>
      <c r="BA20">
        <f t="shared" si="9"/>
        <v>0</v>
      </c>
      <c r="BC20">
        <f t="shared" si="5"/>
        <v>0</v>
      </c>
      <c r="BD20">
        <f t="shared" si="8"/>
        <v>0</v>
      </c>
      <c r="BE20">
        <f t="shared" si="9"/>
        <v>0</v>
      </c>
      <c r="BF20">
        <f t="shared" si="6"/>
        <v>0</v>
      </c>
      <c r="BG20">
        <f t="shared" si="8"/>
        <v>0</v>
      </c>
      <c r="BH20">
        <f t="shared" si="9"/>
        <v>0</v>
      </c>
      <c r="BK20">
        <f t="shared" si="9"/>
        <v>0</v>
      </c>
    </row>
    <row r="21" ht="15" customHeight="1">
      <c r="B21" t="str">
        <f>'Fannie Historical Ops'!B23</f>
        <v>Corporate Prem.</v>
      </c>
      <c r="C21" t="s">
        <v>2441</v>
      </c>
      <c r="D21">
        <f>'Fannie Historical Ops'!D23</f>
        <v>0</v>
      </c>
      <c r="E21">
        <f t="shared" si="8"/>
        <v>0</v>
      </c>
      <c r="F21">
        <f t="shared" si="9"/>
        <v>0</v>
      </c>
      <c r="G21">
        <f>'Fannie Historical Ops'!F23</f>
        <v>0</v>
      </c>
      <c r="H21">
        <f t="shared" si="8"/>
        <v>0</v>
      </c>
      <c r="I21">
        <f t="shared" si="9"/>
        <v>0</v>
      </c>
      <c r="J21">
        <f>'Fannie Historical Ops'!H23</f>
        <v>0</v>
      </c>
      <c r="K21">
        <f t="shared" si="8"/>
        <v>0</v>
      </c>
      <c r="L21">
        <f t="shared" si="9"/>
        <v>0</v>
      </c>
      <c r="M21">
        <f>'Fannie Historical Ops'!J23</f>
        <v>0</v>
      </c>
      <c r="N21">
        <f>'Fannie Historical Ops'!K23</f>
        <v>0</v>
      </c>
      <c r="O21">
        <f>'Fannie Historical Ops'!L23</f>
        <v>0</v>
      </c>
      <c r="P21">
        <f>'Fannie Historical Ops'!M23</f>
        <v>0</v>
      </c>
      <c r="Q21">
        <f>'Fannie Historical Ops'!N23</f>
        <v>0</v>
      </c>
      <c r="R21">
        <f>'Fannie Historical Ops'!O23</f>
        <v>0</v>
      </c>
      <c r="S21">
        <f>'Fannie Historical Ops'!P23</f>
        <v>0</v>
      </c>
      <c r="T21">
        <f>'Fannie Historical Ops'!Q23</f>
        <v>0</v>
      </c>
      <c r="U21">
        <f>'Fannie Historical Ops'!R23</f>
        <v>0</v>
      </c>
      <c r="V21">
        <f>'Fannie Historical Ops'!S23</f>
        <v>0</v>
      </c>
      <c r="W21">
        <f>'Fannie Historical Ops'!T23</f>
        <v>0</v>
      </c>
      <c r="X21">
        <f>'Fannie Historical Ops'!U23</f>
        <v>0</v>
      </c>
      <c r="Y21">
        <f>'Fannie Historical Ops'!W23</f>
        <v>0</v>
      </c>
      <c r="Z21">
        <f t="shared" si="8"/>
        <v>0</v>
      </c>
      <c r="AA21">
        <f t="shared" si="9"/>
        <v>0</v>
      </c>
      <c r="AB21">
        <f>'Fannie Historical Ops'!Y23</f>
        <v>0</v>
      </c>
      <c r="AC21">
        <f t="shared" si="8"/>
        <v>0</v>
      </c>
      <c r="AD21">
        <f t="shared" si="9"/>
        <v>0</v>
      </c>
      <c r="AE21">
        <f>'Fannie Historical Ops'!AA23</f>
        <v>0</v>
      </c>
      <c r="AF21">
        <f t="shared" si="8"/>
        <v>0</v>
      </c>
      <c r="AG21">
        <f t="shared" si="9"/>
        <v>0</v>
      </c>
      <c r="AH21">
        <f>'Fannie Historical Ops'!AC23</f>
        <v>0</v>
      </c>
      <c r="AI21">
        <f t="shared" si="8"/>
        <v>0</v>
      </c>
      <c r="AJ21">
        <f t="shared" si="9"/>
        <v>0</v>
      </c>
      <c r="AK21">
        <f>'Fannie Historical Ops'!AE23</f>
        <v>0</v>
      </c>
      <c r="AL21">
        <f t="shared" si="8"/>
        <v>0</v>
      </c>
      <c r="AM21">
        <f t="shared" si="9"/>
        <v>0</v>
      </c>
      <c r="AN21">
        <f>'Fannie Historical Ops'!AG23</f>
        <v>0</v>
      </c>
      <c r="AO21">
        <f t="shared" si="8"/>
        <v>0</v>
      </c>
      <c r="AP21">
        <f t="shared" si="9"/>
        <v>0</v>
      </c>
      <c r="AQ21">
        <f>'Fannie Historical Ops'!AI23</f>
        <v>0</v>
      </c>
      <c r="AR21">
        <f t="shared" si="8"/>
        <v>0</v>
      </c>
      <c r="AS21">
        <f t="shared" si="9"/>
        <v>0</v>
      </c>
      <c r="AU21">
        <f>ROUND('Fannie Historical Ops'!AK23,2)</f>
        <v>0</v>
      </c>
      <c r="AV21">
        <f t="shared" si="8"/>
        <v>0</v>
      </c>
      <c r="AW21">
        <f t="shared" si="9"/>
        <v>0</v>
      </c>
      <c r="AY21">
        <f>'Fannie Historical Ops'!AM23</f>
        <v>0</v>
      </c>
      <c r="AZ21">
        <f t="shared" si="8"/>
        <v>0</v>
      </c>
      <c r="BA21">
        <f t="shared" si="9"/>
        <v>0</v>
      </c>
      <c r="BC21">
        <f t="shared" si="5"/>
        <v>0</v>
      </c>
      <c r="BD21">
        <f t="shared" si="8"/>
        <v>0</v>
      </c>
      <c r="BE21">
        <f t="shared" si="9"/>
        <v>0</v>
      </c>
      <c r="BF21">
        <f t="shared" si="6"/>
        <v>0</v>
      </c>
      <c r="BG21">
        <f t="shared" si="8"/>
        <v>0</v>
      </c>
      <c r="BH21">
        <f t="shared" si="9"/>
        <v>0</v>
      </c>
      <c r="BK21">
        <f t="shared" si="9"/>
        <v>0</v>
      </c>
    </row>
    <row r="22" ht="15" customHeight="1" hidden="1">
      <c r="B22" t="str">
        <f>'Fannie Historical Ops'!B24</f>
        <v>Community Fee</v>
      </c>
      <c r="C22" t="str">
        <f>IF('SBL Quotes'!$AN$32="Seniors","(9)","(8)")</f>
        <v>(8)</v>
      </c>
      <c r="D22">
        <f>'Fannie Historical Ops'!D24</f>
        <v>0</v>
      </c>
      <c r="E22">
        <f t="shared" si="8"/>
        <v>0</v>
      </c>
      <c r="F22">
        <f t="shared" si="9"/>
        <v>0</v>
      </c>
      <c r="G22">
        <f>'Fannie Historical Ops'!F24</f>
        <v>0</v>
      </c>
      <c r="H22">
        <f t="shared" si="8"/>
        <v>0</v>
      </c>
      <c r="I22">
        <f t="shared" si="9"/>
        <v>0</v>
      </c>
      <c r="J22">
        <f>'Fannie Historical Ops'!H24</f>
        <v>0</v>
      </c>
      <c r="K22">
        <f t="shared" si="8"/>
        <v>0</v>
      </c>
      <c r="L22">
        <f t="shared" si="9"/>
        <v>0</v>
      </c>
      <c r="M22">
        <f>'Fannie Historical Ops'!J24</f>
        <v>0</v>
      </c>
      <c r="N22">
        <f>'Fannie Historical Ops'!K24</f>
        <v>0</v>
      </c>
      <c r="O22">
        <f>'Fannie Historical Ops'!L24</f>
        <v>0</v>
      </c>
      <c r="P22">
        <f>'Fannie Historical Ops'!M24</f>
        <v>0</v>
      </c>
      <c r="Q22">
        <f>'Fannie Historical Ops'!N24</f>
        <v>0</v>
      </c>
      <c r="R22">
        <f>'Fannie Historical Ops'!O24</f>
        <v>0</v>
      </c>
      <c r="S22">
        <f>'Fannie Historical Ops'!P24</f>
        <v>0</v>
      </c>
      <c r="T22">
        <f>'Fannie Historical Ops'!Q24</f>
        <v>0</v>
      </c>
      <c r="U22">
        <f>'Fannie Historical Ops'!R24</f>
        <v>0</v>
      </c>
      <c r="V22">
        <f>'Fannie Historical Ops'!S24</f>
        <v>0</v>
      </c>
      <c r="W22">
        <f>'Fannie Historical Ops'!T24</f>
        <v>0</v>
      </c>
      <c r="X22">
        <f>'Fannie Historical Ops'!U24</f>
        <v>0</v>
      </c>
      <c r="Y22">
        <f>'Fannie Historical Ops'!W24</f>
        <v>0</v>
      </c>
      <c r="Z22">
        <f t="shared" si="8"/>
        <v>0</v>
      </c>
      <c r="AA22">
        <f t="shared" si="9"/>
        <v>0</v>
      </c>
      <c r="AB22">
        <f>'Fannie Historical Ops'!Y24</f>
        <v>0</v>
      </c>
      <c r="AC22">
        <f t="shared" si="8"/>
        <v>0</v>
      </c>
      <c r="AD22">
        <f t="shared" si="9"/>
        <v>0</v>
      </c>
      <c r="AE22">
        <f>'Fannie Historical Ops'!AA24</f>
        <v>0</v>
      </c>
      <c r="AF22">
        <f t="shared" si="8"/>
        <v>0</v>
      </c>
      <c r="AG22">
        <f t="shared" si="9"/>
        <v>0</v>
      </c>
      <c r="AH22">
        <f>'Fannie Historical Ops'!AC24</f>
        <v>0</v>
      </c>
      <c r="AI22">
        <f t="shared" si="8"/>
        <v>0</v>
      </c>
      <c r="AJ22">
        <f t="shared" si="9"/>
        <v>0</v>
      </c>
      <c r="AK22">
        <f>'Fannie Historical Ops'!AE24</f>
        <v>0</v>
      </c>
      <c r="AL22">
        <f t="shared" si="8"/>
        <v>0</v>
      </c>
      <c r="AM22">
        <f t="shared" si="9"/>
        <v>0</v>
      </c>
      <c r="AN22">
        <f>'Fannie Historical Ops'!AG24</f>
        <v>0</v>
      </c>
      <c r="AO22">
        <f t="shared" si="8"/>
        <v>0</v>
      </c>
      <c r="AP22">
        <f t="shared" si="9"/>
        <v>0</v>
      </c>
      <c r="AQ22">
        <f>'Fannie Historical Ops'!AI24</f>
        <v>0</v>
      </c>
      <c r="AR22">
        <f t="shared" si="8"/>
        <v>0</v>
      </c>
      <c r="AS22">
        <f t="shared" si="9"/>
        <v>0</v>
      </c>
      <c r="AU22">
        <f>'Fannie Historical Ops'!AK24</f>
        <v>0</v>
      </c>
      <c r="AV22">
        <f t="shared" si="8"/>
        <v>0</v>
      </c>
      <c r="AW22">
        <f t="shared" si="9"/>
        <v>0</v>
      </c>
      <c r="AY22">
        <f>'Fannie Historical Ops'!AM24</f>
        <v>0</v>
      </c>
      <c r="AZ22">
        <f t="shared" si="8"/>
        <v>0</v>
      </c>
      <c r="BA22">
        <f t="shared" si="9"/>
        <v>0</v>
      </c>
      <c r="BC22">
        <f t="shared" si="5"/>
        <v>0</v>
      </c>
      <c r="BD22">
        <f t="shared" si="8"/>
        <v>0</v>
      </c>
      <c r="BE22">
        <f t="shared" si="9"/>
        <v>0</v>
      </c>
      <c r="BF22">
        <f t="shared" si="6"/>
        <v>0</v>
      </c>
      <c r="BG22">
        <f t="shared" si="8"/>
        <v>0</v>
      </c>
      <c r="BH22">
        <f t="shared" si="9"/>
        <v>0</v>
      </c>
      <c r="BK22">
        <f t="shared" si="9"/>
        <v>0</v>
      </c>
    </row>
    <row r="23" ht="15" customHeight="1" hidden="1">
      <c r="B23" t="str">
        <f>'Fannie Historical Ops'!B25</f>
        <v>Second Occupant</v>
      </c>
      <c r="C23" t="str">
        <f>IF('SBL Quotes'!$AN$32="Seniors","(10)","(8)")</f>
        <v>(8)</v>
      </c>
      <c r="D23">
        <f>'Fannie Historical Ops'!D25</f>
        <v>0</v>
      </c>
      <c r="E23">
        <f t="shared" si="8"/>
        <v>0</v>
      </c>
      <c r="F23">
        <f t="shared" si="9"/>
        <v>0</v>
      </c>
      <c r="G23">
        <f>'Fannie Historical Ops'!F25</f>
        <v>0</v>
      </c>
      <c r="H23">
        <f t="shared" si="8"/>
        <v>0</v>
      </c>
      <c r="I23">
        <f t="shared" si="9"/>
        <v>0</v>
      </c>
      <c r="J23">
        <f>'Fannie Historical Ops'!H25</f>
        <v>0</v>
      </c>
      <c r="K23">
        <f t="shared" si="8"/>
        <v>0</v>
      </c>
      <c r="L23">
        <f t="shared" si="9"/>
        <v>0</v>
      </c>
      <c r="M23">
        <f>'Fannie Historical Ops'!J25</f>
        <v>0</v>
      </c>
      <c r="N23">
        <f>'Fannie Historical Ops'!K25</f>
        <v>0</v>
      </c>
      <c r="O23">
        <f>'Fannie Historical Ops'!L25</f>
        <v>0</v>
      </c>
      <c r="P23">
        <f>'Fannie Historical Ops'!M25</f>
        <v>0</v>
      </c>
      <c r="Q23">
        <f>'Fannie Historical Ops'!N25</f>
        <v>0</v>
      </c>
      <c r="R23">
        <f>'Fannie Historical Ops'!O25</f>
        <v>0</v>
      </c>
      <c r="S23">
        <f>'Fannie Historical Ops'!P25</f>
        <v>0</v>
      </c>
      <c r="T23">
        <f>'Fannie Historical Ops'!Q25</f>
        <v>0</v>
      </c>
      <c r="U23">
        <f>'Fannie Historical Ops'!R25</f>
        <v>0</v>
      </c>
      <c r="V23">
        <f>'Fannie Historical Ops'!S25</f>
        <v>0</v>
      </c>
      <c r="W23">
        <f>'Fannie Historical Ops'!T25</f>
        <v>0</v>
      </c>
      <c r="X23">
        <f>'Fannie Historical Ops'!U25</f>
        <v>0</v>
      </c>
      <c r="Y23">
        <f>'Fannie Historical Ops'!W25</f>
        <v>0</v>
      </c>
      <c r="Z23">
        <f t="shared" si="8"/>
        <v>0</v>
      </c>
      <c r="AA23">
        <f t="shared" si="9"/>
        <v>0</v>
      </c>
      <c r="AB23">
        <f>'Fannie Historical Ops'!Y25</f>
        <v>0</v>
      </c>
      <c r="AC23">
        <f t="shared" si="8"/>
        <v>0</v>
      </c>
      <c r="AD23">
        <f t="shared" si="9"/>
        <v>0</v>
      </c>
      <c r="AE23">
        <f>'Fannie Historical Ops'!AA25</f>
        <v>0</v>
      </c>
      <c r="AF23">
        <f t="shared" si="8"/>
        <v>0</v>
      </c>
      <c r="AG23">
        <f t="shared" si="9"/>
        <v>0</v>
      </c>
      <c r="AH23">
        <f>'Fannie Historical Ops'!AC25</f>
        <v>0</v>
      </c>
      <c r="AI23">
        <f t="shared" si="8"/>
        <v>0</v>
      </c>
      <c r="AJ23">
        <f t="shared" si="9"/>
        <v>0</v>
      </c>
      <c r="AK23">
        <f>'Fannie Historical Ops'!AE25</f>
        <v>0</v>
      </c>
      <c r="AL23">
        <f t="shared" si="8"/>
        <v>0</v>
      </c>
      <c r="AM23">
        <f t="shared" si="9"/>
        <v>0</v>
      </c>
      <c r="AN23">
        <f>'Fannie Historical Ops'!AG25</f>
        <v>0</v>
      </c>
      <c r="AO23">
        <f t="shared" si="8"/>
        <v>0</v>
      </c>
      <c r="AP23">
        <f t="shared" si="9"/>
        <v>0</v>
      </c>
      <c r="AQ23">
        <f>'Fannie Historical Ops'!AI25</f>
        <v>0</v>
      </c>
      <c r="AR23">
        <f t="shared" si="8"/>
        <v>0</v>
      </c>
      <c r="AS23">
        <f t="shared" si="9"/>
        <v>0</v>
      </c>
      <c r="AU23">
        <f>'Fannie Historical Ops'!AK25</f>
        <v>0</v>
      </c>
      <c r="AV23">
        <f t="shared" si="8"/>
        <v>0</v>
      </c>
      <c r="AW23">
        <f t="shared" si="9"/>
        <v>0</v>
      </c>
      <c r="AY23">
        <f>'Fannie Historical Ops'!AM25</f>
        <v>0</v>
      </c>
      <c r="AZ23">
        <f t="shared" si="8"/>
        <v>0</v>
      </c>
      <c r="BA23">
        <f t="shared" si="9"/>
        <v>0</v>
      </c>
      <c r="BC23">
        <f t="shared" si="5"/>
        <v>0</v>
      </c>
      <c r="BD23">
        <f t="shared" si="8"/>
        <v>0</v>
      </c>
      <c r="BE23">
        <f t="shared" si="9"/>
        <v>0</v>
      </c>
      <c r="BF23">
        <f t="shared" si="6"/>
        <v>0</v>
      </c>
      <c r="BG23">
        <f t="shared" si="8"/>
        <v>0</v>
      </c>
      <c r="BH23">
        <f t="shared" si="9"/>
        <v>0</v>
      </c>
      <c r="BK23">
        <f t="shared" si="9"/>
        <v>0</v>
      </c>
    </row>
    <row r="24" ht="15" customHeight="1" hidden="1">
      <c r="B24" t="str">
        <f>'Fannie Historical Ops'!B26</f>
        <v>Respite Care</v>
      </c>
      <c r="C24" t="str">
        <f>IF('SBL Quotes'!$AN$32="Seniors","(11)","(8)")</f>
        <v>(8)</v>
      </c>
      <c r="D24">
        <f>'Fannie Historical Ops'!D26</f>
        <v>0</v>
      </c>
      <c r="E24">
        <f t="shared" si="8"/>
        <v>0</v>
      </c>
      <c r="F24">
        <f t="shared" si="9"/>
        <v>0</v>
      </c>
      <c r="G24">
        <f>'Fannie Historical Ops'!F26</f>
        <v>0</v>
      </c>
      <c r="H24">
        <f t="shared" si="8"/>
        <v>0</v>
      </c>
      <c r="I24">
        <f t="shared" si="9"/>
        <v>0</v>
      </c>
      <c r="J24">
        <f>'Fannie Historical Ops'!H26</f>
        <v>0</v>
      </c>
      <c r="K24">
        <f t="shared" si="8"/>
        <v>0</v>
      </c>
      <c r="L24">
        <f t="shared" si="9"/>
        <v>0</v>
      </c>
      <c r="M24">
        <f>'Fannie Historical Ops'!J26</f>
        <v>0</v>
      </c>
      <c r="N24">
        <f>'Fannie Historical Ops'!K26</f>
        <v>0</v>
      </c>
      <c r="O24">
        <f>'Fannie Historical Ops'!L26</f>
        <v>0</v>
      </c>
      <c r="P24">
        <f>'Fannie Historical Ops'!M26</f>
        <v>0</v>
      </c>
      <c r="Q24">
        <f>'Fannie Historical Ops'!N26</f>
        <v>0</v>
      </c>
      <c r="R24">
        <f>'Fannie Historical Ops'!O26</f>
        <v>0</v>
      </c>
      <c r="S24">
        <f>'Fannie Historical Ops'!P26</f>
        <v>0</v>
      </c>
      <c r="T24">
        <f>'Fannie Historical Ops'!Q26</f>
        <v>0</v>
      </c>
      <c r="U24">
        <f>'Fannie Historical Ops'!R26</f>
        <v>0</v>
      </c>
      <c r="V24">
        <f>'Fannie Historical Ops'!S26</f>
        <v>0</v>
      </c>
      <c r="W24">
        <f>'Fannie Historical Ops'!T26</f>
        <v>0</v>
      </c>
      <c r="X24">
        <f>'Fannie Historical Ops'!U26</f>
        <v>0</v>
      </c>
      <c r="Y24">
        <f>'Fannie Historical Ops'!W26</f>
        <v>0</v>
      </c>
      <c r="Z24">
        <f t="shared" si="8"/>
        <v>0</v>
      </c>
      <c r="AA24">
        <f t="shared" si="9"/>
        <v>0</v>
      </c>
      <c r="AB24">
        <f>'Fannie Historical Ops'!Y26</f>
        <v>0</v>
      </c>
      <c r="AC24">
        <f t="shared" si="8"/>
        <v>0</v>
      </c>
      <c r="AD24">
        <f t="shared" si="9"/>
        <v>0</v>
      </c>
      <c r="AE24">
        <f>'Fannie Historical Ops'!AA26</f>
        <v>0</v>
      </c>
      <c r="AF24">
        <f t="shared" si="8"/>
        <v>0</v>
      </c>
      <c r="AG24">
        <f t="shared" si="9"/>
        <v>0</v>
      </c>
      <c r="AH24">
        <f>'Fannie Historical Ops'!AC26</f>
        <v>0</v>
      </c>
      <c r="AI24">
        <f t="shared" si="8"/>
        <v>0</v>
      </c>
      <c r="AJ24">
        <f t="shared" si="9"/>
        <v>0</v>
      </c>
      <c r="AK24">
        <f>'Fannie Historical Ops'!AE26</f>
        <v>0</v>
      </c>
      <c r="AL24">
        <f t="shared" si="8"/>
        <v>0</v>
      </c>
      <c r="AM24">
        <f t="shared" si="9"/>
        <v>0</v>
      </c>
      <c r="AN24">
        <f>'Fannie Historical Ops'!AG26</f>
        <v>0</v>
      </c>
      <c r="AO24">
        <f t="shared" si="8"/>
        <v>0</v>
      </c>
      <c r="AP24">
        <f t="shared" si="9"/>
        <v>0</v>
      </c>
      <c r="AQ24">
        <f>'Fannie Historical Ops'!AI26</f>
        <v>0</v>
      </c>
      <c r="AR24">
        <f t="shared" si="8"/>
        <v>0</v>
      </c>
      <c r="AS24">
        <f t="shared" si="9"/>
        <v>0</v>
      </c>
      <c r="AU24">
        <f>'Fannie Historical Ops'!AK26</f>
        <v>0</v>
      </c>
      <c r="AV24">
        <f t="shared" si="8"/>
        <v>0</v>
      </c>
      <c r="AW24">
        <f t="shared" si="9"/>
        <v>0</v>
      </c>
      <c r="AY24">
        <f>'Fannie Historical Ops'!AM26</f>
        <v>0</v>
      </c>
      <c r="AZ24">
        <f t="shared" si="8"/>
        <v>0</v>
      </c>
      <c r="BA24">
        <f t="shared" si="9"/>
        <v>0</v>
      </c>
      <c r="BC24">
        <f t="shared" si="5"/>
        <v>0</v>
      </c>
      <c r="BD24">
        <f t="shared" si="8"/>
        <v>0</v>
      </c>
      <c r="BE24">
        <f t="shared" si="9"/>
        <v>0</v>
      </c>
      <c r="BF24">
        <f t="shared" si="6"/>
        <v>0</v>
      </c>
      <c r="BG24">
        <f t="shared" si="8"/>
        <v>0</v>
      </c>
      <c r="BH24">
        <f t="shared" si="9"/>
        <v>0</v>
      </c>
      <c r="BK24">
        <f t="shared" si="9"/>
        <v>0</v>
      </c>
    </row>
    <row r="25" ht="15" customHeight="1" hidden="1">
      <c r="B25" t="str">
        <f>'Fannie Historical Ops'!B27</f>
        <v>Support Plans (AL/ALZ)</v>
      </c>
      <c r="C25" t="str">
        <f>IF('SBL Quotes'!$AN$32="Seniors","(12)","(8)")</f>
        <v>(8)</v>
      </c>
      <c r="D25">
        <f>'Fannie Historical Ops'!D27</f>
        <v>0</v>
      </c>
      <c r="E25">
        <f t="shared" si="8"/>
        <v>0</v>
      </c>
      <c r="F25">
        <f t="shared" si="9"/>
        <v>0</v>
      </c>
      <c r="G25">
        <f>'Fannie Historical Ops'!F27</f>
        <v>0</v>
      </c>
      <c r="H25">
        <f t="shared" si="8"/>
        <v>0</v>
      </c>
      <c r="I25">
        <f t="shared" si="9"/>
        <v>0</v>
      </c>
      <c r="J25">
        <f>'Fannie Historical Ops'!H27</f>
        <v>0</v>
      </c>
      <c r="K25">
        <f t="shared" si="8"/>
        <v>0</v>
      </c>
      <c r="L25">
        <f t="shared" si="9"/>
        <v>0</v>
      </c>
      <c r="M25">
        <f>'Fannie Historical Ops'!J27</f>
        <v>0</v>
      </c>
      <c r="N25">
        <f>'Fannie Historical Ops'!K27</f>
        <v>0</v>
      </c>
      <c r="O25">
        <f>'Fannie Historical Ops'!L27</f>
        <v>0</v>
      </c>
      <c r="P25">
        <f>'Fannie Historical Ops'!M27</f>
        <v>0</v>
      </c>
      <c r="Q25">
        <f>'Fannie Historical Ops'!N27</f>
        <v>0</v>
      </c>
      <c r="R25">
        <f>'Fannie Historical Ops'!O27</f>
        <v>0</v>
      </c>
      <c r="S25">
        <f>'Fannie Historical Ops'!P27</f>
        <v>0</v>
      </c>
      <c r="T25">
        <f>'Fannie Historical Ops'!Q27</f>
        <v>0</v>
      </c>
      <c r="U25">
        <f>'Fannie Historical Ops'!R27</f>
        <v>0</v>
      </c>
      <c r="V25">
        <f>'Fannie Historical Ops'!S27</f>
        <v>0</v>
      </c>
      <c r="W25">
        <f>'Fannie Historical Ops'!T27</f>
        <v>0</v>
      </c>
      <c r="X25">
        <f>'Fannie Historical Ops'!U27</f>
        <v>0</v>
      </c>
      <c r="Y25">
        <f>'Fannie Historical Ops'!W27</f>
        <v>0</v>
      </c>
      <c r="Z25">
        <f t="shared" si="8"/>
        <v>0</v>
      </c>
      <c r="AA25">
        <f t="shared" si="9"/>
        <v>0</v>
      </c>
      <c r="AB25">
        <f>'Fannie Historical Ops'!Y27</f>
        <v>0</v>
      </c>
      <c r="AC25">
        <f t="shared" si="8"/>
        <v>0</v>
      </c>
      <c r="AD25">
        <f t="shared" si="9"/>
        <v>0</v>
      </c>
      <c r="AE25">
        <f>'Fannie Historical Ops'!AA27</f>
        <v>0</v>
      </c>
      <c r="AF25">
        <f t="shared" si="8"/>
        <v>0</v>
      </c>
      <c r="AG25">
        <f t="shared" si="9"/>
        <v>0</v>
      </c>
      <c r="AH25">
        <f>'Fannie Historical Ops'!AC27</f>
        <v>0</v>
      </c>
      <c r="AI25">
        <f t="shared" si="8"/>
        <v>0</v>
      </c>
      <c r="AJ25">
        <f t="shared" si="9"/>
        <v>0</v>
      </c>
      <c r="AK25">
        <f>'Fannie Historical Ops'!AE27</f>
        <v>0</v>
      </c>
      <c r="AL25">
        <f t="shared" si="8"/>
        <v>0</v>
      </c>
      <c r="AM25">
        <f t="shared" si="9"/>
        <v>0</v>
      </c>
      <c r="AN25">
        <f>'Fannie Historical Ops'!AG27</f>
        <v>0</v>
      </c>
      <c r="AO25">
        <f t="shared" si="8"/>
        <v>0</v>
      </c>
      <c r="AP25">
        <f t="shared" si="9"/>
        <v>0</v>
      </c>
      <c r="AQ25">
        <f>'Fannie Historical Ops'!AI27</f>
        <v>0</v>
      </c>
      <c r="AR25">
        <f t="shared" si="8"/>
        <v>0</v>
      </c>
      <c r="AS25">
        <f t="shared" si="9"/>
        <v>0</v>
      </c>
      <c r="AU25">
        <f>'Fannie Historical Ops'!AK27</f>
        <v>0</v>
      </c>
      <c r="AV25">
        <f t="shared" si="8"/>
        <v>0</v>
      </c>
      <c r="AW25">
        <f t="shared" si="9"/>
        <v>0</v>
      </c>
      <c r="AY25">
        <f>'Fannie Historical Ops'!AM27</f>
        <v>0</v>
      </c>
      <c r="AZ25">
        <f t="shared" si="8"/>
        <v>0</v>
      </c>
      <c r="BA25">
        <f t="shared" si="9"/>
        <v>0</v>
      </c>
      <c r="BC25">
        <f t="shared" si="5"/>
        <v>0</v>
      </c>
      <c r="BD25">
        <f t="shared" si="8"/>
        <v>0</v>
      </c>
      <c r="BE25">
        <f t="shared" si="9"/>
        <v>0</v>
      </c>
      <c r="BF25">
        <f t="shared" si="6"/>
        <v>0</v>
      </c>
      <c r="BG25">
        <f t="shared" si="8"/>
        <v>0</v>
      </c>
      <c r="BH25">
        <f t="shared" si="9"/>
        <v>0</v>
      </c>
      <c r="BK25">
        <f t="shared" si="9"/>
        <v>0</v>
      </c>
    </row>
    <row r="26" ht="15.75" customHeight="1">
      <c r="B26" t="str">
        <f>'Fannie Historical Ops'!B28</f>
        <v>Unallowable</v>
      </c>
      <c r="C26" t="str">
        <f>IF('SBL Quotes'!$AN$32="Seniors","(13)","(9)")</f>
        <v>(9)</v>
      </c>
      <c r="D26">
        <f>'Fannie Historical Ops'!D28</f>
        <v>0</v>
      </c>
      <c r="E26">
        <f t="shared" si="8"/>
        <v>0</v>
      </c>
      <c r="F26">
        <f t="shared" si="9"/>
        <v>0</v>
      </c>
      <c r="G26">
        <f>'Fannie Historical Ops'!F28</f>
        <v>0</v>
      </c>
      <c r="H26">
        <f t="shared" si="8"/>
        <v>0</v>
      </c>
      <c r="I26">
        <f t="shared" si="9"/>
        <v>0</v>
      </c>
      <c r="J26">
        <f>'Fannie Historical Ops'!H28</f>
        <v>0</v>
      </c>
      <c r="K26">
        <f t="shared" si="8"/>
        <v>0</v>
      </c>
      <c r="L26">
        <f t="shared" si="9"/>
        <v>0</v>
      </c>
      <c r="M26">
        <f>'Fannie Historical Ops'!J28</f>
        <v>0</v>
      </c>
      <c r="N26">
        <f>'Fannie Historical Ops'!K28</f>
        <v>0</v>
      </c>
      <c r="O26">
        <f>'Fannie Historical Ops'!L28</f>
        <v>0</v>
      </c>
      <c r="P26">
        <f>'Fannie Historical Ops'!M28</f>
        <v>0</v>
      </c>
      <c r="Q26">
        <f>'Fannie Historical Ops'!N28</f>
        <v>0</v>
      </c>
      <c r="R26">
        <f>'Fannie Historical Ops'!O28</f>
        <v>0</v>
      </c>
      <c r="S26">
        <f>'Fannie Historical Ops'!P28</f>
        <v>0</v>
      </c>
      <c r="T26">
        <f>'Fannie Historical Ops'!Q28</f>
        <v>0</v>
      </c>
      <c r="U26">
        <f>'Fannie Historical Ops'!R28</f>
        <v>0</v>
      </c>
      <c r="V26">
        <f>'Fannie Historical Ops'!S28</f>
        <v>0</v>
      </c>
      <c r="W26">
        <f>'Fannie Historical Ops'!T28</f>
        <v>0</v>
      </c>
      <c r="X26">
        <f>'Fannie Historical Ops'!U28</f>
        <v>0</v>
      </c>
      <c r="Y26">
        <f>'Fannie Historical Ops'!W28</f>
        <v>0</v>
      </c>
      <c r="Z26">
        <f t="shared" si="8"/>
        <v>0</v>
      </c>
      <c r="AA26">
        <f t="shared" si="9"/>
        <v>0</v>
      </c>
      <c r="AB26">
        <f>'Fannie Historical Ops'!Y28</f>
        <v>0</v>
      </c>
      <c r="AC26">
        <f t="shared" si="8"/>
        <v>0</v>
      </c>
      <c r="AD26">
        <f t="shared" si="9"/>
        <v>0</v>
      </c>
      <c r="AE26">
        <f>'Fannie Historical Ops'!AA28</f>
        <v>0</v>
      </c>
      <c r="AF26">
        <f t="shared" si="8"/>
        <v>0</v>
      </c>
      <c r="AG26">
        <f t="shared" si="9"/>
        <v>0</v>
      </c>
      <c r="AH26">
        <f>'Fannie Historical Ops'!AC28</f>
        <v>0</v>
      </c>
      <c r="AI26">
        <f t="shared" si="8"/>
        <v>0</v>
      </c>
      <c r="AJ26">
        <f t="shared" si="9"/>
        <v>0</v>
      </c>
      <c r="AK26">
        <f>'Fannie Historical Ops'!AE28</f>
        <v>0</v>
      </c>
      <c r="AL26">
        <f t="shared" si="8"/>
        <v>0</v>
      </c>
      <c r="AM26">
        <f t="shared" si="9"/>
        <v>0</v>
      </c>
      <c r="AN26">
        <f>'Fannie Historical Ops'!AG28</f>
        <v>0</v>
      </c>
      <c r="AO26">
        <f t="shared" si="8"/>
        <v>0</v>
      </c>
      <c r="AP26">
        <f t="shared" si="9"/>
        <v>0</v>
      </c>
      <c r="AQ26">
        <f>'Fannie Historical Ops'!AI28</f>
        <v>0</v>
      </c>
      <c r="AR26">
        <f t="shared" si="8"/>
        <v>0</v>
      </c>
      <c r="AS26">
        <f t="shared" si="9"/>
        <v>0</v>
      </c>
      <c r="AU26">
        <f>ROUND('Fannie Historical Ops'!AK28,2)</f>
        <v>0</v>
      </c>
      <c r="AV26">
        <f t="shared" si="8"/>
        <v>0</v>
      </c>
      <c r="AW26">
        <f t="shared" si="9"/>
        <v>0</v>
      </c>
      <c r="AY26">
        <f>'Fannie Historical Ops'!AM28</f>
        <v>0</v>
      </c>
      <c r="AZ26">
        <f t="shared" si="8"/>
        <v>0</v>
      </c>
      <c r="BA26">
        <f t="shared" si="9"/>
        <v>0</v>
      </c>
      <c r="BC26">
        <f t="shared" si="5"/>
        <v>0</v>
      </c>
      <c r="BD26">
        <f t="shared" si="8"/>
        <v>0</v>
      </c>
      <c r="BE26">
        <f t="shared" si="9"/>
        <v>0</v>
      </c>
      <c r="BF26">
        <f t="shared" si="6"/>
        <v>0</v>
      </c>
      <c r="BG26">
        <f t="shared" si="8"/>
        <v>0</v>
      </c>
      <c r="BH26">
        <f t="shared" si="9"/>
        <v>0</v>
      </c>
      <c r="BK26">
        <f t="shared" si="9"/>
        <v>0</v>
      </c>
    </row>
    <row r="27" ht="15.75" customHeight="1">
      <c r="B27" t="s">
        <v>2443</v>
      </c>
      <c r="D27">
        <f t="shared" si="12" ref="D27:BF27">SUM(D19:D25)</f>
        <v>0</v>
      </c>
      <c r="E27">
        <f t="shared" si="8"/>
        <v>0</v>
      </c>
      <c r="F27">
        <f t="shared" si="9"/>
        <v>0</v>
      </c>
      <c r="G27">
        <f t="shared" si="12"/>
        <v>0</v>
      </c>
      <c r="H27">
        <f t="shared" si="8"/>
        <v>0</v>
      </c>
      <c r="I27">
        <f t="shared" si="9"/>
        <v>0</v>
      </c>
      <c r="J27">
        <f t="shared" si="12"/>
        <v>0</v>
      </c>
      <c r="K27">
        <f t="shared" si="8"/>
        <v>0</v>
      </c>
      <c r="L27">
        <f t="shared" si="9"/>
        <v>0</v>
      </c>
      <c r="M27">
        <f t="shared" si="12"/>
        <v>-245742</v>
      </c>
      <c r="N27">
        <f t="shared" si="12"/>
        <v>-248008.36363636365</v>
      </c>
      <c r="O27">
        <f t="shared" si="12"/>
        <v>-249134.39999999997</v>
      </c>
      <c r="P27">
        <f t="shared" si="12"/>
        <v>-256182.66666666663</v>
      </c>
      <c r="Q27">
        <f t="shared" si="12"/>
        <v>-259777.5</v>
      </c>
      <c r="R27">
        <f t="shared" si="12"/>
        <v>-258862.2857142857</v>
      </c>
      <c r="S27">
        <f t="shared" si="12"/>
        <v>-254970</v>
      </c>
      <c r="T27">
        <f t="shared" si="12"/>
        <v>-240420</v>
      </c>
      <c r="U27">
        <f t="shared" si="12"/>
        <v>-238899</v>
      </c>
      <c r="V27">
        <f t="shared" si="12"/>
        <v>-234032</v>
      </c>
      <c r="W27">
        <f t="shared" si="12"/>
        <v>-230988</v>
      </c>
      <c r="X27">
        <f t="shared" si="12"/>
        <v>-241800</v>
      </c>
      <c r="Y27">
        <f t="shared" si="12"/>
        <v>-245742</v>
      </c>
      <c r="Z27">
        <f t="shared" si="8"/>
        <v>-241</v>
      </c>
      <c r="AA27" t="e">
        <f t="shared" si="9"/>
        <v>#DIV/0!</v>
      </c>
      <c r="AB27">
        <f t="shared" si="12"/>
        <v>0</v>
      </c>
      <c r="AC27">
        <f t="shared" si="8"/>
        <v>0</v>
      </c>
      <c r="AD27">
        <f t="shared" si="9"/>
        <v>0</v>
      </c>
      <c r="AE27">
        <f t="shared" si="12"/>
        <v>0</v>
      </c>
      <c r="AF27">
        <f t="shared" si="8"/>
        <v>0</v>
      </c>
      <c r="AG27">
        <f t="shared" si="9"/>
        <v>0</v>
      </c>
      <c r="AH27">
        <f t="shared" si="12"/>
        <v>0</v>
      </c>
      <c r="AI27">
        <f t="shared" si="8"/>
        <v>0</v>
      </c>
      <c r="AJ27">
        <f t="shared" si="9"/>
        <v>0</v>
      </c>
      <c r="AK27">
        <f t="shared" si="12"/>
        <v>0</v>
      </c>
      <c r="AL27">
        <f t="shared" si="8"/>
        <v>0</v>
      </c>
      <c r="AM27">
        <f t="shared" si="9"/>
        <v>0</v>
      </c>
      <c r="AN27">
        <f t="shared" si="12"/>
        <v>0</v>
      </c>
      <c r="AO27">
        <f t="shared" si="8"/>
        <v>0</v>
      </c>
      <c r="AP27">
        <f t="shared" si="9"/>
        <v>0</v>
      </c>
      <c r="AQ27">
        <f t="shared" si="12"/>
        <v>0</v>
      </c>
      <c r="AR27">
        <f t="shared" si="8"/>
        <v>0</v>
      </c>
      <c r="AS27">
        <f t="shared" si="9"/>
        <v>0</v>
      </c>
      <c r="AU27">
        <f>ROUND(SUM(AU19:AU25),2)</f>
        <v>-245742</v>
      </c>
      <c r="AV27">
        <f t="shared" si="8"/>
        <v>-241</v>
      </c>
      <c r="AW27" t="e">
        <f t="shared" si="9"/>
        <v>#DIV/0!</v>
      </c>
      <c r="AY27">
        <f t="shared" si="12"/>
        <v>0</v>
      </c>
      <c r="AZ27">
        <f t="shared" si="8"/>
        <v>0</v>
      </c>
      <c r="BA27">
        <f t="shared" si="9"/>
        <v>0</v>
      </c>
      <c r="BC27">
        <f t="shared" si="12"/>
        <v>0</v>
      </c>
      <c r="BD27">
        <f t="shared" si="8"/>
        <v>0</v>
      </c>
      <c r="BE27">
        <f t="shared" si="9"/>
        <v>0</v>
      </c>
      <c r="BF27">
        <f t="shared" si="12"/>
        <v>-253114.26</v>
      </c>
      <c r="BG27">
        <f t="shared" si="8"/>
        <v>-248</v>
      </c>
      <c r="BH27" t="e">
        <f t="shared" si="9"/>
        <v>#DIV/0!</v>
      </c>
      <c r="BK27">
        <f t="shared" si="9"/>
        <v>0</v>
      </c>
    </row>
    <row r="28" ht="6" customHeight="1"/>
    <row r="29" ht="15.75" customHeight="1">
      <c r="B29" t="s">
        <v>1805</v>
      </c>
      <c r="D29">
        <f t="shared" si="13" ref="D29:BF29">SUM(D15:D17)+D27</f>
        <v>0</v>
      </c>
      <c r="E29">
        <f t="shared" si="8"/>
        <v>0</v>
      </c>
      <c r="F29">
        <f t="shared" si="9"/>
        <v>0</v>
      </c>
      <c r="G29">
        <f t="shared" si="13"/>
        <v>0</v>
      </c>
      <c r="H29">
        <f t="shared" si="8"/>
        <v>0</v>
      </c>
      <c r="I29">
        <f t="shared" si="9"/>
        <v>0</v>
      </c>
      <c r="J29">
        <f t="shared" si="13"/>
        <v>0</v>
      </c>
      <c r="K29">
        <f t="shared" si="8"/>
        <v>0</v>
      </c>
      <c r="L29">
        <f t="shared" si="9"/>
        <v>0</v>
      </c>
      <c r="M29">
        <f t="shared" si="13"/>
        <v>-216050</v>
      </c>
      <c r="N29">
        <f t="shared" si="13"/>
        <v>-219330.54545454547</v>
      </c>
      <c r="O29">
        <f t="shared" si="13"/>
        <v>-217588.79999999996</v>
      </c>
      <c r="P29">
        <f t="shared" si="13"/>
        <v>-221131.99999999997</v>
      </c>
      <c r="Q29">
        <f t="shared" si="13"/>
        <v>-220345.5</v>
      </c>
      <c r="R29">
        <f t="shared" si="13"/>
        <v>-217764</v>
      </c>
      <c r="S29">
        <f t="shared" si="13"/>
        <v>-222446</v>
      </c>
      <c r="T29">
        <f t="shared" si="13"/>
        <v>-211893.6</v>
      </c>
      <c r="U29">
        <f t="shared" si="13"/>
        <v>-210291</v>
      </c>
      <c r="V29">
        <f t="shared" si="13"/>
        <v>-204932</v>
      </c>
      <c r="W29">
        <f t="shared" si="13"/>
        <v>-203982</v>
      </c>
      <c r="X29">
        <f t="shared" si="13"/>
        <v>-216360</v>
      </c>
      <c r="Y29">
        <f t="shared" si="13"/>
        <v>-216050</v>
      </c>
      <c r="Z29">
        <f t="shared" si="8"/>
        <v>-212</v>
      </c>
      <c r="AA29" t="e">
        <f t="shared" si="9"/>
        <v>#DIV/0!</v>
      </c>
      <c r="AB29">
        <f t="shared" si="13"/>
        <v>0</v>
      </c>
      <c r="AC29">
        <f t="shared" si="8"/>
        <v>0</v>
      </c>
      <c r="AD29">
        <f t="shared" si="9"/>
        <v>0</v>
      </c>
      <c r="AE29">
        <f t="shared" si="13"/>
        <v>0</v>
      </c>
      <c r="AF29">
        <f t="shared" si="8"/>
        <v>0</v>
      </c>
      <c r="AG29">
        <f t="shared" si="9"/>
        <v>0</v>
      </c>
      <c r="AH29">
        <f t="shared" si="13"/>
        <v>0</v>
      </c>
      <c r="AI29">
        <f t="shared" si="8"/>
        <v>0</v>
      </c>
      <c r="AJ29">
        <f t="shared" si="9"/>
        <v>0</v>
      </c>
      <c r="AK29">
        <f t="shared" si="13"/>
        <v>0</v>
      </c>
      <c r="AL29">
        <f t="shared" si="8"/>
        <v>0</v>
      </c>
      <c r="AM29">
        <f t="shared" si="9"/>
        <v>0</v>
      </c>
      <c r="AN29">
        <f t="shared" si="13"/>
        <v>0</v>
      </c>
      <c r="AO29">
        <f t="shared" si="8"/>
        <v>0</v>
      </c>
      <c r="AP29">
        <f t="shared" si="9"/>
        <v>0</v>
      </c>
      <c r="AQ29">
        <f t="shared" si="13"/>
        <v>0</v>
      </c>
      <c r="AR29">
        <f t="shared" si="8"/>
        <v>0</v>
      </c>
      <c r="AS29">
        <f t="shared" si="9"/>
        <v>0</v>
      </c>
      <c r="AU29">
        <f>ROUND(SUM(AU15:AU17)+AU27,2)</f>
        <v>-216050</v>
      </c>
      <c r="AV29">
        <f t="shared" si="8"/>
        <v>-212</v>
      </c>
      <c r="AW29" t="e">
        <f t="shared" si="9"/>
        <v>#DIV/0!</v>
      </c>
      <c r="AY29">
        <f t="shared" si="13"/>
        <v>0</v>
      </c>
      <c r="AZ29">
        <f t="shared" si="8"/>
        <v>0</v>
      </c>
      <c r="BA29">
        <f t="shared" si="9"/>
        <v>0</v>
      </c>
      <c r="BC29">
        <f t="shared" si="13"/>
        <v>0</v>
      </c>
      <c r="BD29">
        <f t="shared" si="8"/>
        <v>0</v>
      </c>
      <c r="BE29">
        <f t="shared" si="9"/>
        <v>0</v>
      </c>
      <c r="BF29">
        <f t="shared" si="13"/>
        <v>-222531.5</v>
      </c>
      <c r="BG29">
        <f t="shared" si="8"/>
        <v>-218</v>
      </c>
      <c r="BH29" t="e">
        <f t="shared" si="9"/>
        <v>#DIV/0!</v>
      </c>
      <c r="BK29">
        <f t="shared" si="9"/>
        <v>0</v>
      </c>
    </row>
    <row r="30" ht="7.5" customHeight="1"/>
    <row r="31" ht="15.75" customHeight="1">
      <c r="B31" t="str">
        <f>'Fannie Historical Ops'!B30</f>
        <v>EGI</v>
      </c>
      <c r="D31">
        <f t="shared" si="14" ref="D31:BF31">D13+D29</f>
        <v>0</v>
      </c>
      <c r="E31">
        <f t="shared" si="8"/>
        <v>0</v>
      </c>
      <c r="F31">
        <f t="shared" si="9"/>
        <v>0</v>
      </c>
      <c r="G31">
        <f t="shared" si="14"/>
        <v>0</v>
      </c>
      <c r="H31">
        <f t="shared" si="8"/>
        <v>0</v>
      </c>
      <c r="I31">
        <f t="shared" si="9"/>
        <v>0</v>
      </c>
      <c r="J31">
        <f t="shared" si="14"/>
        <v>0</v>
      </c>
      <c r="K31">
        <f t="shared" si="8"/>
        <v>0</v>
      </c>
      <c r="L31">
        <f t="shared" si="9"/>
        <v>0</v>
      </c>
      <c r="M31">
        <f t="shared" si="14"/>
        <v>4591082</v>
      </c>
      <c r="N31">
        <f t="shared" si="14"/>
        <v>4579577.454545454</v>
      </c>
      <c r="O31">
        <f t="shared" si="14"/>
        <v>4578546</v>
      </c>
      <c r="P31">
        <f t="shared" si="14"/>
        <v>4609536</v>
      </c>
      <c r="Q31">
        <f t="shared" si="14"/>
        <v>4628344.5</v>
      </c>
      <c r="R31">
        <f t="shared" si="14"/>
        <v>4632622.285714286</v>
      </c>
      <c r="S31">
        <f t="shared" si="14"/>
        <v>4686538</v>
      </c>
      <c r="T31">
        <f t="shared" si="14"/>
        <v>4735466.4</v>
      </c>
      <c r="U31">
        <f t="shared" si="14"/>
        <v>4740597</v>
      </c>
      <c r="V31">
        <f t="shared" si="14"/>
        <v>4699944</v>
      </c>
      <c r="W31">
        <f t="shared" si="14"/>
        <v>4714008</v>
      </c>
      <c r="X31">
        <f t="shared" si="14"/>
        <v>4607052</v>
      </c>
      <c r="Y31">
        <f t="shared" si="14"/>
        <v>4591082</v>
      </c>
      <c r="Z31">
        <f t="shared" si="8"/>
        <v>4501</v>
      </c>
      <c r="AA31" t="e">
        <f t="shared" si="9"/>
        <v>#DIV/0!</v>
      </c>
      <c r="AB31">
        <f t="shared" si="14"/>
        <v>0</v>
      </c>
      <c r="AC31">
        <f t="shared" si="8"/>
        <v>0</v>
      </c>
      <c r="AD31">
        <f t="shared" si="9"/>
        <v>0</v>
      </c>
      <c r="AE31">
        <f>AE13+SUM(AE15:AE26)</f>
        <v>0</v>
      </c>
      <c r="AF31">
        <f t="shared" si="8"/>
        <v>0</v>
      </c>
      <c r="AG31">
        <f t="shared" si="9"/>
        <v>0</v>
      </c>
      <c r="AH31">
        <f t="shared" si="14"/>
        <v>0</v>
      </c>
      <c r="AI31">
        <f t="shared" si="8"/>
        <v>0</v>
      </c>
      <c r="AJ31">
        <f t="shared" si="9"/>
        <v>0</v>
      </c>
      <c r="AK31">
        <f t="shared" si="14"/>
        <v>0</v>
      </c>
      <c r="AL31">
        <f t="shared" si="8"/>
        <v>0</v>
      </c>
      <c r="AM31">
        <f t="shared" si="9"/>
        <v>0</v>
      </c>
      <c r="AN31">
        <f t="shared" si="14"/>
        <v>0</v>
      </c>
      <c r="AO31">
        <f t="shared" si="8"/>
        <v>0</v>
      </c>
      <c r="AP31">
        <f t="shared" si="9"/>
        <v>0</v>
      </c>
      <c r="AQ31">
        <f t="shared" si="14"/>
        <v>0</v>
      </c>
      <c r="AR31">
        <f t="shared" si="8"/>
        <v>0</v>
      </c>
      <c r="AS31">
        <f t="shared" si="9"/>
        <v>0</v>
      </c>
      <c r="AU31">
        <f t="shared" si="14"/>
        <v>1109838</v>
      </c>
      <c r="AV31">
        <f t="shared" si="8"/>
        <v>1088</v>
      </c>
      <c r="AW31" t="e">
        <f t="shared" si="9"/>
        <v>#DIV/0!</v>
      </c>
      <c r="AY31">
        <f t="shared" si="14"/>
        <v>0</v>
      </c>
      <c r="AZ31">
        <f t="shared" si="8"/>
        <v>0</v>
      </c>
      <c r="BA31">
        <f t="shared" si="9"/>
        <v>0</v>
      </c>
      <c r="BC31">
        <f t="shared" si="14"/>
        <v>0</v>
      </c>
      <c r="BD31">
        <f t="shared" si="8"/>
        <v>0</v>
      </c>
      <c r="BE31">
        <f t="shared" si="9"/>
        <v>0</v>
      </c>
      <c r="BF31">
        <f t="shared" si="14"/>
        <v>4728814.46</v>
      </c>
      <c r="BG31">
        <f t="shared" si="8"/>
        <v>4636</v>
      </c>
      <c r="BH31" t="e">
        <f t="shared" si="9"/>
        <v>#DIV/0!</v>
      </c>
      <c r="BI31">
        <f>'Expense Comps.'!L215</f>
        <v>0</v>
      </c>
      <c r="BJ31">
        <f>ROUND(IF(BI31=0,0,BI31/'Expense Comps.'!$J$215/12),0)</f>
        <v>0</v>
      </c>
      <c r="BK31">
        <f t="shared" si="9"/>
        <v>0</v>
      </c>
    </row>
    <row r="32" ht="9" customHeight="1"/>
    <row r="33" ht="15" customHeight="1">
      <c r="B33" t="s">
        <v>2444</v>
      </c>
      <c r="C33" t="s">
        <v>2445</v>
      </c>
      <c r="E33" t="s">
        <v>2446</v>
      </c>
      <c r="F33" t="s">
        <v>2447</v>
      </c>
      <c r="H33" t="s">
        <v>2446</v>
      </c>
      <c r="I33" t="s">
        <v>2447</v>
      </c>
      <c r="K33" t="s">
        <v>2446</v>
      </c>
      <c r="L33" t="s">
        <v>2447</v>
      </c>
      <c r="Z33" t="s">
        <v>2446</v>
      </c>
      <c r="AA33" t="s">
        <v>2447</v>
      </c>
      <c r="AC33" t="s">
        <v>2446</v>
      </c>
      <c r="AD33" t="s">
        <v>2447</v>
      </c>
      <c r="AF33" t="s">
        <v>2446</v>
      </c>
      <c r="AG33" t="s">
        <v>2447</v>
      </c>
      <c r="AI33" t="s">
        <v>2446</v>
      </c>
      <c r="AJ33" t="s">
        <v>2447</v>
      </c>
      <c r="AL33" t="s">
        <v>2446</v>
      </c>
      <c r="AM33" t="s">
        <v>2447</v>
      </c>
      <c r="AO33" t="s">
        <v>2446</v>
      </c>
      <c r="AP33" t="s">
        <v>2447</v>
      </c>
      <c r="AR33" t="s">
        <v>2446</v>
      </c>
      <c r="AS33" t="s">
        <v>2447</v>
      </c>
      <c r="AV33" t="s">
        <v>2446</v>
      </c>
      <c r="AW33" t="s">
        <v>2447</v>
      </c>
      <c r="AZ33" t="s">
        <v>2446</v>
      </c>
      <c r="BA33" t="s">
        <v>2447</v>
      </c>
      <c r="BD33" t="s">
        <v>2446</v>
      </c>
      <c r="BE33" t="s">
        <v>2447</v>
      </c>
      <c r="BG33" t="s">
        <v>2446</v>
      </c>
      <c r="BH33" t="s">
        <v>2447</v>
      </c>
      <c r="BJ33" t="s">
        <v>2446</v>
      </c>
      <c r="BK33" t="s">
        <v>2447</v>
      </c>
    </row>
    <row r="34" ht="15" customHeight="1">
      <c r="C34" t="s">
        <v>2448</v>
      </c>
    </row>
    <row r="35" ht="15" customHeight="1">
      <c r="B35" t="s">
        <v>2449</v>
      </c>
      <c r="C35" t="s">
        <v>2450</v>
      </c>
      <c r="D35">
        <f>'Fannie Historical Ops'!D51</f>
        <v>0</v>
      </c>
      <c r="E35">
        <f t="shared" si="15" ref="E35:BG35">IF(D35=0,0,D35/D31)</f>
        <v>0</v>
      </c>
      <c r="F35">
        <f t="shared" si="16" ref="F35:BK35">IF(D35=0,0,D35/D31)</f>
        <v>0</v>
      </c>
      <c r="G35">
        <f>'Fannie Historical Ops'!F51</f>
        <v>0</v>
      </c>
      <c r="H35">
        <f t="shared" si="15"/>
        <v>0</v>
      </c>
      <c r="I35">
        <f t="shared" si="16"/>
        <v>0</v>
      </c>
      <c r="J35">
        <f>'Fannie Historical Ops'!H51</f>
        <v>0</v>
      </c>
      <c r="K35">
        <f t="shared" si="15"/>
        <v>0</v>
      </c>
      <c r="L35">
        <f t="shared" si="16"/>
        <v>0</v>
      </c>
      <c r="M35">
        <f>'Fannie Historical Ops'!J51</f>
        <v>173577</v>
      </c>
      <c r="N35">
        <f>'Fannie Historical Ops'!K51</f>
        <v>174280.36363636365</v>
      </c>
      <c r="O35">
        <f>'Fannie Historical Ops'!L51</f>
        <v>175737.59999999998</v>
      </c>
      <c r="P35">
        <f>'Fannie Historical Ops'!M51</f>
        <v>168997.33333333334</v>
      </c>
      <c r="Q35">
        <f>'Fannie Historical Ops'!N51</f>
        <v>168841.5</v>
      </c>
      <c r="R35">
        <f>'Fannie Historical Ops'!O51</f>
        <v>168778.2857142857</v>
      </c>
      <c r="S35">
        <f>'Fannie Historical Ops'!P51</f>
        <v>168824</v>
      </c>
      <c r="T35">
        <f>'Fannie Historical Ops'!Q51</f>
        <v>168780</v>
      </c>
      <c r="U35">
        <f>'Fannie Historical Ops'!R51</f>
        <v>167427</v>
      </c>
      <c r="V35">
        <f>'Fannie Historical Ops'!S51</f>
        <v>168604</v>
      </c>
      <c r="W35">
        <f>'Fannie Historical Ops'!T51</f>
        <v>171720</v>
      </c>
      <c r="X35">
        <f>'Fannie Historical Ops'!U51</f>
        <v>166656</v>
      </c>
      <c r="Y35">
        <f>'Fannie Historical Ops'!W51</f>
        <v>173577</v>
      </c>
      <c r="Z35">
        <f t="shared" si="15"/>
        <v>0.0378074275301552</v>
      </c>
      <c r="AA35">
        <f t="shared" si="16"/>
        <v>0.0378074275301552</v>
      </c>
      <c r="AB35">
        <f>'Fannie Historical Ops'!Y51</f>
        <v>0</v>
      </c>
      <c r="AC35">
        <f t="shared" si="15"/>
        <v>0</v>
      </c>
      <c r="AD35">
        <f t="shared" si="16"/>
        <v>0</v>
      </c>
      <c r="AE35">
        <f>'Fannie Historical Ops'!AA51</f>
        <v>0</v>
      </c>
      <c r="AF35">
        <f t="shared" si="15"/>
        <v>0</v>
      </c>
      <c r="AG35">
        <f t="shared" si="16"/>
        <v>0</v>
      </c>
      <c r="AH35">
        <f>'Fannie Historical Ops'!AC51</f>
        <v>0</v>
      </c>
      <c r="AI35">
        <f t="shared" si="15"/>
        <v>0</v>
      </c>
      <c r="AJ35">
        <f t="shared" si="16"/>
        <v>0</v>
      </c>
      <c r="AK35">
        <f>'Fannie Historical Ops'!AE51</f>
        <v>0</v>
      </c>
      <c r="AL35">
        <f t="shared" si="15"/>
        <v>0</v>
      </c>
      <c r="AM35">
        <f t="shared" si="16"/>
        <v>0</v>
      </c>
      <c r="AN35">
        <f>'Fannie Historical Ops'!AG51</f>
        <v>0</v>
      </c>
      <c r="AO35">
        <f t="shared" si="15"/>
        <v>0</v>
      </c>
      <c r="AP35">
        <f t="shared" si="16"/>
        <v>0</v>
      </c>
      <c r="AQ35">
        <f>'Fannie Historical Ops'!AI51</f>
        <v>0</v>
      </c>
      <c r="AR35">
        <f t="shared" si="15"/>
        <v>0</v>
      </c>
      <c r="AS35">
        <f t="shared" si="16"/>
        <v>0</v>
      </c>
      <c r="AU35">
        <f>ROUND('Fannie Historical Ops'!AK51,2)</f>
        <v>38844.33</v>
      </c>
      <c r="AV35">
        <f t="shared" si="15"/>
        <v>0.035</v>
      </c>
      <c r="AW35">
        <f t="shared" si="16"/>
        <v>0.035</v>
      </c>
      <c r="AY35">
        <f>'Fannie Historical Ops'!AM51</f>
        <v>0</v>
      </c>
      <c r="AZ35">
        <f t="shared" si="15"/>
        <v>0</v>
      </c>
      <c r="BA35">
        <f t="shared" si="16"/>
        <v>0</v>
      </c>
      <c r="BC35">
        <f t="shared" si="5"/>
        <v>0</v>
      </c>
      <c r="BD35">
        <f t="shared" si="15"/>
        <v>0</v>
      </c>
      <c r="BE35">
        <f t="shared" si="16"/>
        <v>0</v>
      </c>
      <c r="BF35">
        <f t="shared" si="6"/>
        <v>178784.31</v>
      </c>
      <c r="BG35">
        <f t="shared" si="15"/>
        <v>0.0378074275301552</v>
      </c>
      <c r="BH35">
        <f t="shared" si="16"/>
        <v>0.0378074275301552</v>
      </c>
      <c r="BI35">
        <f>'Expense Comps.'!N215*'Expense Comps.'!$J$215</f>
        <v>0</v>
      </c>
      <c r="BJ35">
        <f>'Expense Comps.'!M215</f>
        <v>0</v>
      </c>
      <c r="BK35">
        <f t="shared" si="16"/>
        <v>0</v>
      </c>
    </row>
    <row r="36" ht="15" customHeight="1">
      <c r="B36" t="s">
        <v>2451</v>
      </c>
      <c r="C36" t="str">
        <f>"(2,4,"&amp;IF('SBL Quotes'!$AN$32="Seniors","29-33)","27-31)")</f>
        <v>(2,4,27-31)</v>
      </c>
      <c r="D36">
        <f>SUM('Fannie Historical Ops'!D34,'Fannie Historical Ops'!D36,'Fannie Historical Ops'!D63:D67)</f>
        <v>0</v>
      </c>
      <c r="E36">
        <f t="shared" si="17" ref="E36:BG57">ROUND(IF(D36&gt;0,D36/$C$3,0),0)</f>
        <v>0</v>
      </c>
      <c r="F36">
        <f t="shared" si="18" ref="F36:BK57">ROUND(IF(D36&gt;0,D36/TotalBeds,0),0)</f>
        <v>0</v>
      </c>
      <c r="G36">
        <f>SUM('Fannie Historical Ops'!F34,'Fannie Historical Ops'!F36,'Fannie Historical Ops'!F63:F67)</f>
        <v>0</v>
      </c>
      <c r="H36">
        <f t="shared" si="17"/>
        <v>0</v>
      </c>
      <c r="I36">
        <f t="shared" si="18"/>
        <v>0</v>
      </c>
      <c r="J36">
        <f>SUM('Fannie Historical Ops'!H34,'Fannie Historical Ops'!H36,'Fannie Historical Ops'!H63:H67)</f>
        <v>0</v>
      </c>
      <c r="K36">
        <f t="shared" si="17"/>
        <v>0</v>
      </c>
      <c r="L36">
        <f t="shared" si="18"/>
        <v>0</v>
      </c>
      <c r="M36">
        <f>SUM('Fannie Historical Ops'!J34,'Fannie Historical Ops'!J36,'Fannie Historical Ops'!J63:J67)</f>
        <v>218375</v>
      </c>
      <c r="N36">
        <f>SUM('Fannie Historical Ops'!K34,'Fannie Historical Ops'!K36,'Fannie Historical Ops'!K63:K67)</f>
        <v>207620.72727272726</v>
      </c>
      <c r="O36">
        <f>SUM('Fannie Historical Ops'!L34,'Fannie Historical Ops'!L36,'Fannie Historical Ops'!L63:L67)</f>
        <v>203669.99999999997</v>
      </c>
      <c r="P36">
        <f>SUM('Fannie Historical Ops'!M34,'Fannie Historical Ops'!M36,'Fannie Historical Ops'!M63:M67)</f>
        <v>203102.66666666666</v>
      </c>
      <c r="Q36">
        <f>SUM('Fannie Historical Ops'!N34,'Fannie Historical Ops'!N36,'Fannie Historical Ops'!N63:N67)</f>
        <v>193749</v>
      </c>
      <c r="R36">
        <f>SUM('Fannie Historical Ops'!O34,'Fannie Historical Ops'!O36,'Fannie Historical Ops'!O63:O67)</f>
        <v>192353.14285714284</v>
      </c>
      <c r="S36">
        <f>SUM('Fannie Historical Ops'!P34,'Fannie Historical Ops'!P36,'Fannie Historical Ops'!P63:P67)</f>
        <v>196286</v>
      </c>
      <c r="T36">
        <f>SUM('Fannie Historical Ops'!Q34,'Fannie Historical Ops'!Q36,'Fannie Historical Ops'!Q63:Q67)</f>
        <v>179486.40000000002</v>
      </c>
      <c r="U36">
        <f>SUM('Fannie Historical Ops'!R34,'Fannie Historical Ops'!R36,'Fannie Historical Ops'!R63:R67)</f>
        <v>204663</v>
      </c>
      <c r="V36">
        <f>SUM('Fannie Historical Ops'!S34,'Fannie Historical Ops'!S36,'Fannie Historical Ops'!S63:S67)</f>
        <v>217880</v>
      </c>
      <c r="W36">
        <f>SUM('Fannie Historical Ops'!T34,'Fannie Historical Ops'!T36,'Fannie Historical Ops'!T63:T67)</f>
        <v>228882</v>
      </c>
      <c r="X36">
        <f>SUM('Fannie Historical Ops'!U34,'Fannie Historical Ops'!U36,'Fannie Historical Ops'!U63:U67)</f>
        <v>206892</v>
      </c>
      <c r="Y36">
        <f>SUM('Fannie Historical Ops'!W34,'Fannie Historical Ops'!W36,'Fannie Historical Ops'!W63:W67)</f>
        <v>218375</v>
      </c>
      <c r="Z36">
        <f t="shared" si="17"/>
        <v>2569</v>
      </c>
      <c r="AA36" t="e">
        <f t="shared" si="18"/>
        <v>#DIV/0!</v>
      </c>
      <c r="AB36">
        <f>SUM('Fannie Historical Ops'!Y34,'Fannie Historical Ops'!Y36,'Fannie Historical Ops'!Y63:Y67)</f>
        <v>0</v>
      </c>
      <c r="AC36">
        <f t="shared" si="17"/>
        <v>0</v>
      </c>
      <c r="AD36">
        <f t="shared" si="18"/>
        <v>0</v>
      </c>
      <c r="AE36">
        <f>SUM('Fannie Historical Ops'!AA34,'Fannie Historical Ops'!AA36,'Fannie Historical Ops'!AA63:AA67)</f>
        <v>0</v>
      </c>
      <c r="AF36">
        <f t="shared" si="17"/>
        <v>0</v>
      </c>
      <c r="AG36">
        <f t="shared" si="18"/>
        <v>0</v>
      </c>
      <c r="AH36">
        <f>SUM('Fannie Historical Ops'!AC34,'Fannie Historical Ops'!AC36,'Fannie Historical Ops'!AC63:AC67)</f>
        <v>0</v>
      </c>
      <c r="AI36">
        <f t="shared" si="17"/>
        <v>0</v>
      </c>
      <c r="AJ36">
        <f t="shared" si="18"/>
        <v>0</v>
      </c>
      <c r="AK36">
        <f>SUM('Fannie Historical Ops'!AE34,'Fannie Historical Ops'!AE36,'Fannie Historical Ops'!AE63:AE67)</f>
        <v>0</v>
      </c>
      <c r="AL36">
        <f t="shared" si="17"/>
        <v>0</v>
      </c>
      <c r="AM36">
        <f t="shared" si="18"/>
        <v>0</v>
      </c>
      <c r="AN36">
        <f>SUM('Fannie Historical Ops'!AG34,'Fannie Historical Ops'!AG36,'Fannie Historical Ops'!AG63:AG67)</f>
        <v>0</v>
      </c>
      <c r="AO36">
        <f t="shared" si="17"/>
        <v>0</v>
      </c>
      <c r="AP36">
        <f t="shared" si="18"/>
        <v>0</v>
      </c>
      <c r="AQ36">
        <f>SUM('Fannie Historical Ops'!AI34,'Fannie Historical Ops'!AI36,'Fannie Historical Ops'!AI63:AI67)</f>
        <v>0</v>
      </c>
      <c r="AR36">
        <f t="shared" si="17"/>
        <v>0</v>
      </c>
      <c r="AS36">
        <f t="shared" si="18"/>
        <v>0</v>
      </c>
      <c r="AU36">
        <f>ROUND(SUM('Fannie Historical Ops'!AK34,'Fannie Historical Ops'!AK36,'Fannie Historical Ops'!AK63:AK67),2)</f>
        <v>224926.25</v>
      </c>
      <c r="AV36">
        <f t="shared" si="17"/>
        <v>2646</v>
      </c>
      <c r="AW36" t="e">
        <f t="shared" si="18"/>
        <v>#DIV/0!</v>
      </c>
      <c r="AY36">
        <f>SUM('Fannie Historical Ops'!AM34,'Fannie Historical Ops'!AM36,'Fannie Historical Ops'!AM63:AM67)</f>
        <v>0</v>
      </c>
      <c r="AZ36">
        <f t="shared" si="17"/>
        <v>0</v>
      </c>
      <c r="BA36">
        <f t="shared" si="18"/>
        <v>0</v>
      </c>
      <c r="BC36">
        <f t="shared" si="5"/>
        <v>0</v>
      </c>
      <c r="BD36">
        <f t="shared" si="17"/>
        <v>0</v>
      </c>
      <c r="BE36">
        <f t="shared" si="18"/>
        <v>0</v>
      </c>
      <c r="BF36">
        <f t="shared" si="6"/>
        <v>224926.25</v>
      </c>
      <c r="BG36">
        <f t="shared" si="17"/>
        <v>2646</v>
      </c>
      <c r="BH36" t="e">
        <f t="shared" si="18"/>
        <v>#DIV/0!</v>
      </c>
      <c r="BI36">
        <f>'Expense Comps.'!Q215*'Expense Comps.'!$J$215</f>
        <v>0</v>
      </c>
      <c r="BJ36">
        <f>ROUND(IF(BI36&gt;0,BI36/'Expense Comps.'!$J$215,0),0)</f>
        <v>0</v>
      </c>
      <c r="BK36">
        <f t="shared" si="18"/>
        <v>0</v>
      </c>
    </row>
    <row r="37" ht="15" customHeight="1">
      <c r="B37" t="str">
        <f>'Fannie Historical Ops'!B59</f>
        <v>Advertising &amp; Marketing</v>
      </c>
      <c r="C37" t="s">
        <v>2453</v>
      </c>
      <c r="D37">
        <f>'Fannie Historical Ops'!D59</f>
        <v>0</v>
      </c>
      <c r="E37">
        <f t="shared" si="17"/>
        <v>0</v>
      </c>
      <c r="F37">
        <f t="shared" si="18"/>
        <v>0</v>
      </c>
      <c r="G37">
        <f>'Fannie Historical Ops'!F59</f>
        <v>0</v>
      </c>
      <c r="H37">
        <f t="shared" si="17"/>
        <v>0</v>
      </c>
      <c r="I37">
        <f t="shared" si="18"/>
        <v>0</v>
      </c>
      <c r="J37">
        <f>'Fannie Historical Ops'!H59</f>
        <v>0</v>
      </c>
      <c r="K37">
        <f t="shared" si="17"/>
        <v>0</v>
      </c>
      <c r="L37">
        <f t="shared" si="18"/>
        <v>0</v>
      </c>
      <c r="M37">
        <f>'Fannie Historical Ops'!J59</f>
        <v>49624</v>
      </c>
      <c r="N37">
        <f>'Fannie Historical Ops'!K59</f>
        <v>49602.545454545456</v>
      </c>
      <c r="O37">
        <f>'Fannie Historical Ops'!L59</f>
        <v>49792.799999999996</v>
      </c>
      <c r="P37">
        <f>'Fannie Historical Ops'!M59</f>
        <v>47836</v>
      </c>
      <c r="Q37">
        <f>'Fannie Historical Ops'!N59</f>
        <v>47443.5</v>
      </c>
      <c r="R37">
        <f>'Fannie Historical Ops'!O59</f>
        <v>48224.57142857143</v>
      </c>
      <c r="S37">
        <f>'Fannie Historical Ops'!P59</f>
        <v>45686</v>
      </c>
      <c r="T37">
        <f>'Fannie Historical Ops'!Q59</f>
        <v>46980</v>
      </c>
      <c r="U37">
        <f>'Fannie Historical Ops'!R59</f>
        <v>46341</v>
      </c>
      <c r="V37">
        <f>'Fannie Historical Ops'!S59</f>
        <v>47200</v>
      </c>
      <c r="W37">
        <f>'Fannie Historical Ops'!T59</f>
        <v>49560</v>
      </c>
      <c r="X37">
        <f>'Fannie Historical Ops'!U59</f>
        <v>22656</v>
      </c>
      <c r="Y37">
        <f>'Fannie Historical Ops'!W59</f>
        <v>49624</v>
      </c>
      <c r="Z37">
        <f t="shared" si="17"/>
        <v>584</v>
      </c>
      <c r="AA37" t="e">
        <f t="shared" si="18"/>
        <v>#DIV/0!</v>
      </c>
      <c r="AB37">
        <f>'Fannie Historical Ops'!Y59</f>
        <v>0</v>
      </c>
      <c r="AC37">
        <f t="shared" si="17"/>
        <v>0</v>
      </c>
      <c r="AD37">
        <f t="shared" si="18"/>
        <v>0</v>
      </c>
      <c r="AE37">
        <f>'Fannie Historical Ops'!AA59</f>
        <v>0</v>
      </c>
      <c r="AF37">
        <f t="shared" si="17"/>
        <v>0</v>
      </c>
      <c r="AG37">
        <f t="shared" si="18"/>
        <v>0</v>
      </c>
      <c r="AH37">
        <f>'Fannie Historical Ops'!AC59</f>
        <v>0</v>
      </c>
      <c r="AI37">
        <f t="shared" si="17"/>
        <v>0</v>
      </c>
      <c r="AJ37">
        <f t="shared" si="18"/>
        <v>0</v>
      </c>
      <c r="AK37">
        <f>'Fannie Historical Ops'!AE59</f>
        <v>0</v>
      </c>
      <c r="AL37">
        <f t="shared" si="17"/>
        <v>0</v>
      </c>
      <c r="AM37">
        <f t="shared" si="18"/>
        <v>0</v>
      </c>
      <c r="AN37">
        <f>'Fannie Historical Ops'!AG59</f>
        <v>0</v>
      </c>
      <c r="AO37">
        <f t="shared" si="17"/>
        <v>0</v>
      </c>
      <c r="AP37">
        <f t="shared" si="18"/>
        <v>0</v>
      </c>
      <c r="AQ37">
        <f>'Fannie Historical Ops'!AI59</f>
        <v>0</v>
      </c>
      <c r="AR37">
        <f t="shared" si="17"/>
        <v>0</v>
      </c>
      <c r="AS37">
        <f t="shared" si="18"/>
        <v>0</v>
      </c>
      <c r="AU37">
        <f>ROUND('Fannie Historical Ops'!AK59,2)</f>
        <v>51112.72</v>
      </c>
      <c r="AV37">
        <f t="shared" si="17"/>
        <v>601</v>
      </c>
      <c r="AW37" t="e">
        <f t="shared" si="18"/>
        <v>#DIV/0!</v>
      </c>
      <c r="AY37">
        <f>'Fannie Historical Ops'!AM59</f>
        <v>0</v>
      </c>
      <c r="AZ37">
        <f t="shared" si="17"/>
        <v>0</v>
      </c>
      <c r="BA37">
        <f t="shared" si="18"/>
        <v>0</v>
      </c>
      <c r="BC37">
        <f t="shared" si="5"/>
        <v>0</v>
      </c>
      <c r="BD37">
        <f t="shared" si="17"/>
        <v>0</v>
      </c>
      <c r="BE37">
        <f t="shared" si="18"/>
        <v>0</v>
      </c>
      <c r="BF37">
        <f t="shared" si="6"/>
        <v>51112.72</v>
      </c>
      <c r="BG37">
        <f t="shared" si="17"/>
        <v>601</v>
      </c>
      <c r="BH37" t="e">
        <f t="shared" si="18"/>
        <v>#DIV/0!</v>
      </c>
      <c r="BI37">
        <f>'Expense Comps.'!O215*'Expense Comps.'!$J$215</f>
        <v>0</v>
      </c>
      <c r="BJ37">
        <f>ROUND(IF(BI37&gt;0,BI37/'Expense Comps.'!$J$215,0),0)</f>
        <v>0</v>
      </c>
      <c r="BK37">
        <f t="shared" si="18"/>
        <v>0</v>
      </c>
    </row>
    <row r="38" ht="15" customHeight="1">
      <c r="B38" t="s">
        <v>1930</v>
      </c>
      <c r="C38" t="s">
        <v>2454</v>
      </c>
      <c r="D38">
        <f>'Fannie Historical Ops'!D60</f>
        <v>0</v>
      </c>
      <c r="E38">
        <f t="shared" si="17"/>
        <v>0</v>
      </c>
      <c r="F38">
        <f t="shared" si="18"/>
        <v>0</v>
      </c>
      <c r="G38">
        <f>'Fannie Historical Ops'!F60</f>
        <v>0</v>
      </c>
      <c r="H38">
        <f t="shared" si="17"/>
        <v>0</v>
      </c>
      <c r="I38">
        <f t="shared" si="18"/>
        <v>0</v>
      </c>
      <c r="J38">
        <f>'Fannie Historical Ops'!H60</f>
        <v>0</v>
      </c>
      <c r="K38">
        <f t="shared" si="17"/>
        <v>0</v>
      </c>
      <c r="L38">
        <f t="shared" si="18"/>
        <v>0</v>
      </c>
      <c r="M38">
        <f>'Fannie Historical Ops'!J60</f>
        <v>18386</v>
      </c>
      <c r="N38">
        <f>'Fannie Historical Ops'!K60</f>
        <v>17412</v>
      </c>
      <c r="O38">
        <f>'Fannie Historical Ops'!L60</f>
        <v>20241.6</v>
      </c>
      <c r="P38">
        <f>'Fannie Historical Ops'!M60</f>
        <v>21221.333333333332</v>
      </c>
      <c r="Q38">
        <f>'Fannie Historical Ops'!N60</f>
        <v>19116</v>
      </c>
      <c r="R38">
        <f>'Fannie Historical Ops'!O60</f>
        <v>17972.571428571428</v>
      </c>
      <c r="S38">
        <f>'Fannie Historical Ops'!P60</f>
        <v>21448</v>
      </c>
      <c r="T38">
        <f>'Fannie Historical Ops'!Q60</f>
        <v>8515.2</v>
      </c>
      <c r="U38">
        <f>'Fannie Historical Ops'!R60</f>
        <v>2919</v>
      </c>
      <c r="V38">
        <f>'Fannie Historical Ops'!S60</f>
        <v>3892</v>
      </c>
      <c r="W38">
        <f>'Fannie Historical Ops'!T60</f>
        <v>8322</v>
      </c>
      <c r="X38">
        <f>'Fannie Historical Ops'!U60</f>
        <v>0</v>
      </c>
      <c r="Y38">
        <f>'Fannie Historical Ops'!W60</f>
        <v>18386</v>
      </c>
      <c r="Z38">
        <f t="shared" si="17"/>
        <v>216</v>
      </c>
      <c r="AA38" t="e">
        <f t="shared" si="18"/>
        <v>#DIV/0!</v>
      </c>
      <c r="AB38">
        <f>'Fannie Historical Ops'!Y60</f>
        <v>0</v>
      </c>
      <c r="AC38">
        <f t="shared" si="17"/>
        <v>0</v>
      </c>
      <c r="AD38">
        <f t="shared" si="18"/>
        <v>0</v>
      </c>
      <c r="AE38">
        <f>'Fannie Historical Ops'!AA60</f>
        <v>0</v>
      </c>
      <c r="AF38">
        <f t="shared" si="17"/>
        <v>0</v>
      </c>
      <c r="AG38">
        <f t="shared" si="18"/>
        <v>0</v>
      </c>
      <c r="AH38">
        <f>'Fannie Historical Ops'!AC60</f>
        <v>0</v>
      </c>
      <c r="AI38">
        <f t="shared" si="17"/>
        <v>0</v>
      </c>
      <c r="AJ38">
        <f t="shared" si="18"/>
        <v>0</v>
      </c>
      <c r="AK38">
        <f>'Fannie Historical Ops'!AE60</f>
        <v>0</v>
      </c>
      <c r="AL38">
        <f t="shared" si="17"/>
        <v>0</v>
      </c>
      <c r="AM38">
        <f t="shared" si="18"/>
        <v>0</v>
      </c>
      <c r="AN38">
        <f>'Fannie Historical Ops'!AG60</f>
        <v>0</v>
      </c>
      <c r="AO38">
        <f t="shared" si="17"/>
        <v>0</v>
      </c>
      <c r="AP38">
        <f t="shared" si="18"/>
        <v>0</v>
      </c>
      <c r="AQ38">
        <f>'Fannie Historical Ops'!AI60</f>
        <v>0</v>
      </c>
      <c r="AR38">
        <f t="shared" si="17"/>
        <v>0</v>
      </c>
      <c r="AS38">
        <f t="shared" si="18"/>
        <v>0</v>
      </c>
      <c r="AU38">
        <f>ROUND('Fannie Historical Ops'!AK60,2)</f>
        <v>18937.58</v>
      </c>
      <c r="AV38">
        <f t="shared" si="17"/>
        <v>223</v>
      </c>
      <c r="AW38" t="e">
        <f t="shared" si="18"/>
        <v>#DIV/0!</v>
      </c>
      <c r="AY38">
        <f>'Fannie Historical Ops'!AM60</f>
        <v>0</v>
      </c>
      <c r="AZ38">
        <f t="shared" si="17"/>
        <v>0</v>
      </c>
      <c r="BA38">
        <f t="shared" si="18"/>
        <v>0</v>
      </c>
      <c r="BC38">
        <f t="shared" si="5"/>
        <v>0</v>
      </c>
      <c r="BD38">
        <f t="shared" si="17"/>
        <v>0</v>
      </c>
      <c r="BE38">
        <f t="shared" si="18"/>
        <v>0</v>
      </c>
      <c r="BF38">
        <f t="shared" si="6"/>
        <v>18937.58</v>
      </c>
      <c r="BG38">
        <f t="shared" si="17"/>
        <v>223</v>
      </c>
      <c r="BH38" t="e">
        <f t="shared" si="18"/>
        <v>#DIV/0!</v>
      </c>
      <c r="BI38">
        <f>'Expense Comps.'!P215*'Expense Comps.'!$J$215</f>
        <v>0</v>
      </c>
      <c r="BJ38">
        <f>ROUND(IF(BI38&gt;0,BI38/'Expense Comps.'!$J$215,0),0)</f>
        <v>0</v>
      </c>
      <c r="BK38">
        <f t="shared" si="18"/>
        <v>0</v>
      </c>
    </row>
    <row r="39" ht="15" customHeight="1" hidden="1">
      <c r="B39" t="str">
        <f>'Fannie Historical Ops'!B61</f>
        <v>Meals Expense (Seniors Only)</v>
      </c>
      <c r="C39" t="str">
        <f>IF('SBL Quotes'!$AN$32="Seniors","(27)","(26)")</f>
        <v>(26)</v>
      </c>
      <c r="D39">
        <f>'Fannie Historical Ops'!D61</f>
        <v>0</v>
      </c>
      <c r="E39">
        <f t="shared" si="17"/>
        <v>0</v>
      </c>
      <c r="F39">
        <f t="shared" si="18"/>
        <v>0</v>
      </c>
      <c r="G39">
        <f>'Fannie Historical Ops'!F61</f>
        <v>0</v>
      </c>
      <c r="H39">
        <f t="shared" si="17"/>
        <v>0</v>
      </c>
      <c r="I39">
        <f t="shared" si="18"/>
        <v>0</v>
      </c>
      <c r="J39">
        <f>'Fannie Historical Ops'!H61</f>
        <v>0</v>
      </c>
      <c r="K39">
        <f t="shared" si="17"/>
        <v>0</v>
      </c>
      <c r="L39">
        <f t="shared" si="18"/>
        <v>0</v>
      </c>
      <c r="M39">
        <f>'Fannie Historical Ops'!J61</f>
        <v>0</v>
      </c>
      <c r="N39">
        <f>'Fannie Historical Ops'!K61</f>
        <v>0</v>
      </c>
      <c r="O39">
        <f>'Fannie Historical Ops'!L61</f>
        <v>0</v>
      </c>
      <c r="P39">
        <f>'Fannie Historical Ops'!M61</f>
        <v>0</v>
      </c>
      <c r="Q39">
        <f>'Fannie Historical Ops'!N61</f>
        <v>0</v>
      </c>
      <c r="R39">
        <f>'Fannie Historical Ops'!O61</f>
        <v>0</v>
      </c>
      <c r="S39">
        <f>'Fannie Historical Ops'!P61</f>
        <v>0</v>
      </c>
      <c r="T39">
        <f>'Fannie Historical Ops'!Q61</f>
        <v>0</v>
      </c>
      <c r="U39">
        <f>'Fannie Historical Ops'!R61</f>
        <v>0</v>
      </c>
      <c r="V39">
        <f>'Fannie Historical Ops'!S61</f>
        <v>0</v>
      </c>
      <c r="W39">
        <f>'Fannie Historical Ops'!T61</f>
        <v>0</v>
      </c>
      <c r="X39">
        <f>'Fannie Historical Ops'!U61</f>
        <v>0</v>
      </c>
      <c r="Y39">
        <f>'Fannie Historical Ops'!W61</f>
        <v>0</v>
      </c>
      <c r="Z39">
        <f t="shared" si="17"/>
        <v>0</v>
      </c>
      <c r="AA39">
        <f t="shared" si="18"/>
        <v>0</v>
      </c>
      <c r="AB39">
        <f>'Fannie Historical Ops'!Y61</f>
        <v>0</v>
      </c>
      <c r="AC39">
        <f t="shared" si="17"/>
        <v>0</v>
      </c>
      <c r="AD39">
        <f t="shared" si="18"/>
        <v>0</v>
      </c>
      <c r="AE39">
        <f>'Fannie Historical Ops'!AA61</f>
        <v>0</v>
      </c>
      <c r="AF39">
        <f t="shared" si="17"/>
        <v>0</v>
      </c>
      <c r="AG39">
        <f t="shared" si="18"/>
        <v>0</v>
      </c>
      <c r="AH39">
        <f>'Fannie Historical Ops'!AC61</f>
        <v>0</v>
      </c>
      <c r="AI39">
        <f t="shared" si="17"/>
        <v>0</v>
      </c>
      <c r="AJ39">
        <f t="shared" si="18"/>
        <v>0</v>
      </c>
      <c r="AK39">
        <f>'Fannie Historical Ops'!AE61</f>
        <v>0</v>
      </c>
      <c r="AL39">
        <f t="shared" si="17"/>
        <v>0</v>
      </c>
      <c r="AM39">
        <f t="shared" si="18"/>
        <v>0</v>
      </c>
      <c r="AN39">
        <f>'Fannie Historical Ops'!AG61</f>
        <v>0</v>
      </c>
      <c r="AO39">
        <f t="shared" si="17"/>
        <v>0</v>
      </c>
      <c r="AP39">
        <f t="shared" si="18"/>
        <v>0</v>
      </c>
      <c r="AQ39">
        <f>'Fannie Historical Ops'!AI61</f>
        <v>0</v>
      </c>
      <c r="AR39">
        <f t="shared" si="17"/>
        <v>0</v>
      </c>
      <c r="AS39">
        <f t="shared" si="18"/>
        <v>0</v>
      </c>
      <c r="AU39">
        <f>'Fannie Historical Ops'!AK61</f>
        <v>0</v>
      </c>
      <c r="AV39">
        <f t="shared" si="17"/>
        <v>0</v>
      </c>
      <c r="AW39">
        <f t="shared" si="18"/>
        <v>0</v>
      </c>
      <c r="AY39">
        <f>'Fannie Historical Ops'!AM61</f>
        <v>0</v>
      </c>
      <c r="AZ39">
        <f t="shared" si="17"/>
        <v>0</v>
      </c>
      <c r="BA39">
        <f t="shared" si="18"/>
        <v>0</v>
      </c>
      <c r="BC39">
        <f t="shared" si="5"/>
        <v>0</v>
      </c>
      <c r="BD39">
        <f t="shared" si="17"/>
        <v>0</v>
      </c>
      <c r="BE39">
        <f t="shared" si="18"/>
        <v>0</v>
      </c>
      <c r="BF39">
        <f t="shared" si="6"/>
        <v>0</v>
      </c>
      <c r="BG39">
        <f t="shared" si="17"/>
        <v>0</v>
      </c>
      <c r="BH39">
        <f t="shared" si="18"/>
        <v>0</v>
      </c>
      <c r="BJ39">
        <f>ROUND(IF(BI39&gt;0,BI39/'Expense Comps.'!$J$215,0),0)</f>
        <v>0</v>
      </c>
      <c r="BK39">
        <f t="shared" si="18"/>
        <v>0</v>
      </c>
    </row>
    <row r="40" ht="15" customHeight="1" hidden="1">
      <c r="B40" t="str">
        <f>'Fannie Historical Ops'!B62</f>
        <v>Room Expense - House Keeping (Seniors Only)</v>
      </c>
      <c r="C40" t="str">
        <f>IF('SBL Quotes'!$AN$32="Seniors","(28)","(26)")</f>
        <v>(26)</v>
      </c>
      <c r="D40">
        <f>'Fannie Historical Ops'!D62</f>
        <v>0</v>
      </c>
      <c r="E40">
        <f t="shared" si="17"/>
        <v>0</v>
      </c>
      <c r="F40">
        <f t="shared" si="18"/>
        <v>0</v>
      </c>
      <c r="G40">
        <f>'Fannie Historical Ops'!F62</f>
        <v>0</v>
      </c>
      <c r="H40">
        <f t="shared" si="17"/>
        <v>0</v>
      </c>
      <c r="I40">
        <f t="shared" si="18"/>
        <v>0</v>
      </c>
      <c r="J40">
        <f>'Fannie Historical Ops'!H62</f>
        <v>0</v>
      </c>
      <c r="K40">
        <f t="shared" si="17"/>
        <v>0</v>
      </c>
      <c r="L40">
        <f t="shared" si="18"/>
        <v>0</v>
      </c>
      <c r="M40">
        <f>'Fannie Historical Ops'!J62</f>
        <v>0</v>
      </c>
      <c r="N40">
        <f>'Fannie Historical Ops'!K62</f>
        <v>0</v>
      </c>
      <c r="O40">
        <f>'Fannie Historical Ops'!L62</f>
        <v>0</v>
      </c>
      <c r="P40">
        <f>'Fannie Historical Ops'!M62</f>
        <v>0</v>
      </c>
      <c r="Q40">
        <f>'Fannie Historical Ops'!N62</f>
        <v>0</v>
      </c>
      <c r="R40">
        <f>'Fannie Historical Ops'!O62</f>
        <v>0</v>
      </c>
      <c r="S40">
        <f>'Fannie Historical Ops'!P62</f>
        <v>0</v>
      </c>
      <c r="T40">
        <f>'Fannie Historical Ops'!Q62</f>
        <v>0</v>
      </c>
      <c r="U40">
        <f>'Fannie Historical Ops'!R62</f>
        <v>0</v>
      </c>
      <c r="V40">
        <f>'Fannie Historical Ops'!S62</f>
        <v>0</v>
      </c>
      <c r="W40">
        <f>'Fannie Historical Ops'!T62</f>
        <v>0</v>
      </c>
      <c r="X40">
        <f>'Fannie Historical Ops'!U62</f>
        <v>0</v>
      </c>
      <c r="Y40">
        <f>'Fannie Historical Ops'!W62</f>
        <v>0</v>
      </c>
      <c r="Z40">
        <f t="shared" si="17"/>
        <v>0</v>
      </c>
      <c r="AA40">
        <f t="shared" si="18"/>
        <v>0</v>
      </c>
      <c r="AB40">
        <f>'Fannie Historical Ops'!Y62</f>
        <v>0</v>
      </c>
      <c r="AC40">
        <f t="shared" si="17"/>
        <v>0</v>
      </c>
      <c r="AD40">
        <f t="shared" si="18"/>
        <v>0</v>
      </c>
      <c r="AE40">
        <f>'Fannie Historical Ops'!AA62</f>
        <v>0</v>
      </c>
      <c r="AF40">
        <f t="shared" si="17"/>
        <v>0</v>
      </c>
      <c r="AG40">
        <f t="shared" si="18"/>
        <v>0</v>
      </c>
      <c r="AH40">
        <f>'Fannie Historical Ops'!AC62</f>
        <v>0</v>
      </c>
      <c r="AI40">
        <f t="shared" si="17"/>
        <v>0</v>
      </c>
      <c r="AJ40">
        <f t="shared" si="18"/>
        <v>0</v>
      </c>
      <c r="AK40">
        <f>'Fannie Historical Ops'!AE62</f>
        <v>0</v>
      </c>
      <c r="AL40">
        <f t="shared" si="17"/>
        <v>0</v>
      </c>
      <c r="AM40">
        <f t="shared" si="18"/>
        <v>0</v>
      </c>
      <c r="AN40">
        <f>'Fannie Historical Ops'!AG62</f>
        <v>0</v>
      </c>
      <c r="AO40">
        <f t="shared" si="17"/>
        <v>0</v>
      </c>
      <c r="AP40">
        <f t="shared" si="18"/>
        <v>0</v>
      </c>
      <c r="AQ40">
        <f>'Fannie Historical Ops'!AI62</f>
        <v>0</v>
      </c>
      <c r="AR40">
        <f t="shared" si="17"/>
        <v>0</v>
      </c>
      <c r="AS40">
        <f t="shared" si="18"/>
        <v>0</v>
      </c>
      <c r="AU40">
        <f>'Fannie Historical Ops'!AK62</f>
        <v>0</v>
      </c>
      <c r="AV40">
        <f t="shared" si="17"/>
        <v>0</v>
      </c>
      <c r="AW40">
        <f t="shared" si="18"/>
        <v>0</v>
      </c>
      <c r="AY40">
        <f>'Fannie Historical Ops'!AM62</f>
        <v>0</v>
      </c>
      <c r="AZ40">
        <f t="shared" si="17"/>
        <v>0</v>
      </c>
      <c r="BA40">
        <f t="shared" si="18"/>
        <v>0</v>
      </c>
      <c r="BC40">
        <f t="shared" si="5"/>
        <v>0</v>
      </c>
      <c r="BD40">
        <f t="shared" si="17"/>
        <v>0</v>
      </c>
      <c r="BE40">
        <f t="shared" si="18"/>
        <v>0</v>
      </c>
      <c r="BF40">
        <f t="shared" si="6"/>
        <v>0</v>
      </c>
      <c r="BG40">
        <f t="shared" si="17"/>
        <v>0</v>
      </c>
      <c r="BH40">
        <f t="shared" si="18"/>
        <v>0</v>
      </c>
      <c r="BJ40">
        <f>ROUND(IF(BI40&gt;0,BI40/'Expense Comps.'!$J$215,0),0)</f>
        <v>0</v>
      </c>
      <c r="BK40">
        <f t="shared" si="18"/>
        <v>0</v>
      </c>
    </row>
    <row r="41" ht="15" customHeight="1">
      <c r="B41" t="s">
        <v>2455</v>
      </c>
      <c r="C41" t="s">
        <v>2456</v>
      </c>
      <c r="D41">
        <f>SUM('Fannie Historical Ops'!D52:D58)</f>
        <v>0</v>
      </c>
      <c r="E41">
        <f t="shared" si="17"/>
        <v>0</v>
      </c>
      <c r="F41">
        <f t="shared" si="18"/>
        <v>0</v>
      </c>
      <c r="G41">
        <f>SUM('Fannie Historical Ops'!F52:F58)</f>
        <v>0</v>
      </c>
      <c r="H41">
        <f t="shared" si="17"/>
        <v>0</v>
      </c>
      <c r="I41">
        <f t="shared" si="18"/>
        <v>0</v>
      </c>
      <c r="J41">
        <f>SUM('Fannie Historical Ops'!H52:H58)</f>
        <v>0</v>
      </c>
      <c r="K41">
        <f t="shared" si="17"/>
        <v>0</v>
      </c>
      <c r="L41">
        <f t="shared" si="18"/>
        <v>0</v>
      </c>
      <c r="M41">
        <f>SUM('Fannie Historical Ops'!J52:J58)</f>
        <v>478149</v>
      </c>
      <c r="N41">
        <f>SUM('Fannie Historical Ops'!K52:K58)</f>
        <v>489094.90909090906</v>
      </c>
      <c r="O41">
        <f>SUM('Fannie Historical Ops'!L52:L58)</f>
        <v>492806.4</v>
      </c>
      <c r="P41">
        <f>SUM('Fannie Historical Ops'!M52:M58)</f>
        <v>476314.6666666667</v>
      </c>
      <c r="Q41">
        <f>SUM('Fannie Historical Ops'!N52:N58)</f>
        <v>480934.5</v>
      </c>
      <c r="R41">
        <f>SUM('Fannie Historical Ops'!O52:O58)</f>
        <v>476046.85714285716</v>
      </c>
      <c r="S41">
        <f>SUM('Fannie Historical Ops'!P52:P58)</f>
        <v>482330</v>
      </c>
      <c r="T41">
        <f>SUM('Fannie Historical Ops'!Q52:Q58)</f>
        <v>496488</v>
      </c>
      <c r="U41">
        <f>SUM('Fannie Historical Ops'!R52:R58)</f>
        <v>499473</v>
      </c>
      <c r="V41">
        <f>SUM('Fannie Historical Ops'!S52:S58)</f>
        <v>523276</v>
      </c>
      <c r="W41">
        <f>SUM('Fannie Historical Ops'!T52:T58)</f>
        <v>468510</v>
      </c>
      <c r="X41">
        <f>SUM('Fannie Historical Ops'!U52:U58)</f>
        <v>421428</v>
      </c>
      <c r="Y41">
        <f>SUM('Fannie Historical Ops'!W52:W58)</f>
        <v>478149</v>
      </c>
      <c r="Z41">
        <f t="shared" si="17"/>
        <v>5625</v>
      </c>
      <c r="AA41" t="e">
        <f t="shared" si="18"/>
        <v>#DIV/0!</v>
      </c>
      <c r="AB41">
        <f>SUM('Fannie Historical Ops'!Y52:Y58)</f>
        <v>0</v>
      </c>
      <c r="AC41">
        <f t="shared" si="17"/>
        <v>0</v>
      </c>
      <c r="AD41">
        <f t="shared" si="18"/>
        <v>0</v>
      </c>
      <c r="AE41">
        <f>SUM('Fannie Historical Ops'!AA52:AA58)</f>
        <v>0</v>
      </c>
      <c r="AF41">
        <f t="shared" si="17"/>
        <v>0</v>
      </c>
      <c r="AG41">
        <f t="shared" si="18"/>
        <v>0</v>
      </c>
      <c r="AH41">
        <f>SUM('Fannie Historical Ops'!AC52:AC58)</f>
        <v>0</v>
      </c>
      <c r="AI41">
        <f t="shared" si="17"/>
        <v>0</v>
      </c>
      <c r="AJ41">
        <f t="shared" si="18"/>
        <v>0</v>
      </c>
      <c r="AK41">
        <f>SUM('Fannie Historical Ops'!AE52:AE58)</f>
        <v>0</v>
      </c>
      <c r="AL41">
        <f t="shared" si="17"/>
        <v>0</v>
      </c>
      <c r="AM41">
        <f t="shared" si="18"/>
        <v>0</v>
      </c>
      <c r="AN41">
        <f>SUM('Fannie Historical Ops'!AG52:AG58)</f>
        <v>0</v>
      </c>
      <c r="AO41">
        <f t="shared" si="17"/>
        <v>0</v>
      </c>
      <c r="AP41">
        <f t="shared" si="18"/>
        <v>0</v>
      </c>
      <c r="AQ41">
        <f>SUM('Fannie Historical Ops'!AI52:AI58)</f>
        <v>0</v>
      </c>
      <c r="AR41">
        <f t="shared" si="17"/>
        <v>0</v>
      </c>
      <c r="AS41">
        <f t="shared" si="18"/>
        <v>0</v>
      </c>
      <c r="AU41">
        <f>ROUND(SUM('Fannie Historical Ops'!AK52:AK58),2)</f>
        <v>492493.47</v>
      </c>
      <c r="AV41">
        <f t="shared" si="17"/>
        <v>5794</v>
      </c>
      <c r="AW41" t="e">
        <f t="shared" si="18"/>
        <v>#DIV/0!</v>
      </c>
      <c r="AY41">
        <f>SUM('Fannie Historical Ops'!AM52:AM58)</f>
        <v>0</v>
      </c>
      <c r="AZ41">
        <f t="shared" si="17"/>
        <v>0</v>
      </c>
      <c r="BA41">
        <f t="shared" si="18"/>
        <v>0</v>
      </c>
      <c r="BC41">
        <f t="shared" si="5"/>
        <v>0</v>
      </c>
      <c r="BD41">
        <f t="shared" si="17"/>
        <v>0</v>
      </c>
      <c r="BE41">
        <f t="shared" si="18"/>
        <v>0</v>
      </c>
      <c r="BF41">
        <f t="shared" si="6"/>
        <v>492493.47000000003</v>
      </c>
      <c r="BG41">
        <f t="shared" si="17"/>
        <v>5794</v>
      </c>
      <c r="BH41" t="e">
        <f t="shared" si="18"/>
        <v>#DIV/0!</v>
      </c>
      <c r="BI41">
        <f>'Expense Comps.'!R215*'Expense Comps.'!$J$215</f>
        <v>0</v>
      </c>
      <c r="BJ41">
        <f>ROUND(IF(BI41&gt;0,BI41/'Expense Comps.'!$J$215,0),0)</f>
        <v>0</v>
      </c>
      <c r="BK41">
        <f t="shared" si="18"/>
        <v>0</v>
      </c>
    </row>
    <row r="42" ht="15" customHeight="1">
      <c r="B42" t="s">
        <v>1417</v>
      </c>
      <c r="C42" t="s">
        <v>2457</v>
      </c>
      <c r="D42">
        <f>SUM('Fannie Historical Ops'!D40:D42)</f>
        <v>0</v>
      </c>
      <c r="E42">
        <f t="shared" si="17"/>
        <v>0</v>
      </c>
      <c r="F42">
        <f t="shared" si="18"/>
        <v>0</v>
      </c>
      <c r="G42">
        <f>SUM('Fannie Historical Ops'!F40:F42)</f>
        <v>0</v>
      </c>
      <c r="H42">
        <f t="shared" si="17"/>
        <v>0</v>
      </c>
      <c r="I42">
        <f t="shared" si="18"/>
        <v>0</v>
      </c>
      <c r="J42">
        <f>SUM('Fannie Historical Ops'!H40:H42)</f>
        <v>0</v>
      </c>
      <c r="K42">
        <f t="shared" si="17"/>
        <v>0</v>
      </c>
      <c r="L42">
        <f t="shared" si="18"/>
        <v>0</v>
      </c>
      <c r="M42">
        <f>SUM('Fannie Historical Ops'!J40:J42)</f>
        <v>177759</v>
      </c>
      <c r="N42">
        <f>SUM('Fannie Historical Ops'!K40:K42)</f>
        <v>187993.0909090909</v>
      </c>
      <c r="O42">
        <f>SUM('Fannie Historical Ops'!L40:L42)</f>
        <v>192535.19999999998</v>
      </c>
      <c r="P42">
        <f>SUM('Fannie Historical Ops'!M40:M42)</f>
        <v>187288</v>
      </c>
      <c r="Q42">
        <f>SUM('Fannie Historical Ops'!N40:N42)</f>
        <v>179734.5</v>
      </c>
      <c r="R42">
        <f>SUM('Fannie Historical Ops'!O40:O42)</f>
        <v>170254.2857142857</v>
      </c>
      <c r="S42">
        <f>SUM('Fannie Historical Ops'!P40:P42)</f>
        <v>159246</v>
      </c>
      <c r="T42">
        <f>SUM('Fannie Historical Ops'!Q40:Q42)</f>
        <v>153208.80000000002</v>
      </c>
      <c r="U42">
        <f>SUM('Fannie Historical Ops'!R40:R42)</f>
        <v>187770</v>
      </c>
      <c r="V42">
        <f>SUM('Fannie Historical Ops'!S40:S42)</f>
        <v>147884</v>
      </c>
      <c r="W42">
        <f>SUM('Fannie Historical Ops'!T40:T42)</f>
        <v>143526</v>
      </c>
      <c r="X42">
        <f>SUM('Fannie Historical Ops'!U40:U42)</f>
        <v>243312</v>
      </c>
      <c r="Y42">
        <f>SUM('Fannie Historical Ops'!W40:W42)</f>
        <v>177759</v>
      </c>
      <c r="Z42">
        <f t="shared" si="17"/>
        <v>2091</v>
      </c>
      <c r="AA42" t="e">
        <f t="shared" si="18"/>
        <v>#DIV/0!</v>
      </c>
      <c r="AB42">
        <f>SUM('Fannie Historical Ops'!Y40:Y42)</f>
        <v>0</v>
      </c>
      <c r="AC42">
        <f t="shared" si="17"/>
        <v>0</v>
      </c>
      <c r="AD42">
        <f t="shared" si="18"/>
        <v>0</v>
      </c>
      <c r="AE42">
        <f>SUM('Fannie Historical Ops'!AA40:AA42)</f>
        <v>0</v>
      </c>
      <c r="AF42">
        <f t="shared" si="17"/>
        <v>0</v>
      </c>
      <c r="AG42">
        <f t="shared" si="18"/>
        <v>0</v>
      </c>
      <c r="AH42">
        <f>SUM('Fannie Historical Ops'!AC40:AC42)</f>
        <v>0</v>
      </c>
      <c r="AI42">
        <f t="shared" si="17"/>
        <v>0</v>
      </c>
      <c r="AJ42">
        <f t="shared" si="18"/>
        <v>0</v>
      </c>
      <c r="AK42">
        <f>SUM('Fannie Historical Ops'!AE40:AE42)</f>
        <v>0</v>
      </c>
      <c r="AL42">
        <f t="shared" si="17"/>
        <v>0</v>
      </c>
      <c r="AM42">
        <f t="shared" si="18"/>
        <v>0</v>
      </c>
      <c r="AN42">
        <f>SUM('Fannie Historical Ops'!AG40:AG42)</f>
        <v>0</v>
      </c>
      <c r="AO42">
        <f t="shared" si="17"/>
        <v>0</v>
      </c>
      <c r="AP42">
        <f t="shared" si="18"/>
        <v>0</v>
      </c>
      <c r="AQ42">
        <f>SUM('Fannie Historical Ops'!AI40:AI42)</f>
        <v>0</v>
      </c>
      <c r="AR42">
        <f t="shared" si="17"/>
        <v>0</v>
      </c>
      <c r="AS42">
        <f t="shared" si="18"/>
        <v>0</v>
      </c>
      <c r="AU42">
        <f>ROUND(SUM('Fannie Historical Ops'!AK40:AK42),2)</f>
        <v>183091.77</v>
      </c>
      <c r="AV42">
        <f t="shared" si="17"/>
        <v>2154</v>
      </c>
      <c r="AW42" t="e">
        <f t="shared" si="18"/>
        <v>#DIV/0!</v>
      </c>
      <c r="AY42">
        <f>SUM('Fannie Historical Ops'!AM40:AM42)</f>
        <v>0</v>
      </c>
      <c r="AZ42">
        <f t="shared" si="17"/>
        <v>0</v>
      </c>
      <c r="BA42">
        <f t="shared" si="18"/>
        <v>0</v>
      </c>
      <c r="BC42">
        <f t="shared" si="5"/>
        <v>0</v>
      </c>
      <c r="BD42">
        <f t="shared" si="17"/>
        <v>0</v>
      </c>
      <c r="BE42">
        <f t="shared" si="18"/>
        <v>0</v>
      </c>
      <c r="BF42">
        <f t="shared" si="6"/>
        <v>183091.77000000002</v>
      </c>
      <c r="BG42">
        <f t="shared" si="17"/>
        <v>2154</v>
      </c>
      <c r="BH42" t="e">
        <f t="shared" si="18"/>
        <v>#DIV/0!</v>
      </c>
      <c r="BI42">
        <f>'Expense Comps.'!S215*'Expense Comps.'!$J$215</f>
        <v>0</v>
      </c>
      <c r="BJ42">
        <f>ROUND(IF(BI42&gt;0,BI42/'Expense Comps.'!$J$215,0),0)</f>
        <v>0</v>
      </c>
      <c r="BK42">
        <f t="shared" si="18"/>
        <v>0</v>
      </c>
    </row>
    <row r="43" ht="15" customHeight="1">
      <c r="B43" t="s">
        <v>1419</v>
      </c>
      <c r="C43" t="s">
        <v>2442</v>
      </c>
      <c r="D43">
        <f>'Fannie Historical Ops'!D43</f>
        <v>0</v>
      </c>
      <c r="E43">
        <f t="shared" si="17"/>
        <v>0</v>
      </c>
      <c r="F43">
        <f t="shared" si="18"/>
        <v>0</v>
      </c>
      <c r="G43">
        <f>'Fannie Historical Ops'!F43</f>
        <v>0</v>
      </c>
      <c r="H43">
        <f t="shared" si="17"/>
        <v>0</v>
      </c>
      <c r="I43">
        <f t="shared" si="18"/>
        <v>0</v>
      </c>
      <c r="J43">
        <f>'Fannie Historical Ops'!H43</f>
        <v>0</v>
      </c>
      <c r="K43">
        <f t="shared" si="17"/>
        <v>0</v>
      </c>
      <c r="L43">
        <f t="shared" si="18"/>
        <v>0</v>
      </c>
      <c r="M43">
        <f>'Fannie Historical Ops'!J43</f>
        <v>114174</v>
      </c>
      <c r="N43">
        <f>'Fannie Historical Ops'!K43</f>
        <v>114571.63636363637</v>
      </c>
      <c r="O43">
        <f>'Fannie Historical Ops'!L43</f>
        <v>115201.20000000001</v>
      </c>
      <c r="P43">
        <f>'Fannie Historical Ops'!M43</f>
        <v>104226.66666666666</v>
      </c>
      <c r="Q43">
        <f>'Fannie Historical Ops'!N43</f>
        <v>116680.5</v>
      </c>
      <c r="R43">
        <f>'Fannie Historical Ops'!O43</f>
        <v>113477.14285714284</v>
      </c>
      <c r="S43">
        <f>'Fannie Historical Ops'!P43</f>
        <v>106140</v>
      </c>
      <c r="T43">
        <f>'Fannie Historical Ops'!Q43</f>
        <v>120554.40000000001</v>
      </c>
      <c r="U43">
        <f>'Fannie Historical Ops'!R43</f>
        <v>124221</v>
      </c>
      <c r="V43">
        <f>'Fannie Historical Ops'!S43</f>
        <v>132396</v>
      </c>
      <c r="W43">
        <f>'Fannie Historical Ops'!T43</f>
        <v>131922</v>
      </c>
      <c r="X43">
        <f>'Fannie Historical Ops'!U43</f>
        <v>113544</v>
      </c>
      <c r="Y43">
        <f>'Fannie Historical Ops'!W43</f>
        <v>114174</v>
      </c>
      <c r="Z43">
        <f t="shared" si="17"/>
        <v>1343</v>
      </c>
      <c r="AA43" t="e">
        <f t="shared" si="18"/>
        <v>#DIV/0!</v>
      </c>
      <c r="AB43">
        <f>'Fannie Historical Ops'!Y43</f>
        <v>0</v>
      </c>
      <c r="AC43">
        <f t="shared" si="17"/>
        <v>0</v>
      </c>
      <c r="AD43">
        <f t="shared" si="18"/>
        <v>0</v>
      </c>
      <c r="AE43">
        <f>'Fannie Historical Ops'!AA43</f>
        <v>0</v>
      </c>
      <c r="AF43">
        <f t="shared" si="17"/>
        <v>0</v>
      </c>
      <c r="AG43">
        <f t="shared" si="18"/>
        <v>0</v>
      </c>
      <c r="AH43">
        <f>'Fannie Historical Ops'!AC43</f>
        <v>0</v>
      </c>
      <c r="AI43">
        <f t="shared" si="17"/>
        <v>0</v>
      </c>
      <c r="AJ43">
        <f t="shared" si="18"/>
        <v>0</v>
      </c>
      <c r="AK43">
        <f>'Fannie Historical Ops'!AE43</f>
        <v>0</v>
      </c>
      <c r="AL43">
        <f t="shared" si="17"/>
        <v>0</v>
      </c>
      <c r="AM43">
        <f t="shared" si="18"/>
        <v>0</v>
      </c>
      <c r="AN43">
        <f>'Fannie Historical Ops'!AG43</f>
        <v>0</v>
      </c>
      <c r="AO43">
        <f t="shared" si="17"/>
        <v>0</v>
      </c>
      <c r="AP43">
        <f t="shared" si="18"/>
        <v>0</v>
      </c>
      <c r="AQ43">
        <f>'Fannie Historical Ops'!AI43</f>
        <v>0</v>
      </c>
      <c r="AR43">
        <f t="shared" si="17"/>
        <v>0</v>
      </c>
      <c r="AS43">
        <f t="shared" si="18"/>
        <v>0</v>
      </c>
      <c r="AU43">
        <f>ROUND('Fannie Historical Ops'!AK43,2)</f>
        <v>117599.22</v>
      </c>
      <c r="AV43">
        <f t="shared" si="17"/>
        <v>1384</v>
      </c>
      <c r="AW43" t="e">
        <f t="shared" si="18"/>
        <v>#DIV/0!</v>
      </c>
      <c r="AY43">
        <f>'Fannie Historical Ops'!AM43</f>
        <v>0</v>
      </c>
      <c r="AZ43">
        <f t="shared" si="17"/>
        <v>0</v>
      </c>
      <c r="BA43">
        <f t="shared" si="18"/>
        <v>0</v>
      </c>
      <c r="BC43">
        <f t="shared" si="5"/>
        <v>0</v>
      </c>
      <c r="BD43">
        <f t="shared" si="17"/>
        <v>0</v>
      </c>
      <c r="BE43">
        <f t="shared" si="18"/>
        <v>0</v>
      </c>
      <c r="BF43">
        <f t="shared" si="6"/>
        <v>117599.22</v>
      </c>
      <c r="BG43">
        <f t="shared" si="17"/>
        <v>1384</v>
      </c>
      <c r="BH43" t="e">
        <f t="shared" si="18"/>
        <v>#DIV/0!</v>
      </c>
      <c r="BI43">
        <f>'Expense Comps.'!T215*'Expense Comps.'!$J$215</f>
        <v>0</v>
      </c>
      <c r="BJ43">
        <f>ROUND(IF(BI43&gt;0,BI43/'Expense Comps.'!$J$215,0),0)</f>
        <v>0</v>
      </c>
      <c r="BK43">
        <f t="shared" si="18"/>
        <v>0</v>
      </c>
    </row>
    <row r="44" ht="15" customHeight="1">
      <c r="B44" t="s">
        <v>2458</v>
      </c>
      <c r="C44" t="s">
        <v>2459</v>
      </c>
      <c r="D44">
        <f>SUM('Fannie Historical Ops'!D44:D50)</f>
        <v>0</v>
      </c>
      <c r="E44">
        <f t="shared" si="17"/>
        <v>0</v>
      </c>
      <c r="F44">
        <f t="shared" si="18"/>
        <v>0</v>
      </c>
      <c r="G44">
        <f>SUM('Fannie Historical Ops'!F44:F50)</f>
        <v>0</v>
      </c>
      <c r="H44">
        <f t="shared" si="17"/>
        <v>0</v>
      </c>
      <c r="I44">
        <f t="shared" si="18"/>
        <v>0</v>
      </c>
      <c r="J44">
        <f>SUM('Fannie Historical Ops'!H44:H50)</f>
        <v>0</v>
      </c>
      <c r="K44">
        <f t="shared" si="17"/>
        <v>0</v>
      </c>
      <c r="L44">
        <f t="shared" si="18"/>
        <v>0</v>
      </c>
      <c r="M44">
        <f>SUM('Fannie Historical Ops'!J44:J50)</f>
        <v>384239</v>
      </c>
      <c r="N44">
        <f>SUM('Fannie Historical Ops'!K44:K50)</f>
        <v>393526.90909090906</v>
      </c>
      <c r="O44">
        <f>SUM('Fannie Historical Ops'!L44:L50)</f>
        <v>388375.19999999995</v>
      </c>
      <c r="P44">
        <f>SUM('Fannie Historical Ops'!M44:M50)</f>
        <v>376799.99999999994</v>
      </c>
      <c r="Q44">
        <f>SUM('Fannie Historical Ops'!N44:N50)</f>
        <v>393928.5</v>
      </c>
      <c r="R44">
        <f>SUM('Fannie Historical Ops'!O44:O50)</f>
        <v>395496</v>
      </c>
      <c r="S44">
        <f>SUM('Fannie Historical Ops'!P44:P50)</f>
        <v>373904</v>
      </c>
      <c r="T44">
        <f>SUM('Fannie Historical Ops'!Q44:Q50)</f>
        <v>401954.4</v>
      </c>
      <c r="U44">
        <f>SUM('Fannie Historical Ops'!R44:R50)</f>
        <v>402831</v>
      </c>
      <c r="V44">
        <f>SUM('Fannie Historical Ops'!S44:S50)</f>
        <v>408580</v>
      </c>
      <c r="W44">
        <f>SUM('Fannie Historical Ops'!T44:T50)</f>
        <v>424404</v>
      </c>
      <c r="X44">
        <f>SUM('Fannie Historical Ops'!U44:U50)</f>
        <v>486132</v>
      </c>
      <c r="Y44">
        <f>SUM('Fannie Historical Ops'!W44:W50)</f>
        <v>384239</v>
      </c>
      <c r="Z44">
        <f t="shared" si="17"/>
        <v>4520</v>
      </c>
      <c r="AA44" t="e">
        <f t="shared" si="18"/>
        <v>#DIV/0!</v>
      </c>
      <c r="AB44">
        <f>SUM('Fannie Historical Ops'!Y44:Y50)</f>
        <v>0</v>
      </c>
      <c r="AC44">
        <f t="shared" si="17"/>
        <v>0</v>
      </c>
      <c r="AD44">
        <f t="shared" si="18"/>
        <v>0</v>
      </c>
      <c r="AE44">
        <f>SUM('Fannie Historical Ops'!AA44:AA50)</f>
        <v>0</v>
      </c>
      <c r="AF44">
        <f t="shared" si="17"/>
        <v>0</v>
      </c>
      <c r="AG44">
        <f t="shared" si="18"/>
        <v>0</v>
      </c>
      <c r="AH44">
        <f>SUM('Fannie Historical Ops'!AC44:AC50)</f>
        <v>0</v>
      </c>
      <c r="AI44">
        <f t="shared" si="17"/>
        <v>0</v>
      </c>
      <c r="AJ44">
        <f t="shared" si="18"/>
        <v>0</v>
      </c>
      <c r="AK44">
        <f>SUM('Fannie Historical Ops'!AE44:AE50)</f>
        <v>0</v>
      </c>
      <c r="AL44">
        <f t="shared" si="17"/>
        <v>0</v>
      </c>
      <c r="AM44">
        <f t="shared" si="18"/>
        <v>0</v>
      </c>
      <c r="AN44">
        <f>SUM('Fannie Historical Ops'!AG44:AG50)</f>
        <v>0</v>
      </c>
      <c r="AO44">
        <f t="shared" si="17"/>
        <v>0</v>
      </c>
      <c r="AP44">
        <f t="shared" si="18"/>
        <v>0</v>
      </c>
      <c r="AQ44">
        <f>SUM('Fannie Historical Ops'!AI44:AI50)</f>
        <v>0</v>
      </c>
      <c r="AR44">
        <f t="shared" si="17"/>
        <v>0</v>
      </c>
      <c r="AS44">
        <f t="shared" si="18"/>
        <v>0</v>
      </c>
      <c r="AU44">
        <f>ROUND(SUM('Fannie Historical Ops'!AK44:AK50),2)</f>
        <v>395766.17</v>
      </c>
      <c r="AV44">
        <f t="shared" si="17"/>
        <v>4656</v>
      </c>
      <c r="AW44" t="e">
        <f t="shared" si="18"/>
        <v>#DIV/0!</v>
      </c>
      <c r="AY44">
        <f>SUM('Fannie Historical Ops'!AM44:AM50)</f>
        <v>0</v>
      </c>
      <c r="AZ44">
        <f t="shared" si="17"/>
        <v>0</v>
      </c>
      <c r="BA44">
        <f t="shared" si="18"/>
        <v>0</v>
      </c>
      <c r="BC44">
        <f t="shared" si="5"/>
        <v>0</v>
      </c>
      <c r="BD44">
        <f t="shared" si="17"/>
        <v>0</v>
      </c>
      <c r="BE44">
        <f t="shared" si="18"/>
        <v>0</v>
      </c>
      <c r="BF44">
        <f t="shared" si="6"/>
        <v>395766.17</v>
      </c>
      <c r="BG44">
        <f t="shared" si="17"/>
        <v>4656</v>
      </c>
      <c r="BH44" t="e">
        <f t="shared" si="18"/>
        <v>#DIV/0!</v>
      </c>
      <c r="BI44">
        <f>'Expense Comps.'!U215*'Expense Comps.'!$J$215</f>
        <v>0</v>
      </c>
      <c r="BJ44">
        <f>ROUND(IF(BI44&gt;0,BI44/'Expense Comps.'!$J$215,0),0)</f>
        <v>0</v>
      </c>
      <c r="BK44">
        <f t="shared" si="18"/>
        <v>0</v>
      </c>
    </row>
    <row r="45" ht="15" customHeight="1">
      <c r="B45" t="s">
        <v>1492</v>
      </c>
      <c r="C45" t="s">
        <v>2460</v>
      </c>
      <c r="D45">
        <f>'Fannie Historical Ops'!D35</f>
        <v>0</v>
      </c>
      <c r="E45">
        <f t="shared" si="17"/>
        <v>0</v>
      </c>
      <c r="F45">
        <f t="shared" si="18"/>
        <v>0</v>
      </c>
      <c r="G45">
        <f>'Fannie Historical Ops'!F35</f>
        <v>0</v>
      </c>
      <c r="H45">
        <f t="shared" si="17"/>
        <v>0</v>
      </c>
      <c r="I45">
        <f t="shared" si="18"/>
        <v>0</v>
      </c>
      <c r="J45">
        <f>'Fannie Historical Ops'!H35</f>
        <v>0</v>
      </c>
      <c r="K45">
        <f t="shared" si="17"/>
        <v>0</v>
      </c>
      <c r="L45">
        <f t="shared" si="18"/>
        <v>0</v>
      </c>
      <c r="M45">
        <f>'Fannie Historical Ops'!J35</f>
        <v>243093</v>
      </c>
      <c r="N45">
        <f>'Fannie Historical Ops'!K35</f>
        <v>243326.18181818182</v>
      </c>
      <c r="O45">
        <f>'Fannie Historical Ops'!L35</f>
        <v>244185.59999999998</v>
      </c>
      <c r="P45">
        <f>'Fannie Historical Ops'!M35</f>
        <v>245037.3333333333</v>
      </c>
      <c r="Q45">
        <f>'Fannie Historical Ops'!N35</f>
        <v>243865.5</v>
      </c>
      <c r="R45">
        <f>'Fannie Historical Ops'!O35</f>
        <v>245295.42857142858</v>
      </c>
      <c r="S45">
        <f>'Fannie Historical Ops'!P35</f>
        <v>247212</v>
      </c>
      <c r="T45">
        <f>'Fannie Historical Ops'!Q35</f>
        <v>247120.80000000002</v>
      </c>
      <c r="U45">
        <f>'Fannie Historical Ops'!R35</f>
        <v>246114</v>
      </c>
      <c r="V45">
        <f>'Fannie Historical Ops'!S35</f>
        <v>244320</v>
      </c>
      <c r="W45">
        <f>'Fannie Historical Ops'!T35</f>
        <v>247350</v>
      </c>
      <c r="X45">
        <f>'Fannie Historical Ops'!U35</f>
        <v>238164</v>
      </c>
      <c r="Y45">
        <f>'Fannie Historical Ops'!W35</f>
        <v>243093</v>
      </c>
      <c r="Z45">
        <f t="shared" si="17"/>
        <v>2860</v>
      </c>
      <c r="AA45" t="e">
        <f t="shared" si="18"/>
        <v>#DIV/0!</v>
      </c>
      <c r="AB45">
        <f>'Fannie Historical Ops'!Y35</f>
        <v>0</v>
      </c>
      <c r="AC45">
        <f t="shared" si="17"/>
        <v>0</v>
      </c>
      <c r="AD45">
        <f t="shared" si="18"/>
        <v>0</v>
      </c>
      <c r="AE45">
        <f>'Fannie Historical Ops'!AA35</f>
        <v>0</v>
      </c>
      <c r="AF45">
        <f t="shared" si="17"/>
        <v>0</v>
      </c>
      <c r="AG45">
        <f t="shared" si="18"/>
        <v>0</v>
      </c>
      <c r="AH45">
        <f>'Fannie Historical Ops'!AC35</f>
        <v>0</v>
      </c>
      <c r="AI45">
        <f t="shared" si="17"/>
        <v>0</v>
      </c>
      <c r="AJ45">
        <f t="shared" si="18"/>
        <v>0</v>
      </c>
      <c r="AK45">
        <f>'Fannie Historical Ops'!AE35</f>
        <v>0</v>
      </c>
      <c r="AL45">
        <f t="shared" si="17"/>
        <v>0</v>
      </c>
      <c r="AM45">
        <f t="shared" si="18"/>
        <v>0</v>
      </c>
      <c r="AN45">
        <f>'Fannie Historical Ops'!AG35</f>
        <v>0</v>
      </c>
      <c r="AO45">
        <f t="shared" si="17"/>
        <v>0</v>
      </c>
      <c r="AP45">
        <f t="shared" si="18"/>
        <v>0</v>
      </c>
      <c r="AQ45">
        <f>'Fannie Historical Ops'!AI35</f>
        <v>0</v>
      </c>
      <c r="AR45">
        <f t="shared" si="17"/>
        <v>0</v>
      </c>
      <c r="AS45">
        <f t="shared" si="18"/>
        <v>0</v>
      </c>
      <c r="AU45">
        <f>ROUND('Fannie Historical Ops'!AK35,2)</f>
        <v>250385.79</v>
      </c>
      <c r="AV45">
        <f t="shared" si="17"/>
        <v>2946</v>
      </c>
      <c r="AW45" t="e">
        <f t="shared" si="18"/>
        <v>#DIV/0!</v>
      </c>
      <c r="AY45">
        <f>'Fannie Historical Ops'!AM35</f>
        <v>0</v>
      </c>
      <c r="AZ45">
        <f t="shared" si="17"/>
        <v>0</v>
      </c>
      <c r="BA45">
        <f t="shared" si="18"/>
        <v>0</v>
      </c>
      <c r="BC45">
        <f t="shared" si="5"/>
        <v>0</v>
      </c>
      <c r="BD45">
        <f t="shared" si="17"/>
        <v>0</v>
      </c>
      <c r="BE45">
        <f t="shared" si="18"/>
        <v>0</v>
      </c>
      <c r="BF45">
        <f t="shared" si="6"/>
        <v>250385.79</v>
      </c>
      <c r="BG45">
        <f t="shared" si="17"/>
        <v>2946</v>
      </c>
      <c r="BH45" t="e">
        <f t="shared" si="18"/>
        <v>#DIV/0!</v>
      </c>
      <c r="BI45">
        <f>'Expense Comps.'!V215*'Expense Comps.'!$J$215</f>
        <v>0</v>
      </c>
      <c r="BJ45">
        <f>ROUND(IF(BI45&gt;0,BI45/'Expense Comps.'!$J$215,0),0)</f>
        <v>0</v>
      </c>
      <c r="BK45">
        <f t="shared" si="18"/>
        <v>0</v>
      </c>
    </row>
    <row r="46" ht="15" customHeight="1">
      <c r="B46" t="s">
        <v>1800</v>
      </c>
      <c r="C46" t="s">
        <v>2461</v>
      </c>
      <c r="D46">
        <f>'Fannie Historical Ops'!D33</f>
        <v>0</v>
      </c>
      <c r="E46">
        <f t="shared" si="17"/>
        <v>0</v>
      </c>
      <c r="F46">
        <f t="shared" si="18"/>
        <v>0</v>
      </c>
      <c r="G46">
        <f>'Fannie Historical Ops'!F33</f>
        <v>0</v>
      </c>
      <c r="H46">
        <f t="shared" si="17"/>
        <v>0</v>
      </c>
      <c r="I46">
        <f t="shared" si="18"/>
        <v>0</v>
      </c>
      <c r="J46">
        <f>'Fannie Historical Ops'!H33</f>
        <v>0</v>
      </c>
      <c r="K46">
        <f t="shared" si="17"/>
        <v>0</v>
      </c>
      <c r="L46">
        <f t="shared" si="18"/>
        <v>0</v>
      </c>
      <c r="M46">
        <f>'Fannie Historical Ops'!J33</f>
        <v>1006197</v>
      </c>
      <c r="N46">
        <f>'Fannie Historical Ops'!K33</f>
        <v>1003195.6363636365</v>
      </c>
      <c r="O46">
        <f>'Fannie Historical Ops'!L33</f>
        <v>999962.3999999999</v>
      </c>
      <c r="P46">
        <f>'Fannie Historical Ops'!M33</f>
        <v>994116</v>
      </c>
      <c r="Q46">
        <f>'Fannie Historical Ops'!N33</f>
        <v>991563</v>
      </c>
      <c r="R46">
        <f>'Fannie Historical Ops'!O33</f>
        <v>981183.4285714285</v>
      </c>
      <c r="S46">
        <f>'Fannie Historical Ops'!P33</f>
        <v>981090</v>
      </c>
      <c r="T46">
        <f>'Fannie Historical Ops'!Q33</f>
        <v>971757.6000000001</v>
      </c>
      <c r="U46">
        <f>'Fannie Historical Ops'!R33</f>
        <v>1061562</v>
      </c>
      <c r="V46">
        <f>'Fannie Historical Ops'!S33</f>
        <v>1060564</v>
      </c>
      <c r="W46">
        <f>'Fannie Historical Ops'!T33</f>
        <v>1078668</v>
      </c>
      <c r="X46">
        <f>'Fannie Historical Ops'!U33</f>
        <v>1079340</v>
      </c>
      <c r="Y46">
        <f>'Fannie Historical Ops'!W33</f>
        <v>1006197</v>
      </c>
      <c r="Z46">
        <f t="shared" si="17"/>
        <v>11838</v>
      </c>
      <c r="AA46" t="e">
        <f t="shared" si="18"/>
        <v>#DIV/0!</v>
      </c>
      <c r="AB46">
        <f>'Fannie Historical Ops'!Y33</f>
        <v>0</v>
      </c>
      <c r="AC46">
        <f t="shared" si="17"/>
        <v>0</v>
      </c>
      <c r="AD46">
        <f t="shared" si="18"/>
        <v>0</v>
      </c>
      <c r="AE46">
        <f>'Fannie Historical Ops'!AA33</f>
        <v>0</v>
      </c>
      <c r="AF46">
        <f t="shared" si="17"/>
        <v>0</v>
      </c>
      <c r="AG46">
        <f t="shared" si="18"/>
        <v>0</v>
      </c>
      <c r="AH46">
        <f>'Fannie Historical Ops'!AC33</f>
        <v>0</v>
      </c>
      <c r="AI46">
        <f t="shared" si="17"/>
        <v>0</v>
      </c>
      <c r="AJ46">
        <f t="shared" si="18"/>
        <v>0</v>
      </c>
      <c r="AK46">
        <f>'Fannie Historical Ops'!AE33</f>
        <v>0</v>
      </c>
      <c r="AL46">
        <f t="shared" si="17"/>
        <v>0</v>
      </c>
      <c r="AM46">
        <f t="shared" si="18"/>
        <v>0</v>
      </c>
      <c r="AN46">
        <f>'Fannie Historical Ops'!AG33</f>
        <v>0</v>
      </c>
      <c r="AO46">
        <f t="shared" si="17"/>
        <v>0</v>
      </c>
      <c r="AP46">
        <f t="shared" si="18"/>
        <v>0</v>
      </c>
      <c r="AQ46">
        <f>'Fannie Historical Ops'!AI33</f>
        <v>0</v>
      </c>
      <c r="AR46">
        <f t="shared" si="17"/>
        <v>0</v>
      </c>
      <c r="AS46">
        <f t="shared" si="18"/>
        <v>0</v>
      </c>
      <c r="AU46">
        <f>ROUND('Fannie Historical Ops'!AK33,2)</f>
        <v>1036382.91</v>
      </c>
      <c r="AV46">
        <f t="shared" si="17"/>
        <v>12193</v>
      </c>
      <c r="AW46" t="e">
        <f t="shared" si="18"/>
        <v>#DIV/0!</v>
      </c>
      <c r="AY46">
        <f>'Fannie Historical Ops'!AM33</f>
        <v>0</v>
      </c>
      <c r="AZ46">
        <f t="shared" si="17"/>
        <v>0</v>
      </c>
      <c r="BA46">
        <f t="shared" si="18"/>
        <v>0</v>
      </c>
      <c r="BC46">
        <f t="shared" si="5"/>
        <v>0</v>
      </c>
      <c r="BD46">
        <f t="shared" si="17"/>
        <v>0</v>
      </c>
      <c r="BE46">
        <f t="shared" si="18"/>
        <v>0</v>
      </c>
      <c r="BF46">
        <f t="shared" si="6"/>
        <v>1036382.91</v>
      </c>
      <c r="BG46">
        <f t="shared" si="17"/>
        <v>12193</v>
      </c>
      <c r="BH46" t="e">
        <f t="shared" si="18"/>
        <v>#DIV/0!</v>
      </c>
      <c r="BI46">
        <f>'Expense Comps.'!W215*'Expense Comps.'!$J$215</f>
        <v>0</v>
      </c>
      <c r="BJ46">
        <f>ROUND(IF(BI46&gt;0,BI46/'Expense Comps.'!$J$215,0),0)</f>
        <v>0</v>
      </c>
      <c r="BK46">
        <f t="shared" si="18"/>
        <v>0</v>
      </c>
    </row>
    <row r="47" ht="15" customHeight="1">
      <c r="B47" t="s">
        <v>1912</v>
      </c>
      <c r="C47" t="s">
        <v>2462</v>
      </c>
      <c r="D47">
        <f>'Fannie Historical Ops'!D37</f>
        <v>0</v>
      </c>
      <c r="E47">
        <f t="shared" si="17"/>
        <v>0</v>
      </c>
      <c r="F47">
        <f t="shared" si="18"/>
        <v>0</v>
      </c>
      <c r="G47">
        <f>'Fannie Historical Ops'!F37</f>
        <v>0</v>
      </c>
      <c r="H47">
        <f t="shared" si="17"/>
        <v>0</v>
      </c>
      <c r="I47">
        <f t="shared" si="18"/>
        <v>0</v>
      </c>
      <c r="J47">
        <f>'Fannie Historical Ops'!H37</f>
        <v>0</v>
      </c>
      <c r="K47">
        <f t="shared" si="17"/>
        <v>0</v>
      </c>
      <c r="L47">
        <f t="shared" si="18"/>
        <v>0</v>
      </c>
      <c r="M47">
        <f>'Fannie Historical Ops'!J37</f>
        <v>0</v>
      </c>
      <c r="N47">
        <f>'Fannie Historical Ops'!K37</f>
        <v>0</v>
      </c>
      <c r="O47">
        <f>'Fannie Historical Ops'!L37</f>
        <v>0</v>
      </c>
      <c r="P47">
        <f>'Fannie Historical Ops'!M37</f>
        <v>0</v>
      </c>
      <c r="Q47">
        <f>'Fannie Historical Ops'!N37</f>
        <v>0</v>
      </c>
      <c r="R47">
        <f>'Fannie Historical Ops'!O37</f>
        <v>0</v>
      </c>
      <c r="S47">
        <f>'Fannie Historical Ops'!P37</f>
        <v>0</v>
      </c>
      <c r="T47">
        <f>'Fannie Historical Ops'!Q37</f>
        <v>0</v>
      </c>
      <c r="U47">
        <f>'Fannie Historical Ops'!R37</f>
        <v>0</v>
      </c>
      <c r="V47">
        <f>'Fannie Historical Ops'!S37</f>
        <v>0</v>
      </c>
      <c r="W47">
        <f>'Fannie Historical Ops'!T37</f>
        <v>0</v>
      </c>
      <c r="X47">
        <f>'Fannie Historical Ops'!U37</f>
        <v>0</v>
      </c>
      <c r="Y47">
        <f>'Fannie Historical Ops'!W37</f>
        <v>0</v>
      </c>
      <c r="Z47">
        <f t="shared" si="17"/>
        <v>0</v>
      </c>
      <c r="AA47">
        <f t="shared" si="18"/>
        <v>0</v>
      </c>
      <c r="AB47">
        <f>'Fannie Historical Ops'!Y37</f>
        <v>0</v>
      </c>
      <c r="AC47">
        <f t="shared" si="17"/>
        <v>0</v>
      </c>
      <c r="AD47">
        <f t="shared" si="18"/>
        <v>0</v>
      </c>
      <c r="AE47">
        <f>'Fannie Historical Ops'!AA37</f>
        <v>0</v>
      </c>
      <c r="AF47">
        <f t="shared" si="17"/>
        <v>0</v>
      </c>
      <c r="AG47">
        <f t="shared" si="18"/>
        <v>0</v>
      </c>
      <c r="AH47">
        <f>'Fannie Historical Ops'!AC37</f>
        <v>0</v>
      </c>
      <c r="AI47">
        <f t="shared" si="17"/>
        <v>0</v>
      </c>
      <c r="AJ47">
        <f t="shared" si="18"/>
        <v>0</v>
      </c>
      <c r="AK47">
        <f>'Fannie Historical Ops'!AE37</f>
        <v>0</v>
      </c>
      <c r="AL47">
        <f t="shared" si="17"/>
        <v>0</v>
      </c>
      <c r="AM47">
        <f t="shared" si="18"/>
        <v>0</v>
      </c>
      <c r="AN47">
        <f>'Fannie Historical Ops'!AG37</f>
        <v>0</v>
      </c>
      <c r="AO47">
        <f t="shared" si="17"/>
        <v>0</v>
      </c>
      <c r="AP47">
        <f t="shared" si="18"/>
        <v>0</v>
      </c>
      <c r="AQ47">
        <f>'Fannie Historical Ops'!AI37</f>
        <v>0</v>
      </c>
      <c r="AR47">
        <f t="shared" si="17"/>
        <v>0</v>
      </c>
      <c r="AS47">
        <f t="shared" si="18"/>
        <v>0</v>
      </c>
      <c r="AU47">
        <f>ROUND('Fannie Historical Ops'!AK37,2)</f>
        <v>0</v>
      </c>
      <c r="AV47">
        <f t="shared" si="17"/>
        <v>0</v>
      </c>
      <c r="AW47">
        <f t="shared" si="18"/>
        <v>0</v>
      </c>
      <c r="AY47">
        <f>'Fannie Historical Ops'!AM37</f>
        <v>0</v>
      </c>
      <c r="AZ47">
        <f t="shared" si="17"/>
        <v>0</v>
      </c>
      <c r="BA47">
        <f t="shared" si="18"/>
        <v>0</v>
      </c>
      <c r="BC47">
        <f t="shared" si="5"/>
        <v>0</v>
      </c>
      <c r="BD47">
        <f t="shared" si="17"/>
        <v>0</v>
      </c>
      <c r="BE47">
        <f t="shared" si="18"/>
        <v>0</v>
      </c>
      <c r="BF47">
        <f t="shared" si="6"/>
        <v>0</v>
      </c>
      <c r="BG47">
        <f t="shared" si="17"/>
        <v>0</v>
      </c>
      <c r="BH47">
        <f t="shared" si="18"/>
        <v>0</v>
      </c>
      <c r="BJ47">
        <f>ROUND(IF(BI47&gt;0,BI47/'Expense Comps.'!$J$215,0),0)</f>
        <v>0</v>
      </c>
      <c r="BK47">
        <f t="shared" si="18"/>
        <v>0</v>
      </c>
    </row>
    <row r="48" ht="15" customHeight="1">
      <c r="B48" t="s">
        <v>2463</v>
      </c>
      <c r="C48" t="str">
        <f>IF('SBL Quotes'!$AN$32="Seniors","(34)","(32)")</f>
        <v>(32)</v>
      </c>
      <c r="D48">
        <f>'Fannie Historical Ops'!D68</f>
        <v>0</v>
      </c>
      <c r="E48">
        <f t="shared" si="17"/>
        <v>0</v>
      </c>
      <c r="F48">
        <f t="shared" si="18"/>
        <v>0</v>
      </c>
      <c r="G48">
        <f>'Fannie Historical Ops'!F68</f>
        <v>0</v>
      </c>
      <c r="H48">
        <f t="shared" si="17"/>
        <v>0</v>
      </c>
      <c r="I48">
        <f t="shared" si="18"/>
        <v>0</v>
      </c>
      <c r="J48">
        <f>'Fannie Historical Ops'!H68</f>
        <v>0</v>
      </c>
      <c r="K48">
        <f t="shared" si="17"/>
        <v>0</v>
      </c>
      <c r="L48">
        <f t="shared" si="18"/>
        <v>0</v>
      </c>
      <c r="M48">
        <f>'Fannie Historical Ops'!J68</f>
        <v>0</v>
      </c>
      <c r="N48">
        <f>'Fannie Historical Ops'!K68</f>
        <v>0</v>
      </c>
      <c r="O48">
        <f>'Fannie Historical Ops'!L68</f>
        <v>0</v>
      </c>
      <c r="P48">
        <f>'Fannie Historical Ops'!M68</f>
        <v>0</v>
      </c>
      <c r="Q48">
        <f>'Fannie Historical Ops'!N68</f>
        <v>0</v>
      </c>
      <c r="R48">
        <f>'Fannie Historical Ops'!O68</f>
        <v>0</v>
      </c>
      <c r="S48">
        <f>'Fannie Historical Ops'!P68</f>
        <v>0</v>
      </c>
      <c r="T48">
        <f>'Fannie Historical Ops'!Q68</f>
        <v>0</v>
      </c>
      <c r="U48">
        <f>'Fannie Historical Ops'!R68</f>
        <v>0</v>
      </c>
      <c r="V48">
        <f>'Fannie Historical Ops'!S68</f>
        <v>0</v>
      </c>
      <c r="W48">
        <f>'Fannie Historical Ops'!T68</f>
        <v>0</v>
      </c>
      <c r="X48">
        <f>'Fannie Historical Ops'!U68</f>
        <v>0</v>
      </c>
      <c r="Y48">
        <f>'Fannie Historical Ops'!W68</f>
        <v>0</v>
      </c>
      <c r="Z48">
        <f t="shared" si="17"/>
        <v>0</v>
      </c>
      <c r="AA48">
        <f t="shared" si="18"/>
        <v>0</v>
      </c>
      <c r="AB48">
        <f>'Fannie Historical Ops'!Y68</f>
        <v>0</v>
      </c>
      <c r="AC48">
        <f t="shared" si="17"/>
        <v>0</v>
      </c>
      <c r="AD48">
        <f t="shared" si="18"/>
        <v>0</v>
      </c>
      <c r="AE48">
        <f>'Fannie Historical Ops'!AA68</f>
        <v>0</v>
      </c>
      <c r="AF48">
        <f t="shared" si="17"/>
        <v>0</v>
      </c>
      <c r="AG48">
        <f t="shared" si="18"/>
        <v>0</v>
      </c>
      <c r="AH48">
        <f>'Fannie Historical Ops'!AC68</f>
        <v>0</v>
      </c>
      <c r="AI48">
        <f t="shared" si="17"/>
        <v>0</v>
      </c>
      <c r="AJ48">
        <f t="shared" si="18"/>
        <v>0</v>
      </c>
      <c r="AK48">
        <f>'Fannie Historical Ops'!AE68</f>
        <v>0</v>
      </c>
      <c r="AL48">
        <f t="shared" si="17"/>
        <v>0</v>
      </c>
      <c r="AM48">
        <f t="shared" si="18"/>
        <v>0</v>
      </c>
      <c r="AN48">
        <f>'Fannie Historical Ops'!AG68</f>
        <v>0</v>
      </c>
      <c r="AO48">
        <f t="shared" si="17"/>
        <v>0</v>
      </c>
      <c r="AP48">
        <f t="shared" si="18"/>
        <v>0</v>
      </c>
      <c r="AQ48">
        <f>'Fannie Historical Ops'!AI68</f>
        <v>0</v>
      </c>
      <c r="AR48">
        <f t="shared" si="17"/>
        <v>0</v>
      </c>
      <c r="AS48">
        <f t="shared" si="18"/>
        <v>0</v>
      </c>
      <c r="AU48">
        <f>ROUND('Fannie Historical Ops'!AK68,2)</f>
        <v>0</v>
      </c>
      <c r="AV48">
        <f t="shared" si="17"/>
        <v>0</v>
      </c>
      <c r="AW48">
        <f t="shared" si="18"/>
        <v>0</v>
      </c>
      <c r="AY48">
        <f>'Fannie Historical Ops'!AM68</f>
        <v>0</v>
      </c>
      <c r="AZ48">
        <f t="shared" si="17"/>
        <v>0</v>
      </c>
      <c r="BA48">
        <f t="shared" si="18"/>
        <v>0</v>
      </c>
      <c r="BC48">
        <f t="shared" si="5"/>
        <v>0</v>
      </c>
      <c r="BD48">
        <f t="shared" si="17"/>
        <v>0</v>
      </c>
      <c r="BE48">
        <f t="shared" si="18"/>
        <v>0</v>
      </c>
      <c r="BF48">
        <f t="shared" si="6"/>
        <v>0</v>
      </c>
      <c r="BG48">
        <f t="shared" si="17"/>
        <v>0</v>
      </c>
      <c r="BH48">
        <f t="shared" si="18"/>
        <v>0</v>
      </c>
      <c r="BJ48">
        <f>ROUND(IF(BI48&gt;0,BI48/'Expense Comps.'!$J$215,0),0)</f>
        <v>0</v>
      </c>
      <c r="BK48">
        <f t="shared" si="18"/>
        <v>0</v>
      </c>
    </row>
    <row r="49" ht="15.75" customHeight="1"/>
    <row r="50" ht="15.75" customHeight="1">
      <c r="B50" t="s">
        <v>2443</v>
      </c>
      <c r="D50">
        <f t="shared" si="19" ref="D50:BF50">SUM(D35:D48)</f>
        <v>0</v>
      </c>
      <c r="E50">
        <f t="shared" si="17"/>
        <v>0</v>
      </c>
      <c r="F50">
        <f t="shared" si="18"/>
        <v>0</v>
      </c>
      <c r="G50">
        <f t="shared" si="19"/>
        <v>0</v>
      </c>
      <c r="H50">
        <f t="shared" si="17"/>
        <v>0</v>
      </c>
      <c r="I50">
        <f t="shared" si="18"/>
        <v>0</v>
      </c>
      <c r="J50">
        <f t="shared" si="19"/>
        <v>0</v>
      </c>
      <c r="K50">
        <f t="shared" si="17"/>
        <v>0</v>
      </c>
      <c r="L50">
        <f t="shared" si="18"/>
        <v>0</v>
      </c>
      <c r="M50">
        <f t="shared" si="19"/>
        <v>2863573</v>
      </c>
      <c r="N50">
        <f t="shared" si="19"/>
        <v>2880624</v>
      </c>
      <c r="O50">
        <f t="shared" si="19"/>
        <v>2882507.9999999995</v>
      </c>
      <c r="P50">
        <f t="shared" si="19"/>
        <v>2824940</v>
      </c>
      <c r="Q50">
        <f t="shared" si="19"/>
        <v>2835856.5</v>
      </c>
      <c r="R50">
        <f t="shared" si="19"/>
        <v>2809081.7142857146</v>
      </c>
      <c r="S50">
        <f t="shared" si="19"/>
        <v>2782166</v>
      </c>
      <c r="T50">
        <f t="shared" si="19"/>
        <v>2794845.6000000006</v>
      </c>
      <c r="U50">
        <f t="shared" si="19"/>
        <v>2943321</v>
      </c>
      <c r="V50">
        <f t="shared" si="19"/>
        <v>2954596</v>
      </c>
      <c r="W50">
        <f t="shared" si="19"/>
        <v>2952864</v>
      </c>
      <c r="X50">
        <f t="shared" si="19"/>
        <v>2978124</v>
      </c>
      <c r="Y50">
        <f t="shared" si="19"/>
        <v>2863573</v>
      </c>
      <c r="Z50">
        <f t="shared" si="17"/>
        <v>33689</v>
      </c>
      <c r="AA50" t="e">
        <f t="shared" si="18"/>
        <v>#DIV/0!</v>
      </c>
      <c r="AB50">
        <f t="shared" si="19"/>
        <v>0</v>
      </c>
      <c r="AC50">
        <f t="shared" si="17"/>
        <v>0</v>
      </c>
      <c r="AD50">
        <f t="shared" si="18"/>
        <v>0</v>
      </c>
      <c r="AE50">
        <f t="shared" si="19"/>
        <v>0</v>
      </c>
      <c r="AF50">
        <f t="shared" si="17"/>
        <v>0</v>
      </c>
      <c r="AG50">
        <f t="shared" si="18"/>
        <v>0</v>
      </c>
      <c r="AH50">
        <f t="shared" si="19"/>
        <v>0</v>
      </c>
      <c r="AI50">
        <f t="shared" si="17"/>
        <v>0</v>
      </c>
      <c r="AJ50">
        <f t="shared" si="18"/>
        <v>0</v>
      </c>
      <c r="AK50">
        <f t="shared" si="19"/>
        <v>0</v>
      </c>
      <c r="AL50">
        <f t="shared" si="17"/>
        <v>0</v>
      </c>
      <c r="AM50">
        <f t="shared" si="18"/>
        <v>0</v>
      </c>
      <c r="AN50">
        <f t="shared" si="19"/>
        <v>0</v>
      </c>
      <c r="AO50">
        <f t="shared" si="17"/>
        <v>0</v>
      </c>
      <c r="AP50">
        <f t="shared" si="18"/>
        <v>0</v>
      </c>
      <c r="AQ50">
        <f t="shared" si="19"/>
        <v>0</v>
      </c>
      <c r="AR50">
        <f t="shared" si="17"/>
        <v>0</v>
      </c>
      <c r="AS50">
        <f t="shared" si="18"/>
        <v>0</v>
      </c>
      <c r="AU50">
        <f t="shared" si="19"/>
        <v>2809540.21</v>
      </c>
      <c r="AV50">
        <f t="shared" si="17"/>
        <v>33053</v>
      </c>
      <c r="AW50" t="e">
        <f t="shared" si="18"/>
        <v>#DIV/0!</v>
      </c>
      <c r="AY50">
        <f t="shared" si="19"/>
        <v>0</v>
      </c>
      <c r="AZ50">
        <f t="shared" si="17"/>
        <v>0</v>
      </c>
      <c r="BA50">
        <f t="shared" si="18"/>
        <v>0</v>
      </c>
      <c r="BC50">
        <f t="shared" si="19"/>
        <v>0</v>
      </c>
      <c r="BD50">
        <f t="shared" si="17"/>
        <v>0</v>
      </c>
      <c r="BE50">
        <f t="shared" si="18"/>
        <v>0</v>
      </c>
      <c r="BF50">
        <f t="shared" si="19"/>
        <v>2949480.19</v>
      </c>
      <c r="BG50">
        <f t="shared" si="17"/>
        <v>34700</v>
      </c>
      <c r="BH50" t="e">
        <f t="shared" si="18"/>
        <v>#DIV/0!</v>
      </c>
      <c r="BI50">
        <f>SUM(BI35:BI49)</f>
        <v>0</v>
      </c>
      <c r="BJ50">
        <f>ROUND(IF(BI50&gt;0,BI50/'Expense Comps.'!$J$215,0),0)</f>
        <v>0</v>
      </c>
      <c r="BK50">
        <f t="shared" si="18"/>
        <v>0</v>
      </c>
    </row>
    <row r="51" ht="15.75" customHeight="1">
      <c r="B51" t="s">
        <v>1939</v>
      </c>
      <c r="D51">
        <f>'Fannie Historical Ops'!D73</f>
        <v>0</v>
      </c>
      <c r="E51">
        <f t="shared" si="17"/>
        <v>0</v>
      </c>
      <c r="F51">
        <f t="shared" si="18"/>
        <v>0</v>
      </c>
      <c r="G51">
        <f>'Fannie Historical Ops'!F73</f>
        <v>0</v>
      </c>
      <c r="H51">
        <f t="shared" si="17"/>
        <v>0</v>
      </c>
      <c r="I51">
        <f t="shared" si="18"/>
        <v>0</v>
      </c>
      <c r="J51">
        <f>'Fannie Historical Ops'!H73</f>
        <v>0</v>
      </c>
      <c r="K51">
        <f t="shared" si="17"/>
        <v>0</v>
      </c>
      <c r="L51">
        <f t="shared" si="18"/>
        <v>0</v>
      </c>
      <c r="M51">
        <f>'Fannie Historical Ops'!J73</f>
        <v>0</v>
      </c>
      <c r="N51">
        <f>'Fannie Historical Ops'!K73</f>
        <v>0</v>
      </c>
      <c r="O51">
        <f>'Fannie Historical Ops'!L73</f>
        <v>0</v>
      </c>
      <c r="P51">
        <f>'Fannie Historical Ops'!M73</f>
        <v>0</v>
      </c>
      <c r="Q51">
        <f>'Fannie Historical Ops'!N73</f>
        <v>0</v>
      </c>
      <c r="R51">
        <f>'Fannie Historical Ops'!O73</f>
        <v>0</v>
      </c>
      <c r="S51">
        <f>'Fannie Historical Ops'!P73</f>
        <v>0</v>
      </c>
      <c r="T51">
        <f>'Fannie Historical Ops'!Q73</f>
        <v>0</v>
      </c>
      <c r="U51">
        <f>'Fannie Historical Ops'!R73</f>
        <v>0</v>
      </c>
      <c r="V51">
        <f>'Fannie Historical Ops'!S73</f>
        <v>0</v>
      </c>
      <c r="W51">
        <f>'Fannie Historical Ops'!T73</f>
        <v>0</v>
      </c>
      <c r="X51">
        <f>'Fannie Historical Ops'!U73</f>
        <v>0</v>
      </c>
      <c r="Y51">
        <f>'Fannie Historical Ops'!W73</f>
        <v>0</v>
      </c>
      <c r="Z51">
        <f t="shared" si="17"/>
        <v>0</v>
      </c>
      <c r="AA51">
        <f t="shared" si="18"/>
        <v>0</v>
      </c>
      <c r="AB51">
        <f>'Fannie Historical Ops'!Y73</f>
        <v>0</v>
      </c>
      <c r="AC51">
        <f t="shared" si="17"/>
        <v>0</v>
      </c>
      <c r="AD51">
        <f t="shared" si="18"/>
        <v>0</v>
      </c>
      <c r="AE51">
        <f>'Fannie Historical Ops'!AA73</f>
        <v>0</v>
      </c>
      <c r="AF51">
        <f t="shared" si="17"/>
        <v>0</v>
      </c>
      <c r="AG51">
        <f t="shared" si="18"/>
        <v>0</v>
      </c>
      <c r="AH51">
        <f>'Fannie Historical Ops'!AC73</f>
        <v>0</v>
      </c>
      <c r="AI51">
        <f t="shared" si="17"/>
        <v>0</v>
      </c>
      <c r="AJ51">
        <f t="shared" si="18"/>
        <v>0</v>
      </c>
      <c r="AK51">
        <f>'Fannie Historical Ops'!AE73</f>
        <v>0</v>
      </c>
      <c r="AL51">
        <f t="shared" si="17"/>
        <v>0</v>
      </c>
      <c r="AM51">
        <f t="shared" si="18"/>
        <v>0</v>
      </c>
      <c r="AN51">
        <f>'Fannie Historical Ops'!AG73</f>
        <v>0</v>
      </c>
      <c r="AO51">
        <f t="shared" si="17"/>
        <v>0</v>
      </c>
      <c r="AP51">
        <f t="shared" si="18"/>
        <v>0</v>
      </c>
      <c r="AQ51">
        <f>'Fannie Historical Ops'!AI73</f>
        <v>0</v>
      </c>
      <c r="AR51">
        <f t="shared" si="17"/>
        <v>0</v>
      </c>
      <c r="AS51">
        <f t="shared" si="18"/>
        <v>0</v>
      </c>
      <c r="AU51">
        <f>ROUND('Fannie Historical Ops'!AK73,2)</f>
        <v>21250</v>
      </c>
      <c r="AV51">
        <f t="shared" si="17"/>
        <v>250</v>
      </c>
      <c r="AW51" t="e">
        <f t="shared" si="18"/>
        <v>#DIV/0!</v>
      </c>
      <c r="AY51">
        <f>'Fannie Historical Ops'!AM73</f>
        <v>0</v>
      </c>
      <c r="AZ51">
        <f t="shared" si="17"/>
        <v>0</v>
      </c>
      <c r="BA51">
        <f t="shared" si="18"/>
        <v>0</v>
      </c>
      <c r="BH51">
        <f t="shared" si="18"/>
        <v>0</v>
      </c>
      <c r="BI51">
        <f>'Expense Comps.'!X215*'Expense Comps.'!$J$215</f>
        <v>0</v>
      </c>
      <c r="BK51">
        <f t="shared" si="18"/>
        <v>0</v>
      </c>
    </row>
    <row r="52" ht="15.75" customHeight="1"/>
    <row r="53" ht="15.75" customHeight="1">
      <c r="B53" t="s">
        <v>1426</v>
      </c>
      <c r="D53">
        <f t="shared" si="20" ref="D53:AY53">D50+D51</f>
        <v>0</v>
      </c>
      <c r="E53">
        <f t="shared" si="17"/>
        <v>0</v>
      </c>
      <c r="F53">
        <f t="shared" si="18"/>
        <v>0</v>
      </c>
      <c r="G53">
        <f t="shared" si="20"/>
        <v>0</v>
      </c>
      <c r="H53">
        <f t="shared" si="17"/>
        <v>0</v>
      </c>
      <c r="I53">
        <f t="shared" si="18"/>
        <v>0</v>
      </c>
      <c r="J53">
        <f t="shared" si="20"/>
        <v>0</v>
      </c>
      <c r="K53">
        <f t="shared" si="17"/>
        <v>0</v>
      </c>
      <c r="L53">
        <f t="shared" si="18"/>
        <v>0</v>
      </c>
      <c r="M53">
        <f t="shared" si="20"/>
        <v>2863573</v>
      </c>
      <c r="N53">
        <f t="shared" si="20"/>
        <v>2880624</v>
      </c>
      <c r="O53">
        <f t="shared" si="20"/>
        <v>2882507.9999999995</v>
      </c>
      <c r="P53">
        <f t="shared" si="20"/>
        <v>2824940</v>
      </c>
      <c r="Q53">
        <f t="shared" si="20"/>
        <v>2835856.5</v>
      </c>
      <c r="R53">
        <f t="shared" si="20"/>
        <v>2809081.7142857146</v>
      </c>
      <c r="S53">
        <f t="shared" si="20"/>
        <v>2782166</v>
      </c>
      <c r="T53">
        <f t="shared" si="20"/>
        <v>2794845.6000000006</v>
      </c>
      <c r="U53">
        <f t="shared" si="20"/>
        <v>2943321</v>
      </c>
      <c r="V53">
        <f t="shared" si="20"/>
        <v>2954596</v>
      </c>
      <c r="W53">
        <f t="shared" si="20"/>
        <v>2952864</v>
      </c>
      <c r="X53">
        <f t="shared" si="20"/>
        <v>2978124</v>
      </c>
      <c r="Y53">
        <f t="shared" si="20"/>
        <v>2863573</v>
      </c>
      <c r="Z53">
        <f t="shared" si="17"/>
        <v>33689</v>
      </c>
      <c r="AA53" t="e">
        <f t="shared" si="18"/>
        <v>#DIV/0!</v>
      </c>
      <c r="AB53">
        <f t="shared" si="20"/>
        <v>0</v>
      </c>
      <c r="AC53">
        <f t="shared" si="17"/>
        <v>0</v>
      </c>
      <c r="AD53">
        <f t="shared" si="18"/>
        <v>0</v>
      </c>
      <c r="AE53">
        <f t="shared" si="20"/>
        <v>0</v>
      </c>
      <c r="AF53">
        <f t="shared" si="17"/>
        <v>0</v>
      </c>
      <c r="AG53">
        <f t="shared" si="18"/>
        <v>0</v>
      </c>
      <c r="AH53">
        <f t="shared" si="20"/>
        <v>0</v>
      </c>
      <c r="AI53">
        <f t="shared" si="17"/>
        <v>0</v>
      </c>
      <c r="AJ53">
        <f t="shared" si="18"/>
        <v>0</v>
      </c>
      <c r="AK53">
        <f t="shared" si="20"/>
        <v>0</v>
      </c>
      <c r="AL53">
        <f t="shared" si="17"/>
        <v>0</v>
      </c>
      <c r="AM53">
        <f t="shared" si="18"/>
        <v>0</v>
      </c>
      <c r="AN53">
        <f t="shared" si="20"/>
        <v>0</v>
      </c>
      <c r="AO53">
        <f t="shared" si="17"/>
        <v>0</v>
      </c>
      <c r="AP53">
        <f t="shared" si="18"/>
        <v>0</v>
      </c>
      <c r="AQ53">
        <f t="shared" si="20"/>
        <v>0</v>
      </c>
      <c r="AR53">
        <f t="shared" si="17"/>
        <v>0</v>
      </c>
      <c r="AS53">
        <f t="shared" si="18"/>
        <v>0</v>
      </c>
      <c r="AU53">
        <f>ROUND(AU50+AU51,2)</f>
        <v>2830790.21</v>
      </c>
      <c r="AV53">
        <f t="shared" si="17"/>
        <v>33303</v>
      </c>
      <c r="AW53" t="e">
        <f t="shared" si="18"/>
        <v>#DIV/0!</v>
      </c>
      <c r="AY53">
        <f t="shared" si="20"/>
        <v>0</v>
      </c>
      <c r="AZ53">
        <f t="shared" si="17"/>
        <v>0</v>
      </c>
      <c r="BA53">
        <f t="shared" si="18"/>
        <v>0</v>
      </c>
      <c r="BC53">
        <f t="shared" si="21" ref="BC53:BJ53">BC50</f>
        <v>0</v>
      </c>
      <c r="BD53">
        <f t="shared" si="21"/>
        <v>0</v>
      </c>
      <c r="BE53">
        <f t="shared" si="18"/>
        <v>0</v>
      </c>
      <c r="BF53">
        <f t="shared" si="21"/>
        <v>2949480.19</v>
      </c>
      <c r="BG53">
        <f t="shared" si="21"/>
        <v>34700</v>
      </c>
      <c r="BH53" t="e">
        <f t="shared" si="18"/>
        <v>#DIV/0!</v>
      </c>
      <c r="BI53">
        <f>'Expense Comps.'!Y215*'Expense Comps.'!$J$215</f>
        <v>0</v>
      </c>
      <c r="BJ53">
        <f t="shared" si="21"/>
        <v>0</v>
      </c>
      <c r="BK53">
        <f t="shared" si="18"/>
        <v>0</v>
      </c>
    </row>
    <row r="54" ht="15" customHeight="1">
      <c r="B54" t="s">
        <v>2465</v>
      </c>
      <c r="E54">
        <f t="shared" si="22" ref="E54:BJ54">IF(D53=0,0,D53/D31)</f>
        <v>0</v>
      </c>
      <c r="H54">
        <f t="shared" si="22"/>
        <v>0</v>
      </c>
      <c r="K54">
        <f t="shared" si="22"/>
        <v>0</v>
      </c>
      <c r="Z54">
        <f t="shared" si="22"/>
        <v>0.6237250826711438</v>
      </c>
      <c r="AC54">
        <f t="shared" si="22"/>
        <v>0</v>
      </c>
      <c r="AF54">
        <f t="shared" si="22"/>
        <v>0</v>
      </c>
      <c r="AI54">
        <f t="shared" si="22"/>
        <v>0</v>
      </c>
      <c r="AL54">
        <f t="shared" si="22"/>
        <v>0</v>
      </c>
      <c r="AO54">
        <f t="shared" si="22"/>
        <v>0</v>
      </c>
      <c r="AR54">
        <f t="shared" si="22"/>
        <v>0</v>
      </c>
      <c r="AV54">
        <f t="shared" si="22"/>
        <v>2.550633705099303</v>
      </c>
      <c r="AZ54">
        <f t="shared" si="22"/>
        <v>0</v>
      </c>
      <c r="BD54">
        <f t="shared" si="22"/>
        <v>0</v>
      </c>
      <c r="BG54">
        <f t="shared" si="22"/>
        <v>0.6237250826711438</v>
      </c>
      <c r="BJ54">
        <f t="shared" si="22"/>
        <v>0</v>
      </c>
    </row>
    <row r="55" ht="15" customHeight="1">
      <c r="B55" t="s">
        <v>2466</v>
      </c>
      <c r="E55">
        <f t="shared" si="23" ref="E55:BG55">IF(D53=0,0,D53/NRA)</f>
        <v>0</v>
      </c>
      <c r="H55">
        <f t="shared" si="23"/>
        <v>0</v>
      </c>
      <c r="K55">
        <f t="shared" si="23"/>
        <v>0</v>
      </c>
      <c r="Z55">
        <f t="shared" si="23"/>
        <v>33.69266157593157</v>
      </c>
      <c r="AC55">
        <f t="shared" si="23"/>
        <v>0</v>
      </c>
      <c r="AF55">
        <f t="shared" si="23"/>
        <v>0</v>
      </c>
      <c r="AI55">
        <f t="shared" si="23"/>
        <v>0</v>
      </c>
      <c r="AL55">
        <f t="shared" si="23"/>
        <v>0</v>
      </c>
      <c r="AO55">
        <f t="shared" si="23"/>
        <v>0</v>
      </c>
      <c r="AR55">
        <f t="shared" si="23"/>
        <v>0</v>
      </c>
      <c r="AV55">
        <f t="shared" si="23"/>
        <v>33.30694085256086</v>
      </c>
      <c r="AZ55">
        <f t="shared" si="23"/>
        <v>0</v>
      </c>
      <c r="BD55">
        <f t="shared" si="23"/>
        <v>0</v>
      </c>
      <c r="BG55">
        <f t="shared" si="23"/>
        <v>34.70344142320952</v>
      </c>
    </row>
    <row r="56" ht="15.75" customHeight="1"/>
    <row r="57" ht="15.75" customHeight="1">
      <c r="B57" t="s">
        <v>1427</v>
      </c>
      <c r="D57">
        <f t="shared" si="24" ref="D57:AY57">D31-D53</f>
        <v>0</v>
      </c>
      <c r="E57">
        <f t="shared" si="17"/>
        <v>0</v>
      </c>
      <c r="F57">
        <f t="shared" si="18"/>
        <v>0</v>
      </c>
      <c r="G57">
        <f t="shared" si="24"/>
        <v>0</v>
      </c>
      <c r="H57">
        <f t="shared" si="17"/>
        <v>0</v>
      </c>
      <c r="I57">
        <f t="shared" si="18"/>
        <v>0</v>
      </c>
      <c r="J57">
        <f t="shared" si="24"/>
        <v>0</v>
      </c>
      <c r="K57">
        <f t="shared" si="17"/>
        <v>0</v>
      </c>
      <c r="L57">
        <f t="shared" si="18"/>
        <v>0</v>
      </c>
      <c r="M57">
        <f t="shared" si="24"/>
        <v>1727509</v>
      </c>
      <c r="N57">
        <f t="shared" si="24"/>
        <v>1698953.4545454541</v>
      </c>
      <c r="O57">
        <f t="shared" si="24"/>
        <v>1696038.0000000005</v>
      </c>
      <c r="P57">
        <f t="shared" si="24"/>
        <v>1784596</v>
      </c>
      <c r="Q57">
        <f t="shared" si="24"/>
        <v>1792488</v>
      </c>
      <c r="R57">
        <f t="shared" si="24"/>
        <v>1823540.5714285718</v>
      </c>
      <c r="S57">
        <f t="shared" si="24"/>
        <v>1904372</v>
      </c>
      <c r="T57">
        <f t="shared" si="24"/>
        <v>1940620.7999999998</v>
      </c>
      <c r="U57">
        <f t="shared" si="24"/>
        <v>1797276</v>
      </c>
      <c r="V57">
        <f t="shared" si="24"/>
        <v>1745348</v>
      </c>
      <c r="W57">
        <f t="shared" si="24"/>
        <v>1761144</v>
      </c>
      <c r="X57">
        <f t="shared" si="24"/>
        <v>1628928</v>
      </c>
      <c r="Y57">
        <f t="shared" si="24"/>
        <v>1727509</v>
      </c>
      <c r="Z57">
        <f t="shared" si="17"/>
        <v>20324</v>
      </c>
      <c r="AA57" t="e">
        <f t="shared" si="18"/>
        <v>#DIV/0!</v>
      </c>
      <c r="AB57">
        <f t="shared" si="24"/>
        <v>0</v>
      </c>
      <c r="AC57">
        <f t="shared" si="17"/>
        <v>0</v>
      </c>
      <c r="AD57">
        <f t="shared" si="18"/>
        <v>0</v>
      </c>
      <c r="AE57">
        <f t="shared" si="24"/>
        <v>0</v>
      </c>
      <c r="AF57">
        <f t="shared" si="17"/>
        <v>0</v>
      </c>
      <c r="AG57">
        <f t="shared" si="18"/>
        <v>0</v>
      </c>
      <c r="AH57">
        <f t="shared" si="24"/>
        <v>0</v>
      </c>
      <c r="AI57">
        <f t="shared" si="17"/>
        <v>0</v>
      </c>
      <c r="AJ57">
        <f t="shared" si="18"/>
        <v>0</v>
      </c>
      <c r="AK57">
        <f t="shared" si="24"/>
        <v>0</v>
      </c>
      <c r="AL57">
        <f t="shared" si="17"/>
        <v>0</v>
      </c>
      <c r="AM57">
        <f t="shared" si="18"/>
        <v>0</v>
      </c>
      <c r="AN57">
        <f t="shared" si="24"/>
        <v>0</v>
      </c>
      <c r="AO57">
        <f t="shared" si="17"/>
        <v>0</v>
      </c>
      <c r="AP57">
        <f t="shared" si="18"/>
        <v>0</v>
      </c>
      <c r="AQ57">
        <f t="shared" si="24"/>
        <v>0</v>
      </c>
      <c r="AR57">
        <f t="shared" si="17"/>
        <v>0</v>
      </c>
      <c r="AS57">
        <f t="shared" si="18"/>
        <v>0</v>
      </c>
      <c r="AU57">
        <f>ROUND(AU31-AU53,2)</f>
        <v>-1720952.21</v>
      </c>
      <c r="AV57">
        <f t="shared" si="17"/>
        <v>0</v>
      </c>
      <c r="AW57">
        <f t="shared" si="18"/>
        <v>0</v>
      </c>
      <c r="AY57">
        <f t="shared" si="24"/>
        <v>0</v>
      </c>
      <c r="AZ57">
        <f t="shared" si="17"/>
        <v>0</v>
      </c>
      <c r="BA57">
        <f t="shared" si="18"/>
        <v>0</v>
      </c>
      <c r="BC57">
        <f t="shared" si="25" ref="BC57:BF57">+BC31-BC53</f>
        <v>0</v>
      </c>
      <c r="BD57">
        <f t="shared" si="17"/>
        <v>0</v>
      </c>
      <c r="BE57">
        <f t="shared" si="18"/>
        <v>0</v>
      </c>
      <c r="BF57">
        <f t="shared" si="25"/>
        <v>1779334.27</v>
      </c>
      <c r="BG57">
        <f t="shared" si="17"/>
        <v>20933</v>
      </c>
      <c r="BH57" t="e">
        <f t="shared" si="18"/>
        <v>#DIV/0!</v>
      </c>
      <c r="BI57">
        <f>'Expense Comps.'!AC215*'Expense Comps.'!$J$215</f>
        <v>0</v>
      </c>
      <c r="BJ57">
        <f>ROUND(IF(BI57&gt;0,BI57/'Expense Comps.'!$J$215,0),0)</f>
        <v>0</v>
      </c>
      <c r="BK57">
        <f t="shared" si="18"/>
        <v>0</v>
      </c>
    </row>
    <row r="58" ht="15.75" customHeight="1"/>
    <row r="59" ht="15.75" customHeight="1">
      <c r="B59" t="s">
        <v>2467</v>
      </c>
      <c r="AU59">
        <f>_xlfn.IFERROR(AU57/AE57,0)</f>
        <v>0</v>
      </c>
      <c r="AY59">
        <f>_xlfn.IFERROR(AY57/AW57,0)</f>
        <v>0</v>
      </c>
    </row>
    <row r="60" ht="15.75" customHeight="1">
      <c r="B60" t="s">
        <v>1353</v>
      </c>
    </row>
    <row r="61" ht="15.75" customHeight="1" hidden="1">
      <c r="B61" t="s">
        <v>2468</v>
      </c>
      <c r="D61">
        <f t="shared" si="26" ref="D61:BI61">$AU$61</f>
        <v>0</v>
      </c>
      <c r="G61">
        <f t="shared" si="26"/>
        <v>0</v>
      </c>
      <c r="J61">
        <f t="shared" si="26"/>
        <v>0</v>
      </c>
      <c r="Y61">
        <f t="shared" si="26"/>
        <v>0</v>
      </c>
      <c r="AB61">
        <f t="shared" si="26"/>
        <v>0</v>
      </c>
      <c r="AE61">
        <f t="shared" si="26"/>
        <v>0</v>
      </c>
      <c r="AH61">
        <f t="shared" si="26"/>
        <v>0</v>
      </c>
      <c r="AK61">
        <f t="shared" si="26"/>
        <v>0</v>
      </c>
      <c r="AN61">
        <f t="shared" si="26"/>
        <v>0</v>
      </c>
      <c r="AQ61">
        <f t="shared" si="26"/>
        <v>0</v>
      </c>
      <c r="AU61">
        <f>IF('SBL Quotes'!AN32="Supplemental",FirstDebtService_IfSupp,0)</f>
        <v>0</v>
      </c>
      <c r="AY61">
        <f t="shared" si="26"/>
        <v>0</v>
      </c>
      <c r="BC61">
        <f t="shared" si="26"/>
        <v>0</v>
      </c>
      <c r="BF61">
        <f t="shared" si="26"/>
        <v>0</v>
      </c>
      <c r="BI61">
        <f t="shared" si="26"/>
        <v>0</v>
      </c>
      <c r="BL61" t="e">
        <f>+BL58/BL59</f>
        <v>#DIV/0!</v>
      </c>
    </row>
    <row r="62" ht="15.75" customHeight="1" hidden="1">
      <c r="B62" t="s">
        <v>2469</v>
      </c>
      <c r="D62">
        <f t="shared" si="27" ref="D62:BI62">$AU$62</f>
        <v>0</v>
      </c>
      <c r="G62">
        <f t="shared" si="27"/>
        <v>0</v>
      </c>
      <c r="J62">
        <f t="shared" si="27"/>
        <v>0</v>
      </c>
      <c r="Y62">
        <f t="shared" si="27"/>
        <v>0</v>
      </c>
      <c r="AB62">
        <f t="shared" si="27"/>
        <v>0</v>
      </c>
      <c r="AE62">
        <f t="shared" si="27"/>
        <v>0</v>
      </c>
      <c r="AH62">
        <f t="shared" si="27"/>
        <v>0</v>
      </c>
      <c r="AK62">
        <f t="shared" si="27"/>
        <v>0</v>
      </c>
      <c r="AN62">
        <f t="shared" si="27"/>
        <v>0</v>
      </c>
      <c r="AQ62">
        <f t="shared" si="27"/>
        <v>0</v>
      </c>
      <c r="AU62">
        <f>IF('SBL Quotes'!AN33="2nd Supplemental",SecondDebtService_IfSupp,0)</f>
        <v>0</v>
      </c>
      <c r="AY62">
        <f t="shared" si="27"/>
        <v>0</v>
      </c>
      <c r="BC62">
        <f t="shared" si="27"/>
        <v>0</v>
      </c>
      <c r="BF62">
        <f t="shared" si="27"/>
        <v>0</v>
      </c>
      <c r="BI62">
        <f t="shared" si="27"/>
        <v>0</v>
      </c>
    </row>
    <row r="63" ht="15.75" customHeight="1" hidden="1">
      <c r="B63" t="s">
        <v>2470</v>
      </c>
      <c r="D63">
        <f t="shared" si="28" ref="D63:BI63">$AU$63</f>
        <v>0</v>
      </c>
      <c r="G63">
        <f t="shared" si="28"/>
        <v>0</v>
      </c>
      <c r="J63">
        <f t="shared" si="28"/>
        <v>0</v>
      </c>
      <c r="Y63">
        <f t="shared" si="28"/>
        <v>0</v>
      </c>
      <c r="AB63">
        <f t="shared" si="28"/>
        <v>0</v>
      </c>
      <c r="AE63">
        <f t="shared" si="28"/>
        <v>0</v>
      </c>
      <c r="AH63">
        <f t="shared" si="28"/>
        <v>0</v>
      </c>
      <c r="AK63">
        <f t="shared" si="28"/>
        <v>0</v>
      </c>
      <c r="AN63">
        <f t="shared" si="28"/>
        <v>0</v>
      </c>
      <c r="AQ63">
        <f t="shared" si="28"/>
        <v>0</v>
      </c>
      <c r="AU63">
        <f>IF('SBL Quotes'!AN34="3rd Supplemental",ThirdDebtService_IfSupp,0)</f>
        <v>0</v>
      </c>
      <c r="AY63">
        <f t="shared" si="28"/>
        <v>0</v>
      </c>
      <c r="BC63">
        <f t="shared" si="28"/>
        <v>0</v>
      </c>
      <c r="BF63">
        <f t="shared" si="28"/>
        <v>0</v>
      </c>
      <c r="BI63">
        <f t="shared" si="28"/>
        <v>0</v>
      </c>
    </row>
    <row r="64" ht="15.75" customHeight="1">
      <c r="B64" t="str">
        <f>IF('SBL Quotes'!AN32="Supplemental","Combined Debt Service (Fixed)","1st Debt Service")</f>
        <v>1st Debt Service</v>
      </c>
      <c r="D64" t="e">
        <f t="shared" si="29" ref="D64:BI64">$AU$64</f>
        <v>#NAME?</v>
      </c>
      <c r="G64" t="e">
        <f t="shared" si="29"/>
        <v>#NAME?</v>
      </c>
      <c r="J64" t="e">
        <f t="shared" si="29"/>
        <v>#NAME?</v>
      </c>
      <c r="Y64" t="e">
        <f t="shared" si="29"/>
        <v>#NAME?</v>
      </c>
      <c r="AB64" t="e">
        <f t="shared" si="29"/>
        <v>#NAME?</v>
      </c>
      <c r="AE64" t="e">
        <f t="shared" si="29"/>
        <v>#NAME?</v>
      </c>
      <c r="AH64" t="e">
        <f t="shared" si="29"/>
        <v>#NAME?</v>
      </c>
      <c r="AK64" t="e">
        <f t="shared" si="29"/>
        <v>#NAME?</v>
      </c>
      <c r="AN64" t="e">
        <f t="shared" si="29"/>
        <v>#NAME?</v>
      </c>
      <c r="AQ64" t="e">
        <f t="shared" si="29"/>
        <v>#NAME?</v>
      </c>
      <c r="AU64" t="e">
        <f>AU61+AU62+AU63+AmortizingDebtService</f>
        <v>#NAME?</v>
      </c>
      <c r="AY64" t="e">
        <f t="shared" si="29"/>
        <v>#NAME?</v>
      </c>
      <c r="BC64" t="e">
        <f t="shared" si="29"/>
        <v>#NAME?</v>
      </c>
      <c r="BF64" t="e">
        <f t="shared" si="29"/>
        <v>#NAME?</v>
      </c>
      <c r="BI64" t="e">
        <f t="shared" si="29"/>
        <v>#NAME?</v>
      </c>
    </row>
    <row r="65" ht="15.75" customHeight="1"/>
    <row r="66" ht="15.75" customHeight="1" hidden="1">
      <c r="B66" t="s">
        <v>2471</v>
      </c>
      <c r="D66">
        <f t="shared" si="30" ref="D66:BI66">IF(D$57=0,0,D$57/D61)</f>
        <v>0</v>
      </c>
      <c r="G66">
        <f t="shared" si="30"/>
        <v>0</v>
      </c>
      <c r="J66">
        <f t="shared" si="30"/>
        <v>0</v>
      </c>
      <c r="Y66" t="e">
        <f t="shared" si="30"/>
        <v>#DIV/0!</v>
      </c>
      <c r="AB66">
        <f t="shared" si="30"/>
        <v>0</v>
      </c>
      <c r="AE66">
        <f t="shared" si="30"/>
        <v>0</v>
      </c>
      <c r="AH66">
        <f t="shared" si="30"/>
        <v>0</v>
      </c>
      <c r="AK66">
        <f t="shared" si="30"/>
        <v>0</v>
      </c>
      <c r="AN66">
        <f t="shared" si="30"/>
        <v>0</v>
      </c>
      <c r="AQ66">
        <f t="shared" si="30"/>
        <v>0</v>
      </c>
      <c r="AU66" t="e">
        <f t="shared" si="30"/>
        <v>#DIV/0!</v>
      </c>
      <c r="AY66">
        <f t="shared" si="30"/>
        <v>0</v>
      </c>
      <c r="BC66">
        <f t="shared" si="30"/>
        <v>0</v>
      </c>
      <c r="BF66" t="e">
        <f t="shared" si="30"/>
        <v>#DIV/0!</v>
      </c>
      <c r="BI66">
        <f t="shared" si="30"/>
        <v>0</v>
      </c>
    </row>
    <row r="67" ht="14.25" customHeight="1" hidden="1"/>
    <row r="68" ht="15.75" customHeight="1" hidden="1">
      <c r="B68" t="s">
        <v>2472</v>
      </c>
      <c r="D68">
        <f t="shared" si="31" ref="D68:BI68">IF(D$57=0,0,D$57/(D61+D62))</f>
        <v>0</v>
      </c>
      <c r="G68">
        <f t="shared" si="31"/>
        <v>0</v>
      </c>
      <c r="J68">
        <f t="shared" si="31"/>
        <v>0</v>
      </c>
      <c r="Y68" t="e">
        <f t="shared" si="31"/>
        <v>#DIV/0!</v>
      </c>
      <c r="AB68">
        <f t="shared" si="31"/>
        <v>0</v>
      </c>
      <c r="AE68">
        <f t="shared" si="31"/>
        <v>0</v>
      </c>
      <c r="AH68">
        <f t="shared" si="31"/>
        <v>0</v>
      </c>
      <c r="AK68">
        <f t="shared" si="31"/>
        <v>0</v>
      </c>
      <c r="AN68">
        <f t="shared" si="31"/>
        <v>0</v>
      </c>
      <c r="AQ68">
        <f t="shared" si="31"/>
        <v>0</v>
      </c>
      <c r="AU68" t="e">
        <f t="shared" si="31"/>
        <v>#DIV/0!</v>
      </c>
      <c r="AY68">
        <f t="shared" si="31"/>
        <v>0</v>
      </c>
      <c r="BC68">
        <f t="shared" si="31"/>
        <v>0</v>
      </c>
      <c r="BF68" t="e">
        <f t="shared" si="31"/>
        <v>#DIV/0!</v>
      </c>
      <c r="BI68">
        <f t="shared" si="31"/>
        <v>0</v>
      </c>
    </row>
    <row r="69" ht="14.25" customHeight="1" hidden="1"/>
    <row r="70" ht="15.75" customHeight="1" hidden="1">
      <c r="B70" t="s">
        <v>2473</v>
      </c>
      <c r="D70">
        <f t="shared" si="32" ref="D70:BI70">IF(D$57=0,0,D$57/(D61+D62+D63))</f>
        <v>0</v>
      </c>
      <c r="G70">
        <f t="shared" si="32"/>
        <v>0</v>
      </c>
      <c r="J70">
        <f t="shared" si="32"/>
        <v>0</v>
      </c>
      <c r="Y70" t="e">
        <f t="shared" si="32"/>
        <v>#DIV/0!</v>
      </c>
      <c r="AB70">
        <f t="shared" si="32"/>
        <v>0</v>
      </c>
      <c r="AE70">
        <f t="shared" si="32"/>
        <v>0</v>
      </c>
      <c r="AH70">
        <f t="shared" si="32"/>
        <v>0</v>
      </c>
      <c r="AK70">
        <f t="shared" si="32"/>
        <v>0</v>
      </c>
      <c r="AN70">
        <f t="shared" si="32"/>
        <v>0</v>
      </c>
      <c r="AQ70">
        <f t="shared" si="32"/>
        <v>0</v>
      </c>
      <c r="AU70" t="e">
        <f t="shared" si="32"/>
        <v>#DIV/0!</v>
      </c>
      <c r="AY70">
        <f t="shared" si="32"/>
        <v>0</v>
      </c>
      <c r="BC70">
        <f t="shared" si="32"/>
        <v>0</v>
      </c>
      <c r="BF70" t="e">
        <f t="shared" si="32"/>
        <v>#DIV/0!</v>
      </c>
      <c r="BI70">
        <f t="shared" si="32"/>
        <v>0</v>
      </c>
    </row>
    <row r="71" ht="14.25" customHeight="1" hidden="1"/>
    <row r="72" ht="15.75" customHeight="1">
      <c r="B72" t="str">
        <f>IF('SBL Quotes'!AN32="Supplemental","Combined DSCR (Actual)","1st DSCR (Actual)")</f>
        <v>1st DSCR (Actual)</v>
      </c>
      <c r="D72">
        <f t="shared" si="33" ref="D72:BI72">IF(D$57=0,0,D$57/(D61+D62+D63+(LoanAmount*NoteConstant)))</f>
        <v>0</v>
      </c>
      <c r="G72">
        <f t="shared" si="33"/>
        <v>0</v>
      </c>
      <c r="J72">
        <f t="shared" si="33"/>
        <v>0</v>
      </c>
      <c r="Y72" t="e">
        <f t="shared" si="33"/>
        <v>#NAME?</v>
      </c>
      <c r="AB72">
        <f t="shared" si="33"/>
        <v>0</v>
      </c>
      <c r="AE72">
        <f t="shared" si="33"/>
        <v>0</v>
      </c>
      <c r="AH72">
        <f t="shared" si="33"/>
        <v>0</v>
      </c>
      <c r="AK72">
        <f t="shared" si="33"/>
        <v>0</v>
      </c>
      <c r="AN72">
        <f t="shared" si="33"/>
        <v>0</v>
      </c>
      <c r="AQ72">
        <f t="shared" si="33"/>
        <v>0</v>
      </c>
      <c r="AU72" t="e">
        <f t="shared" si="33"/>
        <v>#NAME?</v>
      </c>
      <c r="AY72">
        <f t="shared" si="33"/>
        <v>0</v>
      </c>
      <c r="BC72">
        <f t="shared" si="33"/>
        <v>0</v>
      </c>
      <c r="BF72" t="e">
        <f t="shared" si="33"/>
        <v>#NAME?</v>
      </c>
      <c r="BI72">
        <f t="shared" si="33"/>
        <v>0</v>
      </c>
    </row>
    <row r="73" ht="15.75" customHeight="1"/>
    <row r="74" ht="15.75" customHeight="1">
      <c r="B74" t="str">
        <f>IF('SBL Quotes'!AN32="Supplemental","Combined DSCR (Floor)","1st DSCR (Floor)")</f>
        <v>1st DSCR (Floor)</v>
      </c>
      <c r="D74">
        <f t="shared" si="34" ref="D74:BI74">IF(D$57=0,0,D$57/(D61+D62+D63+(LoanAmount*FloorConstant)))</f>
        <v>0</v>
      </c>
      <c r="G74">
        <f t="shared" si="34"/>
        <v>0</v>
      </c>
      <c r="J74">
        <f t="shared" si="34"/>
        <v>0</v>
      </c>
      <c r="Y74" t="e">
        <f t="shared" si="34"/>
        <v>#NAME?</v>
      </c>
      <c r="AB74">
        <f t="shared" si="34"/>
        <v>0</v>
      </c>
      <c r="AE74">
        <f t="shared" si="34"/>
        <v>0</v>
      </c>
      <c r="AH74">
        <f t="shared" si="34"/>
        <v>0</v>
      </c>
      <c r="AK74">
        <f t="shared" si="34"/>
        <v>0</v>
      </c>
      <c r="AN74">
        <f t="shared" si="34"/>
        <v>0</v>
      </c>
      <c r="AQ74">
        <f t="shared" si="34"/>
        <v>0</v>
      </c>
      <c r="AU74" t="e">
        <f t="shared" si="34"/>
        <v>#NAME?</v>
      </c>
      <c r="AY74">
        <f t="shared" si="34"/>
        <v>0</v>
      </c>
      <c r="BC74">
        <f t="shared" si="34"/>
        <v>0</v>
      </c>
      <c r="BF74" t="e">
        <f t="shared" si="34"/>
        <v>#NAME?</v>
      </c>
      <c r="BI74">
        <f t="shared" si="34"/>
        <v>0</v>
      </c>
    </row>
    <row r="75" ht="14.25" customHeight="1" hidden="1">
      <c r="B75" t="s">
        <v>983</v>
      </c>
    </row>
    <row r="76" ht="15.75" customHeight="1" hidden="1">
      <c r="B76" t="s">
        <v>2476</v>
      </c>
      <c r="D76" t="e">
        <f t="shared" si="35" ref="D76:BI76">D61+D62+D63+(LoanAmount*SARMPayConstant)</f>
        <v>#NAME?</v>
      </c>
      <c r="G76" t="e">
        <f t="shared" si="35"/>
        <v>#NAME?</v>
      </c>
      <c r="J76" t="e">
        <f t="shared" si="35"/>
        <v>#NAME?</v>
      </c>
      <c r="Y76" t="e">
        <f t="shared" si="35"/>
        <v>#NAME?</v>
      </c>
      <c r="AB76" t="e">
        <f t="shared" si="35"/>
        <v>#NAME?</v>
      </c>
      <c r="AE76" t="e">
        <f t="shared" si="35"/>
        <v>#NAME?</v>
      </c>
      <c r="AH76" t="e">
        <f t="shared" si="35"/>
        <v>#NAME?</v>
      </c>
      <c r="AK76" t="e">
        <f t="shared" si="35"/>
        <v>#NAME?</v>
      </c>
      <c r="AN76" t="e">
        <f t="shared" si="35"/>
        <v>#NAME?</v>
      </c>
      <c r="AQ76" t="e">
        <f t="shared" si="35"/>
        <v>#NAME?</v>
      </c>
      <c r="AU76" t="e">
        <f t="shared" si="35"/>
        <v>#NAME?</v>
      </c>
      <c r="AY76" t="e">
        <f t="shared" si="35"/>
        <v>#NAME?</v>
      </c>
      <c r="BC76" t="e">
        <f t="shared" si="35"/>
        <v>#NAME?</v>
      </c>
      <c r="BF76" t="e">
        <f t="shared" si="35"/>
        <v>#NAME?</v>
      </c>
      <c r="BI76" t="e">
        <f t="shared" si="35"/>
        <v>#NAME?</v>
      </c>
    </row>
    <row r="77" ht="14.25" customHeight="1" hidden="1"/>
    <row r="78" ht="15.75" customHeight="1" hidden="1">
      <c r="B78" t="str">
        <f>IF('SBL Quotes'!AN32="Supplemental","Combined DSCR (Pay)","1st DSCR (Pay)")</f>
        <v>1st DSCR (Pay)</v>
      </c>
      <c r="D78">
        <f t="shared" si="36" ref="D78:BI78">IF(D57=0,0,D57/(D61+D62+D63+(LoanAmount*SARMPayConstant)))</f>
        <v>0</v>
      </c>
      <c r="G78">
        <f t="shared" si="36"/>
        <v>0</v>
      </c>
      <c r="J78">
        <f t="shared" si="36"/>
        <v>0</v>
      </c>
      <c r="Y78" t="e">
        <f t="shared" si="36"/>
        <v>#NAME?</v>
      </c>
      <c r="AB78">
        <f t="shared" si="36"/>
        <v>0</v>
      </c>
      <c r="AE78">
        <f t="shared" si="36"/>
        <v>0</v>
      </c>
      <c r="AH78">
        <f t="shared" si="36"/>
        <v>0</v>
      </c>
      <c r="AK78">
        <f t="shared" si="36"/>
        <v>0</v>
      </c>
      <c r="AN78">
        <f t="shared" si="36"/>
        <v>0</v>
      </c>
      <c r="AQ78">
        <f t="shared" si="36"/>
        <v>0</v>
      </c>
      <c r="AU78" t="e">
        <f t="shared" si="36"/>
        <v>#NAME?</v>
      </c>
      <c r="AY78">
        <f t="shared" si="36"/>
        <v>0</v>
      </c>
      <c r="BC78">
        <f t="shared" si="36"/>
        <v>0</v>
      </c>
      <c r="BF78" t="e">
        <f t="shared" si="36"/>
        <v>#NAME?</v>
      </c>
      <c r="BI78">
        <f t="shared" si="36"/>
        <v>0</v>
      </c>
    </row>
    <row r="79" ht="15" customHeight="1" hidden="1"/>
    <row r="80" ht="15.75" customHeight="1" hidden="1">
      <c r="B80" t="str">
        <f>IF('SBL Quotes'!AN32="Supplemental","Combined DSCR (Stress)","1st DSCR (Stress)")</f>
        <v>1st DSCR (Stress)</v>
      </c>
      <c r="D80">
        <f t="shared" si="37" ref="D80:BI80">IF(D57=0,0,D57/(D61+D62+D63+(LoanAmount*SARMStressConstant)))</f>
        <v>0</v>
      </c>
      <c r="G80">
        <f t="shared" si="37"/>
        <v>0</v>
      </c>
      <c r="J80">
        <f t="shared" si="37"/>
        <v>0</v>
      </c>
      <c r="Y80" t="e">
        <f t="shared" si="37"/>
        <v>#NAME?</v>
      </c>
      <c r="AB80">
        <f t="shared" si="37"/>
        <v>0</v>
      </c>
      <c r="AE80">
        <f t="shared" si="37"/>
        <v>0</v>
      </c>
      <c r="AH80">
        <f t="shared" si="37"/>
        <v>0</v>
      </c>
      <c r="AK80">
        <f t="shared" si="37"/>
        <v>0</v>
      </c>
      <c r="AN80">
        <f t="shared" si="37"/>
        <v>0</v>
      </c>
      <c r="AQ80">
        <f t="shared" si="37"/>
        <v>0</v>
      </c>
      <c r="AU80" t="e">
        <f t="shared" si="37"/>
        <v>#NAME?</v>
      </c>
      <c r="AY80">
        <f t="shared" si="37"/>
        <v>0</v>
      </c>
      <c r="BC80">
        <f t="shared" si="37"/>
        <v>0</v>
      </c>
      <c r="BF80" t="e">
        <f t="shared" si="37"/>
        <v>#NAME?</v>
      </c>
      <c r="BI80">
        <f t="shared" si="37"/>
        <v>0</v>
      </c>
    </row>
    <row r="81" ht="9" customHeight="1"/>
    <row r="82" ht="15.75" customHeight="1">
      <c r="B82" t="s">
        <v>2479</v>
      </c>
      <c r="D82">
        <f>'Fannie Historical Ops'!D73</f>
        <v>0</v>
      </c>
      <c r="G82">
        <f>'Fannie Historical Ops'!F73</f>
        <v>0</v>
      </c>
      <c r="J82">
        <f>'Fannie Historical Ops'!H73</f>
        <v>0</v>
      </c>
      <c r="Y82">
        <f>'Fannie Historical Ops'!W73</f>
        <v>0</v>
      </c>
      <c r="AB82">
        <f>'Fannie Historical Ops'!Y73</f>
        <v>0</v>
      </c>
      <c r="BC82">
        <f t="shared" si="5"/>
        <v>0</v>
      </c>
      <c r="BF82">
        <f t="shared" si="6"/>
        <v>0</v>
      </c>
      <c r="BI82">
        <f>AC82*1.03</f>
        <v>0</v>
      </c>
    </row>
    <row r="83" ht="9" customHeight="1"/>
    <row r="84" ht="15.75" customHeight="1">
      <c r="B84" t="s">
        <v>2480</v>
      </c>
      <c r="AU84">
        <f t="shared" si="38" ref="AU84:AY84">_xlfn.IFERROR((AmortizingDebtService+FirstDebtService_IfSupp+SecondDebtService_IfSupp+ThirdDebtService_IfSupp-AU29+AU53)/AU9,0)</f>
        <v>0</v>
      </c>
      <c r="AY84">
        <f t="shared" si="38"/>
        <v>0</v>
      </c>
    </row>
    <row r="85" ht="15.75" customHeight="1">
      <c r="B85" t="s">
        <v>2481</v>
      </c>
      <c r="AU85" t="e">
        <f t="shared" si="39" ref="AU85:AY85">AU57-AmortizingDebtService-FirstDebtService_IfSupp-SecondDebtService_IfSupp-ThirdDebtService_IfSupp</f>
        <v>#NAME?</v>
      </c>
      <c r="AY85" t="e">
        <f t="shared" si="39"/>
        <v>#NAME?</v>
      </c>
    </row>
    <row r="86" ht="15.75" customHeight="1">
      <c r="B86" t="s">
        <v>2482</v>
      </c>
      <c r="AU86">
        <f t="shared" si="40" ref="AU86:AY86">_xlfn.IFERROR(AU85/(UW_Value-LoanAmount),0)</f>
        <v>0</v>
      </c>
      <c r="AY86">
        <f t="shared" si="40"/>
        <v>0</v>
      </c>
    </row>
    <row r="87" ht="5.25" customHeight="1"/>
    <row r="88" ht="5.25" customHeight="1"/>
    <row r="89" ht="15.75" customHeight="1">
      <c r="B89" t="s">
        <v>2483</v>
      </c>
      <c r="D89" t="str">
        <f>$D$6&amp;" to "&amp;$G$6</f>
        <v>2019 to 2020</v>
      </c>
      <c r="G89" t="str">
        <f>$G$6&amp;" to "&amp;$J$6</f>
        <v>2020 to 2021</v>
      </c>
      <c r="J89" t="str">
        <f>$J$6&amp;" to "&amp;'Fannie Historical Ops'!$W$2</f>
        <v>2021 to TR-12 Statement (9/2022)</v>
      </c>
      <c r="Y89" t="str">
        <f>'Fannie Historical Ops'!$W$2&amp;" to "&amp;$AE$4</f>
        <v>TR-12 Statement (9/2022) to Appraisal</v>
      </c>
      <c r="AE89" t="str">
        <f>'Fannie Historical Ops'!$AA$2&amp;" to "&amp;$AU$4</f>
        <v>Appraisal to Lender Underwriting</v>
      </c>
      <c r="AI89" t="str">
        <f>'Fannie Historical Ops'!$AA$2&amp;" Adjusted to "&amp;$AU$4</f>
        <v>Appraisal Adjusted to Lender Underwriting</v>
      </c>
      <c r="AV89" t="str">
        <f>'Fannie Historical Ops'!$W$2&amp;" to "&amp;AU4</f>
        <v>TR-12 Statement (9/2022) to Lender Underwriting</v>
      </c>
      <c r="AY89" t="str">
        <f>'Fannie Historical Ops'!$W$2&amp;" ("&amp;'Fannie Historical Ops'!$W$4&amp;") to "&amp;AY4</f>
        <v>TR-12 Statement (9/2022) (2022) to Quote</v>
      </c>
    </row>
    <row r="90" ht="15" customHeight="1">
      <c r="B90" t="s">
        <v>2492</v>
      </c>
      <c r="D90">
        <f>_xlfn.IFERROR(($G$9-$D$9)/$D$9,0)</f>
        <v>0</v>
      </c>
      <c r="G90">
        <f>_xlfn.IFERROR(($J$9-$G$9)/$G$9,0)</f>
        <v>0</v>
      </c>
      <c r="J90">
        <f>_xlfn.IFERROR(($Y$9-$J$9)/$J$9,0)</f>
        <v>0</v>
      </c>
      <c r="Y90">
        <f>_xlfn.IFERROR(($AE$9-$Y$9)/$Y$9,0)</f>
        <v>-1</v>
      </c>
      <c r="AE90">
        <f>_xlfn.IFERROR(($AU$9-$AE$9)/$AE$9,0)</f>
        <v>0</v>
      </c>
      <c r="AI90">
        <f>_xlfn.IFERROR(($AU$9-$AH$9)/$AH$9,0)</f>
        <v>0</v>
      </c>
      <c r="AU90">
        <f>_xlfn.IFERROR((AU9-Y9)/Y9,0)</f>
        <v>-0.6904376090323535</v>
      </c>
      <c r="AY90">
        <f>_xlfn.IFERROR((+AY9-Y9)/Y9,0)</f>
        <v>-1</v>
      </c>
    </row>
    <row r="91" ht="15" customHeight="1">
      <c r="B91" t="s">
        <v>2493</v>
      </c>
      <c r="D91">
        <f>_xlfn.IFERROR(($G$13-$D$13)/$D$13,0)</f>
        <v>0</v>
      </c>
      <c r="G91">
        <f>_xlfn.IFERROR(($J$13-$G$13)/$G$13,0)</f>
        <v>0</v>
      </c>
      <c r="J91">
        <f>_xlfn.IFERROR(($Y$13-$J$13)/$J$13,0)</f>
        <v>0</v>
      </c>
      <c r="Y91">
        <f>_xlfn.IFERROR(($AE$13-$Y$13)/$Y$13,0)</f>
        <v>-1</v>
      </c>
      <c r="AE91">
        <f>_xlfn.IFERROR(($AU$13-$AE$13)/$AE$13,0)</f>
        <v>0</v>
      </c>
      <c r="AI91">
        <f t="shared" si="41" ref="AI91:AI92">_xlfn.IFERROR(($AU$13-$AH$13)/$AH$13,0)</f>
        <v>0</v>
      </c>
      <c r="AU91">
        <f>_xlfn.IFERROR((AU13-Y13)/Y13,0)</f>
        <v>-0.7241831512011736</v>
      </c>
      <c r="AY91">
        <f>_xlfn.IFERROR((+AY13-Y13)/Y13,0)</f>
        <v>-1</v>
      </c>
    </row>
    <row r="92" ht="15" customHeight="1">
      <c r="B92" t="s">
        <v>2494</v>
      </c>
      <c r="D92">
        <f>_xlfn.IFERROR(($G$31-$D$31)/$D$31,0)</f>
        <v>0</v>
      </c>
      <c r="G92">
        <f>_xlfn.IFERROR(($J$31-$G$31)/$G$31,0)</f>
        <v>0</v>
      </c>
      <c r="J92">
        <f>_xlfn.IFERROR(($Y$31-$J$31)/$J$31,0)</f>
        <v>0</v>
      </c>
      <c r="Y92">
        <f>_xlfn.IFERROR(($AE$31-$Y$31)/$Y$31,0)</f>
        <v>-1</v>
      </c>
      <c r="AE92">
        <f>_xlfn.IFERROR(($AU$31-$AE$31)/$AE$31,0)</f>
        <v>0</v>
      </c>
      <c r="AI92">
        <f t="shared" si="41"/>
        <v>0</v>
      </c>
      <c r="AU92">
        <f>_xlfn.IFERROR((AU31-Y31)/Y31,0)</f>
        <v>-0.7582622135696988</v>
      </c>
    </row>
    <row r="93" ht="15" customHeight="1">
      <c r="B93" t="s">
        <v>2495</v>
      </c>
      <c r="D93">
        <f>_xlfn.IFERROR(($G$53-$D$53)/$D$53,0)</f>
        <v>0</v>
      </c>
      <c r="G93">
        <f>_xlfn.IFERROR(($J$53-$G$53)/$G$53,0)</f>
        <v>0</v>
      </c>
      <c r="J93">
        <f>_xlfn.IFERROR(($Y$53-$J$53)/$J$53,0)</f>
        <v>0</v>
      </c>
      <c r="Y93">
        <f>_xlfn.IFERROR(($AE$53-$Y$53)/$Y$53,0)</f>
        <v>-1</v>
      </c>
      <c r="AE93">
        <f>_xlfn.IFERROR(($AU$53-$AE$53)/$AE$53,0)</f>
        <v>0</v>
      </c>
      <c r="AI93">
        <f>_xlfn.IFERROR(($AU$53-$AH$53)/$AH$53,0)</f>
        <v>0</v>
      </c>
      <c r="AU93">
        <f>_xlfn.IFERROR((AU53-Y53)/Y53,0)</f>
        <v>-0.011448211727097594</v>
      </c>
      <c r="AY93">
        <f>_xlfn.IFERROR((+AY53-Y53)/Y53,0)</f>
        <v>-1</v>
      </c>
    </row>
    <row r="94" ht="15.75" customHeight="1">
      <c r="B94" t="s">
        <v>2496</v>
      </c>
      <c r="D94">
        <f>_xlfn.IFERROR(($G$57-$D$57)/$D$57,0)</f>
        <v>0</v>
      </c>
      <c r="G94">
        <f>_xlfn.IFERROR(($J$57-$G$57)/$G$57,0)</f>
        <v>0</v>
      </c>
      <c r="J94">
        <f>_xlfn.IFERROR(($Y$57-$J$57)/$J$57,0)</f>
        <v>0</v>
      </c>
      <c r="Y94">
        <f>_xlfn.IFERROR(($AE$57-$Y$57)/$Y$57,0)</f>
        <v>-1</v>
      </c>
      <c r="AE94">
        <f>_xlfn.IFERROR(($AU$57-$AE$57)/$AE$57,0)</f>
        <v>0</v>
      </c>
      <c r="AI94">
        <f>_xlfn.IFERROR(($AU$57-$AH$57)/$AH$57,0)</f>
        <v>0</v>
      </c>
      <c r="AU94">
        <f>_xlfn.IFERROR((AU57-Y57)/Y57,0)</f>
        <v>-1.9962044828710008</v>
      </c>
      <c r="AY94">
        <f>_xlfn.IFERROR((+AY57-Y57)/Y57,0)</f>
        <v>-1</v>
      </c>
    </row>
    <row r="95" ht="15" customHeight="1"/>
    <row r="96" ht="15" customHeight="1">
      <c r="Y96" t="s">
        <v>2497</v>
      </c>
      <c r="Z96">
        <f>UW_Cap</f>
        <v>0.05</v>
      </c>
      <c r="AK96" t="s">
        <v>2498</v>
      </c>
      <c r="AL96">
        <f t="shared" si="42" ref="AL96:AR96">C3</f>
        <v>85</v>
      </c>
      <c r="AN96" t="s">
        <v>2498</v>
      </c>
      <c r="AO96">
        <f t="shared" si="42"/>
        <v>0</v>
      </c>
      <c r="AQ96" t="s">
        <v>2498</v>
      </c>
      <c r="AR96">
        <f t="shared" si="42"/>
        <v>0</v>
      </c>
      <c r="AU96" t="s">
        <v>2499</v>
      </c>
      <c r="AV96" t="e">
        <f>LoanAmount</f>
        <v>#NAME?</v>
      </c>
    </row>
    <row r="97" ht="15" customHeight="1">
      <c r="Y97" t="s">
        <v>2500</v>
      </c>
      <c r="Z97" t="e">
        <f>Exit_Rate_Standard</f>
        <v>#NAME?</v>
      </c>
      <c r="AK97" t="s">
        <v>668</v>
      </c>
      <c r="AL97" t="str">
        <f t="shared" si="43" ref="AL97:AR97">YearBuilt_DataPageTab</f>
        <v>XXXX</v>
      </c>
      <c r="AN97" t="s">
        <v>668</v>
      </c>
      <c r="AO97" t="str">
        <f t="shared" si="43"/>
        <v>XXXX</v>
      </c>
      <c r="AQ97" t="s">
        <v>668</v>
      </c>
      <c r="AR97" t="str">
        <f t="shared" si="43"/>
        <v>XXXX</v>
      </c>
      <c r="AU97" t="s">
        <v>2501</v>
      </c>
      <c r="AV97">
        <f>_xlfn.IFERROR(AV96/C3,0)</f>
        <v>0</v>
      </c>
    </row>
    <row r="98" ht="15" customHeight="1">
      <c r="Y98" t="s">
        <v>2502</v>
      </c>
      <c r="Z98" t="e">
        <f>Exit_LTV_Standard</f>
        <v>#NAME?</v>
      </c>
      <c r="AU98" t="s">
        <v>2503</v>
      </c>
      <c r="AV98">
        <f>UW_Value</f>
        <v>-34419044.199999996</v>
      </c>
    </row>
    <row r="99" ht="15" customHeight="1">
      <c r="Y99" t="s">
        <v>2504</v>
      </c>
      <c r="Z99">
        <f>LTV</f>
        <v>0</v>
      </c>
      <c r="AU99" t="s">
        <v>2505</v>
      </c>
      <c r="AV99">
        <f>_xlfn.IFERROR(AV98/C3,0)</f>
        <v>-404929.9317647058</v>
      </c>
    </row>
  </sheetData>
  <printOptions horizontalCentered="1"/>
  <pageMargins left="0.25" right="0.25" top="0.25" bottom="0.25" header="0.5" footer="0.5"/>
  <pageSetup useFirstPageNumber="1" fitToHeight="1" fitToWidth="1" paperSize="5" firstPageNumber="1" scale="52" pageOrder="downThenOver" orientation="landscape"/>
  <headerFooter>
    <oddHeader>&amp;L&amp;C&amp;R</oddHeader>
    <oddFooter>&amp;L&amp;C&amp;R</oddFooter>
  </headerFooter>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9666E78-99B7-0707-4562-4ECC52283AD8}" mc:Ignorable="x14ac xr xr2 xr3">
  <sheetPr>
    <tabColor theme="8" tint="-0.5"/>
    <pageSetUpPr fitToPage="1"/>
  </sheetPr>
  <dimension ref="A1:KK12246"/>
  <sheetViews>
    <sheetView topLeftCell="A1" zoomScale="80" workbookViewId="0" tabSelected="1">
      <selection activeCell="M22" sqref="M22"/>
    </sheetView>
  </sheetViews>
  <sheetFormatPr defaultRowHeight="14.497499999999997" defaultColWidth="9.57421875" customHeight="1"/>
  <cols>
    <col min="1" max="1" width="5.28125" customWidth="1"/>
    <col min="2" max="2" width="22.7109375" customWidth="1"/>
    <col min="3" max="3" width="13.57421875" customWidth="1"/>
    <col min="4" max="4" width="11.57421875" customWidth="1"/>
    <col min="5" max="5" width="13.57421875" hidden="1" customWidth="1"/>
    <col min="6" max="6" width="25.57421875" hidden="1" customWidth="1"/>
    <col min="7" max="7" width="12.57421875" customWidth="1"/>
    <col min="8" max="10" width="13.57421875" customWidth="1"/>
    <col min="11" max="11" width="14.57421875" customWidth="1"/>
    <col min="12" max="12" width="13.57421875" customWidth="1"/>
    <col min="13" max="13" width="15.57421875" customWidth="1"/>
    <col min="14" max="14" width="13.57421875" customWidth="1"/>
    <col min="15" max="16" width="12.57421875" customWidth="1"/>
    <col min="17" max="21" width="12.140625" customWidth="1"/>
    <col min="22" max="156" width="12.140625" hidden="1" customWidth="1"/>
    <col min="157" max="157" width="11.00390625" customWidth="1"/>
    <col min="159" max="162" width="11.57421875" customWidth="1"/>
    <col min="163" max="163" width="8.57421875" customWidth="1"/>
    <col min="164" max="164" width="11.57421875" customWidth="1"/>
    <col min="165" max="165" width="11.8515625" customWidth="1"/>
    <col min="166" max="166" width="7.57421875" customWidth="1"/>
    <col min="167" max="167" width="13.57421875" customWidth="1"/>
    <col min="168" max="168" width="8.57421875" customWidth="1"/>
    <col min="169" max="247" width="11.140625" hidden="1" customWidth="1"/>
    <col min="248" max="248" width="4.00390625" customWidth="1"/>
    <col min="249" max="249" width="19.57421875" customWidth="1"/>
    <col min="250" max="250" width="5.57421875" hidden="1" customWidth="1"/>
    <col min="251" max="251" width="19.57421875" customWidth="1"/>
    <col min="252" max="252" width="14.140625" customWidth="1"/>
    <col min="253" max="253" width="14.8515625" customWidth="1"/>
    <col min="254" max="256" width="5.57421875" customWidth="1"/>
    <col min="257" max="257" width="10.57421875" customWidth="1"/>
    <col min="258" max="258" width="8.57421875" customWidth="1"/>
    <col min="259" max="259" width="10.57421875" customWidth="1"/>
    <col min="260" max="260" width="19.57421875" customWidth="1"/>
    <col min="261" max="261" width="10.57421875" customWidth="1"/>
    <col min="262" max="262" width="12.57421875" customWidth="1"/>
    <col min="263" max="263" width="10.57421875" customWidth="1"/>
    <col min="264" max="267" width="16.57421875" customWidth="1"/>
    <col min="268" max="268" width="13.57421875" customWidth="1"/>
    <col min="269" max="270" width="10.57421875" customWidth="1"/>
    <col min="271" max="274" width="12.57421875" customWidth="1"/>
    <col min="275" max="280" width="10.57421875" customWidth="1"/>
    <col min="281" max="281" width="12.57421875" customWidth="1"/>
    <col min="282" max="282" width="11.57421875" customWidth="1"/>
    <col min="283" max="290" width="10.57421875" customWidth="1"/>
    <col min="291" max="291" width="13.00390625" customWidth="1"/>
    <col min="292" max="296" width="10.57421875" customWidth="1"/>
  </cols>
  <sheetData>
    <row r="2" ht="14.25" customHeight="1" hidden="1">
      <c r="E2" t="s">
        <v>2506</v>
      </c>
      <c r="Q2">
        <f t="shared" si="0" ref="Q2:EZ2">COUNTIF($G$24:$G$124,Q$20)</f>
        <v>32</v>
      </c>
      <c r="R2">
        <f t="shared" si="0"/>
        <v>28</v>
      </c>
      <c r="S2">
        <f t="shared" si="0"/>
        <v>16</v>
      </c>
      <c r="T2">
        <f t="shared" si="0"/>
        <v>24</v>
      </c>
      <c r="U2">
        <f t="shared" si="0"/>
        <v>1</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c r="AH2">
        <f t="shared" si="0"/>
        <v>0</v>
      </c>
      <c r="AI2">
        <f t="shared" si="0"/>
        <v>0</v>
      </c>
      <c r="AJ2">
        <f t="shared" si="0"/>
        <v>0</v>
      </c>
      <c r="AK2">
        <f t="shared" si="0"/>
        <v>0</v>
      </c>
      <c r="AL2">
        <f t="shared" si="0"/>
        <v>0</v>
      </c>
      <c r="AM2">
        <f t="shared" si="0"/>
        <v>0</v>
      </c>
      <c r="AN2">
        <f t="shared" si="0"/>
        <v>0</v>
      </c>
      <c r="AO2">
        <f t="shared" si="0"/>
        <v>0</v>
      </c>
      <c r="AP2">
        <f t="shared" si="0"/>
        <v>0</v>
      </c>
      <c r="AQ2">
        <f t="shared" si="0"/>
        <v>0</v>
      </c>
      <c r="AR2">
        <f t="shared" si="0"/>
        <v>0</v>
      </c>
      <c r="AS2">
        <f t="shared" si="0"/>
        <v>0</v>
      </c>
      <c r="AT2">
        <f t="shared" si="0"/>
        <v>0</v>
      </c>
      <c r="AU2">
        <f t="shared" si="0"/>
        <v>0</v>
      </c>
      <c r="AV2">
        <f t="shared" si="0"/>
        <v>0</v>
      </c>
      <c r="AW2">
        <f t="shared" si="0"/>
        <v>0</v>
      </c>
      <c r="AX2">
        <f t="shared" si="0"/>
        <v>0</v>
      </c>
      <c r="AY2">
        <f t="shared" si="0"/>
        <v>0</v>
      </c>
      <c r="AZ2">
        <f t="shared" si="0"/>
        <v>0</v>
      </c>
      <c r="BA2">
        <f t="shared" si="0"/>
        <v>0</v>
      </c>
      <c r="BB2">
        <f t="shared" si="0"/>
        <v>0</v>
      </c>
      <c r="BC2">
        <f t="shared" si="0"/>
        <v>0</v>
      </c>
      <c r="BD2">
        <f t="shared" si="0"/>
        <v>0</v>
      </c>
      <c r="BE2">
        <f t="shared" si="0"/>
        <v>0</v>
      </c>
      <c r="BF2">
        <f t="shared" si="0"/>
        <v>0</v>
      </c>
      <c r="BG2">
        <f t="shared" si="0"/>
        <v>0</v>
      </c>
      <c r="BH2">
        <f t="shared" si="0"/>
        <v>0</v>
      </c>
      <c r="BI2">
        <f t="shared" si="0"/>
        <v>0</v>
      </c>
      <c r="BJ2">
        <f t="shared" si="0"/>
        <v>0</v>
      </c>
      <c r="BK2">
        <f t="shared" si="0"/>
        <v>0</v>
      </c>
      <c r="BL2">
        <f t="shared" si="0"/>
        <v>0</v>
      </c>
      <c r="BM2">
        <f t="shared" si="0"/>
        <v>0</v>
      </c>
      <c r="BN2">
        <f t="shared" si="0"/>
        <v>0</v>
      </c>
      <c r="BO2">
        <f t="shared" si="0"/>
        <v>0</v>
      </c>
      <c r="BP2">
        <f t="shared" si="0"/>
        <v>0</v>
      </c>
      <c r="BQ2">
        <f t="shared" si="0"/>
        <v>0</v>
      </c>
      <c r="BR2">
        <f t="shared" si="0"/>
        <v>0</v>
      </c>
      <c r="BS2">
        <f t="shared" si="0"/>
        <v>0</v>
      </c>
      <c r="BT2">
        <f t="shared" si="0"/>
        <v>0</v>
      </c>
      <c r="BU2">
        <f t="shared" si="0"/>
        <v>0</v>
      </c>
      <c r="BV2">
        <f t="shared" si="0"/>
        <v>0</v>
      </c>
      <c r="BW2">
        <f t="shared" si="0"/>
        <v>0</v>
      </c>
      <c r="BX2">
        <f t="shared" si="0"/>
        <v>0</v>
      </c>
      <c r="BY2">
        <f t="shared" si="0"/>
        <v>0</v>
      </c>
      <c r="BZ2">
        <f t="shared" si="0"/>
        <v>0</v>
      </c>
      <c r="CA2">
        <f t="shared" si="0"/>
        <v>0</v>
      </c>
      <c r="CB2">
        <f t="shared" si="0"/>
        <v>0</v>
      </c>
      <c r="CC2">
        <f t="shared" si="0"/>
        <v>0</v>
      </c>
      <c r="CD2">
        <f t="shared" si="0"/>
        <v>0</v>
      </c>
      <c r="CE2">
        <f t="shared" si="0"/>
        <v>0</v>
      </c>
      <c r="CF2">
        <f t="shared" si="0"/>
        <v>0</v>
      </c>
      <c r="CG2">
        <f t="shared" si="0"/>
        <v>0</v>
      </c>
      <c r="CH2">
        <f t="shared" si="0"/>
        <v>0</v>
      </c>
      <c r="CI2">
        <f t="shared" si="0"/>
        <v>0</v>
      </c>
      <c r="CJ2">
        <f t="shared" si="0"/>
        <v>0</v>
      </c>
      <c r="CK2">
        <f t="shared" si="0"/>
        <v>0</v>
      </c>
      <c r="CL2">
        <f t="shared" si="0"/>
        <v>0</v>
      </c>
      <c r="CM2">
        <f t="shared" si="0"/>
        <v>0</v>
      </c>
      <c r="CN2">
        <f t="shared" si="0"/>
        <v>0</v>
      </c>
      <c r="CO2">
        <f t="shared" si="0"/>
        <v>0</v>
      </c>
      <c r="CP2">
        <f t="shared" si="0"/>
        <v>0</v>
      </c>
      <c r="CQ2">
        <f t="shared" si="0"/>
        <v>0</v>
      </c>
      <c r="CR2">
        <f t="shared" si="0"/>
        <v>0</v>
      </c>
      <c r="CS2">
        <f t="shared" si="0"/>
        <v>0</v>
      </c>
      <c r="CT2">
        <f t="shared" si="0"/>
        <v>0</v>
      </c>
      <c r="CU2">
        <f t="shared" si="0"/>
        <v>0</v>
      </c>
      <c r="CV2">
        <f t="shared" si="0"/>
        <v>0</v>
      </c>
      <c r="CW2">
        <f t="shared" si="0"/>
        <v>0</v>
      </c>
      <c r="CX2">
        <f t="shared" si="0"/>
        <v>0</v>
      </c>
      <c r="CY2">
        <f t="shared" si="0"/>
        <v>0</v>
      </c>
      <c r="CZ2">
        <f t="shared" si="0"/>
        <v>0</v>
      </c>
      <c r="DA2">
        <f t="shared" si="0"/>
        <v>0</v>
      </c>
      <c r="DB2">
        <f t="shared" si="0"/>
        <v>0</v>
      </c>
      <c r="DC2">
        <f t="shared" si="0"/>
        <v>0</v>
      </c>
      <c r="DD2">
        <f t="shared" si="0"/>
        <v>0</v>
      </c>
      <c r="DE2">
        <f t="shared" si="0"/>
        <v>0</v>
      </c>
      <c r="DF2">
        <f t="shared" si="0"/>
        <v>0</v>
      </c>
      <c r="DG2">
        <f t="shared" si="0"/>
        <v>0</v>
      </c>
      <c r="DH2">
        <f t="shared" si="0"/>
        <v>0</v>
      </c>
      <c r="DI2">
        <f t="shared" si="0"/>
        <v>0</v>
      </c>
      <c r="DJ2">
        <f t="shared" si="0"/>
        <v>0</v>
      </c>
      <c r="DK2">
        <f t="shared" si="0"/>
        <v>0</v>
      </c>
      <c r="DL2">
        <f t="shared" si="0"/>
        <v>0</v>
      </c>
      <c r="DM2">
        <f t="shared" si="0"/>
        <v>0</v>
      </c>
      <c r="DN2">
        <f t="shared" si="0"/>
        <v>0</v>
      </c>
      <c r="DO2">
        <f t="shared" si="0"/>
        <v>0</v>
      </c>
      <c r="DP2">
        <f t="shared" si="0"/>
        <v>0</v>
      </c>
      <c r="DQ2">
        <f t="shared" si="0"/>
        <v>0</v>
      </c>
      <c r="DR2">
        <f t="shared" si="0"/>
        <v>0</v>
      </c>
      <c r="DS2">
        <f t="shared" si="0"/>
        <v>0</v>
      </c>
      <c r="DT2">
        <f t="shared" si="0"/>
        <v>0</v>
      </c>
      <c r="DU2">
        <f t="shared" si="0"/>
        <v>0</v>
      </c>
      <c r="DV2">
        <f t="shared" si="0"/>
        <v>0</v>
      </c>
      <c r="DW2">
        <f t="shared" si="0"/>
        <v>0</v>
      </c>
      <c r="DX2">
        <f t="shared" si="0"/>
        <v>0</v>
      </c>
      <c r="DY2">
        <f t="shared" si="0"/>
        <v>0</v>
      </c>
      <c r="DZ2">
        <f t="shared" si="0"/>
        <v>0</v>
      </c>
      <c r="EA2">
        <f t="shared" si="0"/>
        <v>0</v>
      </c>
      <c r="EB2">
        <f t="shared" si="0"/>
        <v>0</v>
      </c>
      <c r="EC2">
        <f t="shared" si="0"/>
        <v>0</v>
      </c>
      <c r="ED2">
        <f t="shared" si="0"/>
        <v>0</v>
      </c>
      <c r="EE2">
        <f t="shared" si="0"/>
        <v>0</v>
      </c>
      <c r="EF2">
        <f t="shared" si="0"/>
        <v>0</v>
      </c>
      <c r="EG2">
        <f t="shared" si="0"/>
        <v>0</v>
      </c>
      <c r="EH2">
        <f t="shared" si="0"/>
        <v>0</v>
      </c>
      <c r="EI2">
        <f t="shared" si="0"/>
        <v>0</v>
      </c>
      <c r="EJ2">
        <f t="shared" si="0"/>
        <v>0</v>
      </c>
      <c r="EK2">
        <f t="shared" si="0"/>
        <v>0</v>
      </c>
      <c r="EL2">
        <f t="shared" si="0"/>
        <v>0</v>
      </c>
      <c r="EM2">
        <f t="shared" si="0"/>
        <v>0</v>
      </c>
      <c r="EN2">
        <f t="shared" si="0"/>
        <v>0</v>
      </c>
      <c r="EO2">
        <f t="shared" si="0"/>
        <v>0</v>
      </c>
      <c r="EP2">
        <f t="shared" si="0"/>
        <v>0</v>
      </c>
      <c r="EQ2">
        <f t="shared" si="0"/>
        <v>0</v>
      </c>
      <c r="ER2">
        <f t="shared" si="0"/>
        <v>0</v>
      </c>
      <c r="ES2">
        <f t="shared" si="0"/>
        <v>0</v>
      </c>
      <c r="ET2">
        <f t="shared" si="0"/>
        <v>0</v>
      </c>
      <c r="EU2">
        <f t="shared" si="0"/>
        <v>0</v>
      </c>
      <c r="EV2">
        <f t="shared" si="0"/>
        <v>0</v>
      </c>
      <c r="EW2">
        <f t="shared" si="0"/>
        <v>0</v>
      </c>
      <c r="EX2">
        <f t="shared" si="0"/>
        <v>0</v>
      </c>
      <c r="EY2">
        <f t="shared" si="0"/>
        <v>0</v>
      </c>
      <c r="EZ2">
        <f t="shared" si="0"/>
        <v>0</v>
      </c>
    </row>
    <row r="3" ht="14.25" customHeight="1" hidden="1">
      <c r="E3" t="b">
        <v>0</v>
      </c>
      <c r="P3" t="s">
        <v>2507</v>
      </c>
      <c r="Q3" t="b">
        <f t="shared" si="1" ref="Q3:EZ3">AND(RentRollTotalUnits&gt;0,_xlfn.CONCAT(Q$17,Q$18,Q$21,Q$22)&lt;&gt;"# Bedrooms# BathsMarket RentSquare Footage",ISNA(MATCH(Q$20,$G$24:$G$125,0)))</f>
        <v>0</v>
      </c>
      <c r="R3" t="b">
        <f t="shared" si="1"/>
        <v>0</v>
      </c>
      <c r="S3" t="b">
        <f t="shared" si="1"/>
        <v>0</v>
      </c>
      <c r="T3" t="b">
        <f t="shared" si="1"/>
        <v>0</v>
      </c>
      <c r="U3" t="b">
        <f t="shared" si="1"/>
        <v>0</v>
      </c>
      <c r="V3" t="b">
        <f t="shared" si="1"/>
        <v>0</v>
      </c>
      <c r="W3" t="b">
        <f t="shared" si="1"/>
        <v>0</v>
      </c>
      <c r="X3" t="b">
        <f t="shared" si="1"/>
        <v>0</v>
      </c>
      <c r="Y3" t="b">
        <f t="shared" si="1"/>
        <v>0</v>
      </c>
      <c r="Z3" t="b">
        <f t="shared" si="1"/>
        <v>0</v>
      </c>
      <c r="AA3" t="b">
        <f t="shared" si="1"/>
        <v>0</v>
      </c>
      <c r="AB3" t="b">
        <f t="shared" si="1"/>
        <v>0</v>
      </c>
      <c r="AC3" t="b">
        <f t="shared" si="1"/>
        <v>0</v>
      </c>
      <c r="AD3" t="b">
        <f t="shared" si="1"/>
        <v>0</v>
      </c>
      <c r="AE3" t="b">
        <f t="shared" si="1"/>
        <v>0</v>
      </c>
      <c r="AF3" t="b">
        <f t="shared" si="1"/>
        <v>0</v>
      </c>
      <c r="AG3" t="b">
        <f t="shared" si="1"/>
        <v>0</v>
      </c>
      <c r="AH3" t="b">
        <f t="shared" si="1"/>
        <v>0</v>
      </c>
      <c r="AI3" t="b">
        <f t="shared" si="1"/>
        <v>0</v>
      </c>
      <c r="AJ3" t="b">
        <f t="shared" si="1"/>
        <v>0</v>
      </c>
      <c r="AK3" t="b">
        <f t="shared" si="1"/>
        <v>0</v>
      </c>
      <c r="AL3" t="b">
        <f t="shared" si="1"/>
        <v>0</v>
      </c>
      <c r="AM3" t="b">
        <f t="shared" si="1"/>
        <v>0</v>
      </c>
      <c r="AN3" t="b">
        <f t="shared" si="1"/>
        <v>0</v>
      </c>
      <c r="AO3" t="b">
        <f t="shared" si="1"/>
        <v>0</v>
      </c>
      <c r="AP3" t="b">
        <f t="shared" si="1"/>
        <v>0</v>
      </c>
      <c r="AQ3" t="b">
        <f t="shared" si="1"/>
        <v>0</v>
      </c>
      <c r="AR3" t="b">
        <f t="shared" si="1"/>
        <v>0</v>
      </c>
      <c r="AS3" t="b">
        <f t="shared" si="1"/>
        <v>0</v>
      </c>
      <c r="AT3" t="b">
        <f t="shared" si="1"/>
        <v>0</v>
      </c>
      <c r="AU3" t="b">
        <f t="shared" si="1"/>
        <v>0</v>
      </c>
      <c r="AV3" t="b">
        <f t="shared" si="1"/>
        <v>0</v>
      </c>
      <c r="AW3" t="b">
        <f t="shared" si="1"/>
        <v>0</v>
      </c>
      <c r="AX3" t="b">
        <f t="shared" si="1"/>
        <v>0</v>
      </c>
      <c r="AY3" t="b">
        <f t="shared" si="1"/>
        <v>0</v>
      </c>
      <c r="AZ3" t="b">
        <f t="shared" si="1"/>
        <v>0</v>
      </c>
      <c r="BA3" t="b">
        <f t="shared" si="1"/>
        <v>0</v>
      </c>
      <c r="BB3" t="b">
        <f t="shared" si="1"/>
        <v>0</v>
      </c>
      <c r="BC3" t="b">
        <f t="shared" si="1"/>
        <v>0</v>
      </c>
      <c r="BD3" t="b">
        <f t="shared" si="1"/>
        <v>0</v>
      </c>
      <c r="BE3" t="b">
        <f t="shared" si="1"/>
        <v>0</v>
      </c>
      <c r="BF3" t="b">
        <f t="shared" si="1"/>
        <v>0</v>
      </c>
      <c r="BG3" t="b">
        <f t="shared" si="1"/>
        <v>0</v>
      </c>
      <c r="BH3" t="b">
        <f t="shared" si="1"/>
        <v>0</v>
      </c>
      <c r="BI3" t="b">
        <f t="shared" si="1"/>
        <v>0</v>
      </c>
      <c r="BJ3" t="b">
        <f t="shared" si="1"/>
        <v>0</v>
      </c>
      <c r="BK3" t="b">
        <f t="shared" si="1"/>
        <v>0</v>
      </c>
      <c r="BL3" t="b">
        <f t="shared" si="1"/>
        <v>0</v>
      </c>
      <c r="BM3" t="b">
        <f t="shared" si="1"/>
        <v>0</v>
      </c>
      <c r="BN3" t="b">
        <f t="shared" si="1"/>
        <v>0</v>
      </c>
      <c r="BO3" t="b">
        <f t="shared" si="1"/>
        <v>0</v>
      </c>
      <c r="BP3" t="b">
        <f t="shared" si="1"/>
        <v>0</v>
      </c>
      <c r="BQ3" t="b">
        <f t="shared" si="1"/>
        <v>0</v>
      </c>
      <c r="BR3" t="b">
        <f t="shared" si="1"/>
        <v>0</v>
      </c>
      <c r="BS3" t="b">
        <f t="shared" si="1"/>
        <v>0</v>
      </c>
      <c r="BT3" t="b">
        <f t="shared" si="1"/>
        <v>0</v>
      </c>
      <c r="BU3" t="b">
        <f t="shared" si="1"/>
        <v>0</v>
      </c>
      <c r="BV3" t="b">
        <f t="shared" si="1"/>
        <v>0</v>
      </c>
      <c r="BW3" t="b">
        <f t="shared" si="1"/>
        <v>0</v>
      </c>
      <c r="BX3" t="b">
        <f t="shared" si="1"/>
        <v>0</v>
      </c>
      <c r="BY3" t="b">
        <f t="shared" si="1"/>
        <v>0</v>
      </c>
      <c r="BZ3" t="b">
        <f t="shared" si="1"/>
        <v>0</v>
      </c>
      <c r="CA3" t="b">
        <f t="shared" si="1"/>
        <v>0</v>
      </c>
      <c r="CB3" t="b">
        <f t="shared" si="1"/>
        <v>0</v>
      </c>
      <c r="CC3" t="b">
        <f t="shared" si="1"/>
        <v>0</v>
      </c>
      <c r="CD3" t="b">
        <f t="shared" si="1"/>
        <v>0</v>
      </c>
      <c r="CE3" t="b">
        <f t="shared" si="1"/>
        <v>0</v>
      </c>
      <c r="CF3" t="b">
        <f t="shared" si="1"/>
        <v>0</v>
      </c>
      <c r="CG3" t="b">
        <f t="shared" si="1"/>
        <v>0</v>
      </c>
      <c r="CH3" t="b">
        <f t="shared" si="1"/>
        <v>0</v>
      </c>
      <c r="CI3" t="b">
        <f t="shared" si="1"/>
        <v>0</v>
      </c>
      <c r="CJ3" t="b">
        <f t="shared" si="1"/>
        <v>0</v>
      </c>
      <c r="CK3" t="b">
        <f t="shared" si="1"/>
        <v>0</v>
      </c>
      <c r="CL3" t="b">
        <f t="shared" si="1"/>
        <v>0</v>
      </c>
      <c r="CM3" t="b">
        <f t="shared" si="1"/>
        <v>0</v>
      </c>
      <c r="CN3" t="b">
        <f t="shared" si="1"/>
        <v>0</v>
      </c>
      <c r="CO3" t="b">
        <f t="shared" si="1"/>
        <v>0</v>
      </c>
      <c r="CP3" t="b">
        <f t="shared" si="1"/>
        <v>0</v>
      </c>
      <c r="CQ3" t="b">
        <f t="shared" si="1"/>
        <v>0</v>
      </c>
      <c r="CR3" t="b">
        <f t="shared" si="1"/>
        <v>0</v>
      </c>
      <c r="CS3" t="b">
        <f t="shared" si="1"/>
        <v>0</v>
      </c>
      <c r="CT3" t="b">
        <f t="shared" si="1"/>
        <v>0</v>
      </c>
      <c r="CU3" t="b">
        <f t="shared" si="1"/>
        <v>0</v>
      </c>
      <c r="CV3" t="b">
        <f t="shared" si="1"/>
        <v>0</v>
      </c>
      <c r="CW3" t="b">
        <f t="shared" si="1"/>
        <v>0</v>
      </c>
      <c r="CX3" t="b">
        <f t="shared" si="1"/>
        <v>0</v>
      </c>
      <c r="CY3" t="b">
        <f t="shared" si="1"/>
        <v>0</v>
      </c>
      <c r="CZ3" t="b">
        <f t="shared" si="1"/>
        <v>0</v>
      </c>
      <c r="DA3" t="b">
        <f t="shared" si="1"/>
        <v>0</v>
      </c>
      <c r="DB3" t="b">
        <f t="shared" si="1"/>
        <v>0</v>
      </c>
      <c r="DC3" t="b">
        <f t="shared" si="1"/>
        <v>0</v>
      </c>
      <c r="DD3" t="b">
        <f t="shared" si="1"/>
        <v>0</v>
      </c>
      <c r="DE3" t="b">
        <f t="shared" si="1"/>
        <v>0</v>
      </c>
      <c r="DF3" t="b">
        <f t="shared" si="1"/>
        <v>0</v>
      </c>
      <c r="DG3" t="b">
        <f t="shared" si="1"/>
        <v>0</v>
      </c>
      <c r="DH3" t="b">
        <f t="shared" si="1"/>
        <v>0</v>
      </c>
      <c r="DI3" t="b">
        <f t="shared" si="1"/>
        <v>0</v>
      </c>
      <c r="DJ3" t="b">
        <f t="shared" si="1"/>
        <v>0</v>
      </c>
      <c r="DK3" t="b">
        <f t="shared" si="1"/>
        <v>0</v>
      </c>
      <c r="DL3" t="b">
        <f t="shared" si="1"/>
        <v>0</v>
      </c>
      <c r="DM3" t="b">
        <f t="shared" si="1"/>
        <v>0</v>
      </c>
      <c r="DN3" t="b">
        <f t="shared" si="1"/>
        <v>0</v>
      </c>
      <c r="DO3" t="b">
        <f t="shared" si="1"/>
        <v>0</v>
      </c>
      <c r="DP3" t="b">
        <f t="shared" si="1"/>
        <v>0</v>
      </c>
      <c r="DQ3" t="b">
        <f t="shared" si="1"/>
        <v>0</v>
      </c>
      <c r="DR3" t="b">
        <f t="shared" si="1"/>
        <v>0</v>
      </c>
      <c r="DS3" t="b">
        <f t="shared" si="1"/>
        <v>0</v>
      </c>
      <c r="DT3" t="b">
        <f t="shared" si="1"/>
        <v>0</v>
      </c>
      <c r="DU3" t="b">
        <f t="shared" si="1"/>
        <v>0</v>
      </c>
      <c r="DV3" t="b">
        <f t="shared" si="1"/>
        <v>0</v>
      </c>
      <c r="DW3" t="b">
        <f t="shared" si="1"/>
        <v>0</v>
      </c>
      <c r="DX3" t="b">
        <f t="shared" si="1"/>
        <v>0</v>
      </c>
      <c r="DY3" t="b">
        <f t="shared" si="1"/>
        <v>0</v>
      </c>
      <c r="DZ3" t="b">
        <f t="shared" si="1"/>
        <v>0</v>
      </c>
      <c r="EA3" t="b">
        <f t="shared" si="1"/>
        <v>0</v>
      </c>
      <c r="EB3" t="b">
        <f t="shared" si="1"/>
        <v>0</v>
      </c>
      <c r="EC3" t="b">
        <f t="shared" si="1"/>
        <v>0</v>
      </c>
      <c r="ED3" t="b">
        <f t="shared" si="1"/>
        <v>0</v>
      </c>
      <c r="EE3" t="b">
        <f t="shared" si="1"/>
        <v>0</v>
      </c>
      <c r="EF3" t="b">
        <f t="shared" si="1"/>
        <v>0</v>
      </c>
      <c r="EG3" t="b">
        <f t="shared" si="1"/>
        <v>0</v>
      </c>
      <c r="EH3" t="b">
        <f t="shared" si="1"/>
        <v>0</v>
      </c>
      <c r="EI3" t="b">
        <f t="shared" si="1"/>
        <v>0</v>
      </c>
      <c r="EJ3" t="b">
        <f t="shared" si="1"/>
        <v>0</v>
      </c>
      <c r="EK3" t="b">
        <f t="shared" si="1"/>
        <v>0</v>
      </c>
      <c r="EL3" t="b">
        <f t="shared" si="1"/>
        <v>0</v>
      </c>
      <c r="EM3" t="b">
        <f t="shared" si="1"/>
        <v>0</v>
      </c>
      <c r="EN3" t="b">
        <f t="shared" si="1"/>
        <v>0</v>
      </c>
      <c r="EO3" t="b">
        <f t="shared" si="1"/>
        <v>0</v>
      </c>
      <c r="EP3" t="b">
        <f t="shared" si="1"/>
        <v>0</v>
      </c>
      <c r="EQ3" t="b">
        <f t="shared" si="1"/>
        <v>0</v>
      </c>
      <c r="ER3" t="b">
        <f t="shared" si="1"/>
        <v>0</v>
      </c>
      <c r="ES3" t="b">
        <f t="shared" si="1"/>
        <v>0</v>
      </c>
      <c r="ET3" t="b">
        <f t="shared" si="1"/>
        <v>0</v>
      </c>
      <c r="EU3" t="b">
        <f t="shared" si="1"/>
        <v>0</v>
      </c>
      <c r="EV3" t="b">
        <f t="shared" si="1"/>
        <v>0</v>
      </c>
      <c r="EW3" t="b">
        <f t="shared" si="1"/>
        <v>0</v>
      </c>
      <c r="EX3" t="b">
        <f t="shared" si="1"/>
        <v>0</v>
      </c>
      <c r="EY3" t="b">
        <f t="shared" si="1"/>
        <v>0</v>
      </c>
      <c r="EZ3" t="b">
        <f t="shared" si="1"/>
        <v>0</v>
      </c>
      <c r="FA3">
        <f>COUNTIF(Q3:EZ3,TRUE)</f>
        <v>0</v>
      </c>
    </row>
    <row r="4" ht="14.25" customHeight="1" hidden="1">
      <c r="Q4">
        <f t="shared" si="2" ref="Q4:CP4">IF(Q127&gt;0,Q126/Q127,0)</f>
        <v>1131.875</v>
      </c>
      <c r="R4">
        <f t="shared" si="2"/>
        <v>1205.892857142857</v>
      </c>
      <c r="S4">
        <f t="shared" si="2"/>
        <v>1364.4666666666667</v>
      </c>
      <c r="T4">
        <f t="shared" si="2"/>
        <v>1535.2</v>
      </c>
      <c r="U4">
        <f t="shared" si="2"/>
        <v>1017</v>
      </c>
      <c r="V4">
        <f t="shared" si="2"/>
        <v>0</v>
      </c>
      <c r="W4">
        <f t="shared" si="2"/>
        <v>0</v>
      </c>
      <c r="X4">
        <f t="shared" si="2"/>
        <v>0</v>
      </c>
      <c r="Y4">
        <f t="shared" si="2"/>
        <v>0</v>
      </c>
      <c r="Z4">
        <f t="shared" si="2"/>
        <v>0</v>
      </c>
      <c r="AA4">
        <f t="shared" si="2"/>
        <v>0</v>
      </c>
      <c r="AB4">
        <f t="shared" si="2"/>
        <v>0</v>
      </c>
      <c r="AC4">
        <f t="shared" si="2"/>
        <v>0</v>
      </c>
      <c r="AD4">
        <f t="shared" si="2"/>
        <v>0</v>
      </c>
      <c r="AE4">
        <f t="shared" si="2"/>
        <v>0</v>
      </c>
      <c r="AF4">
        <f t="shared" si="2"/>
        <v>0</v>
      </c>
      <c r="AG4">
        <f t="shared" si="2"/>
        <v>0</v>
      </c>
      <c r="AH4">
        <f t="shared" si="2"/>
        <v>0</v>
      </c>
      <c r="AI4">
        <f t="shared" si="2"/>
        <v>0</v>
      </c>
      <c r="AJ4">
        <f t="shared" si="2"/>
        <v>0</v>
      </c>
      <c r="AK4">
        <f t="shared" si="2"/>
        <v>0</v>
      </c>
      <c r="AL4">
        <f t="shared" si="2"/>
        <v>0</v>
      </c>
      <c r="AM4">
        <f t="shared" si="2"/>
        <v>0</v>
      </c>
      <c r="AN4">
        <f t="shared" si="2"/>
        <v>0</v>
      </c>
      <c r="AO4">
        <f t="shared" si="2"/>
        <v>0</v>
      </c>
      <c r="AP4">
        <f t="shared" si="2"/>
        <v>0</v>
      </c>
      <c r="AQ4">
        <f t="shared" si="2"/>
        <v>0</v>
      </c>
      <c r="AR4">
        <f t="shared" si="2"/>
        <v>0</v>
      </c>
      <c r="AS4">
        <f t="shared" si="2"/>
        <v>0</v>
      </c>
      <c r="AT4">
        <f t="shared" si="2"/>
        <v>0</v>
      </c>
      <c r="AU4">
        <f t="shared" si="2"/>
        <v>0</v>
      </c>
      <c r="AV4">
        <f t="shared" si="2"/>
        <v>0</v>
      </c>
      <c r="AW4">
        <f t="shared" si="2"/>
        <v>0</v>
      </c>
      <c r="AX4">
        <f t="shared" si="2"/>
        <v>0</v>
      </c>
      <c r="AY4">
        <f t="shared" si="2"/>
        <v>0</v>
      </c>
      <c r="AZ4">
        <f t="shared" si="2"/>
        <v>0</v>
      </c>
      <c r="BA4">
        <f t="shared" si="2"/>
        <v>0</v>
      </c>
      <c r="BB4">
        <f t="shared" si="2"/>
        <v>0</v>
      </c>
      <c r="BC4">
        <f t="shared" si="2"/>
        <v>0</v>
      </c>
      <c r="BD4">
        <f t="shared" si="2"/>
        <v>0</v>
      </c>
      <c r="BE4">
        <f t="shared" si="2"/>
        <v>0</v>
      </c>
      <c r="BF4">
        <f t="shared" si="2"/>
        <v>0</v>
      </c>
      <c r="BG4">
        <f t="shared" si="2"/>
        <v>0</v>
      </c>
      <c r="BH4">
        <f t="shared" si="2"/>
        <v>0</v>
      </c>
      <c r="BI4">
        <f t="shared" si="2"/>
        <v>0</v>
      </c>
      <c r="BJ4">
        <f t="shared" si="2"/>
        <v>0</v>
      </c>
      <c r="BK4">
        <f t="shared" si="2"/>
        <v>0</v>
      </c>
      <c r="BL4">
        <f t="shared" si="2"/>
        <v>0</v>
      </c>
      <c r="BM4">
        <f t="shared" si="2"/>
        <v>0</v>
      </c>
      <c r="BN4">
        <f t="shared" si="2"/>
        <v>0</v>
      </c>
      <c r="BO4">
        <f t="shared" si="2"/>
        <v>0</v>
      </c>
      <c r="BP4">
        <f t="shared" si="2"/>
        <v>0</v>
      </c>
      <c r="BQ4">
        <f t="shared" si="2"/>
        <v>0</v>
      </c>
      <c r="BR4">
        <f t="shared" si="2"/>
        <v>0</v>
      </c>
      <c r="BS4">
        <f t="shared" si="2"/>
        <v>0</v>
      </c>
      <c r="BT4">
        <f t="shared" si="2"/>
        <v>0</v>
      </c>
      <c r="BU4">
        <f t="shared" si="2"/>
        <v>0</v>
      </c>
      <c r="BV4">
        <f t="shared" si="2"/>
        <v>0</v>
      </c>
      <c r="BW4">
        <f t="shared" si="2"/>
        <v>0</v>
      </c>
      <c r="BX4">
        <f t="shared" si="2"/>
        <v>0</v>
      </c>
      <c r="BY4">
        <f t="shared" si="2"/>
        <v>0</v>
      </c>
      <c r="BZ4">
        <f t="shared" si="2"/>
        <v>0</v>
      </c>
      <c r="CA4">
        <f t="shared" si="2"/>
        <v>0</v>
      </c>
      <c r="CB4">
        <f t="shared" si="2"/>
        <v>0</v>
      </c>
      <c r="CC4">
        <f t="shared" si="2"/>
        <v>0</v>
      </c>
      <c r="CD4">
        <f t="shared" si="2"/>
        <v>0</v>
      </c>
      <c r="CE4">
        <f t="shared" si="2"/>
        <v>0</v>
      </c>
      <c r="CF4">
        <f t="shared" si="2"/>
        <v>0</v>
      </c>
      <c r="CG4">
        <f t="shared" si="2"/>
        <v>0</v>
      </c>
      <c r="CH4">
        <f t="shared" si="2"/>
        <v>0</v>
      </c>
      <c r="CI4">
        <f t="shared" si="2"/>
        <v>0</v>
      </c>
      <c r="CJ4">
        <f t="shared" si="2"/>
        <v>0</v>
      </c>
      <c r="CK4">
        <f t="shared" si="2"/>
        <v>0</v>
      </c>
      <c r="CL4">
        <f t="shared" si="2"/>
        <v>0</v>
      </c>
      <c r="CM4">
        <f t="shared" si="2"/>
        <v>0</v>
      </c>
      <c r="CN4">
        <f t="shared" si="2"/>
        <v>0</v>
      </c>
      <c r="CO4">
        <f t="shared" si="2"/>
        <v>0</v>
      </c>
      <c r="CP4">
        <f t="shared" si="2"/>
        <v>0</v>
      </c>
    </row>
    <row r="5" ht="14.25" customHeight="1" hidden="1">
      <c r="Q5">
        <f t="shared" si="3" ref="Q5:CP5">_xlfn.IFERROR(_xlfn.STDEV.P(Q24:Q125),0)</f>
        <v>56.85823928860267</v>
      </c>
      <c r="R5">
        <f t="shared" si="3"/>
        <v>40.551853300711784</v>
      </c>
      <c r="S5">
        <f t="shared" si="3"/>
        <v>68.7273518250841</v>
      </c>
      <c r="T5">
        <f t="shared" si="3"/>
        <v>57.42351434734729</v>
      </c>
      <c r="U5">
        <f t="shared" si="3"/>
        <v>0</v>
      </c>
      <c r="V5">
        <f t="shared" si="3"/>
        <v>0</v>
      </c>
      <c r="W5">
        <f t="shared" si="3"/>
        <v>0</v>
      </c>
      <c r="X5">
        <f t="shared" si="3"/>
        <v>0</v>
      </c>
      <c r="Y5">
        <f t="shared" si="3"/>
        <v>0</v>
      </c>
      <c r="Z5">
        <f t="shared" si="3"/>
        <v>0</v>
      </c>
      <c r="AA5">
        <f t="shared" si="3"/>
        <v>0</v>
      </c>
      <c r="AB5">
        <f t="shared" si="3"/>
        <v>0</v>
      </c>
      <c r="AC5">
        <f t="shared" si="3"/>
        <v>0</v>
      </c>
      <c r="AD5">
        <f t="shared" si="3"/>
        <v>0</v>
      </c>
      <c r="AE5">
        <f t="shared" si="3"/>
        <v>0</v>
      </c>
      <c r="AF5">
        <f t="shared" si="3"/>
        <v>0</v>
      </c>
      <c r="AG5">
        <f t="shared" si="3"/>
        <v>0</v>
      </c>
      <c r="AH5">
        <f t="shared" si="3"/>
        <v>0</v>
      </c>
      <c r="AI5">
        <f t="shared" si="3"/>
        <v>0</v>
      </c>
      <c r="AJ5">
        <f t="shared" si="3"/>
        <v>0</v>
      </c>
      <c r="AK5">
        <f t="shared" si="3"/>
        <v>0</v>
      </c>
      <c r="AL5">
        <f t="shared" si="3"/>
        <v>0</v>
      </c>
      <c r="AM5">
        <f t="shared" si="3"/>
        <v>0</v>
      </c>
      <c r="AN5">
        <f t="shared" si="3"/>
        <v>0</v>
      </c>
      <c r="AO5">
        <f t="shared" si="3"/>
        <v>0</v>
      </c>
      <c r="AP5">
        <f t="shared" si="3"/>
        <v>0</v>
      </c>
      <c r="AQ5">
        <f t="shared" si="3"/>
        <v>0</v>
      </c>
      <c r="AR5">
        <f t="shared" si="3"/>
        <v>0</v>
      </c>
      <c r="AS5">
        <f t="shared" si="3"/>
        <v>0</v>
      </c>
      <c r="AT5">
        <f t="shared" si="3"/>
        <v>0</v>
      </c>
      <c r="AU5">
        <f t="shared" si="3"/>
        <v>0</v>
      </c>
      <c r="AV5">
        <f t="shared" si="3"/>
        <v>0</v>
      </c>
      <c r="AW5">
        <f t="shared" si="3"/>
        <v>0</v>
      </c>
      <c r="AX5">
        <f t="shared" si="3"/>
        <v>0</v>
      </c>
      <c r="AY5">
        <f t="shared" si="3"/>
        <v>0</v>
      </c>
      <c r="AZ5">
        <f t="shared" si="3"/>
        <v>0</v>
      </c>
      <c r="BA5">
        <f t="shared" si="3"/>
        <v>0</v>
      </c>
      <c r="BB5">
        <f t="shared" si="3"/>
        <v>0</v>
      </c>
      <c r="BC5">
        <f t="shared" si="3"/>
        <v>0</v>
      </c>
      <c r="BD5">
        <f t="shared" si="3"/>
        <v>0</v>
      </c>
      <c r="BE5">
        <f t="shared" si="3"/>
        <v>0</v>
      </c>
      <c r="BF5">
        <f t="shared" si="3"/>
        <v>0</v>
      </c>
      <c r="BG5">
        <f t="shared" si="3"/>
        <v>0</v>
      </c>
      <c r="BH5">
        <f t="shared" si="3"/>
        <v>0</v>
      </c>
      <c r="BI5">
        <f t="shared" si="3"/>
        <v>0</v>
      </c>
      <c r="BJ5">
        <f t="shared" si="3"/>
        <v>0</v>
      </c>
      <c r="BK5">
        <f t="shared" si="3"/>
        <v>0</v>
      </c>
      <c r="BL5">
        <f t="shared" si="3"/>
        <v>0</v>
      </c>
      <c r="BM5">
        <f t="shared" si="3"/>
        <v>0</v>
      </c>
      <c r="BN5">
        <f t="shared" si="3"/>
        <v>0</v>
      </c>
      <c r="BO5">
        <f t="shared" si="3"/>
        <v>0</v>
      </c>
      <c r="BP5">
        <f t="shared" si="3"/>
        <v>0</v>
      </c>
      <c r="BQ5">
        <f t="shared" si="3"/>
        <v>0</v>
      </c>
      <c r="BR5">
        <f t="shared" si="3"/>
        <v>0</v>
      </c>
      <c r="BS5">
        <f t="shared" si="3"/>
        <v>0</v>
      </c>
      <c r="BT5">
        <f t="shared" si="3"/>
        <v>0</v>
      </c>
      <c r="BU5">
        <f t="shared" si="3"/>
        <v>0</v>
      </c>
      <c r="BV5">
        <f t="shared" si="3"/>
        <v>0</v>
      </c>
      <c r="BW5">
        <f t="shared" si="3"/>
        <v>0</v>
      </c>
      <c r="BX5">
        <f t="shared" si="3"/>
        <v>0</v>
      </c>
      <c r="BY5">
        <f t="shared" si="3"/>
        <v>0</v>
      </c>
      <c r="BZ5">
        <f t="shared" si="3"/>
        <v>0</v>
      </c>
      <c r="CA5">
        <f t="shared" si="3"/>
        <v>0</v>
      </c>
      <c r="CB5">
        <f t="shared" si="3"/>
        <v>0</v>
      </c>
      <c r="CC5">
        <f t="shared" si="3"/>
        <v>0</v>
      </c>
      <c r="CD5">
        <f t="shared" si="3"/>
        <v>0</v>
      </c>
      <c r="CE5">
        <f t="shared" si="3"/>
        <v>0</v>
      </c>
      <c r="CF5">
        <f t="shared" si="3"/>
        <v>0</v>
      </c>
      <c r="CG5">
        <f t="shared" si="3"/>
        <v>0</v>
      </c>
      <c r="CH5">
        <f t="shared" si="3"/>
        <v>0</v>
      </c>
      <c r="CI5">
        <f t="shared" si="3"/>
        <v>0</v>
      </c>
      <c r="CJ5">
        <f t="shared" si="3"/>
        <v>0</v>
      </c>
      <c r="CK5">
        <f t="shared" si="3"/>
        <v>0</v>
      </c>
      <c r="CL5">
        <f t="shared" si="3"/>
        <v>0</v>
      </c>
      <c r="CM5">
        <f t="shared" si="3"/>
        <v>0</v>
      </c>
      <c r="CN5">
        <f t="shared" si="3"/>
        <v>0</v>
      </c>
      <c r="CO5">
        <f t="shared" si="3"/>
        <v>0</v>
      </c>
      <c r="CP5">
        <f t="shared" si="3"/>
        <v>0</v>
      </c>
    </row>
    <row r="6" ht="17.25" customHeight="1" hidden="1"/>
    <row r="7" ht="27.75" customHeight="1">
      <c r="B7" t="s">
        <v>2508</v>
      </c>
    </row>
    <row r="8" ht="8.25" customHeight="1"/>
    <row r="9" ht="8.25" customHeight="1"/>
    <row r="10" ht="13.5" customHeight="1"/>
    <row r="11" ht="15" customHeight="1"/>
    <row r="12" ht="15.75" customHeight="1"/>
    <row r="13" ht="6.75" customHeight="1"/>
    <row r="14" ht="6.75" customHeight="1"/>
    <row r="15" ht="18.75" customHeight="1">
      <c r="B15" t="s">
        <v>2509</v>
      </c>
      <c r="G15" t="str">
        <f>IF(RentRollTotalUnits=0,"-",IF(RentRoll_NmbrOfUnitsWithoutMatchingUnitType=0,"All Units have matching Unit Type",IF(RentRoll_NmbrOfUnitsWithoutMatchingUnitType&gt;1,RentRoll_NmbrOfUnitsWithoutMatchingUnitType&amp;"  Units below have","One (1)  Unit below has")&amp;" no matching Unit Type"))</f>
        <v>All Units have matching Unit Type</v>
      </c>
      <c r="P15" t="s">
        <v>2511</v>
      </c>
      <c r="Q15">
        <v>5</v>
      </c>
    </row>
    <row r="16" ht="18.75" customHeight="1">
      <c r="G16" t="str">
        <f>IF(RentRollTotalUnits=0,"-",IF(RentRoll_NmbrOfUnitTypesWithoutMatchingUnits=0,"All Unit Types have at least one matching Unit",IF(RentRoll_NmbrOfUnitTypesWithoutMatchingUnits&gt;1,RentRoll_NmbrOfUnitTypesWithoutMatchingUnits&amp;"  Unit Types have","One (1)  Unit Type has")&amp;" no matching Units"))</f>
        <v>All Unit Types have at least one matching Unit</v>
      </c>
      <c r="Q16" t="s">
        <v>2513</v>
      </c>
      <c r="IQ16" t="str">
        <f>IF(RentRoll_UnitTypeCount&lt;=78,"-","The Affordability Estimator is not configured for more than 78 Unit Types.")</f>
        <v>-</v>
      </c>
    </row>
    <row r="17" ht="14.25" customHeight="1">
      <c r="B17" t="s">
        <v>2514</v>
      </c>
      <c r="P17" t="s">
        <v>2515</v>
      </c>
      <c r="Q17">
        <v>1</v>
      </c>
      <c r="R17">
        <v>0</v>
      </c>
      <c r="S17">
        <v>2</v>
      </c>
      <c r="T17">
        <v>0</v>
      </c>
      <c r="U17">
        <v>0</v>
      </c>
      <c r="V17" t="s">
        <v>2516</v>
      </c>
      <c r="W17" t="s">
        <v>2516</v>
      </c>
      <c r="X17" t="s">
        <v>2516</v>
      </c>
      <c r="Y17" t="s">
        <v>2516</v>
      </c>
      <c r="Z17" t="s">
        <v>2516</v>
      </c>
      <c r="AA17" t="s">
        <v>2516</v>
      </c>
      <c r="AB17" t="s">
        <v>2516</v>
      </c>
      <c r="AC17" t="s">
        <v>2516</v>
      </c>
      <c r="AD17" t="s">
        <v>2516</v>
      </c>
      <c r="AE17" t="s">
        <v>2516</v>
      </c>
      <c r="AF17" t="s">
        <v>2516</v>
      </c>
      <c r="AG17" t="s">
        <v>2516</v>
      </c>
      <c r="AH17" t="s">
        <v>2516</v>
      </c>
      <c r="AI17" t="s">
        <v>2516</v>
      </c>
      <c r="AJ17" t="s">
        <v>2516</v>
      </c>
      <c r="AK17" t="s">
        <v>2516</v>
      </c>
      <c r="AL17" t="s">
        <v>2516</v>
      </c>
      <c r="AM17" t="s">
        <v>2516</v>
      </c>
      <c r="AN17" t="s">
        <v>2516</v>
      </c>
      <c r="AO17" t="s">
        <v>2516</v>
      </c>
      <c r="AP17" t="s">
        <v>2516</v>
      </c>
      <c r="AQ17" t="s">
        <v>2516</v>
      </c>
      <c r="AR17" t="s">
        <v>2516</v>
      </c>
      <c r="AS17" t="s">
        <v>2516</v>
      </c>
      <c r="AT17" t="s">
        <v>2516</v>
      </c>
      <c r="AU17" t="s">
        <v>2516</v>
      </c>
      <c r="AV17" t="s">
        <v>2516</v>
      </c>
      <c r="AW17" t="s">
        <v>2516</v>
      </c>
      <c r="AX17" t="s">
        <v>2516</v>
      </c>
      <c r="AY17" t="s">
        <v>2516</v>
      </c>
      <c r="AZ17" t="s">
        <v>2516</v>
      </c>
      <c r="BA17" t="s">
        <v>2516</v>
      </c>
      <c r="BB17" t="s">
        <v>2516</v>
      </c>
      <c r="BC17" t="s">
        <v>2516</v>
      </c>
      <c r="BD17" t="s">
        <v>2516</v>
      </c>
      <c r="BE17" t="s">
        <v>2516</v>
      </c>
      <c r="BF17" t="s">
        <v>2516</v>
      </c>
      <c r="BG17" t="s">
        <v>2516</v>
      </c>
      <c r="BH17" t="s">
        <v>2516</v>
      </c>
      <c r="BI17" t="s">
        <v>2516</v>
      </c>
      <c r="BJ17" t="s">
        <v>2516</v>
      </c>
      <c r="BK17" t="s">
        <v>2516</v>
      </c>
      <c r="BL17" t="s">
        <v>2516</v>
      </c>
      <c r="BM17" t="s">
        <v>2516</v>
      </c>
      <c r="BN17" t="s">
        <v>2516</v>
      </c>
      <c r="BO17" t="s">
        <v>2516</v>
      </c>
      <c r="BP17" t="s">
        <v>2516</v>
      </c>
      <c r="BQ17" t="s">
        <v>2516</v>
      </c>
      <c r="BR17" t="s">
        <v>2516</v>
      </c>
      <c r="BS17" t="s">
        <v>2516</v>
      </c>
      <c r="BT17" t="s">
        <v>2516</v>
      </c>
      <c r="BU17" t="s">
        <v>2516</v>
      </c>
      <c r="BV17" t="s">
        <v>2516</v>
      </c>
      <c r="BW17" t="s">
        <v>2516</v>
      </c>
      <c r="BX17" t="s">
        <v>2516</v>
      </c>
      <c r="BY17" t="s">
        <v>2516</v>
      </c>
      <c r="BZ17" t="s">
        <v>2516</v>
      </c>
      <c r="CA17" t="s">
        <v>2516</v>
      </c>
      <c r="CB17" t="s">
        <v>2516</v>
      </c>
      <c r="CC17" t="s">
        <v>2516</v>
      </c>
      <c r="CD17" t="s">
        <v>2516</v>
      </c>
      <c r="CE17" t="s">
        <v>2516</v>
      </c>
      <c r="CF17" t="s">
        <v>2516</v>
      </c>
      <c r="CG17" t="s">
        <v>2516</v>
      </c>
      <c r="CH17" t="s">
        <v>2516</v>
      </c>
      <c r="CI17" t="s">
        <v>2516</v>
      </c>
      <c r="CJ17" t="s">
        <v>2516</v>
      </c>
      <c r="CK17" t="s">
        <v>2516</v>
      </c>
      <c r="CL17" t="s">
        <v>2516</v>
      </c>
      <c r="CM17" t="s">
        <v>2516</v>
      </c>
      <c r="CN17" t="s">
        <v>2516</v>
      </c>
      <c r="CO17" t="s">
        <v>2516</v>
      </c>
      <c r="CP17" t="s">
        <v>2516</v>
      </c>
      <c r="CQ17" t="s">
        <v>2516</v>
      </c>
      <c r="CR17" t="s">
        <v>2516</v>
      </c>
      <c r="CS17" t="s">
        <v>2516</v>
      </c>
      <c r="CT17" t="s">
        <v>2516</v>
      </c>
      <c r="CU17" t="s">
        <v>2516</v>
      </c>
      <c r="CV17" t="s">
        <v>2516</v>
      </c>
      <c r="CW17" t="s">
        <v>2516</v>
      </c>
      <c r="CX17" t="s">
        <v>2516</v>
      </c>
      <c r="CY17" t="s">
        <v>2516</v>
      </c>
      <c r="CZ17" t="s">
        <v>2516</v>
      </c>
      <c r="DA17" t="s">
        <v>2516</v>
      </c>
      <c r="DB17" t="s">
        <v>2516</v>
      </c>
      <c r="DC17" t="s">
        <v>2516</v>
      </c>
      <c r="DD17" t="s">
        <v>2516</v>
      </c>
      <c r="DE17" t="s">
        <v>2516</v>
      </c>
      <c r="DF17" t="s">
        <v>2516</v>
      </c>
      <c r="DG17" t="s">
        <v>2516</v>
      </c>
      <c r="DH17" t="s">
        <v>2516</v>
      </c>
      <c r="DI17" t="s">
        <v>2516</v>
      </c>
      <c r="DJ17" t="s">
        <v>2516</v>
      </c>
      <c r="DK17" t="s">
        <v>2516</v>
      </c>
      <c r="DL17" t="s">
        <v>2516</v>
      </c>
      <c r="DM17" t="s">
        <v>2516</v>
      </c>
      <c r="DN17" t="s">
        <v>2516</v>
      </c>
      <c r="DO17" t="s">
        <v>2516</v>
      </c>
      <c r="DP17" t="s">
        <v>2516</v>
      </c>
      <c r="DQ17" t="s">
        <v>2516</v>
      </c>
      <c r="DR17" t="s">
        <v>2516</v>
      </c>
      <c r="DS17" t="s">
        <v>2516</v>
      </c>
      <c r="DT17" t="s">
        <v>2516</v>
      </c>
      <c r="DU17" t="s">
        <v>2516</v>
      </c>
      <c r="DV17" t="s">
        <v>2516</v>
      </c>
      <c r="DW17" t="s">
        <v>2516</v>
      </c>
      <c r="DX17" t="s">
        <v>2516</v>
      </c>
      <c r="DY17" t="s">
        <v>2516</v>
      </c>
      <c r="DZ17" t="s">
        <v>2516</v>
      </c>
      <c r="EA17" t="s">
        <v>2516</v>
      </c>
      <c r="EB17" t="s">
        <v>2516</v>
      </c>
      <c r="EC17" t="s">
        <v>2516</v>
      </c>
      <c r="ED17" t="s">
        <v>2516</v>
      </c>
      <c r="EE17" t="s">
        <v>2516</v>
      </c>
      <c r="EF17" t="s">
        <v>2516</v>
      </c>
      <c r="EG17" t="s">
        <v>2516</v>
      </c>
      <c r="EH17" t="s">
        <v>2516</v>
      </c>
      <c r="EI17" t="s">
        <v>2516</v>
      </c>
      <c r="EJ17" t="s">
        <v>2516</v>
      </c>
      <c r="EK17" t="s">
        <v>2516</v>
      </c>
      <c r="EL17" t="s">
        <v>2516</v>
      </c>
      <c r="EM17" t="s">
        <v>2516</v>
      </c>
      <c r="EN17" t="s">
        <v>2516</v>
      </c>
      <c r="EO17" t="s">
        <v>2516</v>
      </c>
      <c r="EP17" t="s">
        <v>2516</v>
      </c>
      <c r="EQ17" t="s">
        <v>2516</v>
      </c>
      <c r="ER17" t="s">
        <v>2516</v>
      </c>
      <c r="ES17" t="s">
        <v>2516</v>
      </c>
      <c r="ET17" t="s">
        <v>2516</v>
      </c>
      <c r="EU17" t="s">
        <v>2516</v>
      </c>
      <c r="EV17" t="s">
        <v>2516</v>
      </c>
      <c r="EW17" t="s">
        <v>2516</v>
      </c>
      <c r="EX17" t="s">
        <v>2516</v>
      </c>
      <c r="EY17" t="s">
        <v>2516</v>
      </c>
      <c r="EZ17" t="s">
        <v>2516</v>
      </c>
      <c r="FA17" t="s">
        <v>2517</v>
      </c>
    </row>
    <row r="18" ht="14.25" customHeight="1">
      <c r="P18" t="s">
        <v>2518</v>
      </c>
      <c r="Q18">
        <v>0</v>
      </c>
      <c r="R18">
        <v>0</v>
      </c>
      <c r="S18">
        <v>0</v>
      </c>
      <c r="T18">
        <v>0</v>
      </c>
      <c r="U18">
        <v>0</v>
      </c>
      <c r="V18" t="s">
        <v>2519</v>
      </c>
      <c r="W18" t="s">
        <v>2519</v>
      </c>
      <c r="X18" t="s">
        <v>2519</v>
      </c>
      <c r="Y18" t="s">
        <v>2519</v>
      </c>
      <c r="Z18" t="s">
        <v>2519</v>
      </c>
      <c r="AA18" t="s">
        <v>2519</v>
      </c>
      <c r="AB18" t="s">
        <v>2519</v>
      </c>
      <c r="AC18" t="s">
        <v>2519</v>
      </c>
      <c r="AD18" t="s">
        <v>2519</v>
      </c>
      <c r="AE18" t="s">
        <v>2519</v>
      </c>
      <c r="AF18" t="s">
        <v>2519</v>
      </c>
      <c r="AG18" t="s">
        <v>2519</v>
      </c>
      <c r="AH18" t="s">
        <v>2519</v>
      </c>
      <c r="AI18" t="s">
        <v>2519</v>
      </c>
      <c r="AJ18" t="s">
        <v>2519</v>
      </c>
      <c r="AK18" t="s">
        <v>2519</v>
      </c>
      <c r="AL18" t="s">
        <v>2519</v>
      </c>
      <c r="AM18" t="s">
        <v>2519</v>
      </c>
      <c r="AN18" t="s">
        <v>2519</v>
      </c>
      <c r="AO18" t="s">
        <v>2519</v>
      </c>
      <c r="AP18" t="s">
        <v>2519</v>
      </c>
      <c r="AQ18" t="s">
        <v>2519</v>
      </c>
      <c r="AR18" t="s">
        <v>2519</v>
      </c>
      <c r="AS18" t="s">
        <v>2519</v>
      </c>
      <c r="AT18" t="s">
        <v>2519</v>
      </c>
      <c r="AU18" t="s">
        <v>2519</v>
      </c>
      <c r="AV18" t="s">
        <v>2519</v>
      </c>
      <c r="AW18" t="s">
        <v>2519</v>
      </c>
      <c r="AX18" t="s">
        <v>2519</v>
      </c>
      <c r="AY18" t="s">
        <v>2519</v>
      </c>
      <c r="AZ18" t="s">
        <v>2519</v>
      </c>
      <c r="BA18" t="s">
        <v>2519</v>
      </c>
      <c r="BB18" t="s">
        <v>2519</v>
      </c>
      <c r="BC18" t="s">
        <v>2519</v>
      </c>
      <c r="BD18" t="s">
        <v>2519</v>
      </c>
      <c r="BE18" t="s">
        <v>2519</v>
      </c>
      <c r="BF18" t="s">
        <v>2519</v>
      </c>
      <c r="BG18" t="s">
        <v>2519</v>
      </c>
      <c r="BH18" t="s">
        <v>2519</v>
      </c>
      <c r="BI18" t="s">
        <v>2519</v>
      </c>
      <c r="BJ18" t="s">
        <v>2519</v>
      </c>
      <c r="BK18" t="s">
        <v>2519</v>
      </c>
      <c r="BL18" t="s">
        <v>2519</v>
      </c>
      <c r="BM18" t="s">
        <v>2519</v>
      </c>
      <c r="BN18" t="s">
        <v>2519</v>
      </c>
      <c r="BO18" t="s">
        <v>2519</v>
      </c>
      <c r="BP18" t="s">
        <v>2519</v>
      </c>
      <c r="BQ18" t="s">
        <v>2519</v>
      </c>
      <c r="BR18" t="s">
        <v>2519</v>
      </c>
      <c r="BS18" t="s">
        <v>2519</v>
      </c>
      <c r="BT18" t="s">
        <v>2519</v>
      </c>
      <c r="BU18" t="s">
        <v>2519</v>
      </c>
      <c r="BV18" t="s">
        <v>2519</v>
      </c>
      <c r="BW18" t="s">
        <v>2519</v>
      </c>
      <c r="BX18" t="s">
        <v>2519</v>
      </c>
      <c r="BY18" t="s">
        <v>2519</v>
      </c>
      <c r="BZ18" t="s">
        <v>2519</v>
      </c>
      <c r="CA18" t="s">
        <v>2519</v>
      </c>
      <c r="CB18" t="s">
        <v>2519</v>
      </c>
      <c r="CC18" t="s">
        <v>2519</v>
      </c>
      <c r="CD18" t="s">
        <v>2519</v>
      </c>
      <c r="CE18" t="s">
        <v>2519</v>
      </c>
      <c r="CF18" t="s">
        <v>2519</v>
      </c>
      <c r="CG18" t="s">
        <v>2519</v>
      </c>
      <c r="CH18" t="s">
        <v>2519</v>
      </c>
      <c r="CI18" t="s">
        <v>2519</v>
      </c>
      <c r="CJ18" t="s">
        <v>2519</v>
      </c>
      <c r="CK18" t="s">
        <v>2519</v>
      </c>
      <c r="CL18" t="s">
        <v>2519</v>
      </c>
      <c r="CM18" t="s">
        <v>2519</v>
      </c>
      <c r="CN18" t="s">
        <v>2519</v>
      </c>
      <c r="CO18" t="s">
        <v>2519</v>
      </c>
      <c r="CP18" t="s">
        <v>2519</v>
      </c>
      <c r="CQ18" t="s">
        <v>2519</v>
      </c>
      <c r="CR18" t="s">
        <v>2519</v>
      </c>
      <c r="CS18" t="s">
        <v>2519</v>
      </c>
      <c r="CT18" t="s">
        <v>2519</v>
      </c>
      <c r="CU18" t="s">
        <v>2519</v>
      </c>
      <c r="CV18" t="s">
        <v>2519</v>
      </c>
      <c r="CW18" t="s">
        <v>2519</v>
      </c>
      <c r="CX18" t="s">
        <v>2519</v>
      </c>
      <c r="CY18" t="s">
        <v>2519</v>
      </c>
      <c r="CZ18" t="s">
        <v>2519</v>
      </c>
      <c r="DA18" t="s">
        <v>2519</v>
      </c>
      <c r="DB18" t="s">
        <v>2519</v>
      </c>
      <c r="DC18" t="s">
        <v>2519</v>
      </c>
      <c r="DD18" t="s">
        <v>2519</v>
      </c>
      <c r="DE18" t="s">
        <v>2519</v>
      </c>
      <c r="DF18" t="s">
        <v>2519</v>
      </c>
      <c r="DG18" t="s">
        <v>2519</v>
      </c>
      <c r="DH18" t="s">
        <v>2519</v>
      </c>
      <c r="DI18" t="s">
        <v>2519</v>
      </c>
      <c r="DJ18" t="s">
        <v>2519</v>
      </c>
      <c r="DK18" t="s">
        <v>2519</v>
      </c>
      <c r="DL18" t="s">
        <v>2519</v>
      </c>
      <c r="DM18" t="s">
        <v>2519</v>
      </c>
      <c r="DN18" t="s">
        <v>2519</v>
      </c>
      <c r="DO18" t="s">
        <v>2519</v>
      </c>
      <c r="DP18" t="s">
        <v>2519</v>
      </c>
      <c r="DQ18" t="s">
        <v>2519</v>
      </c>
      <c r="DR18" t="s">
        <v>2519</v>
      </c>
      <c r="DS18" t="s">
        <v>2519</v>
      </c>
      <c r="DT18" t="s">
        <v>2519</v>
      </c>
      <c r="DU18" t="s">
        <v>2519</v>
      </c>
      <c r="DV18" t="s">
        <v>2519</v>
      </c>
      <c r="DW18" t="s">
        <v>2519</v>
      </c>
      <c r="DX18" t="s">
        <v>2519</v>
      </c>
      <c r="DY18" t="s">
        <v>2519</v>
      </c>
      <c r="DZ18" t="s">
        <v>2519</v>
      </c>
      <c r="EA18" t="s">
        <v>2519</v>
      </c>
      <c r="EB18" t="s">
        <v>2519</v>
      </c>
      <c r="EC18" t="s">
        <v>2519</v>
      </c>
      <c r="ED18" t="s">
        <v>2519</v>
      </c>
      <c r="EE18" t="s">
        <v>2519</v>
      </c>
      <c r="EF18" t="s">
        <v>2519</v>
      </c>
      <c r="EG18" t="s">
        <v>2519</v>
      </c>
      <c r="EH18" t="s">
        <v>2519</v>
      </c>
      <c r="EI18" t="s">
        <v>2519</v>
      </c>
      <c r="EJ18" t="s">
        <v>2519</v>
      </c>
      <c r="EK18" t="s">
        <v>2519</v>
      </c>
      <c r="EL18" t="s">
        <v>2519</v>
      </c>
      <c r="EM18" t="s">
        <v>2519</v>
      </c>
      <c r="EN18" t="s">
        <v>2519</v>
      </c>
      <c r="EO18" t="s">
        <v>2519</v>
      </c>
      <c r="EP18" t="s">
        <v>2519</v>
      </c>
      <c r="EQ18" t="s">
        <v>2519</v>
      </c>
      <c r="ER18" t="s">
        <v>2519</v>
      </c>
      <c r="ES18" t="s">
        <v>2519</v>
      </c>
      <c r="ET18" t="s">
        <v>2519</v>
      </c>
      <c r="EU18" t="s">
        <v>2519</v>
      </c>
      <c r="EV18" t="s">
        <v>2519</v>
      </c>
      <c r="EW18" t="s">
        <v>2519</v>
      </c>
      <c r="EX18" t="s">
        <v>2519</v>
      </c>
      <c r="EY18" t="s">
        <v>2519</v>
      </c>
      <c r="EZ18" t="s">
        <v>2519</v>
      </c>
      <c r="FA18" t="s">
        <v>2520</v>
      </c>
      <c r="FF18" t="s">
        <v>2521</v>
      </c>
    </row>
    <row r="19" ht="21" customHeight="1">
      <c r="P19" t="s">
        <v>2522</v>
      </c>
      <c r="Q19" t="str">
        <f t="shared" si="4" ref="Q19:EZ19">Q17&amp;" / "&amp;Q18</f>
        <v>1 / 0</v>
      </c>
      <c r="R19" t="str">
        <f t="shared" si="4"/>
        <v>0 / 0</v>
      </c>
      <c r="S19" t="str">
        <f t="shared" si="4"/>
        <v>2 / 0</v>
      </c>
      <c r="T19" t="str">
        <f t="shared" si="4"/>
        <v>0 / 0</v>
      </c>
      <c r="U19" t="str">
        <f t="shared" si="4"/>
        <v>0 / 0</v>
      </c>
      <c r="V19" t="str">
        <f t="shared" si="4"/>
        <v># Bedrooms / # Baths</v>
      </c>
      <c r="W19" t="str">
        <f t="shared" si="4"/>
        <v># Bedrooms / # Baths</v>
      </c>
      <c r="X19" t="str">
        <f t="shared" si="4"/>
        <v># Bedrooms / # Baths</v>
      </c>
      <c r="Y19" t="str">
        <f t="shared" si="4"/>
        <v># Bedrooms / # Baths</v>
      </c>
      <c r="Z19" t="str">
        <f t="shared" si="4"/>
        <v># Bedrooms / # Baths</v>
      </c>
      <c r="AA19" t="str">
        <f t="shared" si="4"/>
        <v># Bedrooms / # Baths</v>
      </c>
      <c r="AB19" t="str">
        <f t="shared" si="4"/>
        <v># Bedrooms / # Baths</v>
      </c>
      <c r="AC19" t="str">
        <f t="shared" si="4"/>
        <v># Bedrooms / # Baths</v>
      </c>
      <c r="AD19" t="str">
        <f t="shared" si="4"/>
        <v># Bedrooms / # Baths</v>
      </c>
      <c r="AE19" t="str">
        <f t="shared" si="4"/>
        <v># Bedrooms / # Baths</v>
      </c>
      <c r="AF19" t="str">
        <f t="shared" si="4"/>
        <v># Bedrooms / # Baths</v>
      </c>
      <c r="AG19" t="str">
        <f t="shared" si="4"/>
        <v># Bedrooms / # Baths</v>
      </c>
      <c r="AH19" t="str">
        <f t="shared" si="4"/>
        <v># Bedrooms / # Baths</v>
      </c>
      <c r="AI19" t="str">
        <f t="shared" si="4"/>
        <v># Bedrooms / # Baths</v>
      </c>
      <c r="AJ19" t="str">
        <f t="shared" si="4"/>
        <v># Bedrooms / # Baths</v>
      </c>
      <c r="AK19" t="str">
        <f t="shared" si="4"/>
        <v># Bedrooms / # Baths</v>
      </c>
      <c r="AL19" t="str">
        <f t="shared" si="4"/>
        <v># Bedrooms / # Baths</v>
      </c>
      <c r="AM19" t="str">
        <f t="shared" si="4"/>
        <v># Bedrooms / # Baths</v>
      </c>
      <c r="AN19" t="str">
        <f t="shared" si="4"/>
        <v># Bedrooms / # Baths</v>
      </c>
      <c r="AO19" t="str">
        <f t="shared" si="4"/>
        <v># Bedrooms / # Baths</v>
      </c>
      <c r="AP19" t="str">
        <f t="shared" si="4"/>
        <v># Bedrooms / # Baths</v>
      </c>
      <c r="AQ19" t="str">
        <f t="shared" si="4"/>
        <v># Bedrooms / # Baths</v>
      </c>
      <c r="AR19" t="str">
        <f t="shared" si="4"/>
        <v># Bedrooms / # Baths</v>
      </c>
      <c r="AS19" t="str">
        <f t="shared" si="4"/>
        <v># Bedrooms / # Baths</v>
      </c>
      <c r="AT19" t="str">
        <f t="shared" si="4"/>
        <v># Bedrooms / # Baths</v>
      </c>
      <c r="AU19" t="str">
        <f t="shared" si="4"/>
        <v># Bedrooms / # Baths</v>
      </c>
      <c r="AV19" t="str">
        <f t="shared" si="4"/>
        <v># Bedrooms / # Baths</v>
      </c>
      <c r="AW19" t="str">
        <f t="shared" si="4"/>
        <v># Bedrooms / # Baths</v>
      </c>
      <c r="AX19" t="str">
        <f t="shared" si="4"/>
        <v># Bedrooms / # Baths</v>
      </c>
      <c r="AY19" t="str">
        <f t="shared" si="4"/>
        <v># Bedrooms / # Baths</v>
      </c>
      <c r="AZ19" t="str">
        <f t="shared" si="4"/>
        <v># Bedrooms / # Baths</v>
      </c>
      <c r="BA19" t="str">
        <f t="shared" si="4"/>
        <v># Bedrooms / # Baths</v>
      </c>
      <c r="BB19" t="str">
        <f t="shared" si="4"/>
        <v># Bedrooms / # Baths</v>
      </c>
      <c r="BC19" t="str">
        <f t="shared" si="4"/>
        <v># Bedrooms / # Baths</v>
      </c>
      <c r="BD19" t="str">
        <f t="shared" si="4"/>
        <v># Bedrooms / # Baths</v>
      </c>
      <c r="BE19" t="str">
        <f t="shared" si="4"/>
        <v># Bedrooms / # Baths</v>
      </c>
      <c r="BF19" t="str">
        <f t="shared" si="4"/>
        <v># Bedrooms / # Baths</v>
      </c>
      <c r="BG19" t="str">
        <f t="shared" si="4"/>
        <v># Bedrooms / # Baths</v>
      </c>
      <c r="BH19" t="str">
        <f t="shared" si="4"/>
        <v># Bedrooms / # Baths</v>
      </c>
      <c r="BI19" t="str">
        <f t="shared" si="4"/>
        <v># Bedrooms / # Baths</v>
      </c>
      <c r="BJ19" t="str">
        <f t="shared" si="4"/>
        <v># Bedrooms / # Baths</v>
      </c>
      <c r="BK19" t="str">
        <f t="shared" si="4"/>
        <v># Bedrooms / # Baths</v>
      </c>
      <c r="BL19" t="str">
        <f t="shared" si="4"/>
        <v># Bedrooms / # Baths</v>
      </c>
      <c r="BM19" t="str">
        <f t="shared" si="4"/>
        <v># Bedrooms / # Baths</v>
      </c>
      <c r="BN19" t="str">
        <f t="shared" si="4"/>
        <v># Bedrooms / # Baths</v>
      </c>
      <c r="BO19" t="str">
        <f t="shared" si="4"/>
        <v># Bedrooms / # Baths</v>
      </c>
      <c r="BP19" t="str">
        <f t="shared" si="4"/>
        <v># Bedrooms / # Baths</v>
      </c>
      <c r="BQ19" t="str">
        <f t="shared" si="4"/>
        <v># Bedrooms / # Baths</v>
      </c>
      <c r="BR19" t="str">
        <f t="shared" si="4"/>
        <v># Bedrooms / # Baths</v>
      </c>
      <c r="BS19" t="str">
        <f t="shared" si="4"/>
        <v># Bedrooms / # Baths</v>
      </c>
      <c r="BT19" t="str">
        <f t="shared" si="4"/>
        <v># Bedrooms / # Baths</v>
      </c>
      <c r="BU19" t="str">
        <f t="shared" si="4"/>
        <v># Bedrooms / # Baths</v>
      </c>
      <c r="BV19" t="str">
        <f t="shared" si="4"/>
        <v># Bedrooms / # Baths</v>
      </c>
      <c r="BW19" t="str">
        <f t="shared" si="4"/>
        <v># Bedrooms / # Baths</v>
      </c>
      <c r="BX19" t="str">
        <f t="shared" si="4"/>
        <v># Bedrooms / # Baths</v>
      </c>
      <c r="BY19" t="str">
        <f t="shared" si="4"/>
        <v># Bedrooms / # Baths</v>
      </c>
      <c r="BZ19" t="str">
        <f t="shared" si="4"/>
        <v># Bedrooms / # Baths</v>
      </c>
      <c r="CA19" t="str">
        <f t="shared" si="4"/>
        <v># Bedrooms / # Baths</v>
      </c>
      <c r="CB19" t="str">
        <f t="shared" si="4"/>
        <v># Bedrooms / # Baths</v>
      </c>
      <c r="CC19" t="str">
        <f t="shared" si="4"/>
        <v># Bedrooms / # Baths</v>
      </c>
      <c r="CD19" t="str">
        <f t="shared" si="4"/>
        <v># Bedrooms / # Baths</v>
      </c>
      <c r="CE19" t="str">
        <f t="shared" si="4"/>
        <v># Bedrooms / # Baths</v>
      </c>
      <c r="CF19" t="str">
        <f t="shared" si="4"/>
        <v># Bedrooms / # Baths</v>
      </c>
      <c r="CG19" t="str">
        <f t="shared" si="4"/>
        <v># Bedrooms / # Baths</v>
      </c>
      <c r="CH19" t="str">
        <f t="shared" si="4"/>
        <v># Bedrooms / # Baths</v>
      </c>
      <c r="CI19" t="str">
        <f t="shared" si="4"/>
        <v># Bedrooms / # Baths</v>
      </c>
      <c r="CJ19" t="str">
        <f t="shared" si="4"/>
        <v># Bedrooms / # Baths</v>
      </c>
      <c r="CK19" t="str">
        <f t="shared" si="4"/>
        <v># Bedrooms / # Baths</v>
      </c>
      <c r="CL19" t="str">
        <f t="shared" si="4"/>
        <v># Bedrooms / # Baths</v>
      </c>
      <c r="CM19" t="str">
        <f t="shared" si="4"/>
        <v># Bedrooms / # Baths</v>
      </c>
      <c r="CN19" t="str">
        <f t="shared" si="4"/>
        <v># Bedrooms / # Baths</v>
      </c>
      <c r="CO19" t="str">
        <f t="shared" si="4"/>
        <v># Bedrooms / # Baths</v>
      </c>
      <c r="CP19" t="str">
        <f t="shared" si="4"/>
        <v># Bedrooms / # Baths</v>
      </c>
      <c r="CQ19" t="str">
        <f t="shared" si="4"/>
        <v># Bedrooms / # Baths</v>
      </c>
      <c r="CR19" t="str">
        <f t="shared" si="4"/>
        <v># Bedrooms / # Baths</v>
      </c>
      <c r="CS19" t="str">
        <f t="shared" si="4"/>
        <v># Bedrooms / # Baths</v>
      </c>
      <c r="CT19" t="str">
        <f t="shared" si="4"/>
        <v># Bedrooms / # Baths</v>
      </c>
      <c r="CU19" t="str">
        <f t="shared" si="4"/>
        <v># Bedrooms / # Baths</v>
      </c>
      <c r="CV19" t="str">
        <f t="shared" si="4"/>
        <v># Bedrooms / # Baths</v>
      </c>
      <c r="CW19" t="str">
        <f t="shared" si="4"/>
        <v># Bedrooms / # Baths</v>
      </c>
      <c r="CX19" t="str">
        <f t="shared" si="4"/>
        <v># Bedrooms / # Baths</v>
      </c>
      <c r="CY19" t="str">
        <f t="shared" si="4"/>
        <v># Bedrooms / # Baths</v>
      </c>
      <c r="CZ19" t="str">
        <f t="shared" si="4"/>
        <v># Bedrooms / # Baths</v>
      </c>
      <c r="DA19" t="str">
        <f t="shared" si="4"/>
        <v># Bedrooms / # Baths</v>
      </c>
      <c r="DB19" t="str">
        <f t="shared" si="4"/>
        <v># Bedrooms / # Baths</v>
      </c>
      <c r="DC19" t="str">
        <f t="shared" si="4"/>
        <v># Bedrooms / # Baths</v>
      </c>
      <c r="DD19" t="str">
        <f t="shared" si="4"/>
        <v># Bedrooms / # Baths</v>
      </c>
      <c r="DE19" t="str">
        <f t="shared" si="4"/>
        <v># Bedrooms / # Baths</v>
      </c>
      <c r="DF19" t="str">
        <f t="shared" si="4"/>
        <v># Bedrooms / # Baths</v>
      </c>
      <c r="DG19" t="str">
        <f t="shared" si="4"/>
        <v># Bedrooms / # Baths</v>
      </c>
      <c r="DH19" t="str">
        <f t="shared" si="4"/>
        <v># Bedrooms / # Baths</v>
      </c>
      <c r="DI19" t="str">
        <f t="shared" si="4"/>
        <v># Bedrooms / # Baths</v>
      </c>
      <c r="DJ19" t="str">
        <f t="shared" si="4"/>
        <v># Bedrooms / # Baths</v>
      </c>
      <c r="DK19" t="str">
        <f t="shared" si="4"/>
        <v># Bedrooms / # Baths</v>
      </c>
      <c r="DL19" t="str">
        <f t="shared" si="4"/>
        <v># Bedrooms / # Baths</v>
      </c>
      <c r="DM19" t="str">
        <f t="shared" si="4"/>
        <v># Bedrooms / # Baths</v>
      </c>
      <c r="DN19" t="str">
        <f t="shared" si="4"/>
        <v># Bedrooms / # Baths</v>
      </c>
      <c r="DO19" t="str">
        <f t="shared" si="4"/>
        <v># Bedrooms / # Baths</v>
      </c>
      <c r="DP19" t="str">
        <f t="shared" si="4"/>
        <v># Bedrooms / # Baths</v>
      </c>
      <c r="DQ19" t="str">
        <f t="shared" si="4"/>
        <v># Bedrooms / # Baths</v>
      </c>
      <c r="DR19" t="str">
        <f t="shared" si="4"/>
        <v># Bedrooms / # Baths</v>
      </c>
      <c r="DS19" t="str">
        <f t="shared" si="4"/>
        <v># Bedrooms / # Baths</v>
      </c>
      <c r="DT19" t="str">
        <f t="shared" si="4"/>
        <v># Bedrooms / # Baths</v>
      </c>
      <c r="DU19" t="str">
        <f t="shared" si="4"/>
        <v># Bedrooms / # Baths</v>
      </c>
      <c r="DV19" t="str">
        <f t="shared" si="4"/>
        <v># Bedrooms / # Baths</v>
      </c>
      <c r="DW19" t="str">
        <f t="shared" si="4"/>
        <v># Bedrooms / # Baths</v>
      </c>
      <c r="DX19" t="str">
        <f t="shared" si="4"/>
        <v># Bedrooms / # Baths</v>
      </c>
      <c r="DY19" t="str">
        <f t="shared" si="4"/>
        <v># Bedrooms / # Baths</v>
      </c>
      <c r="DZ19" t="str">
        <f t="shared" si="4"/>
        <v># Bedrooms / # Baths</v>
      </c>
      <c r="EA19" t="str">
        <f t="shared" si="4"/>
        <v># Bedrooms / # Baths</v>
      </c>
      <c r="EB19" t="str">
        <f t="shared" si="4"/>
        <v># Bedrooms / # Baths</v>
      </c>
      <c r="EC19" t="str">
        <f t="shared" si="4"/>
        <v># Bedrooms / # Baths</v>
      </c>
      <c r="ED19" t="str">
        <f t="shared" si="4"/>
        <v># Bedrooms / # Baths</v>
      </c>
      <c r="EE19" t="str">
        <f t="shared" si="4"/>
        <v># Bedrooms / # Baths</v>
      </c>
      <c r="EF19" t="str">
        <f t="shared" si="4"/>
        <v># Bedrooms / # Baths</v>
      </c>
      <c r="EG19" t="str">
        <f t="shared" si="4"/>
        <v># Bedrooms / # Baths</v>
      </c>
      <c r="EH19" t="str">
        <f t="shared" si="4"/>
        <v># Bedrooms / # Baths</v>
      </c>
      <c r="EI19" t="str">
        <f t="shared" si="4"/>
        <v># Bedrooms / # Baths</v>
      </c>
      <c r="EJ19" t="str">
        <f t="shared" si="4"/>
        <v># Bedrooms / # Baths</v>
      </c>
      <c r="EK19" t="str">
        <f t="shared" si="4"/>
        <v># Bedrooms / # Baths</v>
      </c>
      <c r="EL19" t="str">
        <f t="shared" si="4"/>
        <v># Bedrooms / # Baths</v>
      </c>
      <c r="EM19" t="str">
        <f t="shared" si="4"/>
        <v># Bedrooms / # Baths</v>
      </c>
      <c r="EN19" t="str">
        <f t="shared" si="4"/>
        <v># Bedrooms / # Baths</v>
      </c>
      <c r="EO19" t="str">
        <f t="shared" si="4"/>
        <v># Bedrooms / # Baths</v>
      </c>
      <c r="EP19" t="str">
        <f t="shared" si="4"/>
        <v># Bedrooms / # Baths</v>
      </c>
      <c r="EQ19" t="str">
        <f t="shared" si="4"/>
        <v># Bedrooms / # Baths</v>
      </c>
      <c r="ER19" t="str">
        <f t="shared" si="4"/>
        <v># Bedrooms / # Baths</v>
      </c>
      <c r="ES19" t="str">
        <f t="shared" si="4"/>
        <v># Bedrooms / # Baths</v>
      </c>
      <c r="ET19" t="str">
        <f t="shared" si="4"/>
        <v># Bedrooms / # Baths</v>
      </c>
      <c r="EU19" t="str">
        <f t="shared" si="4"/>
        <v># Bedrooms / # Baths</v>
      </c>
      <c r="EV19" t="str">
        <f t="shared" si="4"/>
        <v># Bedrooms / # Baths</v>
      </c>
      <c r="EW19" t="str">
        <f t="shared" si="4"/>
        <v># Bedrooms / # Baths</v>
      </c>
      <c r="EX19" t="str">
        <f t="shared" si="4"/>
        <v># Bedrooms / # Baths</v>
      </c>
      <c r="EY19" t="str">
        <f t="shared" si="4"/>
        <v># Bedrooms / # Baths</v>
      </c>
      <c r="EZ19" t="str">
        <f t="shared" si="4"/>
        <v># Bedrooms / # Baths</v>
      </c>
      <c r="FA19" t="s">
        <v>2527</v>
      </c>
      <c r="FC19" t="s">
        <v>2527</v>
      </c>
      <c r="FF19" t="s">
        <v>1055</v>
      </c>
      <c r="IR19" t="s">
        <v>2527</v>
      </c>
      <c r="JH19" t="s">
        <v>2527</v>
      </c>
    </row>
    <row r="20" ht="14.25" customHeight="1">
      <c r="P20" t="s">
        <v>2528</v>
      </c>
      <c r="Q20" t="s">
        <v>2529</v>
      </c>
      <c r="R20" t="s">
        <v>2530</v>
      </c>
      <c r="S20" t="s">
        <v>2531</v>
      </c>
      <c r="T20" t="s">
        <v>2532</v>
      </c>
      <c r="U20" t="s">
        <v>2533</v>
      </c>
      <c r="V20" t="s">
        <v>2534</v>
      </c>
      <c r="W20" t="s">
        <v>2535</v>
      </c>
      <c r="X20" t="s">
        <v>2536</v>
      </c>
      <c r="Y20" t="s">
        <v>2537</v>
      </c>
      <c r="Z20" t="s">
        <v>2538</v>
      </c>
      <c r="AA20" t="s">
        <v>2539</v>
      </c>
      <c r="AB20" t="s">
        <v>2540</v>
      </c>
      <c r="AC20" t="s">
        <v>2541</v>
      </c>
      <c r="AD20" t="s">
        <v>2542</v>
      </c>
      <c r="AE20" t="s">
        <v>2543</v>
      </c>
      <c r="AF20" t="s">
        <v>2544</v>
      </c>
      <c r="AG20" t="s">
        <v>2545</v>
      </c>
      <c r="AH20" t="s">
        <v>2546</v>
      </c>
      <c r="AI20" t="s">
        <v>2547</v>
      </c>
      <c r="AJ20" t="s">
        <v>2548</v>
      </c>
      <c r="AK20" t="s">
        <v>2549</v>
      </c>
      <c r="AL20" t="s">
        <v>2550</v>
      </c>
      <c r="AM20" t="s">
        <v>2551</v>
      </c>
      <c r="AN20" t="s">
        <v>2552</v>
      </c>
      <c r="AO20" t="s">
        <v>2553</v>
      </c>
      <c r="AP20" t="s">
        <v>2554</v>
      </c>
      <c r="AQ20" t="s">
        <v>2555</v>
      </c>
      <c r="AR20" t="s">
        <v>2556</v>
      </c>
      <c r="AS20" t="s">
        <v>2557</v>
      </c>
      <c r="AT20" t="s">
        <v>2558</v>
      </c>
      <c r="AU20" t="s">
        <v>2559</v>
      </c>
      <c r="AV20" t="s">
        <v>2560</v>
      </c>
      <c r="AW20" t="s">
        <v>2561</v>
      </c>
      <c r="AX20" t="s">
        <v>2562</v>
      </c>
      <c r="AY20" t="s">
        <v>2563</v>
      </c>
      <c r="AZ20" t="s">
        <v>2564</v>
      </c>
      <c r="BA20" t="s">
        <v>2565</v>
      </c>
      <c r="BB20" t="s">
        <v>2566</v>
      </c>
      <c r="BC20" t="s">
        <v>2567</v>
      </c>
      <c r="BD20" t="s">
        <v>2568</v>
      </c>
      <c r="BE20" t="s">
        <v>2569</v>
      </c>
      <c r="BF20" t="s">
        <v>2570</v>
      </c>
      <c r="BG20" t="s">
        <v>2571</v>
      </c>
      <c r="BH20" t="s">
        <v>2572</v>
      </c>
      <c r="BI20" t="s">
        <v>2573</v>
      </c>
      <c r="BJ20" t="s">
        <v>2574</v>
      </c>
      <c r="BK20" t="s">
        <v>2575</v>
      </c>
      <c r="BL20" t="s">
        <v>2576</v>
      </c>
      <c r="BM20" t="s">
        <v>2577</v>
      </c>
      <c r="BN20" t="s">
        <v>2578</v>
      </c>
      <c r="BO20" t="s">
        <v>2579</v>
      </c>
      <c r="BP20" t="s">
        <v>2580</v>
      </c>
      <c r="BQ20" t="s">
        <v>2581</v>
      </c>
      <c r="BR20" t="s">
        <v>2582</v>
      </c>
      <c r="BS20" t="s">
        <v>2583</v>
      </c>
      <c r="BT20" t="s">
        <v>2584</v>
      </c>
      <c r="BU20" t="s">
        <v>2585</v>
      </c>
      <c r="BV20" t="s">
        <v>2586</v>
      </c>
      <c r="BW20" t="s">
        <v>2587</v>
      </c>
      <c r="BX20" t="s">
        <v>2588</v>
      </c>
      <c r="BY20" t="s">
        <v>2589</v>
      </c>
      <c r="BZ20" t="s">
        <v>2590</v>
      </c>
      <c r="CA20" t="s">
        <v>2591</v>
      </c>
      <c r="CB20" t="s">
        <v>2592</v>
      </c>
      <c r="CC20" t="s">
        <v>2593</v>
      </c>
      <c r="CD20" t="s">
        <v>2594</v>
      </c>
      <c r="CE20" t="s">
        <v>2595</v>
      </c>
      <c r="CF20" t="s">
        <v>2596</v>
      </c>
      <c r="CG20" t="s">
        <v>2597</v>
      </c>
      <c r="CH20" t="s">
        <v>2598</v>
      </c>
      <c r="CI20" t="s">
        <v>2599</v>
      </c>
      <c r="CJ20" t="s">
        <v>2600</v>
      </c>
      <c r="CK20" t="s">
        <v>2601</v>
      </c>
      <c r="CL20" t="s">
        <v>2602</v>
      </c>
      <c r="CM20" t="s">
        <v>2603</v>
      </c>
      <c r="CN20" t="s">
        <v>2604</v>
      </c>
      <c r="CO20" t="s">
        <v>2605</v>
      </c>
      <c r="CP20" t="s">
        <v>2606</v>
      </c>
      <c r="CQ20" t="s">
        <v>2607</v>
      </c>
      <c r="CR20" t="s">
        <v>2608</v>
      </c>
      <c r="CS20" t="s">
        <v>2609</v>
      </c>
      <c r="CT20" t="s">
        <v>2610</v>
      </c>
      <c r="CU20" t="s">
        <v>2611</v>
      </c>
      <c r="CV20" t="s">
        <v>2612</v>
      </c>
      <c r="CW20" t="s">
        <v>2613</v>
      </c>
      <c r="CX20" t="s">
        <v>2614</v>
      </c>
      <c r="CY20" t="s">
        <v>2615</v>
      </c>
      <c r="CZ20" t="s">
        <v>2616</v>
      </c>
      <c r="DA20" t="s">
        <v>2617</v>
      </c>
      <c r="DB20" t="s">
        <v>2618</v>
      </c>
      <c r="DC20" t="s">
        <v>2619</v>
      </c>
      <c r="DD20" t="s">
        <v>2620</v>
      </c>
      <c r="DE20" t="s">
        <v>2621</v>
      </c>
      <c r="DF20" t="s">
        <v>2622</v>
      </c>
      <c r="DG20" t="s">
        <v>2623</v>
      </c>
      <c r="DH20" t="s">
        <v>2624</v>
      </c>
      <c r="DI20" t="s">
        <v>2625</v>
      </c>
      <c r="DJ20" t="s">
        <v>2626</v>
      </c>
      <c r="DK20" t="s">
        <v>2627</v>
      </c>
      <c r="DL20" t="s">
        <v>2628</v>
      </c>
      <c r="DM20" t="s">
        <v>2629</v>
      </c>
      <c r="DN20" t="s">
        <v>2630</v>
      </c>
      <c r="DO20" t="s">
        <v>2631</v>
      </c>
      <c r="DP20" t="s">
        <v>2632</v>
      </c>
      <c r="DQ20" t="s">
        <v>2633</v>
      </c>
      <c r="DR20" t="s">
        <v>2634</v>
      </c>
      <c r="DS20" t="s">
        <v>2635</v>
      </c>
      <c r="DT20" t="s">
        <v>2636</v>
      </c>
      <c r="DU20" t="s">
        <v>2637</v>
      </c>
      <c r="DV20" t="s">
        <v>2638</v>
      </c>
      <c r="DW20" t="s">
        <v>2639</v>
      </c>
      <c r="DX20" t="s">
        <v>2640</v>
      </c>
      <c r="DY20" t="s">
        <v>2641</v>
      </c>
      <c r="DZ20" t="s">
        <v>2642</v>
      </c>
      <c r="EA20" t="s">
        <v>2643</v>
      </c>
      <c r="EB20" t="s">
        <v>2644</v>
      </c>
      <c r="EC20" t="s">
        <v>2645</v>
      </c>
      <c r="ED20" t="s">
        <v>2646</v>
      </c>
      <c r="EE20" t="s">
        <v>2647</v>
      </c>
      <c r="EF20" t="s">
        <v>2648</v>
      </c>
      <c r="EG20" t="s">
        <v>2649</v>
      </c>
      <c r="EH20" t="s">
        <v>2650</v>
      </c>
      <c r="EI20" t="s">
        <v>2651</v>
      </c>
      <c r="EJ20" t="s">
        <v>2652</v>
      </c>
      <c r="EK20" t="s">
        <v>2653</v>
      </c>
      <c r="EL20" t="s">
        <v>2654</v>
      </c>
      <c r="EM20" t="s">
        <v>2655</v>
      </c>
      <c r="EN20" t="s">
        <v>2656</v>
      </c>
      <c r="EO20" t="s">
        <v>2657</v>
      </c>
      <c r="EP20" t="s">
        <v>2658</v>
      </c>
      <c r="EQ20" t="s">
        <v>2659</v>
      </c>
      <c r="ER20" t="s">
        <v>2660</v>
      </c>
      <c r="ES20" t="s">
        <v>2661</v>
      </c>
      <c r="ET20" t="s">
        <v>2662</v>
      </c>
      <c r="EU20" t="s">
        <v>2663</v>
      </c>
      <c r="EV20" t="s">
        <v>2664</v>
      </c>
      <c r="EW20" t="s">
        <v>2665</v>
      </c>
      <c r="EX20" t="s">
        <v>2666</v>
      </c>
      <c r="EY20" t="s">
        <v>2667</v>
      </c>
      <c r="EZ20" t="s">
        <v>2668</v>
      </c>
      <c r="FA20" t="s">
        <v>2669</v>
      </c>
      <c r="FC20" t="str">
        <f t="shared" si="5" ref="FC20:JH20">RR_VacantUnitMktRentSource</f>
        <v>Unit Type</v>
      </c>
      <c r="FF20" t="b">
        <f>'SBL Quotes'!AN36="Chapter 9 SBL"</f>
        <v>0</v>
      </c>
      <c r="IR20" t="str">
        <f t="shared" si="5"/>
        <v>Unit Type</v>
      </c>
      <c r="JH20" t="str">
        <f t="shared" si="5"/>
        <v>Unit Type</v>
      </c>
    </row>
    <row r="21" ht="20.25" customHeight="1">
      <c r="P21" t="s">
        <v>2670</v>
      </c>
      <c r="Q21">
        <v>1159</v>
      </c>
      <c r="R21">
        <v>1217</v>
      </c>
      <c r="S21">
        <v>1410</v>
      </c>
      <c r="T21">
        <v>1533</v>
      </c>
      <c r="U21">
        <v>1081</v>
      </c>
      <c r="V21" t="s">
        <v>2520</v>
      </c>
      <c r="W21" t="s">
        <v>2520</v>
      </c>
      <c r="X21" t="s">
        <v>2520</v>
      </c>
      <c r="Y21" t="s">
        <v>2520</v>
      </c>
      <c r="Z21" t="s">
        <v>2520</v>
      </c>
      <c r="AA21" t="s">
        <v>2520</v>
      </c>
      <c r="AB21" t="s">
        <v>2520</v>
      </c>
      <c r="AC21" t="s">
        <v>2520</v>
      </c>
      <c r="AD21" t="s">
        <v>2520</v>
      </c>
      <c r="AE21" t="s">
        <v>2520</v>
      </c>
      <c r="AF21" t="s">
        <v>2520</v>
      </c>
      <c r="AG21" t="s">
        <v>2520</v>
      </c>
      <c r="AH21" t="s">
        <v>2520</v>
      </c>
      <c r="AI21" t="s">
        <v>2520</v>
      </c>
      <c r="AJ21" t="s">
        <v>2520</v>
      </c>
      <c r="AK21" t="s">
        <v>2520</v>
      </c>
      <c r="AL21" t="s">
        <v>2520</v>
      </c>
      <c r="AM21" t="s">
        <v>2520</v>
      </c>
      <c r="AN21" t="s">
        <v>2520</v>
      </c>
      <c r="AO21" t="s">
        <v>2520</v>
      </c>
      <c r="AP21" t="s">
        <v>2520</v>
      </c>
      <c r="AQ21" t="s">
        <v>2520</v>
      </c>
      <c r="AR21" t="s">
        <v>2520</v>
      </c>
      <c r="AS21" t="s">
        <v>2520</v>
      </c>
      <c r="AT21" t="s">
        <v>2520</v>
      </c>
      <c r="AU21" t="s">
        <v>2520</v>
      </c>
      <c r="AV21" t="s">
        <v>2520</v>
      </c>
      <c r="AW21" t="s">
        <v>2520</v>
      </c>
      <c r="AX21" t="s">
        <v>2520</v>
      </c>
      <c r="AY21" t="s">
        <v>2520</v>
      </c>
      <c r="AZ21" t="s">
        <v>2520</v>
      </c>
      <c r="BA21" t="s">
        <v>2520</v>
      </c>
      <c r="BB21" t="s">
        <v>2520</v>
      </c>
      <c r="BC21" t="s">
        <v>2520</v>
      </c>
      <c r="BD21" t="s">
        <v>2520</v>
      </c>
      <c r="BE21" t="s">
        <v>2520</v>
      </c>
      <c r="BF21" t="s">
        <v>2520</v>
      </c>
      <c r="BG21" t="s">
        <v>2520</v>
      </c>
      <c r="BH21" t="s">
        <v>2520</v>
      </c>
      <c r="BI21" t="s">
        <v>2520</v>
      </c>
      <c r="BJ21" t="s">
        <v>2520</v>
      </c>
      <c r="BK21" t="s">
        <v>2520</v>
      </c>
      <c r="BL21" t="s">
        <v>2520</v>
      </c>
      <c r="BM21" t="s">
        <v>2520</v>
      </c>
      <c r="BN21" t="s">
        <v>2520</v>
      </c>
      <c r="BO21" t="s">
        <v>2520</v>
      </c>
      <c r="BP21" t="s">
        <v>2520</v>
      </c>
      <c r="BQ21" t="s">
        <v>2520</v>
      </c>
      <c r="BR21" t="s">
        <v>2520</v>
      </c>
      <c r="BS21" t="s">
        <v>2520</v>
      </c>
      <c r="BT21" t="s">
        <v>2520</v>
      </c>
      <c r="BU21" t="s">
        <v>2520</v>
      </c>
      <c r="BV21" t="s">
        <v>2520</v>
      </c>
      <c r="BW21" t="s">
        <v>2520</v>
      </c>
      <c r="BX21" t="s">
        <v>2520</v>
      </c>
      <c r="BY21" t="s">
        <v>2520</v>
      </c>
      <c r="BZ21" t="s">
        <v>2520</v>
      </c>
      <c r="CA21" t="s">
        <v>2520</v>
      </c>
      <c r="CB21" t="s">
        <v>2520</v>
      </c>
      <c r="CC21" t="s">
        <v>2520</v>
      </c>
      <c r="CD21" t="s">
        <v>2520</v>
      </c>
      <c r="CE21" t="s">
        <v>2520</v>
      </c>
      <c r="CF21" t="s">
        <v>2520</v>
      </c>
      <c r="CG21" t="s">
        <v>2520</v>
      </c>
      <c r="CH21" t="s">
        <v>2520</v>
      </c>
      <c r="CI21" t="s">
        <v>2520</v>
      </c>
      <c r="CJ21" t="s">
        <v>2520</v>
      </c>
      <c r="CK21" t="s">
        <v>2520</v>
      </c>
      <c r="CL21" t="s">
        <v>2520</v>
      </c>
      <c r="CM21" t="s">
        <v>2520</v>
      </c>
      <c r="CN21" t="s">
        <v>2520</v>
      </c>
      <c r="CO21" t="s">
        <v>2520</v>
      </c>
      <c r="CP21" t="s">
        <v>2520</v>
      </c>
      <c r="CQ21" t="s">
        <v>2520</v>
      </c>
      <c r="CR21" t="s">
        <v>2520</v>
      </c>
      <c r="CS21" t="s">
        <v>2520</v>
      </c>
      <c r="CT21" t="s">
        <v>2520</v>
      </c>
      <c r="CU21" t="s">
        <v>2520</v>
      </c>
      <c r="CV21" t="s">
        <v>2520</v>
      </c>
      <c r="CW21" t="s">
        <v>2520</v>
      </c>
      <c r="CX21" t="s">
        <v>2520</v>
      </c>
      <c r="CY21" t="s">
        <v>2520</v>
      </c>
      <c r="CZ21" t="s">
        <v>2520</v>
      </c>
      <c r="DA21" t="s">
        <v>2520</v>
      </c>
      <c r="DB21" t="s">
        <v>2520</v>
      </c>
      <c r="DC21" t="s">
        <v>2520</v>
      </c>
      <c r="DD21" t="s">
        <v>2520</v>
      </c>
      <c r="DE21" t="s">
        <v>2520</v>
      </c>
      <c r="DF21" t="s">
        <v>2520</v>
      </c>
      <c r="DG21" t="s">
        <v>2520</v>
      </c>
      <c r="DH21" t="s">
        <v>2520</v>
      </c>
      <c r="DI21" t="s">
        <v>2520</v>
      </c>
      <c r="DJ21" t="s">
        <v>2520</v>
      </c>
      <c r="DK21" t="s">
        <v>2520</v>
      </c>
      <c r="DL21" t="s">
        <v>2520</v>
      </c>
      <c r="DM21" t="s">
        <v>2520</v>
      </c>
      <c r="DN21" t="s">
        <v>2520</v>
      </c>
      <c r="DO21" t="s">
        <v>2520</v>
      </c>
      <c r="DP21" t="s">
        <v>2520</v>
      </c>
      <c r="DQ21" t="s">
        <v>2520</v>
      </c>
      <c r="DR21" t="s">
        <v>2520</v>
      </c>
      <c r="DS21" t="s">
        <v>2520</v>
      </c>
      <c r="DT21" t="s">
        <v>2520</v>
      </c>
      <c r="DU21" t="s">
        <v>2520</v>
      </c>
      <c r="DV21" t="s">
        <v>2520</v>
      </c>
      <c r="DW21" t="s">
        <v>2520</v>
      </c>
      <c r="DX21" t="s">
        <v>2520</v>
      </c>
      <c r="DY21" t="s">
        <v>2520</v>
      </c>
      <c r="DZ21" t="s">
        <v>2520</v>
      </c>
      <c r="EA21" t="s">
        <v>2520</v>
      </c>
      <c r="EB21" t="s">
        <v>2520</v>
      </c>
      <c r="EC21" t="s">
        <v>2520</v>
      </c>
      <c r="ED21" t="s">
        <v>2520</v>
      </c>
      <c r="EE21" t="s">
        <v>2520</v>
      </c>
      <c r="EF21" t="s">
        <v>2520</v>
      </c>
      <c r="EG21" t="s">
        <v>2520</v>
      </c>
      <c r="EH21" t="s">
        <v>2520</v>
      </c>
      <c r="EI21" t="s">
        <v>2520</v>
      </c>
      <c r="EJ21" t="s">
        <v>2520</v>
      </c>
      <c r="EK21" t="s">
        <v>2520</v>
      </c>
      <c r="EL21" t="s">
        <v>2520</v>
      </c>
      <c r="EM21" t="s">
        <v>2520</v>
      </c>
      <c r="EN21" t="s">
        <v>2520</v>
      </c>
      <c r="EO21" t="s">
        <v>2520</v>
      </c>
      <c r="EP21" t="s">
        <v>2520</v>
      </c>
      <c r="EQ21" t="s">
        <v>2520</v>
      </c>
      <c r="ER21" t="s">
        <v>2520</v>
      </c>
      <c r="ES21" t="s">
        <v>2520</v>
      </c>
      <c r="ET21" t="s">
        <v>2520</v>
      </c>
      <c r="EU21" t="s">
        <v>2520</v>
      </c>
      <c r="EV21" t="s">
        <v>2520</v>
      </c>
      <c r="EW21" t="s">
        <v>2520</v>
      </c>
      <c r="EX21" t="s">
        <v>2520</v>
      </c>
      <c r="EY21" t="s">
        <v>2520</v>
      </c>
      <c r="EZ21" t="s">
        <v>2520</v>
      </c>
      <c r="IQ21" t="s">
        <v>2671</v>
      </c>
      <c r="IW21" t="s">
        <v>2672</v>
      </c>
    </row>
    <row r="22" ht="40.5" customHeight="1">
      <c r="P22" t="s">
        <v>2673</v>
      </c>
      <c r="Q22">
        <v>704</v>
      </c>
      <c r="R22">
        <v>800</v>
      </c>
      <c r="S22">
        <v>851</v>
      </c>
      <c r="T22">
        <v>1050</v>
      </c>
      <c r="U22">
        <v>1247</v>
      </c>
      <c r="V22" t="s">
        <v>2674</v>
      </c>
      <c r="W22" t="s">
        <v>2674</v>
      </c>
      <c r="X22" t="s">
        <v>2674</v>
      </c>
      <c r="Y22" t="s">
        <v>2674</v>
      </c>
      <c r="Z22" t="s">
        <v>2674</v>
      </c>
      <c r="AA22" t="s">
        <v>2674</v>
      </c>
      <c r="AB22" t="s">
        <v>2674</v>
      </c>
      <c r="AC22" t="s">
        <v>2674</v>
      </c>
      <c r="AD22" t="s">
        <v>2674</v>
      </c>
      <c r="AE22" t="s">
        <v>2674</v>
      </c>
      <c r="AF22" t="s">
        <v>2674</v>
      </c>
      <c r="AG22" t="s">
        <v>2674</v>
      </c>
      <c r="AH22" t="s">
        <v>2674</v>
      </c>
      <c r="AI22" t="s">
        <v>2674</v>
      </c>
      <c r="AJ22" t="s">
        <v>2674</v>
      </c>
      <c r="AK22" t="s">
        <v>2674</v>
      </c>
      <c r="AL22" t="s">
        <v>2674</v>
      </c>
      <c r="AM22" t="s">
        <v>2674</v>
      </c>
      <c r="AN22" t="s">
        <v>2674</v>
      </c>
      <c r="AO22" t="s">
        <v>2674</v>
      </c>
      <c r="AP22" t="s">
        <v>2674</v>
      </c>
      <c r="AQ22" t="s">
        <v>2674</v>
      </c>
      <c r="AR22" t="s">
        <v>2674</v>
      </c>
      <c r="AS22" t="s">
        <v>2674</v>
      </c>
      <c r="AT22" t="s">
        <v>2674</v>
      </c>
      <c r="AU22" t="s">
        <v>2674</v>
      </c>
      <c r="AV22" t="s">
        <v>2674</v>
      </c>
      <c r="AW22" t="s">
        <v>2674</v>
      </c>
      <c r="AX22" t="s">
        <v>2674</v>
      </c>
      <c r="AY22" t="s">
        <v>2674</v>
      </c>
      <c r="AZ22" t="s">
        <v>2674</v>
      </c>
      <c r="BA22" t="s">
        <v>2674</v>
      </c>
      <c r="BB22" t="s">
        <v>2674</v>
      </c>
      <c r="BC22" t="s">
        <v>2674</v>
      </c>
      <c r="BD22" t="s">
        <v>2674</v>
      </c>
      <c r="BE22" t="s">
        <v>2674</v>
      </c>
      <c r="BF22" t="s">
        <v>2674</v>
      </c>
      <c r="BG22" t="s">
        <v>2674</v>
      </c>
      <c r="BH22" t="s">
        <v>2674</v>
      </c>
      <c r="BI22" t="s">
        <v>2674</v>
      </c>
      <c r="BJ22" t="s">
        <v>2674</v>
      </c>
      <c r="BK22" t="s">
        <v>2674</v>
      </c>
      <c r="BL22" t="s">
        <v>2674</v>
      </c>
      <c r="BM22" t="s">
        <v>2674</v>
      </c>
      <c r="BN22" t="s">
        <v>2674</v>
      </c>
      <c r="BO22" t="s">
        <v>2674</v>
      </c>
      <c r="BP22" t="s">
        <v>2674</v>
      </c>
      <c r="BQ22" t="s">
        <v>2674</v>
      </c>
      <c r="BR22" t="s">
        <v>2674</v>
      </c>
      <c r="BS22" t="s">
        <v>2674</v>
      </c>
      <c r="BT22" t="s">
        <v>2674</v>
      </c>
      <c r="BU22" t="s">
        <v>2674</v>
      </c>
      <c r="BV22" t="s">
        <v>2674</v>
      </c>
      <c r="BW22" t="s">
        <v>2674</v>
      </c>
      <c r="BX22" t="s">
        <v>2674</v>
      </c>
      <c r="BY22" t="s">
        <v>2674</v>
      </c>
      <c r="BZ22" t="s">
        <v>2674</v>
      </c>
      <c r="CA22" t="s">
        <v>2674</v>
      </c>
      <c r="CB22" t="s">
        <v>2674</v>
      </c>
      <c r="CC22" t="s">
        <v>2674</v>
      </c>
      <c r="CD22" t="s">
        <v>2674</v>
      </c>
      <c r="CE22" t="s">
        <v>2674</v>
      </c>
      <c r="CF22" t="s">
        <v>2674</v>
      </c>
      <c r="CG22" t="s">
        <v>2674</v>
      </c>
      <c r="CH22" t="s">
        <v>2674</v>
      </c>
      <c r="CI22" t="s">
        <v>2674</v>
      </c>
      <c r="CJ22" t="s">
        <v>2674</v>
      </c>
      <c r="CK22" t="s">
        <v>2674</v>
      </c>
      <c r="CL22" t="s">
        <v>2674</v>
      </c>
      <c r="CM22" t="s">
        <v>2674</v>
      </c>
      <c r="CN22" t="s">
        <v>2674</v>
      </c>
      <c r="CO22" t="s">
        <v>2674</v>
      </c>
      <c r="CP22" t="s">
        <v>2674</v>
      </c>
      <c r="CQ22" t="s">
        <v>2674</v>
      </c>
      <c r="CR22" t="s">
        <v>2674</v>
      </c>
      <c r="CS22" t="s">
        <v>2674</v>
      </c>
      <c r="CT22" t="s">
        <v>2674</v>
      </c>
      <c r="CU22" t="s">
        <v>2674</v>
      </c>
      <c r="CV22" t="s">
        <v>2674</v>
      </c>
      <c r="CW22" t="s">
        <v>2674</v>
      </c>
      <c r="CX22" t="s">
        <v>2674</v>
      </c>
      <c r="CY22" t="s">
        <v>2674</v>
      </c>
      <c r="CZ22" t="s">
        <v>2674</v>
      </c>
      <c r="DA22" t="s">
        <v>2674</v>
      </c>
      <c r="DB22" t="s">
        <v>2674</v>
      </c>
      <c r="DC22" t="s">
        <v>2674</v>
      </c>
      <c r="DD22" t="s">
        <v>2674</v>
      </c>
      <c r="DE22" t="s">
        <v>2674</v>
      </c>
      <c r="DF22" t="s">
        <v>2674</v>
      </c>
      <c r="DG22" t="s">
        <v>2674</v>
      </c>
      <c r="DH22" t="s">
        <v>2674</v>
      </c>
      <c r="DI22" t="s">
        <v>2674</v>
      </c>
      <c r="DJ22" t="s">
        <v>2674</v>
      </c>
      <c r="DK22" t="s">
        <v>2674</v>
      </c>
      <c r="DL22" t="s">
        <v>2674</v>
      </c>
      <c r="DM22" t="s">
        <v>2674</v>
      </c>
      <c r="DN22" t="s">
        <v>2674</v>
      </c>
      <c r="DO22" t="s">
        <v>2674</v>
      </c>
      <c r="DP22" t="s">
        <v>2674</v>
      </c>
      <c r="DQ22" t="s">
        <v>2674</v>
      </c>
      <c r="DR22" t="s">
        <v>2674</v>
      </c>
      <c r="DS22" t="s">
        <v>2674</v>
      </c>
      <c r="DT22" t="s">
        <v>2674</v>
      </c>
      <c r="DU22" t="s">
        <v>2674</v>
      </c>
      <c r="DV22" t="s">
        <v>2674</v>
      </c>
      <c r="DW22" t="s">
        <v>2674</v>
      </c>
      <c r="DX22" t="s">
        <v>2674</v>
      </c>
      <c r="DY22" t="s">
        <v>2674</v>
      </c>
      <c r="DZ22" t="s">
        <v>2674</v>
      </c>
      <c r="EA22" t="s">
        <v>2674</v>
      </c>
      <c r="EB22" t="s">
        <v>2674</v>
      </c>
      <c r="EC22" t="s">
        <v>2674</v>
      </c>
      <c r="ED22" t="s">
        <v>2674</v>
      </c>
      <c r="EE22" t="s">
        <v>2674</v>
      </c>
      <c r="EF22" t="s">
        <v>2674</v>
      </c>
      <c r="EG22" t="s">
        <v>2674</v>
      </c>
      <c r="EH22" t="s">
        <v>2674</v>
      </c>
      <c r="EI22" t="s">
        <v>2674</v>
      </c>
      <c r="EJ22" t="s">
        <v>2674</v>
      </c>
      <c r="EK22" t="s">
        <v>2674</v>
      </c>
      <c r="EL22" t="s">
        <v>2674</v>
      </c>
      <c r="EM22" t="s">
        <v>2674</v>
      </c>
      <c r="EN22" t="s">
        <v>2674</v>
      </c>
      <c r="EO22" t="s">
        <v>2674</v>
      </c>
      <c r="EP22" t="s">
        <v>2674</v>
      </c>
      <c r="EQ22" t="s">
        <v>2674</v>
      </c>
      <c r="ER22" t="s">
        <v>2674</v>
      </c>
      <c r="ES22" t="s">
        <v>2674</v>
      </c>
      <c r="ET22" t="s">
        <v>2674</v>
      </c>
      <c r="EU22" t="s">
        <v>2674</v>
      </c>
      <c r="EV22" t="s">
        <v>2674</v>
      </c>
      <c r="EW22" t="s">
        <v>2674</v>
      </c>
      <c r="EX22" t="s">
        <v>2674</v>
      </c>
      <c r="EY22" t="s">
        <v>2674</v>
      </c>
      <c r="EZ22" t="s">
        <v>2674</v>
      </c>
      <c r="FC22" t="s">
        <v>2675</v>
      </c>
      <c r="FD22" t="s">
        <v>2676</v>
      </c>
      <c r="FE22" t="s">
        <v>2677</v>
      </c>
      <c r="FF22" t="s">
        <v>2678</v>
      </c>
      <c r="FH22" t="s">
        <v>2679</v>
      </c>
      <c r="FI22" t="s">
        <v>2680</v>
      </c>
      <c r="FK22" t="s">
        <v>2681</v>
      </c>
      <c r="FL22" t="s">
        <v>2682</v>
      </c>
      <c r="FM22" t="str">
        <f t="shared" si="6" ref="FM22:IL22">Q20</f>
        <v>1 BR</v>
      </c>
      <c r="FN22" t="str">
        <f t="shared" si="6"/>
        <v>1 TH</v>
      </c>
      <c r="FO22" t="str">
        <f t="shared" si="6"/>
        <v>2 BR</v>
      </c>
      <c r="FP22" t="str">
        <f t="shared" si="6"/>
        <v>2 TH</v>
      </c>
      <c r="FQ22" t="str">
        <f t="shared" si="6"/>
        <v>1 CH</v>
      </c>
      <c r="FR22" t="str">
        <f t="shared" si="6"/>
        <v>F</v>
      </c>
      <c r="FS22" t="str">
        <f t="shared" si="6"/>
        <v>G</v>
      </c>
      <c r="FT22" t="str">
        <f t="shared" si="6"/>
        <v>H</v>
      </c>
      <c r="FU22" t="str">
        <f t="shared" si="6"/>
        <v>I</v>
      </c>
      <c r="FV22" t="str">
        <f t="shared" si="6"/>
        <v>J</v>
      </c>
      <c r="FW22" t="str">
        <f t="shared" si="6"/>
        <v>K</v>
      </c>
      <c r="FX22" t="str">
        <f t="shared" si="6"/>
        <v>L</v>
      </c>
      <c r="FY22" t="str">
        <f t="shared" si="6"/>
        <v>M</v>
      </c>
      <c r="FZ22" t="str">
        <f t="shared" si="6"/>
        <v>N</v>
      </c>
      <c r="GA22" t="str">
        <f t="shared" si="6"/>
        <v>O</v>
      </c>
      <c r="GB22" t="str">
        <f t="shared" si="6"/>
        <v>P</v>
      </c>
      <c r="GC22" t="str">
        <f t="shared" si="6"/>
        <v>Q</v>
      </c>
      <c r="GD22" t="str">
        <f t="shared" si="6"/>
        <v>R</v>
      </c>
      <c r="GE22" t="str">
        <f t="shared" si="6"/>
        <v>S</v>
      </c>
      <c r="GF22" t="str">
        <f t="shared" si="6"/>
        <v>T</v>
      </c>
      <c r="GG22" t="str">
        <f t="shared" si="6"/>
        <v>U</v>
      </c>
      <c r="GH22" t="str">
        <f t="shared" si="6"/>
        <v>V</v>
      </c>
      <c r="GI22" t="str">
        <f t="shared" si="6"/>
        <v>W</v>
      </c>
      <c r="GJ22" t="str">
        <f t="shared" si="6"/>
        <v>X</v>
      </c>
      <c r="GK22" t="str">
        <f t="shared" si="6"/>
        <v>Y</v>
      </c>
      <c r="GL22" t="str">
        <f t="shared" si="6"/>
        <v>Z</v>
      </c>
      <c r="GM22" t="str">
        <f t="shared" si="6"/>
        <v>BA</v>
      </c>
      <c r="GN22" t="str">
        <f t="shared" si="6"/>
        <v>BB</v>
      </c>
      <c r="GO22" t="str">
        <f t="shared" si="6"/>
        <v>BC</v>
      </c>
      <c r="GP22" t="str">
        <f t="shared" si="6"/>
        <v>BD</v>
      </c>
      <c r="GQ22" t="str">
        <f t="shared" si="6"/>
        <v>BE</v>
      </c>
      <c r="GR22" t="str">
        <f t="shared" si="6"/>
        <v>BF</v>
      </c>
      <c r="GS22" t="str">
        <f t="shared" si="6"/>
        <v>BG</v>
      </c>
      <c r="GT22" t="str">
        <f t="shared" si="6"/>
        <v>BH</v>
      </c>
      <c r="GU22" t="str">
        <f t="shared" si="6"/>
        <v>BI</v>
      </c>
      <c r="GV22" t="str">
        <f t="shared" si="6"/>
        <v>BJ</v>
      </c>
      <c r="GW22" t="str">
        <f t="shared" si="6"/>
        <v>BK</v>
      </c>
      <c r="GX22" t="str">
        <f t="shared" si="6"/>
        <v>BL</v>
      </c>
      <c r="GY22" t="str">
        <f t="shared" si="6"/>
        <v>BM</v>
      </c>
      <c r="GZ22" t="str">
        <f t="shared" si="6"/>
        <v>BN</v>
      </c>
      <c r="HA22" t="str">
        <f t="shared" si="6"/>
        <v>BO</v>
      </c>
      <c r="HB22" t="str">
        <f t="shared" si="6"/>
        <v>BP</v>
      </c>
      <c r="HC22" t="str">
        <f t="shared" si="6"/>
        <v>BQ</v>
      </c>
      <c r="HD22" t="str">
        <f t="shared" si="6"/>
        <v>BR</v>
      </c>
      <c r="HE22" t="str">
        <f t="shared" si="6"/>
        <v>BS</v>
      </c>
      <c r="HF22" t="str">
        <f t="shared" si="6"/>
        <v>BT</v>
      </c>
      <c r="HG22" t="str">
        <f t="shared" si="6"/>
        <v>BU</v>
      </c>
      <c r="HH22" t="str">
        <f t="shared" si="6"/>
        <v>BV</v>
      </c>
      <c r="HI22" t="str">
        <f t="shared" si="6"/>
        <v>BW</v>
      </c>
      <c r="HJ22" t="str">
        <f t="shared" si="6"/>
        <v>BX</v>
      </c>
      <c r="HK22" t="str">
        <f t="shared" si="6"/>
        <v>BY</v>
      </c>
      <c r="HL22" t="str">
        <f t="shared" si="6"/>
        <v>BZ</v>
      </c>
      <c r="HM22" t="str">
        <f t="shared" si="6"/>
        <v>CA</v>
      </c>
      <c r="HN22" t="str">
        <f t="shared" si="6"/>
        <v>CB</v>
      </c>
      <c r="HO22" t="str">
        <f t="shared" si="6"/>
        <v>CC</v>
      </c>
      <c r="HP22" t="str">
        <f t="shared" si="6"/>
        <v>CD</v>
      </c>
      <c r="HQ22" t="str">
        <f t="shared" si="6"/>
        <v>CE</v>
      </c>
      <c r="HR22" t="str">
        <f t="shared" si="6"/>
        <v>CF</v>
      </c>
      <c r="HS22" t="str">
        <f t="shared" si="6"/>
        <v>CG</v>
      </c>
      <c r="HT22" t="str">
        <f t="shared" si="6"/>
        <v>CH</v>
      </c>
      <c r="HU22" t="str">
        <f t="shared" si="6"/>
        <v>CI</v>
      </c>
      <c r="HV22" t="str">
        <f t="shared" si="6"/>
        <v>CJ</v>
      </c>
      <c r="HW22" t="str">
        <f t="shared" si="6"/>
        <v>CK</v>
      </c>
      <c r="HX22" t="str">
        <f t="shared" si="6"/>
        <v>CL</v>
      </c>
      <c r="HY22" t="str">
        <f t="shared" si="6"/>
        <v>CM</v>
      </c>
      <c r="HZ22" t="str">
        <f t="shared" si="6"/>
        <v>CN</v>
      </c>
      <c r="IA22" t="str">
        <f t="shared" si="6"/>
        <v>CO</v>
      </c>
      <c r="IB22" t="str">
        <f t="shared" si="6"/>
        <v>CP</v>
      </c>
      <c r="IC22" t="str">
        <f t="shared" si="6"/>
        <v>CQ</v>
      </c>
      <c r="ID22" t="str">
        <f t="shared" si="6"/>
        <v>CR</v>
      </c>
      <c r="IE22" t="str">
        <f t="shared" si="6"/>
        <v>CS</v>
      </c>
      <c r="IF22" t="str">
        <f t="shared" si="6"/>
        <v>CT</v>
      </c>
      <c r="IG22" t="str">
        <f t="shared" si="6"/>
        <v>CU</v>
      </c>
      <c r="IH22" t="str">
        <f t="shared" si="6"/>
        <v>CV</v>
      </c>
      <c r="II22" t="str">
        <f t="shared" si="6"/>
        <v>CW</v>
      </c>
      <c r="IJ22" t="str">
        <f t="shared" si="6"/>
        <v>CX</v>
      </c>
      <c r="IK22" t="str">
        <f t="shared" si="6"/>
        <v>CY</v>
      </c>
      <c r="IL22" t="str">
        <f t="shared" si="6"/>
        <v>CZ</v>
      </c>
      <c r="IQ22" t="s">
        <v>2683</v>
      </c>
      <c r="IR22" t="s">
        <v>2684</v>
      </c>
      <c r="IS22" t="s">
        <v>2685</v>
      </c>
      <c r="IW22" t="s">
        <v>2686</v>
      </c>
      <c r="IX22" t="s">
        <v>2687</v>
      </c>
      <c r="IY22" t="s">
        <v>2688</v>
      </c>
      <c r="IZ22" t="s">
        <v>2689</v>
      </c>
      <c r="JA22" t="s">
        <v>2690</v>
      </c>
      <c r="JB22" t="s">
        <v>2691</v>
      </c>
      <c r="JC22" t="s">
        <v>2692</v>
      </c>
      <c r="JD22" t="s">
        <v>2693</v>
      </c>
      <c r="JE22" t="s">
        <v>2694</v>
      </c>
      <c r="JF22" t="s">
        <v>2695</v>
      </c>
      <c r="JG22" t="s">
        <v>2696</v>
      </c>
      <c r="JH22" t="s">
        <v>2697</v>
      </c>
      <c r="JI22" t="s">
        <v>2698</v>
      </c>
      <c r="JJ22" t="s">
        <v>2699</v>
      </c>
      <c r="JK22" t="s">
        <v>2700</v>
      </c>
      <c r="JL22" t="s">
        <v>2701</v>
      </c>
      <c r="JM22" t="s">
        <v>2702</v>
      </c>
      <c r="JN22" t="s">
        <v>2703</v>
      </c>
      <c r="JO22" t="s">
        <v>2704</v>
      </c>
      <c r="JP22" t="s">
        <v>2705</v>
      </c>
      <c r="JQ22" t="s">
        <v>2706</v>
      </c>
      <c r="JR22" t="s">
        <v>2707</v>
      </c>
      <c r="JS22" t="s">
        <v>2669</v>
      </c>
      <c r="JT22" t="s">
        <v>2708</v>
      </c>
      <c r="JU22" t="s">
        <v>2709</v>
      </c>
      <c r="JV22" t="s">
        <v>2710</v>
      </c>
      <c r="JW22" t="s">
        <v>2711</v>
      </c>
      <c r="JX22" t="s">
        <v>2712</v>
      </c>
      <c r="JY22" t="s">
        <v>2713</v>
      </c>
      <c r="JZ22" t="s">
        <v>2714</v>
      </c>
      <c r="KA22" t="s">
        <v>2715</v>
      </c>
      <c r="KB22" t="s">
        <v>2716</v>
      </c>
      <c r="KC22" t="s">
        <v>2717</v>
      </c>
      <c r="KD22" t="s">
        <v>2718</v>
      </c>
      <c r="KE22" t="s">
        <v>2719</v>
      </c>
      <c r="KF22" t="s">
        <v>2720</v>
      </c>
      <c r="KG22" t="s">
        <v>2721</v>
      </c>
      <c r="KH22" t="s">
        <v>2722</v>
      </c>
      <c r="KI22" t="s">
        <v>2723</v>
      </c>
      <c r="KJ22" t="s">
        <v>2724</v>
      </c>
    </row>
    <row r="23" ht="30" customHeight="1">
      <c r="B23" t="s">
        <v>2725</v>
      </c>
      <c r="C23" t="s">
        <v>2726</v>
      </c>
      <c r="D23" t="s">
        <v>2682</v>
      </c>
      <c r="E23" t="s">
        <v>2727</v>
      </c>
      <c r="F23" t="s">
        <v>2728</v>
      </c>
      <c r="G23" t="s">
        <v>2669</v>
      </c>
      <c r="H23" t="s">
        <v>2729</v>
      </c>
      <c r="I23" t="s">
        <v>2730</v>
      </c>
      <c r="J23" t="s">
        <v>2731</v>
      </c>
      <c r="K23" t="s">
        <v>2732</v>
      </c>
      <c r="L23" t="s">
        <v>2733</v>
      </c>
      <c r="M23" t="s">
        <v>2734</v>
      </c>
      <c r="N23" t="s">
        <v>2735</v>
      </c>
      <c r="O23" t="s">
        <v>2736</v>
      </c>
      <c r="P23" t="s">
        <v>2714</v>
      </c>
      <c r="Q23" t="s">
        <v>2737</v>
      </c>
      <c r="FA23" t="s">
        <v>2738</v>
      </c>
      <c r="FC23" t="s">
        <v>2675</v>
      </c>
      <c r="FE23" t="s">
        <v>2677</v>
      </c>
      <c r="FF23" t="s">
        <v>2739</v>
      </c>
      <c r="FM23">
        <f t="shared" si="7" ref="FM23:IL23">Q17</f>
        <v>1</v>
      </c>
      <c r="FN23">
        <f t="shared" si="7"/>
        <v>0</v>
      </c>
      <c r="FO23">
        <f t="shared" si="7"/>
        <v>2</v>
      </c>
      <c r="FP23">
        <f t="shared" si="7"/>
        <v>0</v>
      </c>
      <c r="FQ23">
        <f t="shared" si="7"/>
        <v>0</v>
      </c>
      <c r="FR23" t="str">
        <f t="shared" si="7"/>
        <v># Bedrooms</v>
      </c>
      <c r="FS23" t="str">
        <f t="shared" si="7"/>
        <v># Bedrooms</v>
      </c>
      <c r="FT23" t="str">
        <f t="shared" si="7"/>
        <v># Bedrooms</v>
      </c>
      <c r="FU23" t="str">
        <f t="shared" si="7"/>
        <v># Bedrooms</v>
      </c>
      <c r="FV23" t="str">
        <f t="shared" si="7"/>
        <v># Bedrooms</v>
      </c>
      <c r="FW23" t="str">
        <f t="shared" si="7"/>
        <v># Bedrooms</v>
      </c>
      <c r="FX23" t="str">
        <f t="shared" si="7"/>
        <v># Bedrooms</v>
      </c>
      <c r="FY23" t="str">
        <f t="shared" si="7"/>
        <v># Bedrooms</v>
      </c>
      <c r="FZ23" t="str">
        <f t="shared" si="7"/>
        <v># Bedrooms</v>
      </c>
      <c r="GA23" t="str">
        <f t="shared" si="7"/>
        <v># Bedrooms</v>
      </c>
      <c r="GB23" t="str">
        <f t="shared" si="7"/>
        <v># Bedrooms</v>
      </c>
      <c r="GC23" t="str">
        <f t="shared" si="7"/>
        <v># Bedrooms</v>
      </c>
      <c r="GD23" t="str">
        <f t="shared" si="7"/>
        <v># Bedrooms</v>
      </c>
      <c r="GE23" t="str">
        <f t="shared" si="7"/>
        <v># Bedrooms</v>
      </c>
      <c r="GF23" t="str">
        <f t="shared" si="7"/>
        <v># Bedrooms</v>
      </c>
      <c r="GG23" t="str">
        <f t="shared" si="7"/>
        <v># Bedrooms</v>
      </c>
      <c r="GH23" t="str">
        <f t="shared" si="7"/>
        <v># Bedrooms</v>
      </c>
      <c r="GI23" t="str">
        <f t="shared" si="7"/>
        <v># Bedrooms</v>
      </c>
      <c r="GJ23" t="str">
        <f t="shared" si="7"/>
        <v># Bedrooms</v>
      </c>
      <c r="GK23" t="str">
        <f t="shared" si="7"/>
        <v># Bedrooms</v>
      </c>
      <c r="GL23" t="str">
        <f t="shared" si="7"/>
        <v># Bedrooms</v>
      </c>
      <c r="GM23" t="str">
        <f t="shared" si="7"/>
        <v># Bedrooms</v>
      </c>
      <c r="GN23" t="str">
        <f t="shared" si="7"/>
        <v># Bedrooms</v>
      </c>
      <c r="GO23" t="str">
        <f t="shared" si="7"/>
        <v># Bedrooms</v>
      </c>
      <c r="GP23" t="str">
        <f t="shared" si="7"/>
        <v># Bedrooms</v>
      </c>
      <c r="GQ23" t="str">
        <f t="shared" si="7"/>
        <v># Bedrooms</v>
      </c>
      <c r="GR23" t="str">
        <f t="shared" si="7"/>
        <v># Bedrooms</v>
      </c>
      <c r="GS23" t="str">
        <f t="shared" si="7"/>
        <v># Bedrooms</v>
      </c>
      <c r="GT23" t="str">
        <f t="shared" si="7"/>
        <v># Bedrooms</v>
      </c>
      <c r="GU23" t="str">
        <f t="shared" si="7"/>
        <v># Bedrooms</v>
      </c>
      <c r="GV23" t="str">
        <f t="shared" si="7"/>
        <v># Bedrooms</v>
      </c>
      <c r="GW23" t="str">
        <f t="shared" si="7"/>
        <v># Bedrooms</v>
      </c>
      <c r="GX23" t="str">
        <f t="shared" si="7"/>
        <v># Bedrooms</v>
      </c>
      <c r="GY23" t="str">
        <f t="shared" si="7"/>
        <v># Bedrooms</v>
      </c>
      <c r="GZ23" t="str">
        <f t="shared" si="7"/>
        <v># Bedrooms</v>
      </c>
      <c r="HA23" t="str">
        <f t="shared" si="7"/>
        <v># Bedrooms</v>
      </c>
      <c r="HB23" t="str">
        <f t="shared" si="7"/>
        <v># Bedrooms</v>
      </c>
      <c r="HC23" t="str">
        <f t="shared" si="7"/>
        <v># Bedrooms</v>
      </c>
      <c r="HD23" t="str">
        <f t="shared" si="7"/>
        <v># Bedrooms</v>
      </c>
      <c r="HE23" t="str">
        <f t="shared" si="7"/>
        <v># Bedrooms</v>
      </c>
      <c r="HF23" t="str">
        <f t="shared" si="7"/>
        <v># Bedrooms</v>
      </c>
      <c r="HG23" t="str">
        <f t="shared" si="7"/>
        <v># Bedrooms</v>
      </c>
      <c r="HH23" t="str">
        <f t="shared" si="7"/>
        <v># Bedrooms</v>
      </c>
      <c r="HI23" t="str">
        <f t="shared" si="7"/>
        <v># Bedrooms</v>
      </c>
      <c r="HJ23" t="str">
        <f t="shared" si="7"/>
        <v># Bedrooms</v>
      </c>
      <c r="HK23" t="str">
        <f t="shared" si="7"/>
        <v># Bedrooms</v>
      </c>
      <c r="HL23" t="str">
        <f t="shared" si="7"/>
        <v># Bedrooms</v>
      </c>
      <c r="HM23" t="str">
        <f t="shared" si="7"/>
        <v># Bedrooms</v>
      </c>
      <c r="HN23" t="str">
        <f t="shared" si="7"/>
        <v># Bedrooms</v>
      </c>
      <c r="HO23" t="str">
        <f t="shared" si="7"/>
        <v># Bedrooms</v>
      </c>
      <c r="HP23" t="str">
        <f t="shared" si="7"/>
        <v># Bedrooms</v>
      </c>
      <c r="HQ23" t="str">
        <f t="shared" si="7"/>
        <v># Bedrooms</v>
      </c>
      <c r="HR23" t="str">
        <f t="shared" si="7"/>
        <v># Bedrooms</v>
      </c>
      <c r="HS23" t="str">
        <f t="shared" si="7"/>
        <v># Bedrooms</v>
      </c>
      <c r="HT23" t="str">
        <f t="shared" si="7"/>
        <v># Bedrooms</v>
      </c>
      <c r="HU23" t="str">
        <f t="shared" si="7"/>
        <v># Bedrooms</v>
      </c>
      <c r="HV23" t="str">
        <f t="shared" si="7"/>
        <v># Bedrooms</v>
      </c>
      <c r="HW23" t="str">
        <f t="shared" si="7"/>
        <v># Bedrooms</v>
      </c>
      <c r="HX23" t="str">
        <f t="shared" si="7"/>
        <v># Bedrooms</v>
      </c>
      <c r="HY23" t="str">
        <f t="shared" si="7"/>
        <v># Bedrooms</v>
      </c>
      <c r="HZ23" t="str">
        <f t="shared" si="7"/>
        <v># Bedrooms</v>
      </c>
      <c r="IA23" t="str">
        <f t="shared" si="7"/>
        <v># Bedrooms</v>
      </c>
      <c r="IB23" t="str">
        <f t="shared" si="7"/>
        <v># Bedrooms</v>
      </c>
      <c r="IC23" t="str">
        <f t="shared" si="7"/>
        <v># Bedrooms</v>
      </c>
      <c r="ID23" t="str">
        <f t="shared" si="7"/>
        <v># Bedrooms</v>
      </c>
      <c r="IE23" t="str">
        <f t="shared" si="7"/>
        <v># Bedrooms</v>
      </c>
      <c r="IF23" t="str">
        <f t="shared" si="7"/>
        <v># Bedrooms</v>
      </c>
      <c r="IG23" t="str">
        <f t="shared" si="7"/>
        <v># Bedrooms</v>
      </c>
      <c r="IH23" t="str">
        <f t="shared" si="7"/>
        <v># Bedrooms</v>
      </c>
      <c r="II23" t="str">
        <f t="shared" si="7"/>
        <v># Bedrooms</v>
      </c>
      <c r="IJ23" t="str">
        <f t="shared" si="7"/>
        <v># Bedrooms</v>
      </c>
      <c r="IK23" t="str">
        <f t="shared" si="7"/>
        <v># Bedrooms</v>
      </c>
      <c r="IL23" t="str">
        <f t="shared" si="7"/>
        <v># Bedrooms</v>
      </c>
    </row>
    <row r="24" ht="15" customHeight="1">
      <c r="A24">
        <f t="shared" si="10" ref="A24:A124">ROW(A24)-ROW($A$23)</f>
        <v>1</v>
      </c>
      <c r="D24" t="s">
        <v>2740</v>
      </c>
      <c r="E24">
        <v>1432</v>
      </c>
      <c r="F24" t="s">
        <v>2741</v>
      </c>
      <c r="G24" t="s">
        <v>2531</v>
      </c>
      <c r="H24">
        <v>1467</v>
      </c>
      <c r="I24" cm="1">
        <f t="array" ref="I24">_xlfn.LET(_xlpm.has_subsidy,$N24&gt;0,_xlpm.is_chap9_sbl,$FF$20,_xlpm.contract_rent,$H24,_xlpm.unit_type_mkt_rent,_xlfn.XLOOKUP(TRUE,EXACT($G24,RentRoll_InputArea_DesignatedUnitType),RentRoll_InputArea_MarketRent,"Not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24">
        <f t="shared" si="11" ref="J24:J124">IF(H24="","",H24-I24)</f>
        <v>1467</v>
      </c>
      <c r="O24" s="1">
        <v>43573</v>
      </c>
      <c r="P24" s="1">
        <v>43921</v>
      </c>
      <c r="Q24">
        <f t="shared" si="8" ref="Q24:EZ124">IF(EXACT($G24,Q$20),IF($B24="Vacant","",_xlfn.NUMBERVALUE($H24)),"")</f>
      </c>
      <c r="R24">
        <f t="shared" si="8"/>
      </c>
      <c r="S24">
        <f t="shared" si="8"/>
        <v>1467</v>
      </c>
      <c r="T24">
        <f t="shared" si="8"/>
      </c>
      <c r="U24">
        <f t="shared" si="8"/>
      </c>
      <c r="V24">
        <f t="shared" si="8"/>
      </c>
      <c r="W24">
        <f t="shared" si="8"/>
      </c>
      <c r="X24">
        <f t="shared" si="8"/>
      </c>
      <c r="Y24">
        <f t="shared" si="8"/>
      </c>
      <c r="Z24">
        <f t="shared" si="8"/>
      </c>
      <c r="AA24">
        <f t="shared" si="8"/>
      </c>
      <c r="AB24">
        <f t="shared" si="8"/>
      </c>
      <c r="AC24">
        <f t="shared" si="8"/>
      </c>
      <c r="AD24">
        <f t="shared" si="8"/>
      </c>
      <c r="AE24">
        <f t="shared" si="8"/>
      </c>
      <c r="AF24">
        <f t="shared" si="8"/>
      </c>
      <c r="AG24">
        <f t="shared" si="8"/>
      </c>
      <c r="AH24">
        <f t="shared" si="8"/>
      </c>
      <c r="AI24">
        <f t="shared" si="8"/>
      </c>
      <c r="AJ24">
        <f t="shared" si="8"/>
      </c>
      <c r="AK24">
        <f t="shared" si="8"/>
      </c>
      <c r="AL24">
        <f t="shared" si="8"/>
      </c>
      <c r="AM24">
        <f t="shared" si="8"/>
      </c>
      <c r="AN24">
        <f t="shared" si="8"/>
      </c>
      <c r="AO24">
        <f t="shared" si="8"/>
      </c>
      <c r="AP24">
        <f t="shared" si="8"/>
      </c>
      <c r="AQ24">
        <f t="shared" si="8"/>
      </c>
      <c r="AR24">
        <f t="shared" si="8"/>
      </c>
      <c r="AS24">
        <f t="shared" si="8"/>
      </c>
      <c r="AT24">
        <f t="shared" si="8"/>
      </c>
      <c r="AU24">
        <f t="shared" si="8"/>
      </c>
      <c r="AV24">
        <f t="shared" si="8"/>
      </c>
      <c r="AW24">
        <f t="shared" si="8"/>
      </c>
      <c r="AX24">
        <f t="shared" si="8"/>
      </c>
      <c r="AY24">
        <f t="shared" si="8"/>
      </c>
      <c r="AZ24">
        <f t="shared" si="8"/>
      </c>
      <c r="BA24">
        <f t="shared" si="8"/>
      </c>
      <c r="BB24">
        <f t="shared" si="8"/>
      </c>
      <c r="BC24">
        <f t="shared" si="8"/>
      </c>
      <c r="BD24">
        <f t="shared" si="8"/>
      </c>
      <c r="BE24">
        <f t="shared" si="8"/>
      </c>
      <c r="BF24">
        <f t="shared" si="8"/>
      </c>
      <c r="BG24">
        <f t="shared" si="8"/>
      </c>
      <c r="BH24">
        <f t="shared" si="8"/>
      </c>
      <c r="BI24">
        <f t="shared" si="8"/>
      </c>
      <c r="BJ24">
        <f t="shared" si="8"/>
      </c>
      <c r="BK24">
        <f t="shared" si="8"/>
      </c>
      <c r="BL24">
        <f t="shared" si="8"/>
      </c>
      <c r="BM24">
        <f t="shared" si="8"/>
      </c>
      <c r="BN24">
        <f t="shared" si="8"/>
      </c>
      <c r="BO24">
        <f t="shared" si="8"/>
      </c>
      <c r="BP24">
        <f t="shared" si="8"/>
      </c>
      <c r="BQ24">
        <f t="shared" si="8"/>
      </c>
      <c r="BR24">
        <f t="shared" si="8"/>
      </c>
      <c r="BS24">
        <f t="shared" si="8"/>
      </c>
      <c r="BT24">
        <f t="shared" si="8"/>
      </c>
      <c r="BU24">
        <f t="shared" si="8"/>
      </c>
      <c r="BV24">
        <f t="shared" si="8"/>
      </c>
      <c r="BW24">
        <f t="shared" si="8"/>
      </c>
      <c r="BX24">
        <f t="shared" si="8"/>
      </c>
      <c r="BY24">
        <f t="shared" si="8"/>
      </c>
      <c r="BZ24">
        <f t="shared" si="8"/>
      </c>
      <c r="CA24">
        <f t="shared" si="8"/>
      </c>
      <c r="CB24">
        <f t="shared" si="8"/>
      </c>
      <c r="CC24">
        <f t="shared" si="8"/>
      </c>
      <c r="CD24">
        <f t="shared" si="8"/>
      </c>
      <c r="CE24">
        <f t="shared" si="8"/>
      </c>
      <c r="CF24">
        <f t="shared" si="8"/>
      </c>
      <c r="CG24">
        <f t="shared" si="8"/>
      </c>
      <c r="CH24">
        <f t="shared" si="8"/>
      </c>
      <c r="CI24">
        <f t="shared" si="8"/>
      </c>
      <c r="CJ24">
        <f t="shared" si="8"/>
      </c>
      <c r="CK24">
        <f t="shared" si="8"/>
      </c>
      <c r="CL24">
        <f t="shared" si="8"/>
      </c>
      <c r="CM24">
        <f t="shared" si="8"/>
      </c>
      <c r="CN24">
        <f t="shared" si="8"/>
      </c>
      <c r="CO24">
        <f t="shared" si="8"/>
      </c>
      <c r="CP24">
        <f t="shared" si="8"/>
      </c>
      <c r="CQ24">
        <f t="shared" si="8"/>
      </c>
      <c r="CR24">
        <f t="shared" si="8"/>
      </c>
      <c r="CS24">
        <f t="shared" si="8"/>
      </c>
      <c r="CT24">
        <f t="shared" si="8"/>
      </c>
      <c r="CU24">
        <f t="shared" si="8"/>
      </c>
      <c r="CV24">
        <f t="shared" si="8"/>
      </c>
      <c r="CW24">
        <f t="shared" si="8"/>
      </c>
      <c r="CX24">
        <f t="shared" si="8"/>
      </c>
      <c r="CY24">
        <f t="shared" si="8"/>
      </c>
      <c r="CZ24">
        <f t="shared" si="8"/>
      </c>
      <c r="DA24">
        <f t="shared" si="8"/>
      </c>
      <c r="DB24">
        <f t="shared" si="8"/>
      </c>
      <c r="DC24">
        <f t="shared" si="8"/>
      </c>
      <c r="DD24">
        <f t="shared" si="8"/>
      </c>
      <c r="DE24">
        <f t="shared" si="8"/>
      </c>
      <c r="DF24">
        <f t="shared" si="8"/>
      </c>
      <c r="DG24">
        <f t="shared" si="8"/>
      </c>
      <c r="DH24">
        <f t="shared" si="8"/>
      </c>
      <c r="DI24">
        <f t="shared" si="8"/>
      </c>
      <c r="DJ24">
        <f t="shared" si="8"/>
      </c>
      <c r="DK24">
        <f t="shared" si="8"/>
      </c>
      <c r="DL24">
        <f t="shared" si="8"/>
      </c>
      <c r="DM24">
        <f t="shared" si="8"/>
      </c>
      <c r="DN24">
        <f t="shared" si="8"/>
      </c>
      <c r="DO24">
        <f t="shared" si="8"/>
      </c>
      <c r="DP24">
        <f t="shared" si="8"/>
      </c>
      <c r="DQ24">
        <f t="shared" si="8"/>
      </c>
      <c r="DR24">
        <f t="shared" si="8"/>
      </c>
      <c r="DS24">
        <f t="shared" si="8"/>
      </c>
      <c r="DT24">
        <f t="shared" si="8"/>
      </c>
      <c r="DU24">
        <f t="shared" si="8"/>
      </c>
      <c r="DV24">
        <f t="shared" si="8"/>
      </c>
      <c r="DW24">
        <f t="shared" si="8"/>
      </c>
      <c r="DX24">
        <f t="shared" si="8"/>
      </c>
      <c r="DY24">
        <f t="shared" si="8"/>
      </c>
      <c r="DZ24">
        <f t="shared" si="8"/>
      </c>
      <c r="EA24">
        <f t="shared" si="8"/>
      </c>
      <c r="EB24">
        <f t="shared" si="8"/>
      </c>
      <c r="EC24">
        <f t="shared" si="8"/>
      </c>
      <c r="ED24">
        <f t="shared" si="8"/>
      </c>
      <c r="EE24">
        <f t="shared" si="8"/>
      </c>
      <c r="EF24">
        <f t="shared" si="8"/>
      </c>
      <c r="EG24">
        <f t="shared" si="8"/>
      </c>
      <c r="EH24">
        <f t="shared" si="8"/>
      </c>
      <c r="EI24">
        <f t="shared" si="8"/>
      </c>
      <c r="EJ24">
        <f t="shared" si="8"/>
      </c>
      <c r="EK24">
        <f t="shared" si="8"/>
      </c>
      <c r="EL24">
        <f t="shared" si="8"/>
      </c>
      <c r="EM24">
        <f t="shared" si="8"/>
      </c>
      <c r="EN24">
        <f t="shared" si="8"/>
      </c>
      <c r="EO24">
        <f t="shared" si="8"/>
      </c>
      <c r="EP24">
        <f t="shared" si="8"/>
      </c>
      <c r="EQ24">
        <f t="shared" si="8"/>
      </c>
      <c r="ER24">
        <f t="shared" si="8"/>
      </c>
      <c r="ES24">
        <f t="shared" si="8"/>
      </c>
      <c r="ET24">
        <f t="shared" si="8"/>
      </c>
      <c r="EU24">
        <f t="shared" si="8"/>
      </c>
      <c r="EV24">
        <f t="shared" si="8"/>
      </c>
      <c r="EW24">
        <f t="shared" si="8"/>
      </c>
      <c r="EX24">
        <f t="shared" si="8"/>
      </c>
      <c r="EY24">
        <f t="shared" si="8"/>
      </c>
      <c r="EZ24">
        <f t="shared" si="8"/>
      </c>
      <c r="FA24" t="str">
        <f t="shared" si="12" ref="FA24:FA124">_xlfn.LET(_xlpm.is_vacant,B24="Vacant",_xlpm.use_market_rent_by_unit,RR_VacantUnitMktRentSource="Rent Roll (if avail)",_xlpm.market_rent_by_unit,E24,_xlpm.market_rent_by_unit_type,FC24,IF(_xlpm.is_vacant,IF(AND(_xlpm.use_market_rent_by_unit,_xlpm.market_rent_by_unit&gt;0),_xlpm.market_rent_by_unit,_xlpm.market_rent_by_unit_type),"-"))</f>
        <v>-</v>
      </c>
      <c r="FB24">
        <f t="shared" si="13" ref="FB24:FB124">IF(N24=0,"",IF(H24&gt;HLOOKUP($G24,$Q$20:$CP$21,2,FALSE),IF(J24=HLOOKUP($G24,$Q$20:$CP$21,2,FALSE),"",1),IF(I24=0,"",1)))</f>
      </c>
      <c r="FC24" cm="1">
        <f t="array" ref="FC24">_xlfn.LET(_xlpm.unit_type,$G24,_xlpm.market_rent_from_rent_roll,$E24,_xlpm.unit_type_list,RentRoll_InputArea_DesignatedUnitType,_xlpm.rent_by_unit_type,RentRoll_InputArea_MarketRent,_xlpm.use_rent_roll_market_rent,LEFT(RR_VacantUnitMktRentSource,9)="Rent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24">
        <f t="shared" si="14" ref="FD24:FD124">IF(J24="","",J24)</f>
        <v>1467</v>
      </c>
      <c r="FE24">
        <f t="shared" si="15" ref="FE24:FE124">IF(B24="Vacant",FC24,FD24)</f>
        <v>1467</v>
      </c>
      <c r="FF24">
        <f t="shared" si="16" ref="FF24:FF124">_xlfn.LET(_xlpm.row_is_empty,LEN($G24)=0,_xlpm.is_chap9_sbl,TRUE,_xlpm.contract_rent,H24,_xlpm.gross_potential_rent,FE24,_xlpm.employee_allowance,L24,_xlpm.rent_adjustment,I24,_xlpm.subsidy,N24,IF(_xlpm.row_is_empty,"",IF(_xlpm.is_chap9_sbl,_xlpm.contract_rent-_xlpm.employee_allowance-IF(_xlpm.subsidy&gt;0,_xlpm.subsidy,0),_xlpm.gross_potential_rent-_xlpm.employee_allowance-IF(_xlpm.subsidy&gt;0,_xlpm.subsidy-_xlpm.rent_adjustment,0))))</f>
        <v>1467</v>
      </c>
      <c r="FH24">
        <f t="shared" si="17" ref="FH24:FH124">IF(L24="","",FC24)</f>
      </c>
      <c r="FI24">
        <f t="shared" si="18" ref="FI24:FI124">IF(M24="","",FC24)</f>
      </c>
      <c r="FK24" cm="1">
        <f t="array" ref="FK24">IF(AND(LEN($D24)&gt;0,ISNA(MATCH(TRUE,EXACT($G24,RentRoll_InputArea_DesignatedUnitType),0))),1,0)</f>
        <v>0</v>
      </c>
      <c r="FL24">
        <f t="shared" si="19" ref="FL24:FL124">$A24</f>
        <v>1</v>
      </c>
      <c r="IO24" cm="1">
        <f t="array" ref="IO24">IF(LEN($G24)=0,"Rent Roll is incomplete",_xlfn.XLOOKUP(TRUE,EXACT(RentRoll_InputArea_DesignatedUnitType,$G24),RentRoll_InputArea_Beds,"Not Found"))</f>
        <v>2</v>
      </c>
      <c r="IQ24" t="str">
        <f t="shared" si="20" ref="IQ24:IQ124">IF(ISNUMBER(IO24),IF(IO24=0,"0 Bedroom Unit (Efficiency/Studio)",IO24&amp;" Bedroom Unit"),"")</f>
        <v>2 Bedroom Unit</v>
      </c>
      <c r="IR24">
        <f t="shared" si="21" ref="IR24:IR124">_xlfn.LET(_xlpm.actual_rent,$H24,_xlpm.market_rent,$FC24,_xlpm.subsidy,$N24,_xlfn.IFERROR(IF(_xlpm.actual_rent&gt;0,_xlpm.actual_rent,_xlpm.market_rent)-_xlpm.subsidy,""))</f>
        <v>1467</v>
      </c>
      <c r="IW24" t="str">
        <f t="shared" si="22" ref="IW24:IW124">D24</f>
        <v>1-100</v>
      </c>
      <c r="IZ24">
        <f t="shared" si="23" ref="IZ24:IZ124">IO24</f>
        <v>2</v>
      </c>
      <c r="JA24">
        <f t="shared" si="24" ref="JA24:JA124">IF(B24="Vacant",0,FF24)</f>
        <v>1467</v>
      </c>
      <c r="JH24">
        <f t="shared" si="25" ref="JH24:JH124">FC24</f>
        <v>1410</v>
      </c>
      <c r="JJ24">
        <f t="shared" si="26" ref="JJ24:JJ124">IF(JI24="","",I24)</f>
      </c>
      <c r="JQ24" t="str">
        <f t="shared" si="27" ref="JQ24:JQ124">IF(L24&gt;0,"Employee",IF(B24="Vacant","Vacant","Occupied"))</f>
        <v>Occupied</v>
      </c>
      <c r="JR24" cm="1">
        <f t="array" ref="JR24">_xlfn.XLOOKUP(TRUE,EXACT(RentRoll_InputArea_DesignatedUnitType,$G24),RentRoll_InputArea_SquareFootage,"Not Found")</f>
        <v>851</v>
      </c>
      <c r="JS24" t="str">
        <f t="shared" si="28" ref="JS24:JS124">IF(Property_Type="Manufactured Housing","Pad","Apartment")</f>
        <v>Apartment</v>
      </c>
      <c r="JT24">
        <f t="shared" si="29" ref="JT24:JT124">IF(IX24="","","Bed")</f>
      </c>
      <c r="JY24">
        <f t="shared" si="9" ref="JY24:JZ124">IF(O24="","",O24)</f>
        <v>43573</v>
      </c>
      <c r="JZ24">
        <f t="shared" si="9"/>
        <v>43921</v>
      </c>
    </row>
    <row r="25" ht="15" customHeight="1">
      <c r="A25">
        <f t="shared" si="10"/>
        <v>2</v>
      </c>
      <c r="D25" t="s">
        <v>2745</v>
      </c>
      <c r="E25">
        <v>1357</v>
      </c>
      <c r="F25" t="s">
        <v>2746</v>
      </c>
      <c r="G25" t="s">
        <v>2531</v>
      </c>
      <c r="H25">
        <v>1435</v>
      </c>
      <c r="I25" cm="1">
        <f t="array" ref="I25">_xlfn.LET(_xlpm.has_subsidy,$N25&gt;0,_xlpm.is_chap9_sbl,$FF$20,_xlpm.contract_rent,$H25,_xlpm.unit_type_mkt_rent,_xlfn.XLOOKUP(TRUE,EXACT($G25,RentRoll_InputArea_DesignatedUnitType),RentRoll_InputArea_MarketRent,"Not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25">
        <f t="shared" si="11"/>
        <v>1435</v>
      </c>
      <c r="O25" s="1">
        <v>43309</v>
      </c>
      <c r="P25" s="1">
        <v>43585</v>
      </c>
      <c r="Q25">
        <f t="shared" si="8"/>
      </c>
      <c r="R25">
        <f t="shared" si="8"/>
      </c>
      <c r="S25">
        <f t="shared" si="8"/>
        <v>1435</v>
      </c>
      <c r="T25">
        <f t="shared" si="8"/>
      </c>
      <c r="U25">
        <f t="shared" si="8"/>
      </c>
      <c r="V25">
        <f t="shared" si="8"/>
      </c>
      <c r="W25">
        <f t="shared" si="8"/>
      </c>
      <c r="X25">
        <f t="shared" si="8"/>
      </c>
      <c r="Y25">
        <f t="shared" si="8"/>
      </c>
      <c r="Z25">
        <f t="shared" si="8"/>
      </c>
      <c r="AA25">
        <f t="shared" si="8"/>
      </c>
      <c r="AB25">
        <f t="shared" si="8"/>
      </c>
      <c r="AC25">
        <f t="shared" si="8"/>
      </c>
      <c r="AD25">
        <f t="shared" si="8"/>
      </c>
      <c r="AE25">
        <f t="shared" si="8"/>
      </c>
      <c r="AF25">
        <f t="shared" si="8"/>
      </c>
      <c r="AG25">
        <f t="shared" si="8"/>
      </c>
      <c r="AH25">
        <f t="shared" si="8"/>
      </c>
      <c r="AI25">
        <f t="shared" si="8"/>
      </c>
      <c r="AJ25">
        <f t="shared" si="8"/>
      </c>
      <c r="AK25">
        <f t="shared" si="8"/>
      </c>
      <c r="AL25">
        <f t="shared" si="8"/>
      </c>
      <c r="AM25">
        <f t="shared" si="8"/>
      </c>
      <c r="AN25">
        <f t="shared" si="8"/>
      </c>
      <c r="AO25">
        <f t="shared" si="8"/>
      </c>
      <c r="AP25">
        <f t="shared" si="8"/>
      </c>
      <c r="AQ25">
        <f t="shared" si="8"/>
      </c>
      <c r="AR25">
        <f t="shared" si="8"/>
      </c>
      <c r="AS25">
        <f t="shared" si="8"/>
      </c>
      <c r="AT25">
        <f t="shared" si="8"/>
      </c>
      <c r="AU25">
        <f t="shared" si="8"/>
      </c>
      <c r="AV25">
        <f t="shared" si="8"/>
      </c>
      <c r="AW25">
        <f t="shared" si="8"/>
      </c>
      <c r="AX25">
        <f t="shared" si="8"/>
      </c>
      <c r="AY25">
        <f t="shared" si="8"/>
      </c>
      <c r="AZ25">
        <f t="shared" si="8"/>
      </c>
      <c r="BA25">
        <f t="shared" si="8"/>
      </c>
      <c r="BB25">
        <f t="shared" si="8"/>
      </c>
      <c r="BC25">
        <f t="shared" si="8"/>
      </c>
      <c r="BD25">
        <f t="shared" si="8"/>
      </c>
      <c r="BE25">
        <f t="shared" si="8"/>
      </c>
      <c r="BF25">
        <f t="shared" si="8"/>
      </c>
      <c r="BG25">
        <f t="shared" si="8"/>
      </c>
      <c r="BH25">
        <f t="shared" si="8"/>
      </c>
      <c r="BI25">
        <f t="shared" si="8"/>
      </c>
      <c r="BJ25">
        <f t="shared" si="8"/>
      </c>
      <c r="BK25">
        <f t="shared" si="8"/>
      </c>
      <c r="BL25">
        <f t="shared" si="8"/>
      </c>
      <c r="BM25">
        <f t="shared" si="8"/>
      </c>
      <c r="BN25">
        <f t="shared" si="8"/>
      </c>
      <c r="BO25">
        <f t="shared" si="8"/>
      </c>
      <c r="BP25">
        <f t="shared" si="8"/>
      </c>
      <c r="BQ25">
        <f t="shared" si="8"/>
      </c>
      <c r="BR25">
        <f t="shared" si="8"/>
      </c>
      <c r="BS25">
        <f t="shared" si="8"/>
      </c>
      <c r="BT25">
        <f t="shared" si="8"/>
      </c>
      <c r="BU25">
        <f t="shared" si="8"/>
      </c>
      <c r="BV25">
        <f t="shared" si="8"/>
      </c>
      <c r="BW25">
        <f t="shared" si="8"/>
      </c>
      <c r="BX25">
        <f t="shared" si="8"/>
      </c>
      <c r="BY25">
        <f t="shared" si="8"/>
      </c>
      <c r="BZ25">
        <f t="shared" si="8"/>
      </c>
      <c r="CA25">
        <f t="shared" si="8"/>
      </c>
      <c r="CB25">
        <f t="shared" si="8"/>
      </c>
      <c r="CC25">
        <f t="shared" si="8"/>
      </c>
      <c r="CD25">
        <f t="shared" si="8"/>
      </c>
      <c r="CE25">
        <f t="shared" si="8"/>
      </c>
      <c r="CF25">
        <f t="shared" si="8"/>
      </c>
      <c r="CG25">
        <f t="shared" si="8"/>
      </c>
      <c r="CH25">
        <f t="shared" si="8"/>
      </c>
      <c r="CI25">
        <f t="shared" si="8"/>
      </c>
      <c r="CJ25">
        <f t="shared" si="8"/>
      </c>
      <c r="CK25">
        <f t="shared" si="8"/>
      </c>
      <c r="CL25">
        <f t="shared" si="8"/>
      </c>
      <c r="CM25">
        <f t="shared" si="8"/>
      </c>
      <c r="CN25">
        <f t="shared" si="8"/>
      </c>
      <c r="CO25">
        <f t="shared" si="8"/>
      </c>
      <c r="CP25">
        <f t="shared" si="8"/>
      </c>
      <c r="CQ25">
        <f t="shared" si="8"/>
      </c>
      <c r="CR25">
        <f t="shared" si="8"/>
      </c>
      <c r="CS25">
        <f t="shared" si="8"/>
      </c>
      <c r="CT25">
        <f t="shared" si="8"/>
      </c>
      <c r="CU25">
        <f t="shared" si="8"/>
      </c>
      <c r="CV25">
        <f t="shared" si="8"/>
      </c>
      <c r="CW25">
        <f t="shared" si="8"/>
      </c>
      <c r="CX25">
        <f t="shared" si="8"/>
      </c>
      <c r="CY25">
        <f t="shared" si="8"/>
      </c>
      <c r="CZ25">
        <f t="shared" si="8"/>
      </c>
      <c r="DA25">
        <f t="shared" si="8"/>
      </c>
      <c r="DB25">
        <f t="shared" si="8"/>
      </c>
      <c r="DC25">
        <f t="shared" si="8"/>
      </c>
      <c r="DD25">
        <f t="shared" si="8"/>
      </c>
      <c r="DE25">
        <f t="shared" si="8"/>
      </c>
      <c r="DF25">
        <f t="shared" si="8"/>
      </c>
      <c r="DG25">
        <f t="shared" si="8"/>
      </c>
      <c r="DH25">
        <f t="shared" si="8"/>
      </c>
      <c r="DI25">
        <f t="shared" si="8"/>
      </c>
      <c r="DJ25">
        <f t="shared" si="8"/>
      </c>
      <c r="DK25">
        <f t="shared" si="8"/>
      </c>
      <c r="DL25">
        <f t="shared" si="8"/>
      </c>
      <c r="DM25">
        <f t="shared" si="8"/>
      </c>
      <c r="DN25">
        <f t="shared" si="8"/>
      </c>
      <c r="DO25">
        <f t="shared" si="8"/>
      </c>
      <c r="DP25">
        <f t="shared" si="8"/>
      </c>
      <c r="DQ25">
        <f t="shared" si="8"/>
      </c>
      <c r="DR25">
        <f t="shared" si="8"/>
      </c>
      <c r="DS25">
        <f t="shared" si="8"/>
      </c>
      <c r="DT25">
        <f t="shared" si="8"/>
      </c>
      <c r="DU25">
        <f t="shared" si="8"/>
      </c>
      <c r="DV25">
        <f t="shared" si="8"/>
      </c>
      <c r="DW25">
        <f t="shared" si="8"/>
      </c>
      <c r="DX25">
        <f t="shared" si="8"/>
      </c>
      <c r="DY25">
        <f t="shared" si="8"/>
      </c>
      <c r="DZ25">
        <f t="shared" si="8"/>
      </c>
      <c r="EA25">
        <f t="shared" si="8"/>
      </c>
      <c r="EB25">
        <f t="shared" si="8"/>
      </c>
      <c r="EC25">
        <f t="shared" si="8"/>
      </c>
      <c r="ED25">
        <f t="shared" si="8"/>
      </c>
      <c r="EE25">
        <f t="shared" si="8"/>
      </c>
      <c r="EF25">
        <f t="shared" si="8"/>
      </c>
      <c r="EG25">
        <f t="shared" si="8"/>
      </c>
      <c r="EH25">
        <f t="shared" si="8"/>
      </c>
      <c r="EI25">
        <f t="shared" si="8"/>
      </c>
      <c r="EJ25">
        <f t="shared" si="8"/>
      </c>
      <c r="EK25">
        <f t="shared" si="8"/>
      </c>
      <c r="EL25">
        <f t="shared" si="8"/>
      </c>
      <c r="EM25">
        <f t="shared" si="8"/>
      </c>
      <c r="EN25">
        <f t="shared" si="8"/>
      </c>
      <c r="EO25">
        <f t="shared" si="8"/>
      </c>
      <c r="EP25">
        <f t="shared" si="8"/>
      </c>
      <c r="EQ25">
        <f t="shared" si="8"/>
      </c>
      <c r="ER25">
        <f t="shared" si="8"/>
      </c>
      <c r="ES25">
        <f t="shared" si="8"/>
      </c>
      <c r="ET25">
        <f t="shared" si="8"/>
      </c>
      <c r="EU25">
        <f t="shared" si="8"/>
      </c>
      <c r="EV25">
        <f t="shared" si="8"/>
      </c>
      <c r="EW25">
        <f t="shared" si="8"/>
      </c>
      <c r="EX25">
        <f t="shared" si="8"/>
      </c>
      <c r="EY25">
        <f t="shared" si="8"/>
      </c>
      <c r="EZ25">
        <f t="shared" si="8"/>
      </c>
      <c r="FA25" t="str">
        <f t="shared" si="12"/>
        <v>-</v>
      </c>
      <c r="FB25">
        <f t="shared" si="13"/>
      </c>
      <c r="FC25" cm="1">
        <f t="array" ref="FC25">_xlfn.LET(_xlpm.unit_type,$G25,_xlpm.market_rent_from_rent_roll,$E25,_xlpm.unit_type_list,RentRoll_InputArea_DesignatedUnitType,_xlpm.rent_by_unit_type,RentRoll_InputArea_MarketRent,_xlpm.use_rent_roll_market_rent,LEFT(RR_VacantUnitMktRentSource,9)="Rent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25">
        <f t="shared" si="14"/>
        <v>1435</v>
      </c>
      <c r="FE25">
        <f t="shared" si="15"/>
        <v>1435</v>
      </c>
      <c r="FF25">
        <f t="shared" si="16"/>
        <v>1435</v>
      </c>
      <c r="FH25">
        <f t="shared" si="17"/>
      </c>
      <c r="FI25">
        <f t="shared" si="18"/>
      </c>
      <c r="FK25" cm="1">
        <f t="array" ref="FK25">IF(AND(LEN($D25)&gt;0,ISNA(MATCH(TRUE,EXACT($G25,RentRoll_InputArea_DesignatedUnitType),0))),1,0)</f>
        <v>0</v>
      </c>
      <c r="FL25">
        <f t="shared" si="19"/>
        <v>2</v>
      </c>
      <c r="IO25" cm="1">
        <f t="array" ref="IO25">IF(LEN($G25)=0,"Rent Roll is incomplete",_xlfn.XLOOKUP(TRUE,EXACT(RentRoll_InputArea_DesignatedUnitType,$G25),RentRoll_InputArea_Beds,"Not Found"))</f>
        <v>2</v>
      </c>
      <c r="IQ25" t="str">
        <f t="shared" si="20"/>
        <v>2 Bedroom Unit</v>
      </c>
      <c r="IR25">
        <f t="shared" si="21"/>
        <v>1435</v>
      </c>
      <c r="IW25" t="str">
        <f t="shared" si="22"/>
        <v>1-101</v>
      </c>
      <c r="IZ25">
        <f t="shared" si="23"/>
        <v>2</v>
      </c>
      <c r="JA25">
        <f t="shared" si="24"/>
        <v>1435</v>
      </c>
      <c r="JH25">
        <f t="shared" si="25"/>
        <v>1410</v>
      </c>
      <c r="JJ25">
        <f t="shared" si="26"/>
      </c>
      <c r="JQ25" t="str">
        <f t="shared" si="27"/>
        <v>Occupied</v>
      </c>
      <c r="JR25" cm="1">
        <f t="array" ref="JR25">_xlfn.XLOOKUP(TRUE,EXACT(RentRoll_InputArea_DesignatedUnitType,$G25),RentRoll_InputArea_SquareFootage,"Not Found")</f>
        <v>851</v>
      </c>
      <c r="JS25" t="str">
        <f t="shared" si="28"/>
        <v>Apartment</v>
      </c>
      <c r="JT25">
        <f t="shared" si="29"/>
      </c>
      <c r="JY25">
        <f t="shared" si="9"/>
        <v>43309</v>
      </c>
      <c r="JZ25">
        <f t="shared" si="9"/>
        <v>43585</v>
      </c>
    </row>
    <row r="26" ht="15" customHeight="1">
      <c r="A26">
        <f t="shared" si="10"/>
        <v>3</v>
      </c>
      <c r="D26" t="s">
        <v>2747</v>
      </c>
      <c r="E26">
        <v>1413</v>
      </c>
      <c r="F26" t="s">
        <v>2748</v>
      </c>
      <c r="G26" t="s">
        <v>2531</v>
      </c>
      <c r="H26">
        <v>1283</v>
      </c>
      <c r="I26" cm="1">
        <f t="array" ref="I26">_xlfn.LET(_xlpm.has_subsidy,$N26&gt;0,_xlpm.is_chap9_sbl,$FF$20,_xlpm.contract_rent,$H26,_xlpm.unit_type_mkt_rent,_xlfn.XLOOKUP(TRUE,EXACT($G26,RentRoll_InputArea_DesignatedUnitType),RentRoll_InputArea_MarketRent,"Not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26">
        <f t="shared" si="11"/>
        <v>1283</v>
      </c>
      <c r="O26" s="1">
        <v>43466</v>
      </c>
      <c r="P26" s="1">
        <v>43738</v>
      </c>
      <c r="Q26">
        <f t="shared" si="8"/>
      </c>
      <c r="R26">
        <f t="shared" si="8"/>
      </c>
      <c r="S26">
        <f t="shared" si="8"/>
        <v>1283</v>
      </c>
      <c r="T26">
        <f t="shared" si="8"/>
      </c>
      <c r="U26">
        <f t="shared" si="8"/>
      </c>
      <c r="V26">
        <f t="shared" si="8"/>
      </c>
      <c r="W26">
        <f t="shared" si="8"/>
      </c>
      <c r="X26">
        <f t="shared" si="8"/>
      </c>
      <c r="Y26">
        <f t="shared" si="8"/>
      </c>
      <c r="Z26">
        <f t="shared" si="8"/>
      </c>
      <c r="AA26">
        <f t="shared" si="8"/>
      </c>
      <c r="AB26">
        <f t="shared" si="8"/>
      </c>
      <c r="AC26">
        <f t="shared" si="8"/>
      </c>
      <c r="AD26">
        <f t="shared" si="8"/>
      </c>
      <c r="AE26">
        <f t="shared" si="8"/>
      </c>
      <c r="AF26">
        <f t="shared" si="8"/>
      </c>
      <c r="AG26">
        <f t="shared" si="8"/>
      </c>
      <c r="AH26">
        <f t="shared" si="8"/>
      </c>
      <c r="AI26">
        <f t="shared" si="8"/>
      </c>
      <c r="AJ26">
        <f t="shared" si="8"/>
      </c>
      <c r="AK26">
        <f t="shared" si="8"/>
      </c>
      <c r="AL26">
        <f t="shared" si="8"/>
      </c>
      <c r="AM26">
        <f t="shared" si="8"/>
      </c>
      <c r="AN26">
        <f t="shared" si="8"/>
      </c>
      <c r="AO26">
        <f t="shared" si="8"/>
      </c>
      <c r="AP26">
        <f t="shared" si="8"/>
      </c>
      <c r="AQ26">
        <f t="shared" si="8"/>
      </c>
      <c r="AR26">
        <f t="shared" si="8"/>
      </c>
      <c r="AS26">
        <f t="shared" si="8"/>
      </c>
      <c r="AT26">
        <f t="shared" si="8"/>
      </c>
      <c r="AU26">
        <f t="shared" si="8"/>
      </c>
      <c r="AV26">
        <f t="shared" si="8"/>
      </c>
      <c r="AW26">
        <f t="shared" si="8"/>
      </c>
      <c r="AX26">
        <f t="shared" si="8"/>
      </c>
      <c r="AY26">
        <f t="shared" si="8"/>
      </c>
      <c r="AZ26">
        <f t="shared" si="8"/>
      </c>
      <c r="BA26">
        <f t="shared" si="8"/>
      </c>
      <c r="BB26">
        <f t="shared" si="8"/>
      </c>
      <c r="BC26">
        <f t="shared" si="8"/>
      </c>
      <c r="BD26">
        <f t="shared" si="8"/>
      </c>
      <c r="BE26">
        <f t="shared" si="8"/>
      </c>
      <c r="BF26">
        <f t="shared" si="8"/>
      </c>
      <c r="BG26">
        <f t="shared" si="8"/>
      </c>
      <c r="BH26">
        <f t="shared" si="8"/>
      </c>
      <c r="BI26">
        <f t="shared" si="8"/>
      </c>
      <c r="BJ26">
        <f t="shared" si="8"/>
      </c>
      <c r="BK26">
        <f t="shared" si="8"/>
      </c>
      <c r="BL26">
        <f t="shared" si="8"/>
      </c>
      <c r="BM26">
        <f t="shared" si="8"/>
      </c>
      <c r="BN26">
        <f t="shared" si="8"/>
      </c>
      <c r="BO26">
        <f t="shared" si="8"/>
      </c>
      <c r="BP26">
        <f t="shared" si="8"/>
      </c>
      <c r="BQ26">
        <f t="shared" si="8"/>
      </c>
      <c r="BR26">
        <f t="shared" si="8"/>
      </c>
      <c r="BS26">
        <f t="shared" si="8"/>
      </c>
      <c r="BT26">
        <f t="shared" si="8"/>
      </c>
      <c r="BU26">
        <f t="shared" si="8"/>
      </c>
      <c r="BV26">
        <f t="shared" si="8"/>
      </c>
      <c r="BW26">
        <f t="shared" si="8"/>
      </c>
      <c r="BX26">
        <f t="shared" si="8"/>
      </c>
      <c r="BY26">
        <f t="shared" si="8"/>
      </c>
      <c r="BZ26">
        <f t="shared" si="8"/>
      </c>
      <c r="CA26">
        <f t="shared" si="8"/>
      </c>
      <c r="CB26">
        <f t="shared" si="8"/>
      </c>
      <c r="CC26">
        <f t="shared" si="8"/>
      </c>
      <c r="CD26">
        <f t="shared" si="8"/>
      </c>
      <c r="CE26">
        <f t="shared" si="8"/>
      </c>
      <c r="CF26">
        <f t="shared" si="8"/>
      </c>
      <c r="CG26">
        <f t="shared" si="8"/>
      </c>
      <c r="CH26">
        <f t="shared" si="8"/>
      </c>
      <c r="CI26">
        <f t="shared" si="8"/>
      </c>
      <c r="CJ26">
        <f t="shared" si="8"/>
      </c>
      <c r="CK26">
        <f t="shared" si="8"/>
      </c>
      <c r="CL26">
        <f t="shared" si="8"/>
      </c>
      <c r="CM26">
        <f t="shared" si="8"/>
      </c>
      <c r="CN26">
        <f t="shared" si="8"/>
      </c>
      <c r="CO26">
        <f t="shared" si="8"/>
      </c>
      <c r="CP26">
        <f t="shared" si="8"/>
      </c>
      <c r="CQ26">
        <f t="shared" si="8"/>
      </c>
      <c r="CR26">
        <f t="shared" si="8"/>
      </c>
      <c r="CS26">
        <f t="shared" si="8"/>
      </c>
      <c r="CT26">
        <f t="shared" si="8"/>
      </c>
      <c r="CU26">
        <f t="shared" si="8"/>
      </c>
      <c r="CV26">
        <f t="shared" si="8"/>
      </c>
      <c r="CW26">
        <f t="shared" si="8"/>
      </c>
      <c r="CX26">
        <f t="shared" si="8"/>
      </c>
      <c r="CY26">
        <f t="shared" si="8"/>
      </c>
      <c r="CZ26">
        <f t="shared" si="8"/>
      </c>
      <c r="DA26">
        <f t="shared" si="8"/>
      </c>
      <c r="DB26">
        <f t="shared" si="8"/>
      </c>
      <c r="DC26">
        <f t="shared" si="8"/>
      </c>
      <c r="DD26">
        <f t="shared" si="8"/>
      </c>
      <c r="DE26">
        <f t="shared" si="8"/>
      </c>
      <c r="DF26">
        <f t="shared" si="8"/>
      </c>
      <c r="DG26">
        <f t="shared" si="8"/>
      </c>
      <c r="DH26">
        <f t="shared" si="8"/>
      </c>
      <c r="DI26">
        <f t="shared" si="8"/>
      </c>
      <c r="DJ26">
        <f t="shared" si="8"/>
      </c>
      <c r="DK26">
        <f t="shared" si="8"/>
      </c>
      <c r="DL26">
        <f t="shared" si="8"/>
      </c>
      <c r="DM26">
        <f t="shared" si="8"/>
      </c>
      <c r="DN26">
        <f t="shared" si="8"/>
      </c>
      <c r="DO26">
        <f t="shared" si="8"/>
      </c>
      <c r="DP26">
        <f t="shared" si="8"/>
      </c>
      <c r="DQ26">
        <f t="shared" si="8"/>
      </c>
      <c r="DR26">
        <f t="shared" si="8"/>
      </c>
      <c r="DS26">
        <f t="shared" si="8"/>
      </c>
      <c r="DT26">
        <f t="shared" si="8"/>
      </c>
      <c r="DU26">
        <f t="shared" si="8"/>
      </c>
      <c r="DV26">
        <f t="shared" si="8"/>
      </c>
      <c r="DW26">
        <f t="shared" si="8"/>
      </c>
      <c r="DX26">
        <f t="shared" si="8"/>
      </c>
      <c r="DY26">
        <f t="shared" si="8"/>
      </c>
      <c r="DZ26">
        <f t="shared" si="8"/>
      </c>
      <c r="EA26">
        <f t="shared" si="8"/>
      </c>
      <c r="EB26">
        <f t="shared" si="8"/>
      </c>
      <c r="EC26">
        <f t="shared" si="8"/>
      </c>
      <c r="ED26">
        <f t="shared" si="8"/>
      </c>
      <c r="EE26">
        <f t="shared" si="8"/>
      </c>
      <c r="EF26">
        <f t="shared" si="8"/>
      </c>
      <c r="EG26">
        <f t="shared" si="8"/>
      </c>
      <c r="EH26">
        <f t="shared" si="8"/>
      </c>
      <c r="EI26">
        <f t="shared" si="8"/>
      </c>
      <c r="EJ26">
        <f t="shared" si="8"/>
      </c>
      <c r="EK26">
        <f t="shared" si="8"/>
      </c>
      <c r="EL26">
        <f t="shared" si="8"/>
      </c>
      <c r="EM26">
        <f t="shared" si="8"/>
      </c>
      <c r="EN26">
        <f t="shared" si="8"/>
      </c>
      <c r="EO26">
        <f t="shared" si="8"/>
      </c>
      <c r="EP26">
        <f t="shared" si="8"/>
      </c>
      <c r="EQ26">
        <f t="shared" si="8"/>
      </c>
      <c r="ER26">
        <f t="shared" si="8"/>
      </c>
      <c r="ES26">
        <f t="shared" si="8"/>
      </c>
      <c r="ET26">
        <f t="shared" si="8"/>
      </c>
      <c r="EU26">
        <f t="shared" si="8"/>
      </c>
      <c r="EV26">
        <f t="shared" si="8"/>
      </c>
      <c r="EW26">
        <f t="shared" si="8"/>
      </c>
      <c r="EX26">
        <f t="shared" si="8"/>
      </c>
      <c r="EY26">
        <f t="shared" si="8"/>
      </c>
      <c r="EZ26">
        <f t="shared" si="8"/>
      </c>
      <c r="FA26" t="str">
        <f t="shared" si="12"/>
        <v>-</v>
      </c>
      <c r="FB26">
        <f t="shared" si="13"/>
      </c>
      <c r="FC26" cm="1">
        <f t="array" ref="FC26">_xlfn.LET(_xlpm.unit_type,$G26,_xlpm.market_rent_from_rent_roll,$E26,_xlpm.unit_type_list,RentRoll_InputArea_DesignatedUnitType,_xlpm.rent_by_unit_type,RentRoll_InputArea_MarketRent,_xlpm.use_rent_roll_market_rent,LEFT(RR_VacantUnitMktRentSource,9)="Rent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26">
        <f t="shared" si="14"/>
        <v>1283</v>
      </c>
      <c r="FE26">
        <f t="shared" si="15"/>
        <v>1283</v>
      </c>
      <c r="FF26">
        <f t="shared" si="16"/>
        <v>1283</v>
      </c>
      <c r="FH26">
        <f t="shared" si="17"/>
      </c>
      <c r="FI26">
        <f t="shared" si="18"/>
      </c>
      <c r="FK26" cm="1">
        <f t="array" ref="FK26">IF(AND(LEN($D26)&gt;0,ISNA(MATCH(TRUE,EXACT($G26,RentRoll_InputArea_DesignatedUnitType),0))),1,0)</f>
        <v>0</v>
      </c>
      <c r="FL26">
        <f t="shared" si="19"/>
        <v>3</v>
      </c>
      <c r="IO26" cm="1">
        <f t="array" ref="IO26">IF(LEN($G26)=0,"Rent Roll is incomplete",_xlfn.XLOOKUP(TRUE,EXACT(RentRoll_InputArea_DesignatedUnitType,$G26),RentRoll_InputArea_Beds,"Not Found"))</f>
        <v>2</v>
      </c>
      <c r="IQ26" t="str">
        <f t="shared" si="20"/>
        <v>2 Bedroom Unit</v>
      </c>
      <c r="IR26">
        <f t="shared" si="21"/>
        <v>1283</v>
      </c>
      <c r="IW26" t="str">
        <f t="shared" si="22"/>
        <v>1-102</v>
      </c>
      <c r="IZ26">
        <f t="shared" si="23"/>
        <v>2</v>
      </c>
      <c r="JA26">
        <f t="shared" si="24"/>
        <v>1283</v>
      </c>
      <c r="JH26">
        <f t="shared" si="25"/>
        <v>1410</v>
      </c>
      <c r="JJ26">
        <f t="shared" si="26"/>
      </c>
      <c r="JQ26" t="str">
        <f t="shared" si="27"/>
        <v>Occupied</v>
      </c>
      <c r="JR26" cm="1">
        <f t="array" ref="JR26">_xlfn.XLOOKUP(TRUE,EXACT(RentRoll_InputArea_DesignatedUnitType,$G26),RentRoll_InputArea_SquareFootage,"Not Found")</f>
        <v>851</v>
      </c>
      <c r="JS26" t="str">
        <f t="shared" si="28"/>
        <v>Apartment</v>
      </c>
      <c r="JT26">
        <f t="shared" si="29"/>
      </c>
      <c r="JY26">
        <f t="shared" si="9"/>
        <v>43466</v>
      </c>
      <c r="JZ26">
        <f t="shared" si="9"/>
        <v>43738</v>
      </c>
    </row>
    <row r="27" ht="15" customHeight="1">
      <c r="A27">
        <f t="shared" si="10"/>
        <v>4</v>
      </c>
      <c r="D27" t="s">
        <v>2749</v>
      </c>
      <c r="E27">
        <v>1414</v>
      </c>
      <c r="F27" t="s">
        <v>2750</v>
      </c>
      <c r="G27" t="s">
        <v>2531</v>
      </c>
      <c r="H27">
        <v>1236</v>
      </c>
      <c r="I27" cm="1">
        <f t="array" ref="I27">_xlfn.LET(_xlpm.has_subsidy,$N27&gt;0,_xlpm.is_chap9_sbl,$FF$20,_xlpm.contract_rent,$H27,_xlpm.unit_type_mkt_rent,_xlfn.XLOOKUP(TRUE,EXACT($G27,RentRoll_InputArea_DesignatedUnitType),RentRoll_InputArea_MarketRent,"Not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27">
        <f t="shared" si="11"/>
        <v>1236</v>
      </c>
      <c r="O27" s="1">
        <v>42906</v>
      </c>
      <c r="P27" s="1">
        <v>43270</v>
      </c>
      <c r="Q27">
        <f t="shared" si="8"/>
      </c>
      <c r="R27">
        <f t="shared" si="8"/>
      </c>
      <c r="S27">
        <f t="shared" si="8"/>
        <v>1236</v>
      </c>
      <c r="T27">
        <f t="shared" si="8"/>
      </c>
      <c r="U27">
        <f t="shared" si="8"/>
      </c>
      <c r="V27">
        <f t="shared" si="8"/>
      </c>
      <c r="W27">
        <f t="shared" si="8"/>
      </c>
      <c r="X27">
        <f t="shared" si="8"/>
      </c>
      <c r="Y27">
        <f t="shared" si="8"/>
      </c>
      <c r="Z27">
        <f t="shared" si="8"/>
      </c>
      <c r="AA27">
        <f t="shared" si="8"/>
      </c>
      <c r="AB27">
        <f t="shared" si="8"/>
      </c>
      <c r="AC27">
        <f t="shared" si="8"/>
      </c>
      <c r="AD27">
        <f t="shared" si="8"/>
      </c>
      <c r="AE27">
        <f t="shared" si="8"/>
      </c>
      <c r="AF27">
        <f t="shared" si="8"/>
      </c>
      <c r="AG27">
        <f t="shared" si="8"/>
      </c>
      <c r="AH27">
        <f t="shared" si="8"/>
      </c>
      <c r="AI27">
        <f t="shared" si="8"/>
      </c>
      <c r="AJ27">
        <f t="shared" si="8"/>
      </c>
      <c r="AK27">
        <f t="shared" si="8"/>
      </c>
      <c r="AL27">
        <f t="shared" si="8"/>
      </c>
      <c r="AM27">
        <f t="shared" si="8"/>
      </c>
      <c r="AN27">
        <f t="shared" si="8"/>
      </c>
      <c r="AO27">
        <f t="shared" si="8"/>
      </c>
      <c r="AP27">
        <f t="shared" si="8"/>
      </c>
      <c r="AQ27">
        <f t="shared" si="8"/>
      </c>
      <c r="AR27">
        <f t="shared" si="8"/>
      </c>
      <c r="AS27">
        <f t="shared" si="8"/>
      </c>
      <c r="AT27">
        <f t="shared" si="8"/>
      </c>
      <c r="AU27">
        <f t="shared" si="8"/>
      </c>
      <c r="AV27">
        <f t="shared" si="8"/>
      </c>
      <c r="AW27">
        <f t="shared" si="8"/>
      </c>
      <c r="AX27">
        <f t="shared" si="8"/>
      </c>
      <c r="AY27">
        <f t="shared" si="8"/>
      </c>
      <c r="AZ27">
        <f t="shared" si="8"/>
      </c>
      <c r="BA27">
        <f t="shared" si="8"/>
      </c>
      <c r="BB27">
        <f t="shared" si="8"/>
      </c>
      <c r="BC27">
        <f t="shared" si="8"/>
      </c>
      <c r="BD27">
        <f t="shared" si="8"/>
      </c>
      <c r="BE27">
        <f t="shared" si="8"/>
      </c>
      <c r="BF27">
        <f t="shared" si="8"/>
      </c>
      <c r="BG27">
        <f t="shared" si="8"/>
      </c>
      <c r="BH27">
        <f t="shared" si="8"/>
      </c>
      <c r="BI27">
        <f t="shared" si="8"/>
      </c>
      <c r="BJ27">
        <f t="shared" si="8"/>
      </c>
      <c r="BK27">
        <f t="shared" si="8"/>
      </c>
      <c r="BL27">
        <f t="shared" si="8"/>
      </c>
      <c r="BM27">
        <f t="shared" si="8"/>
      </c>
      <c r="BN27">
        <f t="shared" si="8"/>
      </c>
      <c r="BO27">
        <f t="shared" si="8"/>
      </c>
      <c r="BP27">
        <f t="shared" si="8"/>
      </c>
      <c r="BQ27">
        <f t="shared" si="8"/>
      </c>
      <c r="BR27">
        <f t="shared" si="8"/>
      </c>
      <c r="BS27">
        <f t="shared" si="8"/>
      </c>
      <c r="BT27">
        <f t="shared" si="8"/>
      </c>
      <c r="BU27">
        <f t="shared" si="8"/>
      </c>
      <c r="BV27">
        <f t="shared" si="8"/>
      </c>
      <c r="BW27">
        <f t="shared" si="8"/>
      </c>
      <c r="BX27">
        <f t="shared" si="8"/>
      </c>
      <c r="BY27">
        <f t="shared" si="8"/>
      </c>
      <c r="BZ27">
        <f t="shared" si="8"/>
      </c>
      <c r="CA27">
        <f t="shared" si="8"/>
      </c>
      <c r="CB27">
        <f t="shared" si="8"/>
      </c>
      <c r="CC27">
        <f t="shared" si="8"/>
      </c>
      <c r="CD27">
        <f t="shared" si="8"/>
      </c>
      <c r="CE27">
        <f t="shared" si="8"/>
      </c>
      <c r="CF27">
        <f t="shared" si="8"/>
      </c>
      <c r="CG27">
        <f t="shared" si="8"/>
      </c>
      <c r="CH27">
        <f t="shared" si="8"/>
      </c>
      <c r="CI27">
        <f t="shared" si="8"/>
      </c>
      <c r="CJ27">
        <f t="shared" si="8"/>
      </c>
      <c r="CK27">
        <f t="shared" si="8"/>
      </c>
      <c r="CL27">
        <f t="shared" si="8"/>
      </c>
      <c r="CM27">
        <f t="shared" si="8"/>
      </c>
      <c r="CN27">
        <f t="shared" si="8"/>
      </c>
      <c r="CO27">
        <f t="shared" si="8"/>
      </c>
      <c r="CP27">
        <f t="shared" si="8"/>
      </c>
      <c r="CQ27">
        <f t="shared" si="8"/>
      </c>
      <c r="CR27">
        <f t="shared" si="8"/>
      </c>
      <c r="CS27">
        <f t="shared" si="8"/>
      </c>
      <c r="CT27">
        <f t="shared" si="8"/>
      </c>
      <c r="CU27">
        <f t="shared" si="8"/>
      </c>
      <c r="CV27">
        <f t="shared" si="8"/>
      </c>
      <c r="CW27">
        <f t="shared" si="8"/>
      </c>
      <c r="CX27">
        <f t="shared" si="8"/>
      </c>
      <c r="CY27">
        <f t="shared" si="8"/>
      </c>
      <c r="CZ27">
        <f t="shared" si="8"/>
      </c>
      <c r="DA27">
        <f t="shared" si="8"/>
      </c>
      <c r="DB27">
        <f t="shared" si="8"/>
      </c>
      <c r="DC27">
        <f t="shared" si="8"/>
      </c>
      <c r="DD27">
        <f t="shared" si="8"/>
      </c>
      <c r="DE27">
        <f t="shared" si="8"/>
      </c>
      <c r="DF27">
        <f t="shared" si="8"/>
      </c>
      <c r="DG27">
        <f t="shared" si="8"/>
      </c>
      <c r="DH27">
        <f t="shared" si="8"/>
      </c>
      <c r="DI27">
        <f t="shared" si="8"/>
      </c>
      <c r="DJ27">
        <f t="shared" si="8"/>
      </c>
      <c r="DK27">
        <f t="shared" si="8"/>
      </c>
      <c r="DL27">
        <f t="shared" si="8"/>
      </c>
      <c r="DM27">
        <f t="shared" si="8"/>
      </c>
      <c r="DN27">
        <f t="shared" si="8"/>
      </c>
      <c r="DO27">
        <f t="shared" si="8"/>
      </c>
      <c r="DP27">
        <f t="shared" si="8"/>
      </c>
      <c r="DQ27">
        <f t="shared" si="8"/>
      </c>
      <c r="DR27">
        <f t="shared" si="8"/>
      </c>
      <c r="DS27">
        <f t="shared" si="8"/>
      </c>
      <c r="DT27">
        <f t="shared" si="8"/>
      </c>
      <c r="DU27">
        <f t="shared" si="8"/>
      </c>
      <c r="DV27">
        <f t="shared" si="8"/>
      </c>
      <c r="DW27">
        <f t="shared" si="8"/>
      </c>
      <c r="DX27">
        <f t="shared" si="8"/>
      </c>
      <c r="DY27">
        <f t="shared" si="8"/>
      </c>
      <c r="DZ27">
        <f t="shared" si="8"/>
      </c>
      <c r="EA27">
        <f t="shared" si="8"/>
      </c>
      <c r="EB27">
        <f t="shared" si="8"/>
      </c>
      <c r="EC27">
        <f t="shared" si="8"/>
      </c>
      <c r="ED27">
        <f t="shared" si="8"/>
      </c>
      <c r="EE27">
        <f t="shared" si="8"/>
      </c>
      <c r="EF27">
        <f t="shared" si="8"/>
      </c>
      <c r="EG27">
        <f t="shared" si="8"/>
      </c>
      <c r="EH27">
        <f t="shared" si="8"/>
      </c>
      <c r="EI27">
        <f t="shared" si="8"/>
      </c>
      <c r="EJ27">
        <f t="shared" si="8"/>
      </c>
      <c r="EK27">
        <f t="shared" si="8"/>
      </c>
      <c r="EL27">
        <f t="shared" si="8"/>
      </c>
      <c r="EM27">
        <f t="shared" si="8"/>
      </c>
      <c r="EN27">
        <f t="shared" si="8"/>
      </c>
      <c r="EO27">
        <f t="shared" si="8"/>
      </c>
      <c r="EP27">
        <f t="shared" si="8"/>
      </c>
      <c r="EQ27">
        <f t="shared" si="8"/>
      </c>
      <c r="ER27">
        <f t="shared" si="8"/>
      </c>
      <c r="ES27">
        <f t="shared" si="8"/>
      </c>
      <c r="ET27">
        <f t="shared" si="8"/>
      </c>
      <c r="EU27">
        <f t="shared" si="8"/>
      </c>
      <c r="EV27">
        <f t="shared" si="8"/>
      </c>
      <c r="EW27">
        <f t="shared" si="8"/>
      </c>
      <c r="EX27">
        <f t="shared" si="8"/>
      </c>
      <c r="EY27">
        <f t="shared" si="8"/>
      </c>
      <c r="EZ27">
        <f t="shared" si="8"/>
      </c>
      <c r="FA27" t="str">
        <f t="shared" si="12"/>
        <v>-</v>
      </c>
      <c r="FB27">
        <f t="shared" si="13"/>
      </c>
      <c r="FC27" cm="1">
        <f t="array" ref="FC27">_xlfn.LET(_xlpm.unit_type,$G27,_xlpm.market_rent_from_rent_roll,$E27,_xlpm.unit_type_list,RentRoll_InputArea_DesignatedUnitType,_xlpm.rent_by_unit_type,RentRoll_InputArea_MarketRent,_xlpm.use_rent_roll_market_rent,LEFT(RR_VacantUnitMktRentSource,9)="Rent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27">
        <f t="shared" si="14"/>
        <v>1236</v>
      </c>
      <c r="FE27">
        <f t="shared" si="15"/>
        <v>1236</v>
      </c>
      <c r="FF27">
        <f t="shared" si="16"/>
        <v>1236</v>
      </c>
      <c r="FH27">
        <f t="shared" si="17"/>
      </c>
      <c r="FI27">
        <f t="shared" si="18"/>
      </c>
      <c r="FK27" cm="1">
        <f t="array" ref="FK27">IF(AND(LEN($D27)&gt;0,ISNA(MATCH(TRUE,EXACT($G27,RentRoll_InputArea_DesignatedUnitType),0))),1,0)</f>
        <v>0</v>
      </c>
      <c r="FL27">
        <f t="shared" si="19"/>
        <v>4</v>
      </c>
      <c r="IO27" cm="1">
        <f t="array" ref="IO27">IF(LEN($G27)=0,"Rent Roll is incomplete",_xlfn.XLOOKUP(TRUE,EXACT(RentRoll_InputArea_DesignatedUnitType,$G27),RentRoll_InputArea_Beds,"Not Found"))</f>
        <v>2</v>
      </c>
      <c r="IQ27" t="str">
        <f t="shared" si="20"/>
        <v>2 Bedroom Unit</v>
      </c>
      <c r="IR27">
        <f t="shared" si="21"/>
        <v>1236</v>
      </c>
      <c r="IW27" t="str">
        <f t="shared" si="22"/>
        <v>1-103</v>
      </c>
      <c r="IZ27">
        <f t="shared" si="23"/>
        <v>2</v>
      </c>
      <c r="JA27">
        <f t="shared" si="24"/>
        <v>1236</v>
      </c>
      <c r="JH27">
        <f t="shared" si="25"/>
        <v>1410</v>
      </c>
      <c r="JJ27">
        <f t="shared" si="26"/>
      </c>
      <c r="JQ27" t="str">
        <f t="shared" si="27"/>
        <v>Occupied</v>
      </c>
      <c r="JR27" cm="1">
        <f t="array" ref="JR27">_xlfn.XLOOKUP(TRUE,EXACT(RentRoll_InputArea_DesignatedUnitType,$G27),RentRoll_InputArea_SquareFootage,"Not Found")</f>
        <v>851</v>
      </c>
      <c r="JS27" t="str">
        <f t="shared" si="28"/>
        <v>Apartment</v>
      </c>
      <c r="JT27">
        <f t="shared" si="29"/>
      </c>
      <c r="JY27">
        <f t="shared" si="9"/>
        <v>42906</v>
      </c>
      <c r="JZ27">
        <f t="shared" si="9"/>
        <v>43270</v>
      </c>
    </row>
    <row r="28" ht="15" customHeight="1">
      <c r="A28">
        <f t="shared" si="10"/>
        <v>5</v>
      </c>
      <c r="D28" t="s">
        <v>2751</v>
      </c>
      <c r="E28">
        <v>1381</v>
      </c>
      <c r="F28" t="s">
        <v>2752</v>
      </c>
      <c r="G28" t="s">
        <v>2531</v>
      </c>
      <c r="H28">
        <v>1368</v>
      </c>
      <c r="I28" cm="1">
        <f t="array" ref="I28">_xlfn.LET(_xlpm.has_subsidy,$N28&gt;0,_xlpm.is_chap9_sbl,$FF$20,_xlpm.contract_rent,$H28,_xlpm.unit_type_mkt_rent,_xlfn.XLOOKUP(TRUE,EXACT($G28,RentRoll_InputArea_DesignatedUnitType),RentRoll_InputArea_MarketRent,"Not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28">
        <f t="shared" si="11"/>
        <v>1368</v>
      </c>
      <c r="O28" s="1">
        <v>43520</v>
      </c>
      <c r="P28" s="1">
        <v>43799</v>
      </c>
      <c r="Q28">
        <f t="shared" si="8"/>
      </c>
      <c r="R28">
        <f t="shared" si="8"/>
      </c>
      <c r="S28">
        <f t="shared" si="8"/>
        <v>1368</v>
      </c>
      <c r="T28">
        <f t="shared" si="8"/>
      </c>
      <c r="U28">
        <f t="shared" si="8"/>
      </c>
      <c r="V28">
        <f t="shared" si="8"/>
      </c>
      <c r="W28">
        <f t="shared" si="8"/>
      </c>
      <c r="X28">
        <f t="shared" si="8"/>
      </c>
      <c r="Y28">
        <f t="shared" si="8"/>
      </c>
      <c r="Z28">
        <f t="shared" si="8"/>
      </c>
      <c r="AA28">
        <f t="shared" si="8"/>
      </c>
      <c r="AB28">
        <f t="shared" si="8"/>
      </c>
      <c r="AC28">
        <f t="shared" si="8"/>
      </c>
      <c r="AD28">
        <f t="shared" si="8"/>
      </c>
      <c r="AE28">
        <f t="shared" si="8"/>
      </c>
      <c r="AF28">
        <f t="shared" si="8"/>
      </c>
      <c r="AG28">
        <f t="shared" si="8"/>
      </c>
      <c r="AH28">
        <f t="shared" si="8"/>
      </c>
      <c r="AI28">
        <f t="shared" si="8"/>
      </c>
      <c r="AJ28">
        <f t="shared" si="8"/>
      </c>
      <c r="AK28">
        <f t="shared" si="8"/>
      </c>
      <c r="AL28">
        <f t="shared" si="8"/>
      </c>
      <c r="AM28">
        <f t="shared" si="8"/>
      </c>
      <c r="AN28">
        <f t="shared" si="8"/>
      </c>
      <c r="AO28">
        <f t="shared" si="8"/>
      </c>
      <c r="AP28">
        <f t="shared" si="8"/>
      </c>
      <c r="AQ28">
        <f t="shared" si="8"/>
      </c>
      <c r="AR28">
        <f t="shared" si="8"/>
      </c>
      <c r="AS28">
        <f t="shared" si="8"/>
      </c>
      <c r="AT28">
        <f t="shared" si="8"/>
      </c>
      <c r="AU28">
        <f t="shared" si="8"/>
      </c>
      <c r="AV28">
        <f t="shared" si="8"/>
      </c>
      <c r="AW28">
        <f t="shared" si="8"/>
      </c>
      <c r="AX28">
        <f t="shared" si="8"/>
      </c>
      <c r="AY28">
        <f t="shared" si="8"/>
      </c>
      <c r="AZ28">
        <f t="shared" si="8"/>
      </c>
      <c r="BA28">
        <f t="shared" si="8"/>
      </c>
      <c r="BB28">
        <f t="shared" si="8"/>
      </c>
      <c r="BC28">
        <f t="shared" si="8"/>
      </c>
      <c r="BD28">
        <f t="shared" si="8"/>
      </c>
      <c r="BE28">
        <f t="shared" si="8"/>
      </c>
      <c r="BF28">
        <f t="shared" si="8"/>
      </c>
      <c r="BG28">
        <f t="shared" si="8"/>
      </c>
      <c r="BH28">
        <f t="shared" si="8"/>
      </c>
      <c r="BI28">
        <f t="shared" si="8"/>
      </c>
      <c r="BJ28">
        <f t="shared" si="8"/>
      </c>
      <c r="BK28">
        <f t="shared" si="8"/>
      </c>
      <c r="BL28">
        <f t="shared" si="8"/>
      </c>
      <c r="BM28">
        <f t="shared" si="8"/>
      </c>
      <c r="BN28">
        <f t="shared" si="8"/>
      </c>
      <c r="BO28">
        <f t="shared" si="8"/>
      </c>
      <c r="BP28">
        <f t="shared" si="8"/>
      </c>
      <c r="BQ28">
        <f t="shared" si="8"/>
      </c>
      <c r="BR28">
        <f t="shared" si="8"/>
      </c>
      <c r="BS28">
        <f t="shared" si="8"/>
      </c>
      <c r="BT28">
        <f t="shared" si="8"/>
      </c>
      <c r="BU28">
        <f t="shared" si="8"/>
      </c>
      <c r="BV28">
        <f t="shared" si="8"/>
      </c>
      <c r="BW28">
        <f t="shared" si="8"/>
      </c>
      <c r="BX28">
        <f t="shared" si="8"/>
      </c>
      <c r="BY28">
        <f t="shared" si="8"/>
      </c>
      <c r="BZ28">
        <f t="shared" si="8"/>
      </c>
      <c r="CA28">
        <f t="shared" si="8"/>
      </c>
      <c r="CB28">
        <f t="shared" si="8"/>
      </c>
      <c r="CC28">
        <f t="shared" si="8"/>
      </c>
      <c r="CD28">
        <f t="shared" si="8"/>
      </c>
      <c r="CE28">
        <f t="shared" si="8"/>
      </c>
      <c r="CF28">
        <f t="shared" si="8"/>
      </c>
      <c r="CG28">
        <f t="shared" si="8"/>
      </c>
      <c r="CH28">
        <f t="shared" si="8"/>
      </c>
      <c r="CI28">
        <f t="shared" si="8"/>
      </c>
      <c r="CJ28">
        <f t="shared" si="8"/>
      </c>
      <c r="CK28">
        <f t="shared" si="8"/>
      </c>
      <c r="CL28">
        <f t="shared" si="8"/>
      </c>
      <c r="CM28">
        <f t="shared" si="8"/>
      </c>
      <c r="CN28">
        <f t="shared" si="8"/>
      </c>
      <c r="CO28">
        <f t="shared" si="8"/>
      </c>
      <c r="CP28">
        <f t="shared" si="8"/>
      </c>
      <c r="CQ28">
        <f t="shared" si="8"/>
      </c>
      <c r="CR28">
        <f t="shared" si="8"/>
      </c>
      <c r="CS28">
        <f t="shared" si="8"/>
      </c>
      <c r="CT28">
        <f t="shared" si="8"/>
      </c>
      <c r="CU28">
        <f t="shared" si="8"/>
      </c>
      <c r="CV28">
        <f t="shared" si="8"/>
      </c>
      <c r="CW28">
        <f t="shared" si="8"/>
      </c>
      <c r="CX28">
        <f t="shared" si="8"/>
      </c>
      <c r="CY28">
        <f t="shared" si="8"/>
      </c>
      <c r="CZ28">
        <f t="shared" si="8"/>
      </c>
      <c r="DA28">
        <f t="shared" si="8"/>
      </c>
      <c r="DB28">
        <f t="shared" si="8"/>
      </c>
      <c r="DC28">
        <f t="shared" si="8"/>
      </c>
      <c r="DD28">
        <f t="shared" si="8"/>
      </c>
      <c r="DE28">
        <f t="shared" si="8"/>
      </c>
      <c r="DF28">
        <f t="shared" si="8"/>
      </c>
      <c r="DG28">
        <f t="shared" si="8"/>
      </c>
      <c r="DH28">
        <f t="shared" si="8"/>
      </c>
      <c r="DI28">
        <f t="shared" si="8"/>
      </c>
      <c r="DJ28">
        <f t="shared" si="8"/>
      </c>
      <c r="DK28">
        <f t="shared" si="8"/>
      </c>
      <c r="DL28">
        <f t="shared" si="8"/>
      </c>
      <c r="DM28">
        <f t="shared" si="8"/>
      </c>
      <c r="DN28">
        <f t="shared" si="8"/>
      </c>
      <c r="DO28">
        <f t="shared" si="8"/>
      </c>
      <c r="DP28">
        <f t="shared" si="8"/>
      </c>
      <c r="DQ28">
        <f t="shared" si="8"/>
      </c>
      <c r="DR28">
        <f t="shared" si="8"/>
      </c>
      <c r="DS28">
        <f t="shared" si="8"/>
      </c>
      <c r="DT28">
        <f t="shared" si="8"/>
      </c>
      <c r="DU28">
        <f t="shared" si="8"/>
      </c>
      <c r="DV28">
        <f t="shared" si="8"/>
      </c>
      <c r="DW28">
        <f t="shared" si="8"/>
      </c>
      <c r="DX28">
        <f t="shared" si="8"/>
      </c>
      <c r="DY28">
        <f t="shared" si="8"/>
      </c>
      <c r="DZ28">
        <f t="shared" si="8"/>
      </c>
      <c r="EA28">
        <f t="shared" si="8"/>
      </c>
      <c r="EB28">
        <f t="shared" si="8"/>
      </c>
      <c r="EC28">
        <f t="shared" si="8"/>
      </c>
      <c r="ED28">
        <f t="shared" si="8"/>
      </c>
      <c r="EE28">
        <f t="shared" si="8"/>
      </c>
      <c r="EF28">
        <f t="shared" si="8"/>
      </c>
      <c r="EG28">
        <f t="shared" si="8"/>
      </c>
      <c r="EH28">
        <f t="shared" si="8"/>
      </c>
      <c r="EI28">
        <f t="shared" si="8"/>
      </c>
      <c r="EJ28">
        <f t="shared" si="8"/>
      </c>
      <c r="EK28">
        <f t="shared" si="8"/>
      </c>
      <c r="EL28">
        <f t="shared" si="8"/>
      </c>
      <c r="EM28">
        <f t="shared" si="8"/>
      </c>
      <c r="EN28">
        <f t="shared" si="8"/>
      </c>
      <c r="EO28">
        <f t="shared" si="8"/>
      </c>
      <c r="EP28">
        <f t="shared" si="8"/>
      </c>
      <c r="EQ28">
        <f t="shared" si="8"/>
      </c>
      <c r="ER28">
        <f t="shared" si="8"/>
      </c>
      <c r="ES28">
        <f t="shared" si="8"/>
      </c>
      <c r="ET28">
        <f t="shared" si="8"/>
      </c>
      <c r="EU28">
        <f t="shared" si="8"/>
      </c>
      <c r="EV28">
        <f t="shared" si="8"/>
      </c>
      <c r="EW28">
        <f t="shared" si="8"/>
      </c>
      <c r="EX28">
        <f t="shared" si="8"/>
      </c>
      <c r="EY28">
        <f t="shared" si="8"/>
      </c>
      <c r="EZ28">
        <f t="shared" si="8"/>
      </c>
      <c r="FA28" t="str">
        <f t="shared" si="12"/>
        <v>-</v>
      </c>
      <c r="FB28">
        <f t="shared" si="13"/>
      </c>
      <c r="FC28" cm="1">
        <f t="array" ref="FC28">_xlfn.LET(_xlpm.unit_type,$G28,_xlpm.market_rent_from_rent_roll,$E28,_xlpm.unit_type_list,RentRoll_InputArea_DesignatedUnitType,_xlpm.rent_by_unit_type,RentRoll_InputArea_MarketRent,_xlpm.use_rent_roll_market_rent,LEFT(RR_VacantUnitMktRentSource,9)="Rent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28">
        <f t="shared" si="14"/>
        <v>1368</v>
      </c>
      <c r="FE28">
        <f t="shared" si="15"/>
        <v>1368</v>
      </c>
      <c r="FF28">
        <f t="shared" si="16"/>
        <v>1368</v>
      </c>
      <c r="FH28">
        <f t="shared" si="17"/>
      </c>
      <c r="FI28">
        <f t="shared" si="18"/>
      </c>
      <c r="FK28" cm="1">
        <f t="array" ref="FK28">IF(AND(LEN($D28)&gt;0,ISNA(MATCH(TRUE,EXACT($G28,RentRoll_InputArea_DesignatedUnitType),0))),1,0)</f>
        <v>0</v>
      </c>
      <c r="FL28">
        <f t="shared" si="19"/>
        <v>5</v>
      </c>
      <c r="IO28" cm="1">
        <f t="array" ref="IO28">IF(LEN($G28)=0,"Rent Roll is incomplete",_xlfn.XLOOKUP(TRUE,EXACT(RentRoll_InputArea_DesignatedUnitType,$G28),RentRoll_InputArea_Beds,"Not Found"))</f>
        <v>2</v>
      </c>
      <c r="IQ28" t="str">
        <f t="shared" si="20"/>
        <v>2 Bedroom Unit</v>
      </c>
      <c r="IR28">
        <f t="shared" si="21"/>
        <v>1368</v>
      </c>
      <c r="IW28" t="str">
        <f t="shared" si="22"/>
        <v>1-104</v>
      </c>
      <c r="IZ28">
        <f t="shared" si="23"/>
        <v>2</v>
      </c>
      <c r="JA28">
        <f t="shared" si="24"/>
        <v>1368</v>
      </c>
      <c r="JH28">
        <f t="shared" si="25"/>
        <v>1410</v>
      </c>
      <c r="JJ28">
        <f t="shared" si="26"/>
      </c>
      <c r="JQ28" t="str">
        <f t="shared" si="27"/>
        <v>Occupied</v>
      </c>
      <c r="JR28" cm="1">
        <f t="array" ref="JR28">_xlfn.XLOOKUP(TRUE,EXACT(RentRoll_InputArea_DesignatedUnitType,$G28),RentRoll_InputArea_SquareFootage,"Not Found")</f>
        <v>851</v>
      </c>
      <c r="JS28" t="str">
        <f t="shared" si="28"/>
        <v>Apartment</v>
      </c>
      <c r="JT28">
        <f t="shared" si="29"/>
      </c>
      <c r="JY28">
        <f t="shared" si="9"/>
        <v>43520</v>
      </c>
      <c r="JZ28">
        <f t="shared" si="9"/>
        <v>43799</v>
      </c>
    </row>
    <row r="29" ht="15" customHeight="1">
      <c r="A29">
        <f t="shared" si="10"/>
        <v>6</v>
      </c>
      <c r="D29" t="s">
        <v>2753</v>
      </c>
      <c r="E29">
        <v>1438</v>
      </c>
      <c r="F29" t="s">
        <v>2754</v>
      </c>
      <c r="G29" t="s">
        <v>2531</v>
      </c>
      <c r="H29">
        <v>1357</v>
      </c>
      <c r="I29" cm="1">
        <f t="array" ref="I29">_xlfn.LET(_xlpm.has_subsidy,$N29&gt;0,_xlpm.is_chap9_sbl,$FF$20,_xlpm.contract_rent,$H29,_xlpm.unit_type_mkt_rent,_xlfn.XLOOKUP(TRUE,EXACT($G29,RentRoll_InputArea_DesignatedUnitType),RentRoll_InputArea_MarketRent,"Not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29">
        <f t="shared" si="11"/>
        <v>1357</v>
      </c>
      <c r="O29" s="1">
        <v>43506</v>
      </c>
      <c r="P29" s="1">
        <v>43708</v>
      </c>
      <c r="Q29">
        <f t="shared" si="8"/>
      </c>
      <c r="R29">
        <f t="shared" si="8"/>
      </c>
      <c r="S29">
        <f t="shared" si="8"/>
        <v>1357</v>
      </c>
      <c r="T29">
        <f t="shared" si="8"/>
      </c>
      <c r="U29">
        <f t="shared" si="8"/>
      </c>
      <c r="V29">
        <f t="shared" si="8"/>
      </c>
      <c r="W29">
        <f t="shared" si="8"/>
      </c>
      <c r="X29">
        <f t="shared" si="8"/>
      </c>
      <c r="Y29">
        <f t="shared" si="8"/>
      </c>
      <c r="Z29">
        <f t="shared" si="8"/>
      </c>
      <c r="AA29">
        <f t="shared" si="8"/>
      </c>
      <c r="AB29">
        <f t="shared" si="8"/>
      </c>
      <c r="AC29">
        <f t="shared" si="8"/>
      </c>
      <c r="AD29">
        <f t="shared" si="8"/>
      </c>
      <c r="AE29">
        <f t="shared" si="8"/>
      </c>
      <c r="AF29">
        <f t="shared" si="8"/>
      </c>
      <c r="AG29">
        <f t="shared" si="8"/>
      </c>
      <c r="AH29">
        <f t="shared" si="8"/>
      </c>
      <c r="AI29">
        <f t="shared" si="8"/>
      </c>
      <c r="AJ29">
        <f t="shared" si="8"/>
      </c>
      <c r="AK29">
        <f t="shared" si="8"/>
      </c>
      <c r="AL29">
        <f t="shared" si="8"/>
      </c>
      <c r="AM29">
        <f t="shared" si="8"/>
      </c>
      <c r="AN29">
        <f t="shared" si="8"/>
      </c>
      <c r="AO29">
        <f t="shared" si="8"/>
      </c>
      <c r="AP29">
        <f t="shared" si="8"/>
      </c>
      <c r="AQ29">
        <f t="shared" si="8"/>
      </c>
      <c r="AR29">
        <f t="shared" si="8"/>
      </c>
      <c r="AS29">
        <f t="shared" si="8"/>
      </c>
      <c r="AT29">
        <f t="shared" si="8"/>
      </c>
      <c r="AU29">
        <f t="shared" si="8"/>
      </c>
      <c r="AV29">
        <f t="shared" si="8"/>
      </c>
      <c r="AW29">
        <f t="shared" si="8"/>
      </c>
      <c r="AX29">
        <f t="shared" si="8"/>
      </c>
      <c r="AY29">
        <f t="shared" si="8"/>
      </c>
      <c r="AZ29">
        <f t="shared" si="8"/>
      </c>
      <c r="BA29">
        <f t="shared" si="8"/>
      </c>
      <c r="BB29">
        <f t="shared" si="8"/>
      </c>
      <c r="BC29">
        <f t="shared" si="8"/>
      </c>
      <c r="BD29">
        <f t="shared" si="8"/>
      </c>
      <c r="BE29">
        <f t="shared" si="8"/>
      </c>
      <c r="BF29">
        <f t="shared" si="8"/>
      </c>
      <c r="BG29">
        <f t="shared" si="8"/>
      </c>
      <c r="BH29">
        <f t="shared" si="8"/>
      </c>
      <c r="BI29">
        <f t="shared" si="8"/>
      </c>
      <c r="BJ29">
        <f t="shared" si="8"/>
      </c>
      <c r="BK29">
        <f t="shared" si="8"/>
      </c>
      <c r="BL29">
        <f t="shared" si="8"/>
      </c>
      <c r="BM29">
        <f t="shared" si="8"/>
      </c>
      <c r="BN29">
        <f t="shared" si="8"/>
      </c>
      <c r="BO29">
        <f t="shared" si="8"/>
      </c>
      <c r="BP29">
        <f t="shared" si="8"/>
      </c>
      <c r="BQ29">
        <f t="shared" si="8"/>
      </c>
      <c r="BR29">
        <f t="shared" si="8"/>
      </c>
      <c r="BS29">
        <f t="shared" si="8"/>
      </c>
      <c r="BT29">
        <f t="shared" si="8"/>
      </c>
      <c r="BU29">
        <f t="shared" si="8"/>
      </c>
      <c r="BV29">
        <f t="shared" si="8"/>
      </c>
      <c r="BW29">
        <f t="shared" si="8"/>
      </c>
      <c r="BX29">
        <f t="shared" si="8"/>
      </c>
      <c r="BY29">
        <f t="shared" si="8"/>
      </c>
      <c r="BZ29">
        <f t="shared" si="8"/>
      </c>
      <c r="CA29">
        <f t="shared" si="8"/>
      </c>
      <c r="CB29">
        <f t="shared" si="8"/>
      </c>
      <c r="CC29">
        <f t="shared" si="8"/>
      </c>
      <c r="CD29">
        <f t="shared" si="8"/>
      </c>
      <c r="CE29">
        <f t="shared" si="8"/>
      </c>
      <c r="CF29">
        <f t="shared" si="8"/>
      </c>
      <c r="CG29">
        <f t="shared" si="8"/>
      </c>
      <c r="CH29">
        <f t="shared" si="8"/>
      </c>
      <c r="CI29">
        <f t="shared" si="8"/>
      </c>
      <c r="CJ29">
        <f t="shared" si="8"/>
      </c>
      <c r="CK29">
        <f t="shared" si="8"/>
      </c>
      <c r="CL29">
        <f t="shared" si="8"/>
      </c>
      <c r="CM29">
        <f t="shared" si="8"/>
      </c>
      <c r="CN29">
        <f t="shared" si="8"/>
      </c>
      <c r="CO29">
        <f t="shared" si="8"/>
      </c>
      <c r="CP29">
        <f t="shared" si="8"/>
      </c>
      <c r="CQ29">
        <f t="shared" si="8"/>
      </c>
      <c r="CR29">
        <f t="shared" si="8"/>
      </c>
      <c r="CS29">
        <f t="shared" si="8"/>
      </c>
      <c r="CT29">
        <f t="shared" si="8"/>
      </c>
      <c r="CU29">
        <f t="shared" si="8"/>
      </c>
      <c r="CV29">
        <f t="shared" si="8"/>
      </c>
      <c r="CW29">
        <f t="shared" si="8"/>
      </c>
      <c r="CX29">
        <f t="shared" si="8"/>
      </c>
      <c r="CY29">
        <f t="shared" si="8"/>
      </c>
      <c r="CZ29">
        <f t="shared" si="8"/>
      </c>
      <c r="DA29">
        <f t="shared" si="8"/>
      </c>
      <c r="DB29">
        <f t="shared" si="8"/>
      </c>
      <c r="DC29">
        <f t="shared" si="8"/>
      </c>
      <c r="DD29">
        <f t="shared" si="8"/>
      </c>
      <c r="DE29">
        <f t="shared" si="8"/>
      </c>
      <c r="DF29">
        <f t="shared" si="8"/>
      </c>
      <c r="DG29">
        <f t="shared" si="8"/>
      </c>
      <c r="DH29">
        <f t="shared" si="8"/>
      </c>
      <c r="DI29">
        <f t="shared" si="8"/>
      </c>
      <c r="DJ29">
        <f t="shared" si="8"/>
      </c>
      <c r="DK29">
        <f t="shared" si="8"/>
      </c>
      <c r="DL29">
        <f t="shared" si="8"/>
      </c>
      <c r="DM29">
        <f t="shared" si="8"/>
      </c>
      <c r="DN29">
        <f t="shared" si="8"/>
      </c>
      <c r="DO29">
        <f t="shared" si="8"/>
      </c>
      <c r="DP29">
        <f t="shared" si="8"/>
      </c>
      <c r="DQ29">
        <f t="shared" si="8"/>
      </c>
      <c r="DR29">
        <f t="shared" si="8"/>
      </c>
      <c r="DS29">
        <f t="shared" si="8"/>
      </c>
      <c r="DT29">
        <f t="shared" si="8"/>
      </c>
      <c r="DU29">
        <f t="shared" si="8"/>
      </c>
      <c r="DV29">
        <f t="shared" si="8"/>
      </c>
      <c r="DW29">
        <f t="shared" si="8"/>
      </c>
      <c r="DX29">
        <f t="shared" si="8"/>
      </c>
      <c r="DY29">
        <f t="shared" si="8"/>
      </c>
      <c r="DZ29">
        <f t="shared" si="8"/>
      </c>
      <c r="EA29">
        <f t="shared" si="8"/>
      </c>
      <c r="EB29">
        <f t="shared" si="8"/>
      </c>
      <c r="EC29">
        <f t="shared" si="8"/>
      </c>
      <c r="ED29">
        <f t="shared" si="8"/>
      </c>
      <c r="EE29">
        <f t="shared" si="8"/>
      </c>
      <c r="EF29">
        <f t="shared" si="8"/>
      </c>
      <c r="EG29">
        <f t="shared" si="8"/>
      </c>
      <c r="EH29">
        <f t="shared" si="8"/>
      </c>
      <c r="EI29">
        <f t="shared" si="8"/>
      </c>
      <c r="EJ29">
        <f t="shared" si="8"/>
      </c>
      <c r="EK29">
        <f t="shared" si="8"/>
      </c>
      <c r="EL29">
        <f t="shared" si="8"/>
      </c>
      <c r="EM29">
        <f t="shared" si="8"/>
      </c>
      <c r="EN29">
        <f t="shared" si="8"/>
      </c>
      <c r="EO29">
        <f t="shared" si="8"/>
      </c>
      <c r="EP29">
        <f t="shared" si="8"/>
      </c>
      <c r="EQ29">
        <f t="shared" si="8"/>
      </c>
      <c r="ER29">
        <f t="shared" si="8"/>
      </c>
      <c r="ES29">
        <f t="shared" si="8"/>
      </c>
      <c r="ET29">
        <f t="shared" si="8"/>
      </c>
      <c r="EU29">
        <f t="shared" si="8"/>
      </c>
      <c r="EV29">
        <f t="shared" si="8"/>
      </c>
      <c r="EW29">
        <f t="shared" si="8"/>
      </c>
      <c r="EX29">
        <f t="shared" si="8"/>
      </c>
      <c r="EY29">
        <f t="shared" si="8"/>
      </c>
      <c r="EZ29">
        <f t="shared" si="8"/>
      </c>
      <c r="FA29" t="str">
        <f t="shared" si="12"/>
        <v>-</v>
      </c>
      <c r="FB29">
        <f t="shared" si="13"/>
      </c>
      <c r="FC29" cm="1">
        <f t="array" ref="FC29">_xlfn.LET(_xlpm.unit_type,$G29,_xlpm.market_rent_from_rent_roll,$E29,_xlpm.unit_type_list,RentRoll_InputArea_DesignatedUnitType,_xlpm.rent_by_unit_type,RentRoll_InputArea_MarketRent,_xlpm.use_rent_roll_market_rent,LEFT(RR_VacantUnitMktRentSource,9)="Rent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29">
        <f t="shared" si="14"/>
        <v>1357</v>
      </c>
      <c r="FE29">
        <f t="shared" si="15"/>
        <v>1357</v>
      </c>
      <c r="FF29">
        <f t="shared" si="16"/>
        <v>1357</v>
      </c>
      <c r="FH29">
        <f t="shared" si="17"/>
      </c>
      <c r="FI29">
        <f t="shared" si="18"/>
      </c>
      <c r="FK29" cm="1">
        <f t="array" ref="FK29">IF(AND(LEN($D29)&gt;0,ISNA(MATCH(TRUE,EXACT($G29,RentRoll_InputArea_DesignatedUnitType),0))),1,0)</f>
        <v>0</v>
      </c>
      <c r="FL29">
        <f t="shared" si="19"/>
        <v>6</v>
      </c>
      <c r="IO29" cm="1">
        <f t="array" ref="IO29">IF(LEN($G29)=0,"Rent Roll is incomplete",_xlfn.XLOOKUP(TRUE,EXACT(RentRoll_InputArea_DesignatedUnitType,$G29),RentRoll_InputArea_Beds,"Not Found"))</f>
        <v>2</v>
      </c>
      <c r="IQ29" t="str">
        <f t="shared" si="20"/>
        <v>2 Bedroom Unit</v>
      </c>
      <c r="IR29">
        <f t="shared" si="21"/>
        <v>1357</v>
      </c>
      <c r="IW29" t="str">
        <f t="shared" si="22"/>
        <v>1-105</v>
      </c>
      <c r="IZ29">
        <f t="shared" si="23"/>
        <v>2</v>
      </c>
      <c r="JA29">
        <f t="shared" si="24"/>
        <v>1357</v>
      </c>
      <c r="JH29">
        <f t="shared" si="25"/>
        <v>1410</v>
      </c>
      <c r="JJ29">
        <f t="shared" si="26"/>
      </c>
      <c r="JQ29" t="str">
        <f t="shared" si="27"/>
        <v>Occupied</v>
      </c>
      <c r="JR29" cm="1">
        <f t="array" ref="JR29">_xlfn.XLOOKUP(TRUE,EXACT(RentRoll_InputArea_DesignatedUnitType,$G29),RentRoll_InputArea_SquareFootage,"Not Found")</f>
        <v>851</v>
      </c>
      <c r="JS29" t="str">
        <f t="shared" si="28"/>
        <v>Apartment</v>
      </c>
      <c r="JT29">
        <f t="shared" si="29"/>
      </c>
      <c r="JY29">
        <f t="shared" si="9"/>
        <v>43506</v>
      </c>
      <c r="JZ29">
        <f t="shared" si="9"/>
        <v>43708</v>
      </c>
    </row>
    <row r="30" ht="15" customHeight="1">
      <c r="A30">
        <f t="shared" si="10"/>
        <v>7</v>
      </c>
      <c r="D30" t="s">
        <v>2755</v>
      </c>
      <c r="E30">
        <v>1360</v>
      </c>
      <c r="F30" t="s">
        <v>2756</v>
      </c>
      <c r="G30" t="s">
        <v>2531</v>
      </c>
      <c r="H30">
        <v>1318</v>
      </c>
      <c r="I30" cm="1">
        <f t="array" ref="I30">_xlfn.LET(_xlpm.has_subsidy,$N30&gt;0,_xlpm.is_chap9_sbl,$FF$20,_xlpm.contract_rent,$H30,_xlpm.unit_type_mkt_rent,_xlfn.XLOOKUP(TRUE,EXACT($G30,RentRoll_InputArea_DesignatedUnitType),RentRoll_InputArea_MarketRent,"Not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0">
        <f t="shared" si="11"/>
        <v>1318</v>
      </c>
      <c r="O30" s="1">
        <v>43398</v>
      </c>
      <c r="P30" s="1">
        <v>43616</v>
      </c>
      <c r="Q30">
        <f t="shared" si="8"/>
      </c>
      <c r="R30">
        <f t="shared" si="8"/>
      </c>
      <c r="S30">
        <f t="shared" si="8"/>
        <v>1318</v>
      </c>
      <c r="T30">
        <f t="shared" si="8"/>
      </c>
      <c r="U30">
        <f t="shared" si="8"/>
      </c>
      <c r="V30">
        <f t="shared" si="8"/>
      </c>
      <c r="W30">
        <f t="shared" si="8"/>
      </c>
      <c r="X30">
        <f t="shared" si="8"/>
      </c>
      <c r="Y30">
        <f t="shared" si="8"/>
      </c>
      <c r="Z30">
        <f t="shared" si="8"/>
      </c>
      <c r="AA30">
        <f t="shared" si="8"/>
      </c>
      <c r="AB30">
        <f t="shared" si="8"/>
      </c>
      <c r="AC30">
        <f t="shared" si="8"/>
      </c>
      <c r="AD30">
        <f t="shared" si="8"/>
      </c>
      <c r="AE30">
        <f t="shared" si="8"/>
      </c>
      <c r="AF30">
        <f t="shared" si="8"/>
      </c>
      <c r="AG30">
        <f t="shared" si="8"/>
      </c>
      <c r="AH30">
        <f t="shared" si="8"/>
      </c>
      <c r="AI30">
        <f t="shared" si="8"/>
      </c>
      <c r="AJ30">
        <f t="shared" si="8"/>
      </c>
      <c r="AK30">
        <f t="shared" si="8"/>
      </c>
      <c r="AL30">
        <f t="shared" si="8"/>
      </c>
      <c r="AM30">
        <f t="shared" si="8"/>
      </c>
      <c r="AN30">
        <f t="shared" si="8"/>
      </c>
      <c r="AO30">
        <f t="shared" si="8"/>
      </c>
      <c r="AP30">
        <f t="shared" si="8"/>
      </c>
      <c r="AQ30">
        <f t="shared" si="8"/>
      </c>
      <c r="AR30">
        <f t="shared" si="8"/>
      </c>
      <c r="AS30">
        <f t="shared" si="8"/>
      </c>
      <c r="AT30">
        <f t="shared" si="8"/>
      </c>
      <c r="AU30">
        <f t="shared" si="8"/>
      </c>
      <c r="AV30">
        <f t="shared" si="8"/>
      </c>
      <c r="AW30">
        <f t="shared" si="8"/>
      </c>
      <c r="AX30">
        <f t="shared" si="8"/>
      </c>
      <c r="AY30">
        <f t="shared" si="8"/>
      </c>
      <c r="AZ30">
        <f t="shared" si="8"/>
      </c>
      <c r="BA30">
        <f t="shared" si="8"/>
      </c>
      <c r="BB30">
        <f t="shared" si="8"/>
      </c>
      <c r="BC30">
        <f t="shared" si="8"/>
      </c>
      <c r="BD30">
        <f t="shared" si="8"/>
      </c>
      <c r="BE30">
        <f t="shared" si="8"/>
      </c>
      <c r="BF30">
        <f t="shared" si="8"/>
      </c>
      <c r="BG30">
        <f t="shared" si="8"/>
      </c>
      <c r="BH30">
        <f t="shared" si="8"/>
      </c>
      <c r="BI30">
        <f t="shared" si="8"/>
      </c>
      <c r="BJ30">
        <f t="shared" si="8"/>
      </c>
      <c r="BK30">
        <f t="shared" si="8"/>
      </c>
      <c r="BL30">
        <f t="shared" si="8"/>
      </c>
      <c r="BM30">
        <f t="shared" si="8"/>
      </c>
      <c r="BN30">
        <f t="shared" si="8"/>
      </c>
      <c r="BO30">
        <f t="shared" si="8"/>
      </c>
      <c r="BP30">
        <f t="shared" si="8"/>
      </c>
      <c r="BQ30">
        <f t="shared" si="8"/>
      </c>
      <c r="BR30">
        <f t="shared" si="8"/>
      </c>
      <c r="BS30">
        <f t="shared" si="8"/>
      </c>
      <c r="BT30">
        <f t="shared" si="8"/>
      </c>
      <c r="BU30">
        <f t="shared" si="8"/>
      </c>
      <c r="BV30">
        <f t="shared" si="8"/>
      </c>
      <c r="BW30">
        <f t="shared" si="8"/>
      </c>
      <c r="BX30">
        <f t="shared" si="8"/>
      </c>
      <c r="BY30">
        <f t="shared" si="8"/>
      </c>
      <c r="BZ30">
        <f t="shared" si="8"/>
      </c>
      <c r="CA30">
        <f t="shared" si="8"/>
      </c>
      <c r="CB30">
        <f t="shared" si="8"/>
      </c>
      <c r="CC30">
        <f t="shared" si="8"/>
      </c>
      <c r="CD30">
        <f t="shared" si="8"/>
      </c>
      <c r="CE30">
        <f t="shared" si="8"/>
      </c>
      <c r="CF30">
        <f t="shared" si="8"/>
      </c>
      <c r="CG30">
        <f t="shared" si="8"/>
      </c>
      <c r="CH30">
        <f t="shared" si="8"/>
      </c>
      <c r="CI30">
        <f t="shared" si="8"/>
      </c>
      <c r="CJ30">
        <f t="shared" si="8"/>
      </c>
      <c r="CK30">
        <f t="shared" si="8"/>
      </c>
      <c r="CL30">
        <f t="shared" si="8"/>
      </c>
      <c r="CM30">
        <f t="shared" si="8"/>
      </c>
      <c r="CN30">
        <f t="shared" si="8"/>
      </c>
      <c r="CO30">
        <f t="shared" si="8"/>
      </c>
      <c r="CP30">
        <f t="shared" si="8"/>
      </c>
      <c r="CQ30">
        <f t="shared" si="8"/>
      </c>
      <c r="CR30">
        <f t="shared" si="8"/>
      </c>
      <c r="CS30">
        <f t="shared" si="8"/>
      </c>
      <c r="CT30">
        <f t="shared" si="8"/>
      </c>
      <c r="CU30">
        <f t="shared" si="8"/>
      </c>
      <c r="CV30">
        <f t="shared" si="8"/>
      </c>
      <c r="CW30">
        <f t="shared" si="8"/>
      </c>
      <c r="CX30">
        <f t="shared" si="8"/>
      </c>
      <c r="CY30">
        <f t="shared" si="8"/>
      </c>
      <c r="CZ30">
        <f t="shared" si="8"/>
      </c>
      <c r="DA30">
        <f t="shared" si="8"/>
      </c>
      <c r="DB30">
        <f t="shared" si="8"/>
      </c>
      <c r="DC30">
        <f t="shared" si="8"/>
      </c>
      <c r="DD30">
        <f t="shared" si="8"/>
      </c>
      <c r="DE30">
        <f t="shared" si="8"/>
      </c>
      <c r="DF30">
        <f t="shared" si="8"/>
      </c>
      <c r="DG30">
        <f t="shared" si="8"/>
      </c>
      <c r="DH30">
        <f t="shared" si="8"/>
      </c>
      <c r="DI30">
        <f t="shared" si="8"/>
      </c>
      <c r="DJ30">
        <f t="shared" si="8"/>
      </c>
      <c r="DK30">
        <f t="shared" si="8"/>
      </c>
      <c r="DL30">
        <f t="shared" si="8"/>
      </c>
      <c r="DM30">
        <f t="shared" si="8"/>
      </c>
      <c r="DN30">
        <f t="shared" si="8"/>
      </c>
      <c r="DO30">
        <f t="shared" si="8"/>
      </c>
      <c r="DP30">
        <f t="shared" si="8"/>
      </c>
      <c r="DQ30">
        <f t="shared" si="8"/>
      </c>
      <c r="DR30">
        <f t="shared" si="8"/>
      </c>
      <c r="DS30">
        <f t="shared" si="8"/>
      </c>
      <c r="DT30">
        <f t="shared" si="8"/>
      </c>
      <c r="DU30">
        <f t="shared" si="8"/>
      </c>
      <c r="DV30">
        <f t="shared" si="8"/>
      </c>
      <c r="DW30">
        <f t="shared" si="8"/>
      </c>
      <c r="DX30">
        <f t="shared" si="8"/>
      </c>
      <c r="DY30">
        <f t="shared" si="8"/>
      </c>
      <c r="DZ30">
        <f t="shared" si="8"/>
      </c>
      <c r="EA30">
        <f t="shared" si="8"/>
      </c>
      <c r="EB30">
        <f t="shared" si="8"/>
      </c>
      <c r="EC30">
        <f t="shared" si="8"/>
      </c>
      <c r="ED30">
        <f t="shared" si="8"/>
      </c>
      <c r="EE30">
        <f t="shared" si="8"/>
      </c>
      <c r="EF30">
        <f t="shared" si="8"/>
      </c>
      <c r="EG30">
        <f t="shared" si="8"/>
      </c>
      <c r="EH30">
        <f t="shared" si="8"/>
      </c>
      <c r="EI30">
        <f t="shared" si="8"/>
      </c>
      <c r="EJ30">
        <f t="shared" si="8"/>
      </c>
      <c r="EK30">
        <f t="shared" si="8"/>
      </c>
      <c r="EL30">
        <f t="shared" si="8"/>
      </c>
      <c r="EM30">
        <f t="shared" si="8"/>
      </c>
      <c r="EN30">
        <f t="shared" si="8"/>
      </c>
      <c r="EO30">
        <f t="shared" si="8"/>
      </c>
      <c r="EP30">
        <f t="shared" si="8"/>
      </c>
      <c r="EQ30">
        <f t="shared" si="8"/>
      </c>
      <c r="ER30">
        <f t="shared" si="8"/>
      </c>
      <c r="ES30">
        <f t="shared" si="8"/>
      </c>
      <c r="ET30">
        <f t="shared" si="8"/>
      </c>
      <c r="EU30">
        <f t="shared" si="8"/>
      </c>
      <c r="EV30">
        <f t="shared" si="8"/>
      </c>
      <c r="EW30">
        <f t="shared" si="8"/>
      </c>
      <c r="EX30">
        <f t="shared" si="8"/>
      </c>
      <c r="EY30">
        <f t="shared" si="8"/>
      </c>
      <c r="EZ30">
        <f t="shared" si="8"/>
      </c>
      <c r="FA30" t="str">
        <f t="shared" si="12"/>
        <v>-</v>
      </c>
      <c r="FB30">
        <f t="shared" si="13"/>
      </c>
      <c r="FC30" cm="1">
        <f t="array" ref="FC30">_xlfn.LET(_xlpm.unit_type,$G30,_xlpm.market_rent_from_rent_roll,$E30,_xlpm.unit_type_list,RentRoll_InputArea_DesignatedUnitType,_xlpm.rent_by_unit_type,RentRoll_InputArea_MarketRent,_xlpm.use_rent_roll_market_rent,LEFT(RR_VacantUnitMktRentSource,9)="Rent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30">
        <f t="shared" si="14"/>
        <v>1318</v>
      </c>
      <c r="FE30">
        <f t="shared" si="15"/>
        <v>1318</v>
      </c>
      <c r="FF30">
        <f t="shared" si="16"/>
        <v>1318</v>
      </c>
      <c r="FH30">
        <f t="shared" si="17"/>
      </c>
      <c r="FI30">
        <f t="shared" si="18"/>
      </c>
      <c r="FK30" cm="1">
        <f t="array" ref="FK30">IF(AND(LEN($D30)&gt;0,ISNA(MATCH(TRUE,EXACT($G30,RentRoll_InputArea_DesignatedUnitType),0))),1,0)</f>
        <v>0</v>
      </c>
      <c r="FL30">
        <f t="shared" si="19"/>
        <v>7</v>
      </c>
      <c r="IO30" cm="1">
        <f t="array" ref="IO30">IF(LEN($G30)=0,"Rent Roll is incomplete",_xlfn.XLOOKUP(TRUE,EXACT(RentRoll_InputArea_DesignatedUnitType,$G30),RentRoll_InputArea_Beds,"Not Found"))</f>
        <v>2</v>
      </c>
      <c r="IQ30" t="str">
        <f t="shared" si="20"/>
        <v>2 Bedroom Unit</v>
      </c>
      <c r="IR30">
        <f t="shared" si="21"/>
        <v>1318</v>
      </c>
      <c r="IW30" t="str">
        <f t="shared" si="22"/>
        <v>1-106</v>
      </c>
      <c r="IZ30">
        <f t="shared" si="23"/>
        <v>2</v>
      </c>
      <c r="JA30">
        <f t="shared" si="24"/>
        <v>1318</v>
      </c>
      <c r="JH30">
        <f t="shared" si="25"/>
        <v>1410</v>
      </c>
      <c r="JJ30">
        <f t="shared" si="26"/>
      </c>
      <c r="JQ30" t="str">
        <f t="shared" si="27"/>
        <v>Occupied</v>
      </c>
      <c r="JR30" cm="1">
        <f t="array" ref="JR30">_xlfn.XLOOKUP(TRUE,EXACT(RentRoll_InputArea_DesignatedUnitType,$G30),RentRoll_InputArea_SquareFootage,"Not Found")</f>
        <v>851</v>
      </c>
      <c r="JS30" t="str">
        <f t="shared" si="28"/>
        <v>Apartment</v>
      </c>
      <c r="JT30">
        <f t="shared" si="29"/>
      </c>
      <c r="JY30">
        <f t="shared" si="9"/>
        <v>43398</v>
      </c>
      <c r="JZ30">
        <f t="shared" si="9"/>
        <v>43616</v>
      </c>
    </row>
    <row r="31" ht="15" customHeight="1">
      <c r="A31">
        <f t="shared" si="10"/>
        <v>8</v>
      </c>
      <c r="D31" t="s">
        <v>2757</v>
      </c>
      <c r="E31">
        <v>1412</v>
      </c>
      <c r="F31" t="s">
        <v>2758</v>
      </c>
      <c r="G31" t="s">
        <v>2531</v>
      </c>
      <c r="H31">
        <v>1394</v>
      </c>
      <c r="I31" cm="1">
        <f t="array" ref="I31">_xlfn.LET(_xlpm.has_subsidy,$N31&gt;0,_xlpm.is_chap9_sbl,$FF$20,_xlpm.contract_rent,$H31,_xlpm.unit_type_mkt_rent,_xlfn.XLOOKUP(TRUE,EXACT($G31,RentRoll_InputArea_DesignatedUnitType),RentRoll_InputArea_MarketRent,"Not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1">
        <f t="shared" si="11"/>
        <v>1394</v>
      </c>
      <c r="O31" s="1">
        <v>43337</v>
      </c>
      <c r="P31" s="1">
        <v>43616</v>
      </c>
      <c r="Q31">
        <f t="shared" si="8"/>
      </c>
      <c r="R31">
        <f t="shared" si="8"/>
      </c>
      <c r="S31">
        <f t="shared" si="8"/>
        <v>1394</v>
      </c>
      <c r="T31">
        <f t="shared" si="8"/>
      </c>
      <c r="U31">
        <f t="shared" si="8"/>
      </c>
      <c r="V31">
        <f t="shared" si="8"/>
      </c>
      <c r="W31">
        <f t="shared" si="8"/>
      </c>
      <c r="X31">
        <f t="shared" si="8"/>
      </c>
      <c r="Y31">
        <f t="shared" si="8"/>
      </c>
      <c r="Z31">
        <f t="shared" si="8"/>
      </c>
      <c r="AA31">
        <f t="shared" si="8"/>
      </c>
      <c r="AB31">
        <f t="shared" si="8"/>
      </c>
      <c r="AC31">
        <f t="shared" si="8"/>
      </c>
      <c r="AD31">
        <f t="shared" si="8"/>
      </c>
      <c r="AE31">
        <f t="shared" si="8"/>
      </c>
      <c r="AF31">
        <f t="shared" si="8"/>
      </c>
      <c r="AG31">
        <f t="shared" si="8"/>
      </c>
      <c r="AH31">
        <f t="shared" si="8"/>
      </c>
      <c r="AI31">
        <f t="shared" si="8"/>
      </c>
      <c r="AJ31">
        <f t="shared" si="8"/>
      </c>
      <c r="AK31">
        <f t="shared" si="8"/>
      </c>
      <c r="AL31">
        <f t="shared" si="8"/>
      </c>
      <c r="AM31">
        <f t="shared" si="8"/>
      </c>
      <c r="AN31">
        <f t="shared" si="8"/>
      </c>
      <c r="AO31">
        <f t="shared" si="8"/>
      </c>
      <c r="AP31">
        <f t="shared" si="8"/>
      </c>
      <c r="AQ31">
        <f t="shared" si="8"/>
      </c>
      <c r="AR31">
        <f t="shared" si="8"/>
      </c>
      <c r="AS31">
        <f t="shared" si="8"/>
      </c>
      <c r="AT31">
        <f t="shared" si="8"/>
      </c>
      <c r="AU31">
        <f t="shared" si="8"/>
      </c>
      <c r="AV31">
        <f t="shared" si="8"/>
      </c>
      <c r="AW31">
        <f t="shared" si="8"/>
      </c>
      <c r="AX31">
        <f t="shared" si="8"/>
      </c>
      <c r="AY31">
        <f t="shared" si="8"/>
      </c>
      <c r="AZ31">
        <f t="shared" si="8"/>
      </c>
      <c r="BA31">
        <f t="shared" si="8"/>
      </c>
      <c r="BB31">
        <f t="shared" si="8"/>
      </c>
      <c r="BC31">
        <f t="shared" si="8"/>
      </c>
      <c r="BD31">
        <f t="shared" si="8"/>
      </c>
      <c r="BE31">
        <f t="shared" si="8"/>
      </c>
      <c r="BF31">
        <f t="shared" si="8"/>
      </c>
      <c r="BG31">
        <f t="shared" si="8"/>
      </c>
      <c r="BH31">
        <f t="shared" si="8"/>
      </c>
      <c r="BI31">
        <f t="shared" si="8"/>
      </c>
      <c r="BJ31">
        <f t="shared" si="8"/>
      </c>
      <c r="BK31">
        <f t="shared" si="8"/>
      </c>
      <c r="BL31">
        <f t="shared" si="8"/>
      </c>
      <c r="BM31">
        <f t="shared" si="8"/>
      </c>
      <c r="BN31">
        <f t="shared" si="8"/>
      </c>
      <c r="BO31">
        <f t="shared" si="8"/>
      </c>
      <c r="BP31">
        <f t="shared" si="8"/>
      </c>
      <c r="BQ31">
        <f t="shared" si="8"/>
      </c>
      <c r="BR31">
        <f t="shared" si="8"/>
      </c>
      <c r="BS31">
        <f t="shared" si="8"/>
      </c>
      <c r="BT31">
        <f t="shared" si="8"/>
      </c>
      <c r="BU31">
        <f t="shared" si="8"/>
      </c>
      <c r="BV31">
        <f t="shared" si="8"/>
      </c>
      <c r="BW31">
        <f t="shared" si="8"/>
      </c>
      <c r="BX31">
        <f t="shared" si="8"/>
      </c>
      <c r="BY31">
        <f t="shared" si="8"/>
      </c>
      <c r="BZ31">
        <f t="shared" si="8"/>
      </c>
      <c r="CA31">
        <f t="shared" si="8"/>
      </c>
      <c r="CB31">
        <f t="shared" si="8"/>
      </c>
      <c r="CC31">
        <f t="shared" si="8"/>
      </c>
      <c r="CD31">
        <f t="shared" si="8"/>
      </c>
      <c r="CE31">
        <f t="shared" si="8"/>
      </c>
      <c r="CF31">
        <f t="shared" si="8"/>
      </c>
      <c r="CG31">
        <f t="shared" si="8"/>
      </c>
      <c r="CH31">
        <f t="shared" si="8"/>
      </c>
      <c r="CI31">
        <f t="shared" si="8"/>
      </c>
      <c r="CJ31">
        <f t="shared" si="8"/>
      </c>
      <c r="CK31">
        <f t="shared" si="8"/>
      </c>
      <c r="CL31">
        <f t="shared" si="8"/>
      </c>
      <c r="CM31">
        <f t="shared" si="8"/>
      </c>
      <c r="CN31">
        <f t="shared" si="8"/>
      </c>
      <c r="CO31">
        <f t="shared" si="8"/>
      </c>
      <c r="CP31">
        <f t="shared" si="8"/>
      </c>
      <c r="CQ31">
        <f t="shared" si="8"/>
      </c>
      <c r="CR31">
        <f t="shared" si="8"/>
      </c>
      <c r="CS31">
        <f t="shared" si="8"/>
      </c>
      <c r="CT31">
        <f t="shared" si="8"/>
      </c>
      <c r="CU31">
        <f t="shared" si="8"/>
      </c>
      <c r="CV31">
        <f t="shared" si="8"/>
      </c>
      <c r="CW31">
        <f t="shared" si="8"/>
      </c>
      <c r="CX31">
        <f t="shared" si="8"/>
      </c>
      <c r="CY31">
        <f t="shared" si="8"/>
      </c>
      <c r="CZ31">
        <f t="shared" si="8"/>
      </c>
      <c r="DA31">
        <f t="shared" si="8"/>
      </c>
      <c r="DB31">
        <f t="shared" si="8"/>
      </c>
      <c r="DC31">
        <f t="shared" si="8"/>
      </c>
      <c r="DD31">
        <f t="shared" si="8"/>
      </c>
      <c r="DE31">
        <f t="shared" si="8"/>
      </c>
      <c r="DF31">
        <f t="shared" si="8"/>
      </c>
      <c r="DG31">
        <f t="shared" si="8"/>
      </c>
      <c r="DH31">
        <f t="shared" si="8"/>
      </c>
      <c r="DI31">
        <f t="shared" si="8"/>
      </c>
      <c r="DJ31">
        <f t="shared" si="8"/>
      </c>
      <c r="DK31">
        <f t="shared" si="8"/>
      </c>
      <c r="DL31">
        <f t="shared" si="8"/>
      </c>
      <c r="DM31">
        <f t="shared" si="8"/>
      </c>
      <c r="DN31">
        <f t="shared" si="8"/>
      </c>
      <c r="DO31">
        <f t="shared" si="8"/>
      </c>
      <c r="DP31">
        <f t="shared" si="8"/>
      </c>
      <c r="DQ31">
        <f t="shared" si="8"/>
      </c>
      <c r="DR31">
        <f t="shared" si="8"/>
      </c>
      <c r="DS31">
        <f t="shared" si="8"/>
      </c>
      <c r="DT31">
        <f t="shared" si="8"/>
      </c>
      <c r="DU31">
        <f t="shared" si="8"/>
      </c>
      <c r="DV31">
        <f t="shared" si="8"/>
      </c>
      <c r="DW31">
        <f t="shared" si="8"/>
      </c>
      <c r="DX31">
        <f t="shared" si="8"/>
      </c>
      <c r="DY31">
        <f t="shared" si="8"/>
      </c>
      <c r="DZ31">
        <f t="shared" si="8"/>
      </c>
      <c r="EA31">
        <f t="shared" si="8"/>
      </c>
      <c r="EB31">
        <f t="shared" si="8"/>
      </c>
      <c r="EC31">
        <f t="shared" si="8"/>
      </c>
      <c r="ED31">
        <f t="shared" si="8"/>
      </c>
      <c r="EE31">
        <f t="shared" si="8"/>
      </c>
      <c r="EF31">
        <f t="shared" si="8"/>
      </c>
      <c r="EG31">
        <f t="shared" si="8"/>
      </c>
      <c r="EH31">
        <f t="shared" si="8"/>
      </c>
      <c r="EI31">
        <f t="shared" si="8"/>
      </c>
      <c r="EJ31">
        <f t="shared" si="8"/>
      </c>
      <c r="EK31">
        <f t="shared" si="8"/>
      </c>
      <c r="EL31">
        <f t="shared" si="8"/>
      </c>
      <c r="EM31">
        <f t="shared" si="8"/>
      </c>
      <c r="EN31">
        <f t="shared" si="8"/>
      </c>
      <c r="EO31">
        <f t="shared" si="8"/>
      </c>
      <c r="EP31">
        <f t="shared" si="8"/>
      </c>
      <c r="EQ31">
        <f t="shared" si="8"/>
      </c>
      <c r="ER31">
        <f t="shared" si="8"/>
      </c>
      <c r="ES31">
        <f t="shared" si="8"/>
      </c>
      <c r="ET31">
        <f t="shared" si="8"/>
      </c>
      <c r="EU31">
        <f t="shared" si="8"/>
      </c>
      <c r="EV31">
        <f t="shared" si="8"/>
      </c>
      <c r="EW31">
        <f t="shared" si="8"/>
      </c>
      <c r="EX31">
        <f t="shared" si="8"/>
      </c>
      <c r="EY31">
        <f t="shared" si="8"/>
      </c>
      <c r="EZ31">
        <f t="shared" si="8"/>
      </c>
      <c r="FA31" t="str">
        <f t="shared" si="12"/>
        <v>-</v>
      </c>
      <c r="FB31">
        <f t="shared" si="13"/>
      </c>
      <c r="FC31" cm="1">
        <f t="array" ref="FC31">_xlfn.LET(_xlpm.unit_type,$G31,_xlpm.market_rent_from_rent_roll,$E31,_xlpm.unit_type_list,RentRoll_InputArea_DesignatedUnitType,_xlpm.rent_by_unit_type,RentRoll_InputArea_MarketRent,_xlpm.use_rent_roll_market_rent,LEFT(RR_VacantUnitMktRentSource,9)="Rent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31">
        <f t="shared" si="14"/>
        <v>1394</v>
      </c>
      <c r="FE31">
        <f t="shared" si="15"/>
        <v>1394</v>
      </c>
      <c r="FF31">
        <f t="shared" si="16"/>
        <v>1394</v>
      </c>
      <c r="FH31">
        <f t="shared" si="17"/>
      </c>
      <c r="FI31">
        <f t="shared" si="18"/>
      </c>
      <c r="FK31" cm="1">
        <f t="array" ref="FK31">IF(AND(LEN($D31)&gt;0,ISNA(MATCH(TRUE,EXACT($G31,RentRoll_InputArea_DesignatedUnitType),0))),1,0)</f>
        <v>0</v>
      </c>
      <c r="FL31">
        <f t="shared" si="19"/>
        <v>8</v>
      </c>
      <c r="IO31" cm="1">
        <f t="array" ref="IO31">IF(LEN($G31)=0,"Rent Roll is incomplete",_xlfn.XLOOKUP(TRUE,EXACT(RentRoll_InputArea_DesignatedUnitType,$G31),RentRoll_InputArea_Beds,"Not Found"))</f>
        <v>2</v>
      </c>
      <c r="IQ31" t="str">
        <f t="shared" si="20"/>
        <v>2 Bedroom Unit</v>
      </c>
      <c r="IR31">
        <f t="shared" si="21"/>
        <v>1394</v>
      </c>
      <c r="IW31" t="str">
        <f t="shared" si="22"/>
        <v>1-107</v>
      </c>
      <c r="IZ31">
        <f t="shared" si="23"/>
        <v>2</v>
      </c>
      <c r="JA31">
        <f t="shared" si="24"/>
        <v>1394</v>
      </c>
      <c r="JH31">
        <f t="shared" si="25"/>
        <v>1410</v>
      </c>
      <c r="JJ31">
        <f t="shared" si="26"/>
      </c>
      <c r="JQ31" t="str">
        <f t="shared" si="27"/>
        <v>Occupied</v>
      </c>
      <c r="JR31" cm="1">
        <f t="array" ref="JR31">_xlfn.XLOOKUP(TRUE,EXACT(RentRoll_InputArea_DesignatedUnitType,$G31),RentRoll_InputArea_SquareFootage,"Not Found")</f>
        <v>851</v>
      </c>
      <c r="JS31" t="str">
        <f t="shared" si="28"/>
        <v>Apartment</v>
      </c>
      <c r="JT31">
        <f t="shared" si="29"/>
      </c>
      <c r="JY31">
        <f t="shared" si="9"/>
        <v>43337</v>
      </c>
      <c r="JZ31">
        <f t="shared" si="9"/>
        <v>43616</v>
      </c>
    </row>
    <row r="32" ht="15" customHeight="1">
      <c r="A32">
        <f t="shared" si="10"/>
        <v>9</v>
      </c>
      <c r="D32" t="s">
        <v>2759</v>
      </c>
      <c r="E32">
        <v>1201</v>
      </c>
      <c r="F32" t="s">
        <v>2760</v>
      </c>
      <c r="G32" t="s">
        <v>2529</v>
      </c>
      <c r="H32">
        <v>1002</v>
      </c>
      <c r="I32" cm="1">
        <f t="array" ref="I32">_xlfn.LET(_xlpm.has_subsidy,$N32&gt;0,_xlpm.is_chap9_sbl,$FF$20,_xlpm.contract_rent,$H32,_xlpm.unit_type_mkt_rent,_xlfn.XLOOKUP(TRUE,EXACT($G32,RentRoll_InputArea_DesignatedUnitType),RentRoll_InputArea_MarketRent,"Not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2">
        <f t="shared" si="11"/>
        <v>1002</v>
      </c>
      <c r="O32" s="1">
        <v>43556</v>
      </c>
      <c r="P32" s="1">
        <v>43921</v>
      </c>
      <c r="Q32">
        <f t="shared" si="8"/>
        <v>1002</v>
      </c>
      <c r="R32">
        <f t="shared" si="8"/>
      </c>
      <c r="S32">
        <f t="shared" si="8"/>
      </c>
      <c r="T32">
        <f t="shared" si="8"/>
      </c>
      <c r="U32">
        <f t="shared" si="8"/>
      </c>
      <c r="V32">
        <f t="shared" si="8"/>
      </c>
      <c r="W32">
        <f t="shared" si="8"/>
      </c>
      <c r="X32">
        <f t="shared" si="8"/>
      </c>
      <c r="Y32">
        <f t="shared" si="8"/>
      </c>
      <c r="Z32">
        <f t="shared" si="8"/>
      </c>
      <c r="AA32">
        <f t="shared" si="8"/>
      </c>
      <c r="AB32">
        <f t="shared" si="8"/>
      </c>
      <c r="AC32">
        <f t="shared" si="8"/>
      </c>
      <c r="AD32">
        <f t="shared" si="8"/>
      </c>
      <c r="AE32">
        <f t="shared" si="8"/>
      </c>
      <c r="AF32">
        <f t="shared" si="8"/>
      </c>
      <c r="AG32">
        <f t="shared" si="8"/>
      </c>
      <c r="AH32">
        <f t="shared" si="8"/>
      </c>
      <c r="AI32">
        <f t="shared" si="8"/>
      </c>
      <c r="AJ32">
        <f t="shared" si="8"/>
      </c>
      <c r="AK32">
        <f t="shared" si="8"/>
      </c>
      <c r="AL32">
        <f t="shared" si="8"/>
      </c>
      <c r="AM32">
        <f t="shared" si="8"/>
      </c>
      <c r="AN32">
        <f t="shared" si="8"/>
      </c>
      <c r="AO32">
        <f t="shared" si="8"/>
      </c>
      <c r="AP32">
        <f t="shared" si="8"/>
      </c>
      <c r="AQ32">
        <f t="shared" si="8"/>
      </c>
      <c r="AR32">
        <f t="shared" si="8"/>
      </c>
      <c r="AS32">
        <f t="shared" si="8"/>
      </c>
      <c r="AT32">
        <f t="shared" si="8"/>
      </c>
      <c r="AU32">
        <f t="shared" si="8"/>
      </c>
      <c r="AV32">
        <f t="shared" si="8"/>
      </c>
      <c r="AW32">
        <f t="shared" si="8"/>
      </c>
      <c r="AX32">
        <f t="shared" si="8"/>
      </c>
      <c r="AY32">
        <f t="shared" si="8"/>
      </c>
      <c r="AZ32">
        <f t="shared" si="8"/>
      </c>
      <c r="BA32">
        <f t="shared" si="8"/>
      </c>
      <c r="BB32">
        <f t="shared" si="8"/>
      </c>
      <c r="BC32">
        <f t="shared" si="8"/>
      </c>
      <c r="BD32">
        <f t="shared" si="8"/>
      </c>
      <c r="BE32">
        <f t="shared" si="8"/>
      </c>
      <c r="BF32">
        <f t="shared" si="8"/>
      </c>
      <c r="BG32">
        <f t="shared" si="8"/>
      </c>
      <c r="BH32">
        <f t="shared" si="8"/>
      </c>
      <c r="BI32">
        <f t="shared" si="8"/>
      </c>
      <c r="BJ32">
        <f t="shared" si="8"/>
      </c>
      <c r="BK32">
        <f t="shared" si="8"/>
      </c>
      <c r="BL32">
        <f t="shared" si="8"/>
      </c>
      <c r="BM32">
        <f t="shared" si="8"/>
      </c>
      <c r="BN32">
        <f t="shared" si="8"/>
      </c>
      <c r="BO32">
        <f t="shared" si="8"/>
      </c>
      <c r="BP32">
        <f t="shared" si="8"/>
      </c>
      <c r="BQ32">
        <f t="shared" si="8"/>
      </c>
      <c r="BR32">
        <f t="shared" si="8"/>
      </c>
      <c r="BS32">
        <f t="shared" si="8"/>
      </c>
      <c r="BT32">
        <f t="shared" si="8"/>
      </c>
      <c r="BU32">
        <f t="shared" si="8"/>
      </c>
      <c r="BV32">
        <f t="shared" si="8"/>
      </c>
      <c r="BW32">
        <f t="shared" si="8"/>
      </c>
      <c r="BX32">
        <f t="shared" si="8"/>
      </c>
      <c r="BY32">
        <f t="shared" si="8"/>
      </c>
      <c r="BZ32">
        <f t="shared" si="8"/>
      </c>
      <c r="CA32">
        <f t="shared" si="8"/>
      </c>
      <c r="CB32">
        <f t="shared" si="8"/>
      </c>
      <c r="CC32">
        <f t="shared" si="8"/>
      </c>
      <c r="CD32">
        <f t="shared" si="8"/>
      </c>
      <c r="CE32">
        <f t="shared" si="8"/>
      </c>
      <c r="CF32">
        <f t="shared" si="8"/>
      </c>
      <c r="CG32">
        <f t="shared" si="8"/>
      </c>
      <c r="CH32">
        <f t="shared" si="8"/>
      </c>
      <c r="CI32">
        <f t="shared" si="8"/>
      </c>
      <c r="CJ32">
        <f t="shared" si="8"/>
      </c>
      <c r="CK32">
        <f t="shared" si="8"/>
      </c>
      <c r="CL32">
        <f t="shared" si="8"/>
      </c>
      <c r="CM32">
        <f t="shared" si="8"/>
      </c>
      <c r="CN32">
        <f t="shared" si="8"/>
      </c>
      <c r="CO32">
        <f t="shared" si="8"/>
      </c>
      <c r="CP32">
        <f t="shared" si="8"/>
      </c>
      <c r="CQ32">
        <f t="shared" si="8"/>
      </c>
      <c r="CR32">
        <f t="shared" si="8"/>
      </c>
      <c r="CS32">
        <f t="shared" si="8"/>
      </c>
      <c r="CT32">
        <f t="shared" si="8"/>
      </c>
      <c r="CU32">
        <f t="shared" si="8"/>
      </c>
      <c r="CV32">
        <f t="shared" si="8"/>
      </c>
      <c r="CW32">
        <f t="shared" si="8"/>
      </c>
      <c r="CX32">
        <f t="shared" si="8"/>
      </c>
      <c r="CY32">
        <f t="shared" si="8"/>
      </c>
      <c r="CZ32">
        <f t="shared" si="8"/>
      </c>
      <c r="DA32">
        <f t="shared" si="8"/>
      </c>
      <c r="DB32">
        <f t="shared" si="8"/>
      </c>
      <c r="DC32">
        <f t="shared" si="8"/>
      </c>
      <c r="DD32">
        <f t="shared" si="8"/>
      </c>
      <c r="DE32">
        <f t="shared" si="8"/>
      </c>
      <c r="DF32">
        <f t="shared" si="8"/>
      </c>
      <c r="DG32">
        <f t="shared" si="8"/>
      </c>
      <c r="DH32">
        <f t="shared" si="8"/>
      </c>
      <c r="DI32">
        <f t="shared" si="8"/>
      </c>
      <c r="DJ32">
        <f t="shared" si="8"/>
      </c>
      <c r="DK32">
        <f t="shared" si="8"/>
      </c>
      <c r="DL32">
        <f t="shared" si="8"/>
      </c>
      <c r="DM32">
        <f t="shared" si="8"/>
      </c>
      <c r="DN32">
        <f t="shared" si="8"/>
      </c>
      <c r="DO32">
        <f t="shared" si="8"/>
      </c>
      <c r="DP32">
        <f t="shared" si="8"/>
      </c>
      <c r="DQ32">
        <f t="shared" si="8"/>
      </c>
      <c r="DR32">
        <f t="shared" si="8"/>
      </c>
      <c r="DS32">
        <f t="shared" si="8"/>
      </c>
      <c r="DT32">
        <f t="shared" si="8"/>
      </c>
      <c r="DU32">
        <f t="shared" si="8"/>
      </c>
      <c r="DV32">
        <f t="shared" si="8"/>
      </c>
      <c r="DW32">
        <f t="shared" si="8"/>
      </c>
      <c r="DX32">
        <f t="shared" si="8"/>
      </c>
      <c r="DY32">
        <f t="shared" si="8"/>
      </c>
      <c r="DZ32">
        <f t="shared" si="8"/>
      </c>
      <c r="EA32">
        <f t="shared" si="8"/>
      </c>
      <c r="EB32">
        <f t="shared" si="8"/>
      </c>
      <c r="EC32">
        <f t="shared" si="8"/>
      </c>
      <c r="ED32">
        <f t="shared" si="8"/>
      </c>
      <c r="EE32">
        <f t="shared" si="8"/>
      </c>
      <c r="EF32">
        <f t="shared" si="8"/>
      </c>
      <c r="EG32">
        <f t="shared" si="8"/>
      </c>
      <c r="EH32">
        <f t="shared" si="8"/>
      </c>
      <c r="EI32">
        <f t="shared" si="8"/>
      </c>
      <c r="EJ32">
        <f t="shared" si="8"/>
      </c>
      <c r="EK32">
        <f t="shared" si="8"/>
      </c>
      <c r="EL32">
        <f t="shared" si="8"/>
      </c>
      <c r="EM32">
        <f t="shared" si="8"/>
      </c>
      <c r="EN32">
        <f t="shared" si="8"/>
      </c>
      <c r="EO32">
        <f t="shared" si="8"/>
      </c>
      <c r="EP32">
        <f t="shared" si="8"/>
      </c>
      <c r="EQ32">
        <f t="shared" si="8"/>
      </c>
      <c r="ER32">
        <f t="shared" si="8"/>
      </c>
      <c r="ES32">
        <f t="shared" si="8"/>
      </c>
      <c r="ET32">
        <f t="shared" si="8"/>
      </c>
      <c r="EU32">
        <f t="shared" si="8"/>
      </c>
      <c r="EV32">
        <f t="shared" si="8"/>
      </c>
      <c r="EW32">
        <f t="shared" si="8"/>
      </c>
      <c r="EX32">
        <f t="shared" si="8"/>
      </c>
      <c r="EY32">
        <f t="shared" si="8"/>
      </c>
      <c r="EZ32">
        <f t="shared" si="8"/>
      </c>
      <c r="FA32" t="str">
        <f t="shared" si="12"/>
        <v>-</v>
      </c>
      <c r="FB32">
        <f t="shared" si="13"/>
      </c>
      <c r="FC32" cm="1">
        <f t="array" ref="FC32">_xlfn.LET(_xlpm.unit_type,$G32,_xlpm.market_rent_from_rent_roll,$E32,_xlpm.unit_type_list,RentRoll_InputArea_DesignatedUnitType,_xlpm.rent_by_unit_type,RentRoll_InputArea_MarketRent,_xlpm.use_rent_roll_market_rent,LEFT(RR_VacantUnitMktRentSource,9)="Rent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2">
        <f t="shared" si="14"/>
        <v>1002</v>
      </c>
      <c r="FE32">
        <f t="shared" si="15"/>
        <v>1002</v>
      </c>
      <c r="FF32">
        <f t="shared" si="16"/>
        <v>1002</v>
      </c>
      <c r="FH32">
        <f t="shared" si="17"/>
      </c>
      <c r="FI32">
        <f t="shared" si="18"/>
      </c>
      <c r="FK32" cm="1">
        <f t="array" ref="FK32">IF(AND(LEN($D32)&gt;0,ISNA(MATCH(TRUE,EXACT($G32,RentRoll_InputArea_DesignatedUnitType),0))),1,0)</f>
        <v>0</v>
      </c>
      <c r="FL32">
        <f t="shared" si="19"/>
        <v>9</v>
      </c>
      <c r="IO32" cm="1">
        <f t="array" ref="IO32">IF(LEN($G32)=0,"Rent Roll is incomplete",_xlfn.XLOOKUP(TRUE,EXACT(RentRoll_InputArea_DesignatedUnitType,$G32),RentRoll_InputArea_Beds,"Not Found"))</f>
        <v>1</v>
      </c>
      <c r="IQ32" t="str">
        <f t="shared" si="20"/>
        <v>1 Bedroom Unit</v>
      </c>
      <c r="IR32">
        <f t="shared" si="21"/>
        <v>1002</v>
      </c>
      <c r="IW32" t="str">
        <f t="shared" si="22"/>
        <v>2-200</v>
      </c>
      <c r="IZ32">
        <f t="shared" si="23"/>
        <v>1</v>
      </c>
      <c r="JA32">
        <f t="shared" si="24"/>
        <v>1002</v>
      </c>
      <c r="JH32">
        <f t="shared" si="25"/>
        <v>1159</v>
      </c>
      <c r="JJ32">
        <f t="shared" si="26"/>
      </c>
      <c r="JQ32" t="str">
        <f t="shared" si="27"/>
        <v>Occupied</v>
      </c>
      <c r="JR32" cm="1">
        <f t="array" ref="JR32">_xlfn.XLOOKUP(TRUE,EXACT(RentRoll_InputArea_DesignatedUnitType,$G32),RentRoll_InputArea_SquareFootage,"Not Found")</f>
        <v>704</v>
      </c>
      <c r="JS32" t="str">
        <f t="shared" si="28"/>
        <v>Apartment</v>
      </c>
      <c r="JT32">
        <f t="shared" si="29"/>
      </c>
      <c r="JY32">
        <f t="shared" si="9"/>
        <v>43556</v>
      </c>
      <c r="JZ32">
        <f t="shared" si="9"/>
        <v>43921</v>
      </c>
    </row>
    <row r="33" ht="15" customHeight="1">
      <c r="A33">
        <f t="shared" si="10"/>
        <v>10</v>
      </c>
      <c r="D33" t="s">
        <v>2762</v>
      </c>
      <c r="E33">
        <v>1117</v>
      </c>
      <c r="F33" t="s">
        <v>2763</v>
      </c>
      <c r="G33" t="s">
        <v>2529</v>
      </c>
      <c r="H33">
        <v>1184</v>
      </c>
      <c r="I33" cm="1">
        <f t="array" ref="I33">_xlfn.LET(_xlpm.has_subsidy,$N33&gt;0,_xlpm.is_chap9_sbl,$FF$20,_xlpm.contract_rent,$H33,_xlpm.unit_type_mkt_rent,_xlfn.XLOOKUP(TRUE,EXACT($G33,RentRoll_InputArea_DesignatedUnitType),RentRoll_InputArea_MarketRent,"Not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3">
        <f t="shared" si="11"/>
        <v>1184</v>
      </c>
      <c r="O33" s="1">
        <v>43540</v>
      </c>
      <c r="P33" s="1">
        <v>43921</v>
      </c>
      <c r="Q33">
        <f t="shared" si="8"/>
        <v>1184</v>
      </c>
      <c r="R33">
        <f t="shared" si="8"/>
      </c>
      <c r="S33">
        <f t="shared" si="8"/>
      </c>
      <c r="T33">
        <f t="shared" si="8"/>
      </c>
      <c r="U33">
        <f t="shared" si="8"/>
      </c>
      <c r="V33">
        <f t="shared" si="8"/>
      </c>
      <c r="W33">
        <f t="shared" si="8"/>
      </c>
      <c r="X33">
        <f t="shared" si="8"/>
      </c>
      <c r="Y33">
        <f t="shared" si="8"/>
      </c>
      <c r="Z33">
        <f t="shared" si="8"/>
      </c>
      <c r="AA33">
        <f t="shared" si="8"/>
      </c>
      <c r="AB33">
        <f t="shared" si="8"/>
      </c>
      <c r="AC33">
        <f t="shared" si="8"/>
      </c>
      <c r="AD33">
        <f t="shared" si="8"/>
      </c>
      <c r="AE33">
        <f t="shared" si="8"/>
      </c>
      <c r="AF33">
        <f t="shared" si="8"/>
      </c>
      <c r="AG33">
        <f t="shared" si="8"/>
      </c>
      <c r="AH33">
        <f t="shared" si="8"/>
      </c>
      <c r="AI33">
        <f t="shared" si="8"/>
      </c>
      <c r="AJ33">
        <f t="shared" si="8"/>
      </c>
      <c r="AK33">
        <f t="shared" si="8"/>
      </c>
      <c r="AL33">
        <f t="shared" si="8"/>
      </c>
      <c r="AM33">
        <f t="shared" si="8"/>
      </c>
      <c r="AN33">
        <f t="shared" si="8"/>
      </c>
      <c r="AO33">
        <f t="shared" si="8"/>
      </c>
      <c r="AP33">
        <f t="shared" si="8"/>
      </c>
      <c r="AQ33">
        <f t="shared" si="8"/>
      </c>
      <c r="AR33">
        <f t="shared" si="8"/>
      </c>
      <c r="AS33">
        <f t="shared" si="8"/>
      </c>
      <c r="AT33">
        <f t="shared" si="8"/>
      </c>
      <c r="AU33">
        <f t="shared" si="8"/>
      </c>
      <c r="AV33">
        <f t="shared" si="8"/>
      </c>
      <c r="AW33">
        <f t="shared" si="8"/>
      </c>
      <c r="AX33">
        <f t="shared" si="8"/>
      </c>
      <c r="AY33">
        <f t="shared" si="8"/>
      </c>
      <c r="AZ33">
        <f t="shared" si="8"/>
      </c>
      <c r="BA33">
        <f t="shared" si="8"/>
      </c>
      <c r="BB33">
        <f t="shared" si="8"/>
      </c>
      <c r="BC33">
        <f t="shared" si="8"/>
      </c>
      <c r="BD33">
        <f t="shared" si="8"/>
      </c>
      <c r="BE33">
        <f t="shared" si="8"/>
      </c>
      <c r="BF33">
        <f t="shared" si="8"/>
      </c>
      <c r="BG33">
        <f t="shared" si="8"/>
      </c>
      <c r="BH33">
        <f t="shared" si="8"/>
      </c>
      <c r="BI33">
        <f t="shared" si="8"/>
      </c>
      <c r="BJ33">
        <f t="shared" si="8"/>
      </c>
      <c r="BK33">
        <f t="shared" si="8"/>
      </c>
      <c r="BL33">
        <f t="shared" si="8"/>
      </c>
      <c r="BM33">
        <f t="shared" si="8"/>
      </c>
      <c r="BN33">
        <f t="shared" si="8"/>
      </c>
      <c r="BO33">
        <f t="shared" si="8"/>
      </c>
      <c r="BP33">
        <f t="shared" si="8"/>
      </c>
      <c r="BQ33">
        <f t="shared" si="8"/>
      </c>
      <c r="BR33">
        <f t="shared" si="8"/>
      </c>
      <c r="BS33">
        <f t="shared" si="8"/>
      </c>
      <c r="BT33">
        <f t="shared" si="8"/>
      </c>
      <c r="BU33">
        <f t="shared" si="8"/>
      </c>
      <c r="BV33">
        <f t="shared" si="8"/>
      </c>
      <c r="BW33">
        <f t="shared" si="8"/>
      </c>
      <c r="BX33">
        <f t="shared" si="8"/>
      </c>
      <c r="BY33">
        <f t="shared" si="8"/>
      </c>
      <c r="BZ33">
        <f t="shared" si="8"/>
      </c>
      <c r="CA33">
        <f t="shared" si="8"/>
      </c>
      <c r="CB33">
        <f t="shared" si="8"/>
      </c>
      <c r="CC33">
        <f t="shared" si="8"/>
      </c>
      <c r="CD33">
        <f t="shared" si="8"/>
      </c>
      <c r="CE33">
        <f t="shared" si="8"/>
      </c>
      <c r="CF33">
        <f t="shared" si="8"/>
      </c>
      <c r="CG33">
        <f t="shared" si="8"/>
      </c>
      <c r="CH33">
        <f t="shared" si="8"/>
      </c>
      <c r="CI33">
        <f t="shared" si="8"/>
      </c>
      <c r="CJ33">
        <f t="shared" si="8"/>
      </c>
      <c r="CK33">
        <f t="shared" si="8"/>
      </c>
      <c r="CL33">
        <f t="shared" si="8"/>
      </c>
      <c r="CM33">
        <f t="shared" si="8"/>
      </c>
      <c r="CN33">
        <f t="shared" si="8"/>
      </c>
      <c r="CO33">
        <f t="shared" si="8"/>
      </c>
      <c r="CP33">
        <f t="shared" si="8"/>
      </c>
      <c r="CQ33">
        <f t="shared" si="8"/>
      </c>
      <c r="CR33">
        <f t="shared" si="8"/>
      </c>
      <c r="CS33">
        <f t="shared" si="8"/>
      </c>
      <c r="CT33">
        <f t="shared" si="8"/>
      </c>
      <c r="CU33">
        <f t="shared" si="8"/>
      </c>
      <c r="CV33">
        <f t="shared" si="8"/>
      </c>
      <c r="CW33">
        <f t="shared" si="8"/>
      </c>
      <c r="CX33">
        <f t="shared" si="8"/>
      </c>
      <c r="CY33">
        <f t="shared" si="8"/>
      </c>
      <c r="CZ33">
        <f t="shared" si="8"/>
      </c>
      <c r="DA33">
        <f t="shared" si="8"/>
      </c>
      <c r="DB33">
        <f t="shared" si="8"/>
      </c>
      <c r="DC33">
        <f t="shared" si="8"/>
      </c>
      <c r="DD33">
        <f t="shared" si="8"/>
      </c>
      <c r="DE33">
        <f t="shared" si="8"/>
      </c>
      <c r="DF33">
        <f t="shared" si="8"/>
      </c>
      <c r="DG33">
        <f t="shared" si="8"/>
      </c>
      <c r="DH33">
        <f t="shared" si="8"/>
      </c>
      <c r="DI33">
        <f t="shared" si="8"/>
      </c>
      <c r="DJ33">
        <f t="shared" si="8"/>
      </c>
      <c r="DK33">
        <f t="shared" si="8"/>
      </c>
      <c r="DL33">
        <f t="shared" si="8"/>
      </c>
      <c r="DM33">
        <f t="shared" si="8"/>
      </c>
      <c r="DN33">
        <f t="shared" si="8"/>
      </c>
      <c r="DO33">
        <f t="shared" si="8"/>
      </c>
      <c r="DP33">
        <f t="shared" si="8"/>
      </c>
      <c r="DQ33">
        <f t="shared" si="8"/>
      </c>
      <c r="DR33">
        <f t="shared" si="8"/>
      </c>
      <c r="DS33">
        <f t="shared" si="8"/>
      </c>
      <c r="DT33">
        <f t="shared" si="8"/>
      </c>
      <c r="DU33">
        <f t="shared" si="8"/>
      </c>
      <c r="DV33">
        <f t="shared" si="8"/>
      </c>
      <c r="DW33">
        <f t="shared" si="8"/>
      </c>
      <c r="DX33">
        <f t="shared" si="8"/>
      </c>
      <c r="DY33">
        <f t="shared" si="8"/>
      </c>
      <c r="DZ33">
        <f t="shared" si="8"/>
      </c>
      <c r="EA33">
        <f t="shared" si="8"/>
      </c>
      <c r="EB33">
        <f t="shared" si="8"/>
      </c>
      <c r="EC33">
        <f t="shared" si="8"/>
      </c>
      <c r="ED33">
        <f t="shared" si="8"/>
      </c>
      <c r="EE33">
        <f t="shared" si="8"/>
      </c>
      <c r="EF33">
        <f t="shared" si="8"/>
      </c>
      <c r="EG33">
        <f t="shared" si="8"/>
      </c>
      <c r="EH33">
        <f t="shared" si="8"/>
      </c>
      <c r="EI33">
        <f t="shared" si="8"/>
      </c>
      <c r="EJ33">
        <f t="shared" si="8"/>
      </c>
      <c r="EK33">
        <f t="shared" si="8"/>
      </c>
      <c r="EL33">
        <f t="shared" si="8"/>
      </c>
      <c r="EM33">
        <f t="shared" si="8"/>
      </c>
      <c r="EN33">
        <f t="shared" si="8"/>
      </c>
      <c r="EO33">
        <f t="shared" si="8"/>
      </c>
      <c r="EP33">
        <f t="shared" si="8"/>
      </c>
      <c r="EQ33">
        <f t="shared" si="8"/>
      </c>
      <c r="ER33">
        <f t="shared" si="8"/>
      </c>
      <c r="ES33">
        <f t="shared" si="8"/>
      </c>
      <c r="ET33">
        <f t="shared" si="8"/>
      </c>
      <c r="EU33">
        <f t="shared" si="8"/>
      </c>
      <c r="EV33">
        <f t="shared" si="8"/>
      </c>
      <c r="EW33">
        <f t="shared" si="8"/>
      </c>
      <c r="EX33">
        <f t="shared" si="8"/>
      </c>
      <c r="EY33">
        <f t="shared" si="8"/>
      </c>
      <c r="EZ33">
        <f t="shared" si="8"/>
      </c>
      <c r="FA33" t="str">
        <f t="shared" si="12"/>
        <v>-</v>
      </c>
      <c r="FB33">
        <f t="shared" si="13"/>
      </c>
      <c r="FC33" cm="1">
        <f t="array" ref="FC33">_xlfn.LET(_xlpm.unit_type,$G33,_xlpm.market_rent_from_rent_roll,$E33,_xlpm.unit_type_list,RentRoll_InputArea_DesignatedUnitType,_xlpm.rent_by_unit_type,RentRoll_InputArea_MarketRent,_xlpm.use_rent_roll_market_rent,LEFT(RR_VacantUnitMktRentSource,9)="Rent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3">
        <f t="shared" si="14"/>
        <v>1184</v>
      </c>
      <c r="FE33">
        <f t="shared" si="15"/>
        <v>1184</v>
      </c>
      <c r="FF33">
        <f t="shared" si="16"/>
        <v>1184</v>
      </c>
      <c r="FH33">
        <f t="shared" si="17"/>
      </c>
      <c r="FI33">
        <f t="shared" si="18"/>
      </c>
      <c r="FK33" cm="1">
        <f t="array" ref="FK33">IF(AND(LEN($D33)&gt;0,ISNA(MATCH(TRUE,EXACT($G33,RentRoll_InputArea_DesignatedUnitType),0))),1,0)</f>
        <v>0</v>
      </c>
      <c r="FL33">
        <f t="shared" si="19"/>
        <v>10</v>
      </c>
      <c r="IO33" cm="1">
        <f t="array" ref="IO33">IF(LEN($G33)=0,"Rent Roll is incomplete",_xlfn.XLOOKUP(TRUE,EXACT(RentRoll_InputArea_DesignatedUnitType,$G33),RentRoll_InputArea_Beds,"Not Found"))</f>
        <v>1</v>
      </c>
      <c r="IQ33" t="str">
        <f t="shared" si="20"/>
        <v>1 Bedroom Unit</v>
      </c>
      <c r="IR33">
        <f t="shared" si="21"/>
        <v>1184</v>
      </c>
      <c r="IW33" t="str">
        <f t="shared" si="22"/>
        <v>2-201</v>
      </c>
      <c r="IZ33">
        <f t="shared" si="23"/>
        <v>1</v>
      </c>
      <c r="JA33">
        <f t="shared" si="24"/>
        <v>1184</v>
      </c>
      <c r="JH33">
        <f t="shared" si="25"/>
        <v>1159</v>
      </c>
      <c r="JJ33">
        <f t="shared" si="26"/>
      </c>
      <c r="JQ33" t="str">
        <f t="shared" si="27"/>
        <v>Occupied</v>
      </c>
      <c r="JR33" cm="1">
        <f t="array" ref="JR33">_xlfn.XLOOKUP(TRUE,EXACT(RentRoll_InputArea_DesignatedUnitType,$G33),RentRoll_InputArea_SquareFootage,"Not Found")</f>
        <v>704</v>
      </c>
      <c r="JS33" t="str">
        <f t="shared" si="28"/>
        <v>Apartment</v>
      </c>
      <c r="JT33">
        <f t="shared" si="29"/>
      </c>
      <c r="JY33">
        <f t="shared" si="9"/>
        <v>43540</v>
      </c>
      <c r="JZ33">
        <f t="shared" si="9"/>
        <v>43921</v>
      </c>
    </row>
    <row r="34" ht="15" customHeight="1">
      <c r="A34">
        <f t="shared" si="10"/>
        <v>11</v>
      </c>
      <c r="D34" t="s">
        <v>2764</v>
      </c>
      <c r="E34">
        <v>1186</v>
      </c>
      <c r="F34" t="s">
        <v>2765</v>
      </c>
      <c r="G34" t="s">
        <v>2529</v>
      </c>
      <c r="H34">
        <v>1097</v>
      </c>
      <c r="I34" cm="1">
        <f t="array" ref="I34">_xlfn.LET(_xlpm.has_subsidy,$N34&gt;0,_xlpm.is_chap9_sbl,$FF$20,_xlpm.contract_rent,$H34,_xlpm.unit_type_mkt_rent,_xlfn.XLOOKUP(TRUE,EXACT($G34,RentRoll_InputArea_DesignatedUnitType),RentRoll_InputArea_MarketRent,"Not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4">
        <f t="shared" si="11"/>
        <v>1097</v>
      </c>
      <c r="O34" s="1">
        <v>43407</v>
      </c>
      <c r="P34" s="1">
        <v>43616</v>
      </c>
      <c r="Q34">
        <f t="shared" si="8"/>
        <v>1097</v>
      </c>
      <c r="R34">
        <f t="shared" si="8"/>
      </c>
      <c r="S34">
        <f t="shared" si="8"/>
      </c>
      <c r="T34">
        <f t="shared" si="8"/>
      </c>
      <c r="U34">
        <f t="shared" si="8"/>
      </c>
      <c r="V34">
        <f t="shared" si="8"/>
      </c>
      <c r="W34">
        <f t="shared" si="8"/>
      </c>
      <c r="X34">
        <f t="shared" si="8"/>
      </c>
      <c r="Y34">
        <f t="shared" si="8"/>
      </c>
      <c r="Z34">
        <f t="shared" si="8"/>
      </c>
      <c r="AA34">
        <f t="shared" si="8"/>
      </c>
      <c r="AB34">
        <f t="shared" si="8"/>
      </c>
      <c r="AC34">
        <f t="shared" si="8"/>
      </c>
      <c r="AD34">
        <f t="shared" si="8"/>
      </c>
      <c r="AE34">
        <f t="shared" si="8"/>
      </c>
      <c r="AF34">
        <f t="shared" si="8"/>
      </c>
      <c r="AG34">
        <f t="shared" si="8"/>
      </c>
      <c r="AH34">
        <f t="shared" si="8"/>
      </c>
      <c r="AI34">
        <f t="shared" si="8"/>
      </c>
      <c r="AJ34">
        <f t="shared" si="8"/>
      </c>
      <c r="AK34">
        <f t="shared" si="8"/>
      </c>
      <c r="AL34">
        <f t="shared" si="8"/>
      </c>
      <c r="AM34">
        <f t="shared" si="8"/>
      </c>
      <c r="AN34">
        <f t="shared" si="8"/>
      </c>
      <c r="AO34">
        <f t="shared" si="8"/>
      </c>
      <c r="AP34">
        <f t="shared" si="8"/>
      </c>
      <c r="AQ34">
        <f t="shared" si="8"/>
      </c>
      <c r="AR34">
        <f t="shared" si="8"/>
      </c>
      <c r="AS34">
        <f t="shared" si="8"/>
      </c>
      <c r="AT34">
        <f t="shared" si="8"/>
      </c>
      <c r="AU34">
        <f t="shared" si="8"/>
      </c>
      <c r="AV34">
        <f t="shared" si="8"/>
      </c>
      <c r="AW34">
        <f t="shared" si="8"/>
      </c>
      <c r="AX34">
        <f t="shared" si="8"/>
      </c>
      <c r="AY34">
        <f t="shared" si="8"/>
      </c>
      <c r="AZ34">
        <f t="shared" si="8"/>
      </c>
      <c r="BA34">
        <f t="shared" si="8"/>
      </c>
      <c r="BB34">
        <f t="shared" si="8"/>
      </c>
      <c r="BC34">
        <f t="shared" si="8"/>
      </c>
      <c r="BD34">
        <f t="shared" si="8"/>
      </c>
      <c r="BE34">
        <f t="shared" si="8"/>
      </c>
      <c r="BF34">
        <f t="shared" si="8"/>
      </c>
      <c r="BG34">
        <f t="shared" si="8"/>
      </c>
      <c r="BH34">
        <f t="shared" si="8"/>
      </c>
      <c r="BI34">
        <f t="shared" si="8"/>
      </c>
      <c r="BJ34">
        <f t="shared" si="8"/>
      </c>
      <c r="BK34">
        <f t="shared" si="8"/>
      </c>
      <c r="BL34">
        <f t="shared" si="8"/>
      </c>
      <c r="BM34">
        <f t="shared" si="8"/>
      </c>
      <c r="BN34">
        <f t="shared" si="8"/>
      </c>
      <c r="BO34">
        <f t="shared" si="8"/>
      </c>
      <c r="BP34">
        <f t="shared" si="8"/>
      </c>
      <c r="BQ34">
        <f t="shared" si="8"/>
      </c>
      <c r="BR34">
        <f t="shared" si="8"/>
      </c>
      <c r="BS34">
        <f t="shared" si="8"/>
      </c>
      <c r="BT34">
        <f t="shared" si="8"/>
      </c>
      <c r="BU34">
        <f t="shared" si="8"/>
      </c>
      <c r="BV34">
        <f t="shared" si="8"/>
      </c>
      <c r="BW34">
        <f t="shared" si="8"/>
      </c>
      <c r="BX34">
        <f t="shared" si="8"/>
      </c>
      <c r="BY34">
        <f t="shared" si="8"/>
      </c>
      <c r="BZ34">
        <f t="shared" si="8"/>
      </c>
      <c r="CA34">
        <f t="shared" si="8"/>
      </c>
      <c r="CB34">
        <f t="shared" si="8"/>
      </c>
      <c r="CC34">
        <f t="shared" si="8"/>
      </c>
      <c r="CD34">
        <f t="shared" si="8"/>
      </c>
      <c r="CE34">
        <f t="shared" si="8"/>
      </c>
      <c r="CF34">
        <f t="shared" si="8"/>
      </c>
      <c r="CG34">
        <f t="shared" si="8"/>
      </c>
      <c r="CH34">
        <f t="shared" si="8"/>
      </c>
      <c r="CI34">
        <f t="shared" si="8"/>
      </c>
      <c r="CJ34">
        <f t="shared" si="8"/>
      </c>
      <c r="CK34">
        <f t="shared" si="8"/>
      </c>
      <c r="CL34">
        <f t="shared" si="8"/>
      </c>
      <c r="CM34">
        <f t="shared" si="8"/>
      </c>
      <c r="CN34">
        <f t="shared" si="8"/>
      </c>
      <c r="CO34">
        <f t="shared" si="8"/>
      </c>
      <c r="CP34">
        <f t="shared" si="8"/>
      </c>
      <c r="CQ34">
        <f t="shared" si="8"/>
      </c>
      <c r="CR34">
        <f t="shared" si="8"/>
      </c>
      <c r="CS34">
        <f t="shared" si="8"/>
      </c>
      <c r="CT34">
        <f t="shared" si="8"/>
      </c>
      <c r="CU34">
        <f t="shared" si="8"/>
      </c>
      <c r="CV34">
        <f t="shared" si="8"/>
      </c>
      <c r="CW34">
        <f t="shared" si="8"/>
      </c>
      <c r="CX34">
        <f t="shared" si="8"/>
      </c>
      <c r="CY34">
        <f t="shared" si="8"/>
      </c>
      <c r="CZ34">
        <f t="shared" si="8"/>
      </c>
      <c r="DA34">
        <f t="shared" si="8"/>
      </c>
      <c r="DB34">
        <f t="shared" si="8"/>
      </c>
      <c r="DC34">
        <f t="shared" si="8"/>
      </c>
      <c r="DD34">
        <f t="shared" si="8"/>
      </c>
      <c r="DE34">
        <f t="shared" si="8"/>
      </c>
      <c r="DF34">
        <f t="shared" si="8"/>
      </c>
      <c r="DG34">
        <f t="shared" si="8"/>
      </c>
      <c r="DH34">
        <f t="shared" si="8"/>
      </c>
      <c r="DI34">
        <f t="shared" si="8"/>
      </c>
      <c r="DJ34">
        <f t="shared" si="8"/>
      </c>
      <c r="DK34">
        <f t="shared" si="8"/>
      </c>
      <c r="DL34">
        <f t="shared" si="8"/>
      </c>
      <c r="DM34">
        <f t="shared" si="8"/>
      </c>
      <c r="DN34">
        <f t="shared" si="8"/>
      </c>
      <c r="DO34">
        <f t="shared" si="8"/>
      </c>
      <c r="DP34">
        <f t="shared" si="8"/>
      </c>
      <c r="DQ34">
        <f t="shared" si="8"/>
      </c>
      <c r="DR34">
        <f t="shared" si="8"/>
      </c>
      <c r="DS34">
        <f t="shared" si="8"/>
      </c>
      <c r="DT34">
        <f t="shared" si="8"/>
      </c>
      <c r="DU34">
        <f t="shared" si="8"/>
      </c>
      <c r="DV34">
        <f t="shared" si="8"/>
      </c>
      <c r="DW34">
        <f t="shared" si="8"/>
      </c>
      <c r="DX34">
        <f t="shared" si="8"/>
      </c>
      <c r="DY34">
        <f t="shared" si="8"/>
      </c>
      <c r="DZ34">
        <f t="shared" si="8"/>
      </c>
      <c r="EA34">
        <f t="shared" si="8"/>
      </c>
      <c r="EB34">
        <f t="shared" si="8"/>
      </c>
      <c r="EC34">
        <f t="shared" si="8"/>
      </c>
      <c r="ED34">
        <f t="shared" si="8"/>
      </c>
      <c r="EE34">
        <f t="shared" si="8"/>
      </c>
      <c r="EF34">
        <f t="shared" si="8"/>
      </c>
      <c r="EG34">
        <f t="shared" si="8"/>
      </c>
      <c r="EH34">
        <f t="shared" si="8"/>
      </c>
      <c r="EI34">
        <f t="shared" si="8"/>
      </c>
      <c r="EJ34">
        <f t="shared" si="8"/>
      </c>
      <c r="EK34">
        <f t="shared" si="8"/>
      </c>
      <c r="EL34">
        <f t="shared" si="8"/>
      </c>
      <c r="EM34">
        <f t="shared" si="8"/>
      </c>
      <c r="EN34">
        <f t="shared" si="8"/>
      </c>
      <c r="EO34">
        <f t="shared" si="8"/>
      </c>
      <c r="EP34">
        <f t="shared" si="8"/>
      </c>
      <c r="EQ34">
        <f t="shared" si="8"/>
      </c>
      <c r="ER34">
        <f t="shared" si="8"/>
      </c>
      <c r="ES34">
        <f t="shared" si="8"/>
      </c>
      <c r="ET34">
        <f t="shared" si="8"/>
      </c>
      <c r="EU34">
        <f t="shared" si="8"/>
      </c>
      <c r="EV34">
        <f t="shared" si="8"/>
      </c>
      <c r="EW34">
        <f t="shared" si="8"/>
      </c>
      <c r="EX34">
        <f t="shared" si="8"/>
      </c>
      <c r="EY34">
        <f t="shared" si="8"/>
      </c>
      <c r="EZ34">
        <f t="shared" si="8"/>
      </c>
      <c r="FA34" t="str">
        <f t="shared" si="12"/>
        <v>-</v>
      </c>
      <c r="FB34">
        <f t="shared" si="13"/>
      </c>
      <c r="FC34" cm="1">
        <f t="array" ref="FC34">_xlfn.LET(_xlpm.unit_type,$G34,_xlpm.market_rent_from_rent_roll,$E34,_xlpm.unit_type_list,RentRoll_InputArea_DesignatedUnitType,_xlpm.rent_by_unit_type,RentRoll_InputArea_MarketRent,_xlpm.use_rent_roll_market_rent,LEFT(RR_VacantUnitMktRentSource,9)="Rent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4">
        <f t="shared" si="14"/>
        <v>1097</v>
      </c>
      <c r="FE34">
        <f t="shared" si="15"/>
        <v>1097</v>
      </c>
      <c r="FF34">
        <f t="shared" si="16"/>
        <v>1097</v>
      </c>
      <c r="FH34">
        <f t="shared" si="17"/>
      </c>
      <c r="FI34">
        <f t="shared" si="18"/>
      </c>
      <c r="FK34" cm="1">
        <f t="array" ref="FK34">IF(AND(LEN($D34)&gt;0,ISNA(MATCH(TRUE,EXACT($G34,RentRoll_InputArea_DesignatedUnitType),0))),1,0)</f>
        <v>0</v>
      </c>
      <c r="FL34">
        <f t="shared" si="19"/>
        <v>11</v>
      </c>
      <c r="IO34" cm="1">
        <f t="array" ref="IO34">IF(LEN($G34)=0,"Rent Roll is incomplete",_xlfn.XLOOKUP(TRUE,EXACT(RentRoll_InputArea_DesignatedUnitType,$G34),RentRoll_InputArea_Beds,"Not Found"))</f>
        <v>1</v>
      </c>
      <c r="IQ34" t="str">
        <f t="shared" si="20"/>
        <v>1 Bedroom Unit</v>
      </c>
      <c r="IR34">
        <f t="shared" si="21"/>
        <v>1097</v>
      </c>
      <c r="IW34" t="str">
        <f t="shared" si="22"/>
        <v>2-202</v>
      </c>
      <c r="IZ34">
        <f t="shared" si="23"/>
        <v>1</v>
      </c>
      <c r="JA34">
        <f t="shared" si="24"/>
        <v>1097</v>
      </c>
      <c r="JH34">
        <f t="shared" si="25"/>
        <v>1159</v>
      </c>
      <c r="JJ34">
        <f t="shared" si="26"/>
      </c>
      <c r="JQ34" t="str">
        <f t="shared" si="27"/>
        <v>Occupied</v>
      </c>
      <c r="JR34" cm="1">
        <f t="array" ref="JR34">_xlfn.XLOOKUP(TRUE,EXACT(RentRoll_InputArea_DesignatedUnitType,$G34),RentRoll_InputArea_SquareFootage,"Not Found")</f>
        <v>704</v>
      </c>
      <c r="JS34" t="str">
        <f t="shared" si="28"/>
        <v>Apartment</v>
      </c>
      <c r="JT34">
        <f t="shared" si="29"/>
      </c>
      <c r="JY34">
        <f t="shared" si="9"/>
        <v>43407</v>
      </c>
      <c r="JZ34">
        <f t="shared" si="9"/>
        <v>43616</v>
      </c>
    </row>
    <row r="35" ht="15" customHeight="1">
      <c r="A35">
        <f t="shared" si="10"/>
        <v>12</v>
      </c>
      <c r="D35" t="s">
        <v>2766</v>
      </c>
      <c r="E35">
        <v>1158</v>
      </c>
      <c r="F35" t="s">
        <v>2767</v>
      </c>
      <c r="G35" t="s">
        <v>2529</v>
      </c>
      <c r="H35">
        <v>1096</v>
      </c>
      <c r="I35" cm="1">
        <f t="array" ref="I35">_xlfn.LET(_xlpm.has_subsidy,$N35&gt;0,_xlpm.is_chap9_sbl,$FF$20,_xlpm.contract_rent,$H35,_xlpm.unit_type_mkt_rent,_xlfn.XLOOKUP(TRUE,EXACT($G35,RentRoll_InputArea_DesignatedUnitType),RentRoll_InputArea_MarketRent,"Not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5">
        <f t="shared" si="11"/>
        <v>1096</v>
      </c>
      <c r="O35" s="1">
        <v>43508</v>
      </c>
      <c r="P35" s="1">
        <v>43861</v>
      </c>
      <c r="Q35">
        <f t="shared" si="8"/>
        <v>1096</v>
      </c>
      <c r="R35">
        <f t="shared" si="8"/>
      </c>
      <c r="S35">
        <f t="shared" si="8"/>
      </c>
      <c r="T35">
        <f t="shared" si="8"/>
      </c>
      <c r="U35">
        <f t="shared" si="8"/>
      </c>
      <c r="V35">
        <f t="shared" si="8"/>
      </c>
      <c r="W35">
        <f t="shared" si="8"/>
      </c>
      <c r="X35">
        <f t="shared" si="8"/>
      </c>
      <c r="Y35">
        <f t="shared" si="8"/>
      </c>
      <c r="Z35">
        <f t="shared" si="8"/>
      </c>
      <c r="AA35">
        <f t="shared" si="8"/>
      </c>
      <c r="AB35">
        <f t="shared" si="8"/>
      </c>
      <c r="AC35">
        <f t="shared" si="8"/>
      </c>
      <c r="AD35">
        <f t="shared" si="8"/>
      </c>
      <c r="AE35">
        <f t="shared" si="8"/>
      </c>
      <c r="AF35">
        <f t="shared" si="8"/>
      </c>
      <c r="AG35">
        <f t="shared" si="8"/>
      </c>
      <c r="AH35">
        <f t="shared" si="8"/>
      </c>
      <c r="AI35">
        <f t="shared" si="8"/>
      </c>
      <c r="AJ35">
        <f t="shared" si="8"/>
      </c>
      <c r="AK35">
        <f t="shared" si="8"/>
      </c>
      <c r="AL35">
        <f t="shared" si="8"/>
      </c>
      <c r="AM35">
        <f t="shared" si="8"/>
      </c>
      <c r="AN35">
        <f t="shared" si="8"/>
      </c>
      <c r="AO35">
        <f t="shared" si="8"/>
      </c>
      <c r="AP35">
        <f t="shared" si="8"/>
      </c>
      <c r="AQ35">
        <f t="shared" si="8"/>
      </c>
      <c r="AR35">
        <f t="shared" si="8"/>
      </c>
      <c r="AS35">
        <f t="shared" si="8"/>
      </c>
      <c r="AT35">
        <f t="shared" si="8"/>
      </c>
      <c r="AU35">
        <f t="shared" si="8"/>
      </c>
      <c r="AV35">
        <f t="shared" si="8"/>
      </c>
      <c r="AW35">
        <f t="shared" si="8"/>
      </c>
      <c r="AX35">
        <f t="shared" si="8"/>
      </c>
      <c r="AY35">
        <f t="shared" si="8"/>
      </c>
      <c r="AZ35">
        <f t="shared" si="8"/>
      </c>
      <c r="BA35">
        <f t="shared" si="8"/>
      </c>
      <c r="BB35">
        <f t="shared" si="8"/>
      </c>
      <c r="BC35">
        <f t="shared" si="8"/>
      </c>
      <c r="BD35">
        <f t="shared" si="8"/>
      </c>
      <c r="BE35">
        <f t="shared" si="8"/>
      </c>
      <c r="BF35">
        <f t="shared" si="8"/>
      </c>
      <c r="BG35">
        <f t="shared" si="8"/>
      </c>
      <c r="BH35">
        <f t="shared" si="8"/>
      </c>
      <c r="BI35">
        <f t="shared" si="8"/>
      </c>
      <c r="BJ35">
        <f t="shared" si="8"/>
      </c>
      <c r="BK35">
        <f t="shared" si="8"/>
      </c>
      <c r="BL35">
        <f t="shared" si="8"/>
      </c>
      <c r="BM35">
        <f t="shared" si="8"/>
      </c>
      <c r="BN35">
        <f t="shared" si="8"/>
      </c>
      <c r="BO35">
        <f t="shared" si="8"/>
      </c>
      <c r="BP35">
        <f t="shared" si="8"/>
      </c>
      <c r="BQ35">
        <f t="shared" si="8"/>
      </c>
      <c r="BR35">
        <f t="shared" si="8"/>
      </c>
      <c r="BS35">
        <f t="shared" si="8"/>
      </c>
      <c r="BT35">
        <f t="shared" si="8"/>
      </c>
      <c r="BU35">
        <f t="shared" si="8"/>
      </c>
      <c r="BV35">
        <f t="shared" si="8"/>
      </c>
      <c r="BW35">
        <f t="shared" si="8"/>
      </c>
      <c r="BX35">
        <f t="shared" si="8"/>
      </c>
      <c r="BY35">
        <f t="shared" si="8"/>
      </c>
      <c r="BZ35">
        <f t="shared" si="8"/>
      </c>
      <c r="CA35">
        <f t="shared" si="8"/>
      </c>
      <c r="CB35">
        <f t="shared" si="8"/>
      </c>
      <c r="CC35">
        <f t="shared" si="8"/>
      </c>
      <c r="CD35">
        <f t="shared" si="8"/>
      </c>
      <c r="CE35">
        <f t="shared" si="8"/>
      </c>
      <c r="CF35">
        <f t="shared" si="8"/>
      </c>
      <c r="CG35">
        <f t="shared" si="8"/>
      </c>
      <c r="CH35">
        <f t="shared" si="8"/>
      </c>
      <c r="CI35">
        <f t="shared" si="8"/>
      </c>
      <c r="CJ35">
        <f t="shared" si="8"/>
      </c>
      <c r="CK35">
        <f t="shared" si="8"/>
      </c>
      <c r="CL35">
        <f t="shared" si="8"/>
      </c>
      <c r="CM35">
        <f t="shared" si="8"/>
      </c>
      <c r="CN35">
        <f t="shared" si="8"/>
      </c>
      <c r="CO35">
        <f t="shared" si="8"/>
      </c>
      <c r="CP35">
        <f t="shared" si="8"/>
      </c>
      <c r="CQ35">
        <f t="shared" si="8"/>
      </c>
      <c r="CR35">
        <f t="shared" si="8"/>
      </c>
      <c r="CS35">
        <f t="shared" si="8"/>
      </c>
      <c r="CT35">
        <f t="shared" si="8"/>
      </c>
      <c r="CU35">
        <f t="shared" si="8"/>
      </c>
      <c r="CV35">
        <f t="shared" si="8"/>
      </c>
      <c r="CW35">
        <f t="shared" si="8"/>
      </c>
      <c r="CX35">
        <f t="shared" si="8"/>
      </c>
      <c r="CY35">
        <f t="shared" si="8"/>
      </c>
      <c r="CZ35">
        <f t="shared" si="8"/>
      </c>
      <c r="DA35">
        <f t="shared" si="8"/>
      </c>
      <c r="DB35">
        <f t="shared" si="8"/>
      </c>
      <c r="DC35">
        <f t="shared" si="8"/>
      </c>
      <c r="DD35">
        <f t="shared" si="8"/>
      </c>
      <c r="DE35">
        <f t="shared" si="8"/>
      </c>
      <c r="DF35">
        <f t="shared" si="8"/>
      </c>
      <c r="DG35">
        <f t="shared" si="8"/>
      </c>
      <c r="DH35">
        <f t="shared" si="8"/>
      </c>
      <c r="DI35">
        <f t="shared" si="8"/>
      </c>
      <c r="DJ35">
        <f t="shared" si="8"/>
      </c>
      <c r="DK35">
        <f t="shared" si="8"/>
      </c>
      <c r="DL35">
        <f t="shared" si="8"/>
      </c>
      <c r="DM35">
        <f t="shared" si="8"/>
      </c>
      <c r="DN35">
        <f t="shared" si="8"/>
      </c>
      <c r="DO35">
        <f t="shared" si="8"/>
      </c>
      <c r="DP35">
        <f t="shared" si="8"/>
      </c>
      <c r="DQ35">
        <f t="shared" si="8"/>
      </c>
      <c r="DR35">
        <f t="shared" si="8"/>
      </c>
      <c r="DS35">
        <f t="shared" si="8"/>
      </c>
      <c r="DT35">
        <f t="shared" si="8"/>
      </c>
      <c r="DU35">
        <f t="shared" si="8"/>
      </c>
      <c r="DV35">
        <f t="shared" si="8"/>
      </c>
      <c r="DW35">
        <f t="shared" si="8"/>
      </c>
      <c r="DX35">
        <f t="shared" si="8"/>
      </c>
      <c r="DY35">
        <f t="shared" si="8"/>
      </c>
      <c r="DZ35">
        <f t="shared" si="8"/>
      </c>
      <c r="EA35">
        <f t="shared" si="8"/>
      </c>
      <c r="EB35">
        <f t="shared" si="8"/>
      </c>
      <c r="EC35">
        <f t="shared" si="8"/>
      </c>
      <c r="ED35">
        <f t="shared" si="8"/>
      </c>
      <c r="EE35">
        <f t="shared" si="8"/>
      </c>
      <c r="EF35">
        <f t="shared" si="8"/>
      </c>
      <c r="EG35">
        <f t="shared" si="8"/>
      </c>
      <c r="EH35">
        <f t="shared" si="8"/>
      </c>
      <c r="EI35">
        <f t="shared" si="8"/>
      </c>
      <c r="EJ35">
        <f t="shared" si="8"/>
      </c>
      <c r="EK35">
        <f t="shared" si="8"/>
      </c>
      <c r="EL35">
        <f t="shared" si="8"/>
      </c>
      <c r="EM35">
        <f t="shared" si="8"/>
      </c>
      <c r="EN35">
        <f t="shared" si="8"/>
      </c>
      <c r="EO35">
        <f t="shared" si="8"/>
      </c>
      <c r="EP35">
        <f t="shared" si="8"/>
      </c>
      <c r="EQ35">
        <f t="shared" si="8"/>
      </c>
      <c r="ER35">
        <f t="shared" si="8"/>
      </c>
      <c r="ES35">
        <f t="shared" si="8"/>
      </c>
      <c r="ET35">
        <f t="shared" si="8"/>
      </c>
      <c r="EU35">
        <f t="shared" si="8"/>
      </c>
      <c r="EV35">
        <f t="shared" si="8"/>
      </c>
      <c r="EW35">
        <f t="shared" si="8"/>
      </c>
      <c r="EX35">
        <f t="shared" si="8"/>
      </c>
      <c r="EY35">
        <f t="shared" si="8"/>
      </c>
      <c r="EZ35">
        <f t="shared" si="8"/>
      </c>
      <c r="FA35" t="str">
        <f t="shared" si="12"/>
        <v>-</v>
      </c>
      <c r="FB35">
        <f t="shared" si="13"/>
      </c>
      <c r="FC35" cm="1">
        <f t="array" ref="FC35">_xlfn.LET(_xlpm.unit_type,$G35,_xlpm.market_rent_from_rent_roll,$E35,_xlpm.unit_type_list,RentRoll_InputArea_DesignatedUnitType,_xlpm.rent_by_unit_type,RentRoll_InputArea_MarketRent,_xlpm.use_rent_roll_market_rent,LEFT(RR_VacantUnitMktRentSource,9)="Rent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5">
        <f t="shared" si="14"/>
        <v>1096</v>
      </c>
      <c r="FE35">
        <f t="shared" si="15"/>
        <v>1096</v>
      </c>
      <c r="FF35">
        <f t="shared" si="16"/>
        <v>1096</v>
      </c>
      <c r="FH35">
        <f t="shared" si="17"/>
      </c>
      <c r="FI35">
        <f t="shared" si="18"/>
      </c>
      <c r="FK35" cm="1">
        <f t="array" ref="FK35">IF(AND(LEN($D35)&gt;0,ISNA(MATCH(TRUE,EXACT($G35,RentRoll_InputArea_DesignatedUnitType),0))),1,0)</f>
        <v>0</v>
      </c>
      <c r="FL35">
        <f t="shared" si="19"/>
        <v>12</v>
      </c>
      <c r="IO35" cm="1">
        <f t="array" ref="IO35">IF(LEN($G35)=0,"Rent Roll is incomplete",_xlfn.XLOOKUP(TRUE,EXACT(RentRoll_InputArea_DesignatedUnitType,$G35),RentRoll_InputArea_Beds,"Not Found"))</f>
        <v>1</v>
      </c>
      <c r="IQ35" t="str">
        <f t="shared" si="20"/>
        <v>1 Bedroom Unit</v>
      </c>
      <c r="IR35">
        <f t="shared" si="21"/>
        <v>1096</v>
      </c>
      <c r="IW35" t="str">
        <f t="shared" si="22"/>
        <v>2-203</v>
      </c>
      <c r="IZ35">
        <f t="shared" si="23"/>
        <v>1</v>
      </c>
      <c r="JA35">
        <f t="shared" si="24"/>
        <v>1096</v>
      </c>
      <c r="JH35">
        <f t="shared" si="25"/>
        <v>1159</v>
      </c>
      <c r="JJ35">
        <f t="shared" si="26"/>
      </c>
      <c r="JQ35" t="str">
        <f t="shared" si="27"/>
        <v>Occupied</v>
      </c>
      <c r="JR35" cm="1">
        <f t="array" ref="JR35">_xlfn.XLOOKUP(TRUE,EXACT(RentRoll_InputArea_DesignatedUnitType,$G35),RentRoll_InputArea_SquareFootage,"Not Found")</f>
        <v>704</v>
      </c>
      <c r="JS35" t="str">
        <f t="shared" si="28"/>
        <v>Apartment</v>
      </c>
      <c r="JT35">
        <f t="shared" si="29"/>
      </c>
      <c r="JY35">
        <f t="shared" si="9"/>
        <v>43508</v>
      </c>
      <c r="JZ35">
        <f t="shared" si="9"/>
        <v>43861</v>
      </c>
    </row>
    <row r="36" ht="15" customHeight="1">
      <c r="A36">
        <f t="shared" si="10"/>
        <v>13</v>
      </c>
      <c r="D36" t="s">
        <v>2768</v>
      </c>
      <c r="E36">
        <v>1162</v>
      </c>
      <c r="F36" t="s">
        <v>2769</v>
      </c>
      <c r="G36" t="s">
        <v>2529</v>
      </c>
      <c r="H36">
        <v>1109</v>
      </c>
      <c r="I36" cm="1">
        <f t="array" ref="I36">_xlfn.LET(_xlpm.has_subsidy,$N36&gt;0,_xlpm.is_chap9_sbl,$FF$20,_xlpm.contract_rent,$H36,_xlpm.unit_type_mkt_rent,_xlfn.XLOOKUP(TRUE,EXACT($G36,RentRoll_InputArea_DesignatedUnitType),RentRoll_InputArea_MarketRent,"Not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6">
        <f t="shared" si="11"/>
        <v>1109</v>
      </c>
      <c r="O36" s="1">
        <v>43386</v>
      </c>
      <c r="P36" s="1">
        <v>43677</v>
      </c>
      <c r="Q36">
        <f t="shared" si="8"/>
        <v>1109</v>
      </c>
      <c r="R36">
        <f t="shared" si="8"/>
      </c>
      <c r="S36">
        <f t="shared" si="8"/>
      </c>
      <c r="T36">
        <f t="shared" si="8"/>
      </c>
      <c r="U36">
        <f t="shared" si="8"/>
      </c>
      <c r="V36">
        <f t="shared" si="8"/>
      </c>
      <c r="W36">
        <f t="shared" si="8"/>
      </c>
      <c r="X36">
        <f t="shared" si="8"/>
      </c>
      <c r="Y36">
        <f t="shared" si="8"/>
      </c>
      <c r="Z36">
        <f t="shared" si="8"/>
      </c>
      <c r="AA36">
        <f t="shared" si="8"/>
      </c>
      <c r="AB36">
        <f t="shared" si="8"/>
      </c>
      <c r="AC36">
        <f t="shared" si="8"/>
      </c>
      <c r="AD36">
        <f t="shared" si="8"/>
      </c>
      <c r="AE36">
        <f t="shared" si="8"/>
      </c>
      <c r="AF36">
        <f t="shared" si="8"/>
      </c>
      <c r="AG36">
        <f t="shared" si="8"/>
      </c>
      <c r="AH36">
        <f t="shared" si="8"/>
      </c>
      <c r="AI36">
        <f t="shared" si="8"/>
      </c>
      <c r="AJ36">
        <f t="shared" si="8"/>
      </c>
      <c r="AK36">
        <f t="shared" si="8"/>
      </c>
      <c r="AL36">
        <f t="shared" si="8"/>
      </c>
      <c r="AM36">
        <f t="shared" si="8"/>
      </c>
      <c r="AN36">
        <f t="shared" si="8"/>
      </c>
      <c r="AO36">
        <f t="shared" si="8"/>
      </c>
      <c r="AP36">
        <f t="shared" si="8"/>
      </c>
      <c r="AQ36">
        <f t="shared" si="8"/>
      </c>
      <c r="AR36">
        <f t="shared" si="8"/>
      </c>
      <c r="AS36">
        <f t="shared" si="8"/>
      </c>
      <c r="AT36">
        <f t="shared" si="8"/>
      </c>
      <c r="AU36">
        <f t="shared" si="8"/>
      </c>
      <c r="AV36">
        <f t="shared" si="8"/>
      </c>
      <c r="AW36">
        <f t="shared" si="8"/>
      </c>
      <c r="AX36">
        <f t="shared" si="8"/>
      </c>
      <c r="AY36">
        <f t="shared" si="8"/>
      </c>
      <c r="AZ36">
        <f t="shared" si="8"/>
      </c>
      <c r="BA36">
        <f t="shared" si="8"/>
      </c>
      <c r="BB36">
        <f t="shared" si="8"/>
      </c>
      <c r="BC36">
        <f t="shared" si="8"/>
      </c>
      <c r="BD36">
        <f t="shared" si="8"/>
      </c>
      <c r="BE36">
        <f t="shared" si="8"/>
      </c>
      <c r="BF36">
        <f t="shared" si="8"/>
      </c>
      <c r="BG36">
        <f t="shared" si="8"/>
      </c>
      <c r="BH36">
        <f t="shared" si="8"/>
      </c>
      <c r="BI36">
        <f t="shared" si="8"/>
      </c>
      <c r="BJ36">
        <f t="shared" si="8"/>
      </c>
      <c r="BK36">
        <f t="shared" si="8"/>
      </c>
      <c r="BL36">
        <f t="shared" si="8"/>
      </c>
      <c r="BM36">
        <f t="shared" si="8"/>
      </c>
      <c r="BN36">
        <f t="shared" si="8"/>
      </c>
      <c r="BO36">
        <f t="shared" si="8"/>
      </c>
      <c r="BP36">
        <f t="shared" si="8"/>
      </c>
      <c r="BQ36">
        <f t="shared" si="8"/>
      </c>
      <c r="BR36">
        <f t="shared" si="8"/>
      </c>
      <c r="BS36">
        <f t="shared" si="8"/>
      </c>
      <c r="BT36">
        <f t="shared" si="8"/>
      </c>
      <c r="BU36">
        <f t="shared" si="8"/>
      </c>
      <c r="BV36">
        <f t="shared" si="8"/>
      </c>
      <c r="BW36">
        <f t="shared" si="8"/>
      </c>
      <c r="BX36">
        <f t="shared" si="8"/>
      </c>
      <c r="BY36">
        <f t="shared" si="8"/>
      </c>
      <c r="BZ36">
        <f t="shared" si="8"/>
      </c>
      <c r="CA36">
        <f t="shared" si="8"/>
      </c>
      <c r="CB36">
        <f t="shared" si="8"/>
      </c>
      <c r="CC36">
        <f t="shared" si="8"/>
      </c>
      <c r="CD36">
        <f t="shared" si="8"/>
      </c>
      <c r="CE36">
        <f t="shared" si="8"/>
      </c>
      <c r="CF36">
        <f t="shared" si="8"/>
      </c>
      <c r="CG36">
        <f t="shared" si="8"/>
      </c>
      <c r="CH36">
        <f t="shared" si="8"/>
      </c>
      <c r="CI36">
        <f t="shared" si="8"/>
      </c>
      <c r="CJ36">
        <f t="shared" si="8"/>
      </c>
      <c r="CK36">
        <f t="shared" si="8"/>
      </c>
      <c r="CL36">
        <f t="shared" si="8"/>
      </c>
      <c r="CM36">
        <f t="shared" si="8"/>
      </c>
      <c r="CN36">
        <f t="shared" si="8"/>
      </c>
      <c r="CO36">
        <f t="shared" si="8"/>
      </c>
      <c r="CP36">
        <f t="shared" si="8"/>
      </c>
      <c r="CQ36">
        <f t="shared" si="8"/>
      </c>
      <c r="CR36">
        <f t="shared" si="8"/>
      </c>
      <c r="CS36">
        <f t="shared" si="8"/>
      </c>
      <c r="CT36">
        <f t="shared" si="8"/>
      </c>
      <c r="CU36">
        <f t="shared" si="8"/>
      </c>
      <c r="CV36">
        <f t="shared" si="8"/>
      </c>
      <c r="CW36">
        <f t="shared" si="8"/>
      </c>
      <c r="CX36">
        <f t="shared" si="8"/>
      </c>
      <c r="CY36">
        <f t="shared" si="8"/>
      </c>
      <c r="CZ36">
        <f t="shared" si="8"/>
      </c>
      <c r="DA36">
        <f t="shared" si="8"/>
      </c>
      <c r="DB36">
        <f t="shared" si="8"/>
      </c>
      <c r="DC36">
        <f t="shared" si="8"/>
      </c>
      <c r="DD36">
        <f t="shared" si="8"/>
      </c>
      <c r="DE36">
        <f t="shared" si="8"/>
      </c>
      <c r="DF36">
        <f t="shared" si="8"/>
      </c>
      <c r="DG36">
        <f t="shared" si="8"/>
      </c>
      <c r="DH36">
        <f t="shared" si="8"/>
      </c>
      <c r="DI36">
        <f t="shared" si="8"/>
      </c>
      <c r="DJ36">
        <f t="shared" si="8"/>
      </c>
      <c r="DK36">
        <f t="shared" si="8"/>
      </c>
      <c r="DL36">
        <f t="shared" si="8"/>
      </c>
      <c r="DM36">
        <f t="shared" si="8"/>
      </c>
      <c r="DN36">
        <f t="shared" si="8"/>
      </c>
      <c r="DO36">
        <f t="shared" si="8"/>
      </c>
      <c r="DP36">
        <f t="shared" si="8"/>
      </c>
      <c r="DQ36">
        <f t="shared" si="8"/>
      </c>
      <c r="DR36">
        <f t="shared" si="8"/>
      </c>
      <c r="DS36">
        <f t="shared" si="8"/>
      </c>
      <c r="DT36">
        <f t="shared" si="8"/>
      </c>
      <c r="DU36">
        <f t="shared" si="8"/>
      </c>
      <c r="DV36">
        <f t="shared" si="8"/>
      </c>
      <c r="DW36">
        <f t="shared" si="8"/>
      </c>
      <c r="DX36">
        <f t="shared" si="8"/>
      </c>
      <c r="DY36">
        <f t="shared" si="8"/>
      </c>
      <c r="DZ36">
        <f t="shared" si="8"/>
      </c>
      <c r="EA36">
        <f t="shared" si="8"/>
      </c>
      <c r="EB36">
        <f t="shared" si="8"/>
      </c>
      <c r="EC36">
        <f t="shared" si="8"/>
      </c>
      <c r="ED36">
        <f t="shared" si="8"/>
      </c>
      <c r="EE36">
        <f t="shared" si="8"/>
      </c>
      <c r="EF36">
        <f t="shared" si="8"/>
      </c>
      <c r="EG36">
        <f t="shared" si="8"/>
      </c>
      <c r="EH36">
        <f t="shared" si="8"/>
      </c>
      <c r="EI36">
        <f t="shared" si="8"/>
      </c>
      <c r="EJ36">
        <f t="shared" si="8"/>
      </c>
      <c r="EK36">
        <f t="shared" si="8"/>
      </c>
      <c r="EL36">
        <f t="shared" si="8"/>
      </c>
      <c r="EM36">
        <f t="shared" si="8"/>
      </c>
      <c r="EN36">
        <f t="shared" si="8"/>
      </c>
      <c r="EO36">
        <f t="shared" si="8"/>
      </c>
      <c r="EP36">
        <f t="shared" si="8"/>
      </c>
      <c r="EQ36">
        <f t="shared" si="8"/>
      </c>
      <c r="ER36">
        <f t="shared" si="8"/>
      </c>
      <c r="ES36">
        <f t="shared" si="8"/>
      </c>
      <c r="ET36">
        <f t="shared" si="8"/>
      </c>
      <c r="EU36">
        <f t="shared" si="8"/>
      </c>
      <c r="EV36">
        <f t="shared" si="8"/>
      </c>
      <c r="EW36">
        <f t="shared" si="8"/>
      </c>
      <c r="EX36">
        <f t="shared" si="8"/>
      </c>
      <c r="EY36">
        <f t="shared" si="8"/>
      </c>
      <c r="EZ36">
        <f t="shared" si="8"/>
      </c>
      <c r="FA36" t="str">
        <f t="shared" si="12"/>
        <v>-</v>
      </c>
      <c r="FB36">
        <f t="shared" si="13"/>
      </c>
      <c r="FC36" cm="1">
        <f t="array" ref="FC36">_xlfn.LET(_xlpm.unit_type,$G36,_xlpm.market_rent_from_rent_roll,$E36,_xlpm.unit_type_list,RentRoll_InputArea_DesignatedUnitType,_xlpm.rent_by_unit_type,RentRoll_InputArea_MarketRent,_xlpm.use_rent_roll_market_rent,LEFT(RR_VacantUnitMktRentSource,9)="Rent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6">
        <f t="shared" si="14"/>
        <v>1109</v>
      </c>
      <c r="FE36">
        <f t="shared" si="15"/>
        <v>1109</v>
      </c>
      <c r="FF36">
        <f t="shared" si="16"/>
        <v>1109</v>
      </c>
      <c r="FH36">
        <f t="shared" si="17"/>
      </c>
      <c r="FI36">
        <f t="shared" si="18"/>
      </c>
      <c r="FK36" cm="1">
        <f t="array" ref="FK36">IF(AND(LEN($D36)&gt;0,ISNA(MATCH(TRUE,EXACT($G36,RentRoll_InputArea_DesignatedUnitType),0))),1,0)</f>
        <v>0</v>
      </c>
      <c r="FL36">
        <f t="shared" si="19"/>
        <v>13</v>
      </c>
      <c r="IO36" cm="1">
        <f t="array" ref="IO36">IF(LEN($G36)=0,"Rent Roll is incomplete",_xlfn.XLOOKUP(TRUE,EXACT(RentRoll_InputArea_DesignatedUnitType,$G36),RentRoll_InputArea_Beds,"Not Found"))</f>
        <v>1</v>
      </c>
      <c r="IQ36" t="str">
        <f t="shared" si="20"/>
        <v>1 Bedroom Unit</v>
      </c>
      <c r="IR36">
        <f t="shared" si="21"/>
        <v>1109</v>
      </c>
      <c r="IW36" t="str">
        <f t="shared" si="22"/>
        <v>2-204</v>
      </c>
      <c r="IZ36">
        <f t="shared" si="23"/>
        <v>1</v>
      </c>
      <c r="JA36">
        <f t="shared" si="24"/>
        <v>1109</v>
      </c>
      <c r="JH36">
        <f t="shared" si="25"/>
        <v>1159</v>
      </c>
      <c r="JJ36">
        <f t="shared" si="26"/>
      </c>
      <c r="JQ36" t="str">
        <f t="shared" si="27"/>
        <v>Occupied</v>
      </c>
      <c r="JR36" cm="1">
        <f t="array" ref="JR36">_xlfn.XLOOKUP(TRUE,EXACT(RentRoll_InputArea_DesignatedUnitType,$G36),RentRoll_InputArea_SquareFootage,"Not Found")</f>
        <v>704</v>
      </c>
      <c r="JS36" t="str">
        <f t="shared" si="28"/>
        <v>Apartment</v>
      </c>
      <c r="JT36">
        <f t="shared" si="29"/>
      </c>
      <c r="JY36">
        <f t="shared" si="9"/>
        <v>43386</v>
      </c>
      <c r="JZ36">
        <f t="shared" si="9"/>
        <v>43677</v>
      </c>
    </row>
    <row r="37" ht="15" customHeight="1">
      <c r="A37">
        <f t="shared" si="10"/>
        <v>14</v>
      </c>
      <c r="D37" t="s">
        <v>2770</v>
      </c>
      <c r="E37">
        <v>1197</v>
      </c>
      <c r="F37" t="s">
        <v>2771</v>
      </c>
      <c r="G37" t="s">
        <v>2529</v>
      </c>
      <c r="H37">
        <v>1182</v>
      </c>
      <c r="I37" cm="1">
        <f t="array" ref="I37">_xlfn.LET(_xlpm.has_subsidy,$N37&gt;0,_xlpm.is_chap9_sbl,$FF$20,_xlpm.contract_rent,$H37,_xlpm.unit_type_mkt_rent,_xlfn.XLOOKUP(TRUE,EXACT($G37,RentRoll_InputArea_DesignatedUnitType),RentRoll_InputArea_MarketRent,"Not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7">
        <f t="shared" si="11"/>
        <v>1182</v>
      </c>
      <c r="O37" s="1">
        <v>43556</v>
      </c>
      <c r="P37" s="1">
        <v>43982</v>
      </c>
      <c r="Q37">
        <f t="shared" si="8"/>
        <v>1182</v>
      </c>
      <c r="R37">
        <f t="shared" si="8"/>
      </c>
      <c r="S37">
        <f t="shared" si="8"/>
      </c>
      <c r="T37">
        <f t="shared" si="8"/>
      </c>
      <c r="U37">
        <f t="shared" si="8"/>
      </c>
      <c r="V37">
        <f t="shared" si="8"/>
      </c>
      <c r="W37">
        <f t="shared" si="8"/>
      </c>
      <c r="X37">
        <f t="shared" si="8"/>
      </c>
      <c r="Y37">
        <f t="shared" si="8"/>
      </c>
      <c r="Z37">
        <f t="shared" si="8"/>
      </c>
      <c r="AA37">
        <f t="shared" si="8"/>
      </c>
      <c r="AB37">
        <f t="shared" si="8"/>
      </c>
      <c r="AC37">
        <f t="shared" si="8"/>
      </c>
      <c r="AD37">
        <f t="shared" si="8"/>
      </c>
      <c r="AE37">
        <f t="shared" si="8"/>
      </c>
      <c r="AF37">
        <f t="shared" si="8"/>
      </c>
      <c r="AG37">
        <f t="shared" si="8"/>
      </c>
      <c r="AH37">
        <f t="shared" si="8"/>
      </c>
      <c r="AI37">
        <f t="shared" si="8"/>
      </c>
      <c r="AJ37">
        <f t="shared" si="8"/>
      </c>
      <c r="AK37">
        <f t="shared" si="8"/>
      </c>
      <c r="AL37">
        <f t="shared" si="8"/>
      </c>
      <c r="AM37">
        <f t="shared" si="8"/>
      </c>
      <c r="AN37">
        <f t="shared" si="8"/>
      </c>
      <c r="AO37">
        <f t="shared" si="8"/>
      </c>
      <c r="AP37">
        <f t="shared" si="8"/>
      </c>
      <c r="AQ37">
        <f t="shared" si="8"/>
      </c>
      <c r="AR37">
        <f t="shared" si="8"/>
      </c>
      <c r="AS37">
        <f t="shared" si="8"/>
      </c>
      <c r="AT37">
        <f t="shared" si="8"/>
      </c>
      <c r="AU37">
        <f t="shared" si="8"/>
      </c>
      <c r="AV37">
        <f t="shared" si="8"/>
      </c>
      <c r="AW37">
        <f t="shared" si="8"/>
      </c>
      <c r="AX37">
        <f t="shared" si="8"/>
      </c>
      <c r="AY37">
        <f t="shared" si="8"/>
      </c>
      <c r="AZ37">
        <f t="shared" si="8"/>
      </c>
      <c r="BA37">
        <f t="shared" si="8"/>
      </c>
      <c r="BB37">
        <f t="shared" si="8"/>
      </c>
      <c r="BC37">
        <f t="shared" si="8"/>
      </c>
      <c r="BD37">
        <f t="shared" si="8"/>
      </c>
      <c r="BE37">
        <f t="shared" si="8"/>
      </c>
      <c r="BF37">
        <f t="shared" si="8"/>
      </c>
      <c r="BG37">
        <f t="shared" si="8"/>
      </c>
      <c r="BH37">
        <f t="shared" si="8"/>
      </c>
      <c r="BI37">
        <f t="shared" si="8"/>
      </c>
      <c r="BJ37">
        <f t="shared" si="8"/>
      </c>
      <c r="BK37">
        <f t="shared" si="8"/>
      </c>
      <c r="BL37">
        <f t="shared" si="8"/>
      </c>
      <c r="BM37">
        <f t="shared" si="8"/>
      </c>
      <c r="BN37">
        <f t="shared" si="8"/>
      </c>
      <c r="BO37">
        <f t="shared" si="8"/>
      </c>
      <c r="BP37">
        <f t="shared" si="8"/>
      </c>
      <c r="BQ37">
        <f t="shared" si="8"/>
      </c>
      <c r="BR37">
        <f t="shared" si="8"/>
      </c>
      <c r="BS37">
        <f t="shared" si="8"/>
      </c>
      <c r="BT37">
        <f t="shared" si="8"/>
      </c>
      <c r="BU37">
        <f t="shared" si="8"/>
      </c>
      <c r="BV37">
        <f t="shared" si="8"/>
      </c>
      <c r="BW37">
        <f t="shared" si="8"/>
      </c>
      <c r="BX37">
        <f t="shared" si="8"/>
      </c>
      <c r="BY37">
        <f t="shared" si="8"/>
      </c>
      <c r="BZ37">
        <f t="shared" si="8"/>
      </c>
      <c r="CA37">
        <f t="shared" si="8"/>
      </c>
      <c r="CB37">
        <f t="shared" si="8"/>
      </c>
      <c r="CC37">
        <f t="shared" si="8"/>
      </c>
      <c r="CD37">
        <f t="shared" si="8"/>
      </c>
      <c r="CE37">
        <f t="shared" si="8"/>
      </c>
      <c r="CF37">
        <f t="shared" si="8"/>
      </c>
      <c r="CG37">
        <f t="shared" si="8"/>
      </c>
      <c r="CH37">
        <f t="shared" si="8"/>
      </c>
      <c r="CI37">
        <f t="shared" si="8"/>
      </c>
      <c r="CJ37">
        <f t="shared" si="8"/>
      </c>
      <c r="CK37">
        <f t="shared" si="8"/>
      </c>
      <c r="CL37">
        <f t="shared" si="8"/>
      </c>
      <c r="CM37">
        <f t="shared" si="8"/>
      </c>
      <c r="CN37">
        <f t="shared" si="8"/>
      </c>
      <c r="CO37">
        <f t="shared" si="8"/>
      </c>
      <c r="CP37">
        <f t="shared" si="8"/>
      </c>
      <c r="CQ37">
        <f t="shared" si="8"/>
      </c>
      <c r="CR37">
        <f t="shared" si="8"/>
      </c>
      <c r="CS37">
        <f t="shared" si="8"/>
      </c>
      <c r="CT37">
        <f t="shared" si="8"/>
      </c>
      <c r="CU37">
        <f t="shared" si="8"/>
      </c>
      <c r="CV37">
        <f t="shared" si="8"/>
      </c>
      <c r="CW37">
        <f t="shared" si="8"/>
      </c>
      <c r="CX37">
        <f t="shared" si="8"/>
      </c>
      <c r="CY37">
        <f t="shared" si="8"/>
      </c>
      <c r="CZ37">
        <f t="shared" si="8"/>
      </c>
      <c r="DA37">
        <f t="shared" si="8"/>
      </c>
      <c r="DB37">
        <f t="shared" si="8"/>
      </c>
      <c r="DC37">
        <f t="shared" si="8"/>
      </c>
      <c r="DD37">
        <f t="shared" si="8"/>
      </c>
      <c r="DE37">
        <f t="shared" si="8"/>
      </c>
      <c r="DF37">
        <f t="shared" si="8"/>
      </c>
      <c r="DG37">
        <f t="shared" si="8"/>
      </c>
      <c r="DH37">
        <f t="shared" si="8"/>
      </c>
      <c r="DI37">
        <f t="shared" si="8"/>
      </c>
      <c r="DJ37">
        <f t="shared" si="8"/>
      </c>
      <c r="DK37">
        <f t="shared" si="8"/>
      </c>
      <c r="DL37">
        <f t="shared" si="8"/>
      </c>
      <c r="DM37">
        <f t="shared" si="8"/>
      </c>
      <c r="DN37">
        <f t="shared" si="8"/>
      </c>
      <c r="DO37">
        <f t="shared" si="8"/>
      </c>
      <c r="DP37">
        <f t="shared" si="8"/>
      </c>
      <c r="DQ37">
        <f t="shared" si="8"/>
      </c>
      <c r="DR37">
        <f t="shared" si="8"/>
      </c>
      <c r="DS37">
        <f t="shared" si="8"/>
      </c>
      <c r="DT37">
        <f t="shared" si="8"/>
      </c>
      <c r="DU37">
        <f t="shared" si="8"/>
      </c>
      <c r="DV37">
        <f t="shared" si="8"/>
      </c>
      <c r="DW37">
        <f t="shared" si="8"/>
      </c>
      <c r="DX37">
        <f t="shared" si="8"/>
      </c>
      <c r="DY37">
        <f t="shared" si="8"/>
      </c>
      <c r="DZ37">
        <f t="shared" si="8"/>
      </c>
      <c r="EA37">
        <f t="shared" si="8"/>
      </c>
      <c r="EB37">
        <f t="shared" si="8"/>
      </c>
      <c r="EC37">
        <f t="shared" si="8"/>
      </c>
      <c r="ED37">
        <f t="shared" si="8"/>
      </c>
      <c r="EE37">
        <f t="shared" si="8"/>
      </c>
      <c r="EF37">
        <f t="shared" si="8"/>
      </c>
      <c r="EG37">
        <f t="shared" si="8"/>
      </c>
      <c r="EH37">
        <f t="shared" si="8"/>
      </c>
      <c r="EI37">
        <f t="shared" si="8"/>
      </c>
      <c r="EJ37">
        <f t="shared" si="8"/>
      </c>
      <c r="EK37">
        <f t="shared" si="8"/>
      </c>
      <c r="EL37">
        <f t="shared" si="8"/>
      </c>
      <c r="EM37">
        <f t="shared" si="8"/>
      </c>
      <c r="EN37">
        <f t="shared" si="8"/>
      </c>
      <c r="EO37">
        <f t="shared" si="8"/>
      </c>
      <c r="EP37">
        <f t="shared" si="8"/>
      </c>
      <c r="EQ37">
        <f t="shared" si="8"/>
      </c>
      <c r="ER37">
        <f t="shared" si="8"/>
      </c>
      <c r="ES37">
        <f t="shared" si="8"/>
      </c>
      <c r="ET37">
        <f t="shared" si="8"/>
      </c>
      <c r="EU37">
        <f t="shared" si="8"/>
      </c>
      <c r="EV37">
        <f t="shared" si="8"/>
      </c>
      <c r="EW37">
        <f t="shared" si="8"/>
      </c>
      <c r="EX37">
        <f t="shared" si="8"/>
      </c>
      <c r="EY37">
        <f t="shared" si="8"/>
      </c>
      <c r="EZ37">
        <f t="shared" si="8"/>
      </c>
      <c r="FA37" t="str">
        <f t="shared" si="12"/>
        <v>-</v>
      </c>
      <c r="FB37">
        <f t="shared" si="13"/>
      </c>
      <c r="FC37" cm="1">
        <f t="array" ref="FC37">_xlfn.LET(_xlpm.unit_type,$G37,_xlpm.market_rent_from_rent_roll,$E37,_xlpm.unit_type_list,RentRoll_InputArea_DesignatedUnitType,_xlpm.rent_by_unit_type,RentRoll_InputArea_MarketRent,_xlpm.use_rent_roll_market_rent,LEFT(RR_VacantUnitMktRentSource,9)="Rent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7">
        <f t="shared" si="14"/>
        <v>1182</v>
      </c>
      <c r="FE37">
        <f t="shared" si="15"/>
        <v>1182</v>
      </c>
      <c r="FF37">
        <f t="shared" si="16"/>
        <v>1182</v>
      </c>
      <c r="FH37">
        <f t="shared" si="17"/>
      </c>
      <c r="FI37">
        <f t="shared" si="18"/>
      </c>
      <c r="FK37" cm="1">
        <f t="array" ref="FK37">IF(AND(LEN($D37)&gt;0,ISNA(MATCH(TRUE,EXACT($G37,RentRoll_InputArea_DesignatedUnitType),0))),1,0)</f>
        <v>0</v>
      </c>
      <c r="FL37">
        <f t="shared" si="19"/>
        <v>14</v>
      </c>
      <c r="IO37" cm="1">
        <f t="array" ref="IO37">IF(LEN($G37)=0,"Rent Roll is incomplete",_xlfn.XLOOKUP(TRUE,EXACT(RentRoll_InputArea_DesignatedUnitType,$G37),RentRoll_InputArea_Beds,"Not Found"))</f>
        <v>1</v>
      </c>
      <c r="IQ37" t="str">
        <f t="shared" si="20"/>
        <v>1 Bedroom Unit</v>
      </c>
      <c r="IR37">
        <f t="shared" si="21"/>
        <v>1182</v>
      </c>
      <c r="IW37" t="str">
        <f t="shared" si="22"/>
        <v>2-205</v>
      </c>
      <c r="IZ37">
        <f t="shared" si="23"/>
        <v>1</v>
      </c>
      <c r="JA37">
        <f t="shared" si="24"/>
        <v>1182</v>
      </c>
      <c r="JH37">
        <f t="shared" si="25"/>
        <v>1159</v>
      </c>
      <c r="JJ37">
        <f t="shared" si="26"/>
      </c>
      <c r="JQ37" t="str">
        <f t="shared" si="27"/>
        <v>Occupied</v>
      </c>
      <c r="JR37" cm="1">
        <f t="array" ref="JR37">_xlfn.XLOOKUP(TRUE,EXACT(RentRoll_InputArea_DesignatedUnitType,$G37),RentRoll_InputArea_SquareFootage,"Not Found")</f>
        <v>704</v>
      </c>
      <c r="JS37" t="str">
        <f t="shared" si="28"/>
        <v>Apartment</v>
      </c>
      <c r="JT37">
        <f t="shared" si="29"/>
      </c>
      <c r="JY37">
        <f t="shared" si="9"/>
        <v>43556</v>
      </c>
      <c r="JZ37">
        <f t="shared" si="9"/>
        <v>43982</v>
      </c>
    </row>
    <row r="38" ht="15" customHeight="1">
      <c r="A38">
        <f t="shared" si="10"/>
        <v>15</v>
      </c>
      <c r="D38" t="s">
        <v>2772</v>
      </c>
      <c r="E38">
        <v>1168</v>
      </c>
      <c r="F38" t="s">
        <v>2773</v>
      </c>
      <c r="G38" t="s">
        <v>2529</v>
      </c>
      <c r="H38">
        <v>1110</v>
      </c>
      <c r="I38" cm="1">
        <f t="array" ref="I38">_xlfn.LET(_xlpm.has_subsidy,$N38&gt;0,_xlpm.is_chap9_sbl,$FF$20,_xlpm.contract_rent,$H38,_xlpm.unit_type_mkt_rent,_xlfn.XLOOKUP(TRUE,EXACT($G38,RentRoll_InputArea_DesignatedUnitType),RentRoll_InputArea_MarketRent,"Not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8">
        <f t="shared" si="11"/>
        <v>1110</v>
      </c>
      <c r="O38" s="1">
        <v>43560</v>
      </c>
      <c r="P38" s="1">
        <v>43738</v>
      </c>
      <c r="Q38">
        <f t="shared" si="8"/>
        <v>1110</v>
      </c>
      <c r="R38">
        <f t="shared" si="8"/>
      </c>
      <c r="S38">
        <f t="shared" si="8"/>
      </c>
      <c r="T38">
        <f t="shared" si="8"/>
      </c>
      <c r="U38">
        <f t="shared" si="8"/>
      </c>
      <c r="V38">
        <f t="shared" si="8"/>
      </c>
      <c r="W38">
        <f t="shared" si="8"/>
      </c>
      <c r="X38">
        <f t="shared" si="8"/>
      </c>
      <c r="Y38">
        <f t="shared" si="8"/>
      </c>
      <c r="Z38">
        <f t="shared" si="8"/>
      </c>
      <c r="AA38">
        <f t="shared" si="8"/>
      </c>
      <c r="AB38">
        <f t="shared" si="8"/>
      </c>
      <c r="AC38">
        <f t="shared" si="8"/>
      </c>
      <c r="AD38">
        <f t="shared" si="8"/>
      </c>
      <c r="AE38">
        <f t="shared" si="8"/>
      </c>
      <c r="AF38">
        <f t="shared" si="8"/>
      </c>
      <c r="AG38">
        <f t="shared" si="8"/>
      </c>
      <c r="AH38">
        <f t="shared" si="8"/>
      </c>
      <c r="AI38">
        <f t="shared" si="8"/>
      </c>
      <c r="AJ38">
        <f t="shared" si="8"/>
      </c>
      <c r="AK38">
        <f t="shared" si="8"/>
      </c>
      <c r="AL38">
        <f t="shared" si="8"/>
      </c>
      <c r="AM38">
        <f t="shared" si="8"/>
      </c>
      <c r="AN38">
        <f t="shared" si="8"/>
      </c>
      <c r="AO38">
        <f t="shared" si="8"/>
      </c>
      <c r="AP38">
        <f t="shared" si="8"/>
      </c>
      <c r="AQ38">
        <f t="shared" si="8"/>
      </c>
      <c r="AR38">
        <f t="shared" si="8"/>
      </c>
      <c r="AS38">
        <f t="shared" si="8"/>
      </c>
      <c r="AT38">
        <f t="shared" si="8"/>
      </c>
      <c r="AU38">
        <f t="shared" si="8"/>
      </c>
      <c r="AV38">
        <f t="shared" si="8"/>
      </c>
      <c r="AW38">
        <f t="shared" si="8"/>
      </c>
      <c r="AX38">
        <f t="shared" si="8"/>
      </c>
      <c r="AY38">
        <f t="shared" si="8"/>
      </c>
      <c r="AZ38">
        <f t="shared" si="8"/>
      </c>
      <c r="BA38">
        <f t="shared" si="8"/>
      </c>
      <c r="BB38">
        <f t="shared" si="8"/>
      </c>
      <c r="BC38">
        <f t="shared" si="8"/>
      </c>
      <c r="BD38">
        <f t="shared" si="8"/>
      </c>
      <c r="BE38">
        <f t="shared" si="8"/>
      </c>
      <c r="BF38">
        <f t="shared" si="8"/>
      </c>
      <c r="BG38">
        <f t="shared" si="8"/>
      </c>
      <c r="BH38">
        <f t="shared" si="8"/>
      </c>
      <c r="BI38">
        <f t="shared" si="8"/>
      </c>
      <c r="BJ38">
        <f t="shared" si="8"/>
      </c>
      <c r="BK38">
        <f t="shared" si="8"/>
      </c>
      <c r="BL38">
        <f t="shared" si="8"/>
      </c>
      <c r="BM38">
        <f t="shared" si="8"/>
      </c>
      <c r="BN38">
        <f t="shared" si="8"/>
      </c>
      <c r="BO38">
        <f t="shared" si="8"/>
      </c>
      <c r="BP38">
        <f t="shared" si="8"/>
      </c>
      <c r="BQ38">
        <f t="shared" si="8"/>
      </c>
      <c r="BR38">
        <f t="shared" si="8"/>
      </c>
      <c r="BS38">
        <f t="shared" si="8"/>
      </c>
      <c r="BT38">
        <f t="shared" si="8"/>
      </c>
      <c r="BU38">
        <f t="shared" si="8"/>
      </c>
      <c r="BV38">
        <f t="shared" si="8"/>
      </c>
      <c r="BW38">
        <f t="shared" si="8"/>
      </c>
      <c r="BX38">
        <f t="shared" si="8"/>
      </c>
      <c r="BY38">
        <f t="shared" si="8"/>
      </c>
      <c r="BZ38">
        <f t="shared" si="8"/>
      </c>
      <c r="CA38">
        <f t="shared" si="8"/>
      </c>
      <c r="CB38">
        <f t="shared" si="8"/>
      </c>
      <c r="CC38">
        <f t="shared" si="8"/>
      </c>
      <c r="CD38">
        <f t="shared" si="8"/>
      </c>
      <c r="CE38">
        <f t="shared" si="8"/>
      </c>
      <c r="CF38">
        <f t="shared" si="8"/>
      </c>
      <c r="CG38">
        <f t="shared" si="8"/>
      </c>
      <c r="CH38">
        <f t="shared" si="8"/>
      </c>
      <c r="CI38">
        <f t="shared" si="8"/>
      </c>
      <c r="CJ38">
        <f t="shared" si="8"/>
      </c>
      <c r="CK38">
        <f t="shared" si="8"/>
      </c>
      <c r="CL38">
        <f t="shared" si="8"/>
      </c>
      <c r="CM38">
        <f t="shared" si="8"/>
      </c>
      <c r="CN38">
        <f t="shared" si="8"/>
      </c>
      <c r="CO38">
        <f t="shared" si="8"/>
      </c>
      <c r="CP38">
        <f t="shared" si="8"/>
      </c>
      <c r="CQ38">
        <f t="shared" si="8"/>
      </c>
      <c r="CR38">
        <f t="shared" si="8"/>
      </c>
      <c r="CS38">
        <f t="shared" si="8"/>
      </c>
      <c r="CT38">
        <f t="shared" si="8"/>
      </c>
      <c r="CU38">
        <f t="shared" si="8"/>
      </c>
      <c r="CV38">
        <f t="shared" si="8"/>
      </c>
      <c r="CW38">
        <f t="shared" si="8"/>
      </c>
      <c r="CX38">
        <f t="shared" si="8"/>
      </c>
      <c r="CY38">
        <f t="shared" si="8"/>
      </c>
      <c r="CZ38">
        <f t="shared" si="8"/>
      </c>
      <c r="DA38">
        <f t="shared" si="8"/>
      </c>
      <c r="DB38">
        <f t="shared" si="8"/>
      </c>
      <c r="DC38">
        <f t="shared" si="8"/>
      </c>
      <c r="DD38">
        <f t="shared" si="8"/>
      </c>
      <c r="DE38">
        <f t="shared" si="8"/>
      </c>
      <c r="DF38">
        <f t="shared" si="8"/>
      </c>
      <c r="DG38">
        <f t="shared" si="8"/>
      </c>
      <c r="DH38">
        <f t="shared" si="8"/>
      </c>
      <c r="DI38">
        <f t="shared" si="8"/>
      </c>
      <c r="DJ38">
        <f t="shared" si="8"/>
      </c>
      <c r="DK38">
        <f t="shared" si="8"/>
      </c>
      <c r="DL38">
        <f t="shared" si="8"/>
      </c>
      <c r="DM38">
        <f t="shared" si="8"/>
      </c>
      <c r="DN38">
        <f t="shared" si="8"/>
      </c>
      <c r="DO38">
        <f t="shared" si="8"/>
      </c>
      <c r="DP38">
        <f t="shared" si="8"/>
      </c>
      <c r="DQ38">
        <f t="shared" si="8"/>
      </c>
      <c r="DR38">
        <f t="shared" si="8"/>
      </c>
      <c r="DS38">
        <f t="shared" si="8"/>
      </c>
      <c r="DT38">
        <f t="shared" si="8"/>
      </c>
      <c r="DU38">
        <f t="shared" si="8"/>
      </c>
      <c r="DV38">
        <f t="shared" si="8"/>
      </c>
      <c r="DW38">
        <f t="shared" si="8"/>
      </c>
      <c r="DX38">
        <f t="shared" si="8"/>
      </c>
      <c r="DY38">
        <f t="shared" si="8"/>
      </c>
      <c r="DZ38">
        <f t="shared" si="8"/>
      </c>
      <c r="EA38">
        <f t="shared" si="8"/>
      </c>
      <c r="EB38">
        <f t="shared" si="8"/>
      </c>
      <c r="EC38">
        <f t="shared" si="8"/>
      </c>
      <c r="ED38">
        <f t="shared" si="8"/>
      </c>
      <c r="EE38">
        <f t="shared" si="8"/>
      </c>
      <c r="EF38">
        <f t="shared" si="8"/>
      </c>
      <c r="EG38">
        <f t="shared" si="8"/>
      </c>
      <c r="EH38">
        <f t="shared" si="8"/>
      </c>
      <c r="EI38">
        <f t="shared" si="8"/>
      </c>
      <c r="EJ38">
        <f t="shared" si="8"/>
      </c>
      <c r="EK38">
        <f t="shared" si="8"/>
      </c>
      <c r="EL38">
        <f t="shared" si="8"/>
      </c>
      <c r="EM38">
        <f t="shared" si="8"/>
      </c>
      <c r="EN38">
        <f t="shared" si="8"/>
      </c>
      <c r="EO38">
        <f t="shared" si="8"/>
      </c>
      <c r="EP38">
        <f t="shared" si="8"/>
      </c>
      <c r="EQ38">
        <f t="shared" si="8"/>
      </c>
      <c r="ER38">
        <f t="shared" si="8"/>
      </c>
      <c r="ES38">
        <f t="shared" si="8"/>
      </c>
      <c r="ET38">
        <f t="shared" si="8"/>
      </c>
      <c r="EU38">
        <f t="shared" si="8"/>
      </c>
      <c r="EV38">
        <f t="shared" si="8"/>
      </c>
      <c r="EW38">
        <f t="shared" si="8"/>
      </c>
      <c r="EX38">
        <f t="shared" si="8"/>
      </c>
      <c r="EY38">
        <f t="shared" si="8"/>
      </c>
      <c r="EZ38">
        <f t="shared" si="8"/>
      </c>
      <c r="FA38" t="str">
        <f t="shared" si="12"/>
        <v>-</v>
      </c>
      <c r="FB38">
        <f t="shared" si="13"/>
      </c>
      <c r="FC38" cm="1">
        <f t="array" ref="FC38">_xlfn.LET(_xlpm.unit_type,$G38,_xlpm.market_rent_from_rent_roll,$E38,_xlpm.unit_type_list,RentRoll_InputArea_DesignatedUnitType,_xlpm.rent_by_unit_type,RentRoll_InputArea_MarketRent,_xlpm.use_rent_roll_market_rent,LEFT(RR_VacantUnitMktRentSource,9)="Rent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8">
        <f t="shared" si="14"/>
        <v>1110</v>
      </c>
      <c r="FE38">
        <f t="shared" si="15"/>
        <v>1110</v>
      </c>
      <c r="FF38">
        <f t="shared" si="16"/>
        <v>1110</v>
      </c>
      <c r="FH38">
        <f t="shared" si="17"/>
      </c>
      <c r="FI38">
        <f t="shared" si="18"/>
      </c>
      <c r="FK38" cm="1">
        <f t="array" ref="FK38">IF(AND(LEN($D38)&gt;0,ISNA(MATCH(TRUE,EXACT($G38,RentRoll_InputArea_DesignatedUnitType),0))),1,0)</f>
        <v>0</v>
      </c>
      <c r="FL38">
        <f t="shared" si="19"/>
        <v>15</v>
      </c>
      <c r="IO38" cm="1">
        <f t="array" ref="IO38">IF(LEN($G38)=0,"Rent Roll is incomplete",_xlfn.XLOOKUP(TRUE,EXACT(RentRoll_InputArea_DesignatedUnitType,$G38),RentRoll_InputArea_Beds,"Not Found"))</f>
        <v>1</v>
      </c>
      <c r="IQ38" t="str">
        <f t="shared" si="20"/>
        <v>1 Bedroom Unit</v>
      </c>
      <c r="IR38">
        <f t="shared" si="21"/>
        <v>1110</v>
      </c>
      <c r="IW38" t="str">
        <f t="shared" si="22"/>
        <v>2-206</v>
      </c>
      <c r="IZ38">
        <f t="shared" si="23"/>
        <v>1</v>
      </c>
      <c r="JA38">
        <f t="shared" si="24"/>
        <v>1110</v>
      </c>
      <c r="JH38">
        <f t="shared" si="25"/>
        <v>1159</v>
      </c>
      <c r="JJ38">
        <f t="shared" si="26"/>
      </c>
      <c r="JQ38" t="str">
        <f t="shared" si="27"/>
        <v>Occupied</v>
      </c>
      <c r="JR38" cm="1">
        <f t="array" ref="JR38">_xlfn.XLOOKUP(TRUE,EXACT(RentRoll_InputArea_DesignatedUnitType,$G38),RentRoll_InputArea_SquareFootage,"Not Found")</f>
        <v>704</v>
      </c>
      <c r="JS38" t="str">
        <f t="shared" si="28"/>
        <v>Apartment</v>
      </c>
      <c r="JT38">
        <f t="shared" si="29"/>
      </c>
      <c r="JY38">
        <f t="shared" si="9"/>
        <v>43560</v>
      </c>
      <c r="JZ38">
        <f t="shared" si="9"/>
        <v>43738</v>
      </c>
    </row>
    <row r="39" ht="15" customHeight="1">
      <c r="A39">
        <f t="shared" si="10"/>
        <v>16</v>
      </c>
      <c r="D39" t="s">
        <v>2774</v>
      </c>
      <c r="E39">
        <v>1103</v>
      </c>
      <c r="F39" t="s">
        <v>2775</v>
      </c>
      <c r="G39" t="s">
        <v>2529</v>
      </c>
      <c r="H39">
        <v>1174</v>
      </c>
      <c r="I39" cm="1">
        <f t="array" ref="I39">_xlfn.LET(_xlpm.has_subsidy,$N39&gt;0,_xlpm.is_chap9_sbl,$FF$20,_xlpm.contract_rent,$H39,_xlpm.unit_type_mkt_rent,_xlfn.XLOOKUP(TRUE,EXACT($G39,RentRoll_InputArea_DesignatedUnitType),RentRoll_InputArea_MarketRent,"Not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39">
        <f t="shared" si="11"/>
        <v>1174</v>
      </c>
      <c r="O39" s="1">
        <v>43505</v>
      </c>
      <c r="P39" s="1">
        <v>43861</v>
      </c>
      <c r="Q39">
        <f t="shared" si="8"/>
        <v>1174</v>
      </c>
      <c r="R39">
        <f t="shared" si="8"/>
      </c>
      <c r="S39">
        <f t="shared" si="8"/>
      </c>
      <c r="T39">
        <f t="shared" si="8"/>
      </c>
      <c r="U39">
        <f t="shared" si="8"/>
      </c>
      <c r="V39">
        <f t="shared" si="8"/>
      </c>
      <c r="W39">
        <f t="shared" si="8"/>
      </c>
      <c r="X39">
        <f t="shared" si="8"/>
      </c>
      <c r="Y39">
        <f t="shared" si="8"/>
      </c>
      <c r="Z39">
        <f t="shared" si="8"/>
      </c>
      <c r="AA39">
        <f t="shared" si="8"/>
      </c>
      <c r="AB39">
        <f t="shared" si="8"/>
      </c>
      <c r="AC39">
        <f t="shared" si="8"/>
      </c>
      <c r="AD39">
        <f t="shared" si="8"/>
      </c>
      <c r="AE39">
        <f t="shared" si="8"/>
      </c>
      <c r="AF39">
        <f t="shared" si="8"/>
      </c>
      <c r="AG39">
        <f t="shared" si="8"/>
      </c>
      <c r="AH39">
        <f t="shared" si="8"/>
      </c>
      <c r="AI39">
        <f t="shared" si="8"/>
      </c>
      <c r="AJ39">
        <f t="shared" si="8"/>
      </c>
      <c r="AK39">
        <f t="shared" si="8"/>
      </c>
      <c r="AL39">
        <f t="shared" si="8"/>
      </c>
      <c r="AM39">
        <f t="shared" si="8"/>
      </c>
      <c r="AN39">
        <f t="shared" si="8"/>
      </c>
      <c r="AO39">
        <f t="shared" si="8"/>
      </c>
      <c r="AP39">
        <f t="shared" si="8"/>
      </c>
      <c r="AQ39">
        <f t="shared" si="8"/>
      </c>
      <c r="AR39">
        <f t="shared" si="8"/>
      </c>
      <c r="AS39">
        <f t="shared" si="8"/>
      </c>
      <c r="AT39">
        <f t="shared" si="8"/>
      </c>
      <c r="AU39">
        <f t="shared" si="8"/>
      </c>
      <c r="AV39">
        <f t="shared" si="8"/>
      </c>
      <c r="AW39">
        <f t="shared" si="8"/>
      </c>
      <c r="AX39">
        <f t="shared" si="8"/>
      </c>
      <c r="AY39">
        <f t="shared" si="8"/>
      </c>
      <c r="AZ39">
        <f t="shared" si="8"/>
      </c>
      <c r="BA39">
        <f t="shared" si="8"/>
      </c>
      <c r="BB39">
        <f t="shared" si="8"/>
      </c>
      <c r="BC39">
        <f t="shared" si="8"/>
      </c>
      <c r="BD39">
        <f t="shared" si="8"/>
      </c>
      <c r="BE39">
        <f t="shared" si="8"/>
      </c>
      <c r="BF39">
        <f t="shared" si="8"/>
      </c>
      <c r="BG39">
        <f t="shared" si="8"/>
      </c>
      <c r="BH39">
        <f t="shared" si="8"/>
      </c>
      <c r="BI39">
        <f t="shared" si="8"/>
      </c>
      <c r="BJ39">
        <f t="shared" si="8"/>
      </c>
      <c r="BK39">
        <f t="shared" si="8"/>
      </c>
      <c r="BL39">
        <f t="shared" si="8"/>
      </c>
      <c r="BM39">
        <f t="shared" si="8"/>
      </c>
      <c r="BN39">
        <f t="shared" si="8"/>
      </c>
      <c r="BO39">
        <f t="shared" si="8"/>
      </c>
      <c r="BP39">
        <f t="shared" si="8"/>
      </c>
      <c r="BQ39">
        <f t="shared" si="8"/>
      </c>
      <c r="BR39">
        <f t="shared" si="8"/>
      </c>
      <c r="BS39">
        <f t="shared" si="8"/>
      </c>
      <c r="BT39">
        <f t="shared" si="8"/>
      </c>
      <c r="BU39">
        <f t="shared" si="8"/>
      </c>
      <c r="BV39">
        <f t="shared" si="8"/>
      </c>
      <c r="BW39">
        <f t="shared" si="8"/>
      </c>
      <c r="BX39">
        <f t="shared" si="8"/>
      </c>
      <c r="BY39">
        <f t="shared" si="8"/>
      </c>
      <c r="BZ39">
        <f t="shared" si="8"/>
      </c>
      <c r="CA39">
        <f t="shared" si="8"/>
      </c>
      <c r="CB39">
        <f t="shared" si="8"/>
      </c>
      <c r="CC39">
        <f t="shared" si="8"/>
      </c>
      <c r="CD39">
        <f t="shared" si="8"/>
      </c>
      <c r="CE39">
        <f t="shared" si="8"/>
      </c>
      <c r="CF39">
        <f t="shared" si="8"/>
      </c>
      <c r="CG39">
        <f t="shared" si="8"/>
      </c>
      <c r="CH39">
        <f t="shared" si="8"/>
      </c>
      <c r="CI39">
        <f t="shared" si="8"/>
      </c>
      <c r="CJ39">
        <f t="shared" si="8"/>
      </c>
      <c r="CK39">
        <f t="shared" si="8"/>
      </c>
      <c r="CL39">
        <f t="shared" si="8"/>
      </c>
      <c r="CM39">
        <f t="shared" si="8"/>
      </c>
      <c r="CN39">
        <f t="shared" si="8"/>
      </c>
      <c r="CO39">
        <f t="shared" si="8"/>
      </c>
      <c r="CP39">
        <f t="shared" si="8"/>
      </c>
      <c r="CQ39">
        <f t="shared" si="8"/>
      </c>
      <c r="CR39">
        <f t="shared" si="8"/>
      </c>
      <c r="CS39">
        <f t="shared" si="8"/>
      </c>
      <c r="CT39">
        <f t="shared" si="8"/>
      </c>
      <c r="CU39">
        <f t="shared" si="8"/>
      </c>
      <c r="CV39">
        <f t="shared" si="8"/>
      </c>
      <c r="CW39">
        <f t="shared" si="8"/>
      </c>
      <c r="CX39">
        <f t="shared" si="8"/>
      </c>
      <c r="CY39">
        <f t="shared" si="8"/>
      </c>
      <c r="CZ39">
        <f t="shared" si="8"/>
      </c>
      <c r="DA39">
        <f t="shared" si="8"/>
      </c>
      <c r="DB39">
        <f t="shared" si="8"/>
      </c>
      <c r="DC39">
        <f t="shared" si="8"/>
      </c>
      <c r="DD39">
        <f t="shared" si="8"/>
      </c>
      <c r="DE39">
        <f t="shared" si="8"/>
      </c>
      <c r="DF39">
        <f t="shared" si="8"/>
      </c>
      <c r="DG39">
        <f t="shared" si="8"/>
      </c>
      <c r="DH39">
        <f t="shared" si="8"/>
      </c>
      <c r="DI39">
        <f t="shared" si="8"/>
      </c>
      <c r="DJ39">
        <f t="shared" si="8"/>
      </c>
      <c r="DK39">
        <f t="shared" si="8"/>
      </c>
      <c r="DL39">
        <f t="shared" si="8"/>
      </c>
      <c r="DM39">
        <f t="shared" si="8"/>
      </c>
      <c r="DN39">
        <f t="shared" si="8"/>
      </c>
      <c r="DO39">
        <f t="shared" si="8"/>
      </c>
      <c r="DP39">
        <f t="shared" si="8"/>
      </c>
      <c r="DQ39">
        <f t="shared" si="8"/>
      </c>
      <c r="DR39">
        <f t="shared" si="8"/>
      </c>
      <c r="DS39">
        <f t="shared" si="8"/>
      </c>
      <c r="DT39">
        <f t="shared" si="8"/>
      </c>
      <c r="DU39">
        <f t="shared" si="8"/>
      </c>
      <c r="DV39">
        <f t="shared" si="8"/>
      </c>
      <c r="DW39">
        <f t="shared" si="8"/>
      </c>
      <c r="DX39">
        <f t="shared" si="8"/>
      </c>
      <c r="DY39">
        <f t="shared" si="8"/>
      </c>
      <c r="DZ39">
        <f t="shared" si="8"/>
      </c>
      <c r="EA39">
        <f t="shared" si="8"/>
      </c>
      <c r="EB39">
        <f t="shared" si="8"/>
      </c>
      <c r="EC39">
        <f t="shared" si="8"/>
      </c>
      <c r="ED39">
        <f t="shared" si="8"/>
      </c>
      <c r="EE39">
        <f t="shared" si="8"/>
      </c>
      <c r="EF39">
        <f t="shared" si="8"/>
      </c>
      <c r="EG39">
        <f t="shared" si="8"/>
      </c>
      <c r="EH39">
        <f t="shared" si="8"/>
      </c>
      <c r="EI39">
        <f t="shared" si="8"/>
      </c>
      <c r="EJ39">
        <f t="shared" si="8"/>
      </c>
      <c r="EK39">
        <f t="shared" si="8"/>
      </c>
      <c r="EL39">
        <f t="shared" si="8"/>
      </c>
      <c r="EM39">
        <f t="shared" si="8"/>
      </c>
      <c r="EN39">
        <f t="shared" si="8"/>
      </c>
      <c r="EO39">
        <f t="shared" si="8"/>
      </c>
      <c r="EP39">
        <f t="shared" si="8"/>
      </c>
      <c r="EQ39">
        <f t="shared" si="8"/>
      </c>
      <c r="ER39">
        <f t="shared" si="8"/>
      </c>
      <c r="ES39">
        <f t="shared" si="8"/>
      </c>
      <c r="ET39">
        <f t="shared" si="8"/>
      </c>
      <c r="EU39">
        <f t="shared" si="8"/>
      </c>
      <c r="EV39">
        <f t="shared" si="8"/>
      </c>
      <c r="EW39">
        <f t="shared" si="8"/>
      </c>
      <c r="EX39">
        <f t="shared" si="8"/>
      </c>
      <c r="EY39">
        <f t="shared" si="8"/>
      </c>
      <c r="EZ39">
        <f t="shared" si="8"/>
      </c>
      <c r="FA39" t="str">
        <f t="shared" si="12"/>
        <v>-</v>
      </c>
      <c r="FB39">
        <f t="shared" si="13"/>
      </c>
      <c r="FC39" cm="1">
        <f t="array" ref="FC39">_xlfn.LET(_xlpm.unit_type,$G39,_xlpm.market_rent_from_rent_roll,$E39,_xlpm.unit_type_list,RentRoll_InputArea_DesignatedUnitType,_xlpm.rent_by_unit_type,RentRoll_InputArea_MarketRent,_xlpm.use_rent_roll_market_rent,LEFT(RR_VacantUnitMktRentSource,9)="Rent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39">
        <f t="shared" si="14"/>
        <v>1174</v>
      </c>
      <c r="FE39">
        <f t="shared" si="15"/>
        <v>1174</v>
      </c>
      <c r="FF39">
        <f t="shared" si="16"/>
        <v>1174</v>
      </c>
      <c r="FH39">
        <f t="shared" si="17"/>
      </c>
      <c r="FI39">
        <f t="shared" si="18"/>
      </c>
      <c r="FK39" cm="1">
        <f t="array" ref="FK39">IF(AND(LEN($D39)&gt;0,ISNA(MATCH(TRUE,EXACT($G39,RentRoll_InputArea_DesignatedUnitType),0))),1,0)</f>
        <v>0</v>
      </c>
      <c r="FL39">
        <f t="shared" si="19"/>
        <v>16</v>
      </c>
      <c r="IO39" cm="1">
        <f t="array" ref="IO39">IF(LEN($G39)=0,"Rent Roll is incomplete",_xlfn.XLOOKUP(TRUE,EXACT(RentRoll_InputArea_DesignatedUnitType,$G39),RentRoll_InputArea_Beds,"Not Found"))</f>
        <v>1</v>
      </c>
      <c r="IQ39" t="str">
        <f t="shared" si="20"/>
        <v>1 Bedroom Unit</v>
      </c>
      <c r="IR39">
        <f t="shared" si="21"/>
        <v>1174</v>
      </c>
      <c r="IW39" t="str">
        <f t="shared" si="22"/>
        <v>2-207</v>
      </c>
      <c r="IZ39">
        <f t="shared" si="23"/>
        <v>1</v>
      </c>
      <c r="JA39">
        <f t="shared" si="24"/>
        <v>1174</v>
      </c>
      <c r="JH39">
        <f t="shared" si="25"/>
        <v>1159</v>
      </c>
      <c r="JJ39">
        <f t="shared" si="26"/>
      </c>
      <c r="JQ39" t="str">
        <f t="shared" si="27"/>
        <v>Occupied</v>
      </c>
      <c r="JR39" cm="1">
        <f t="array" ref="JR39">_xlfn.XLOOKUP(TRUE,EXACT(RentRoll_InputArea_DesignatedUnitType,$G39),RentRoll_InputArea_SquareFootage,"Not Found")</f>
        <v>704</v>
      </c>
      <c r="JS39" t="str">
        <f t="shared" si="28"/>
        <v>Apartment</v>
      </c>
      <c r="JT39">
        <f t="shared" si="29"/>
      </c>
      <c r="JY39">
        <f t="shared" si="9"/>
        <v>43505</v>
      </c>
      <c r="JZ39">
        <f t="shared" si="9"/>
        <v>43861</v>
      </c>
    </row>
    <row r="40" ht="15" customHeight="1">
      <c r="A40">
        <f t="shared" si="10"/>
        <v>17</v>
      </c>
      <c r="D40" t="s">
        <v>2776</v>
      </c>
      <c r="E40">
        <v>1136</v>
      </c>
      <c r="F40" t="s">
        <v>2777</v>
      </c>
      <c r="G40" t="s">
        <v>2529</v>
      </c>
      <c r="H40">
        <v>1145</v>
      </c>
      <c r="I40" cm="1">
        <f t="array" ref="I40">_xlfn.LET(_xlpm.has_subsidy,$N40&gt;0,_xlpm.is_chap9_sbl,$FF$20,_xlpm.contract_rent,$H40,_xlpm.unit_type_mkt_rent,_xlfn.XLOOKUP(TRUE,EXACT($G40,RentRoll_InputArea_DesignatedUnitType),RentRoll_InputArea_MarketRent,"Not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0">
        <f t="shared" si="11"/>
        <v>1145</v>
      </c>
      <c r="O40" s="1">
        <v>43556</v>
      </c>
      <c r="P40" s="1">
        <v>43921</v>
      </c>
      <c r="Q40">
        <f t="shared" si="8"/>
        <v>1145</v>
      </c>
      <c r="R40">
        <f t="shared" si="8"/>
      </c>
      <c r="S40">
        <f t="shared" si="8"/>
      </c>
      <c r="T40">
        <f t="shared" si="8"/>
      </c>
      <c r="U40">
        <f t="shared" si="8"/>
      </c>
      <c r="V40">
        <f t="shared" si="8"/>
      </c>
      <c r="W40">
        <f t="shared" si="8"/>
      </c>
      <c r="X40">
        <f t="shared" si="8"/>
      </c>
      <c r="Y40">
        <f t="shared" si="8"/>
      </c>
      <c r="Z40">
        <f t="shared" si="8"/>
      </c>
      <c r="AA40">
        <f t="shared" si="8"/>
      </c>
      <c r="AB40">
        <f t="shared" si="8"/>
      </c>
      <c r="AC40">
        <f t="shared" si="8"/>
      </c>
      <c r="AD40">
        <f t="shared" si="8"/>
      </c>
      <c r="AE40">
        <f t="shared" si="8"/>
      </c>
      <c r="AF40">
        <f t="shared" si="8"/>
      </c>
      <c r="AG40">
        <f t="shared" si="8"/>
      </c>
      <c r="AH40">
        <f t="shared" si="8"/>
      </c>
      <c r="AI40">
        <f t="shared" si="8"/>
      </c>
      <c r="AJ40">
        <f t="shared" si="8"/>
      </c>
      <c r="AK40">
        <f t="shared" si="8"/>
      </c>
      <c r="AL40">
        <f t="shared" si="8"/>
      </c>
      <c r="AM40">
        <f t="shared" si="8"/>
      </c>
      <c r="AN40">
        <f t="shared" si="8"/>
      </c>
      <c r="AO40">
        <f t="shared" si="8"/>
      </c>
      <c r="AP40">
        <f t="shared" si="8"/>
      </c>
      <c r="AQ40">
        <f t="shared" si="8"/>
      </c>
      <c r="AR40">
        <f t="shared" si="8"/>
      </c>
      <c r="AS40">
        <f t="shared" si="8"/>
      </c>
      <c r="AT40">
        <f t="shared" si="8"/>
      </c>
      <c r="AU40">
        <f t="shared" si="8"/>
      </c>
      <c r="AV40">
        <f t="shared" si="8"/>
      </c>
      <c r="AW40">
        <f t="shared" si="8"/>
      </c>
      <c r="AX40">
        <f t="shared" si="8"/>
      </c>
      <c r="AY40">
        <f t="shared" si="8"/>
      </c>
      <c r="AZ40">
        <f t="shared" si="8"/>
      </c>
      <c r="BA40">
        <f t="shared" si="8"/>
      </c>
      <c r="BB40">
        <f t="shared" si="8"/>
      </c>
      <c r="BC40">
        <f t="shared" si="8"/>
      </c>
      <c r="BD40">
        <f t="shared" si="8"/>
      </c>
      <c r="BE40">
        <f t="shared" si="8"/>
      </c>
      <c r="BF40">
        <f t="shared" si="8"/>
      </c>
      <c r="BG40">
        <f t="shared" si="8"/>
      </c>
      <c r="BH40">
        <f t="shared" si="8"/>
      </c>
      <c r="BI40">
        <f t="shared" si="8"/>
      </c>
      <c r="BJ40">
        <f t="shared" si="8"/>
      </c>
      <c r="BK40">
        <f t="shared" si="8"/>
      </c>
      <c r="BL40">
        <f t="shared" si="8"/>
      </c>
      <c r="BM40">
        <f t="shared" si="8"/>
      </c>
      <c r="BN40">
        <f t="shared" si="8"/>
      </c>
      <c r="BO40">
        <f t="shared" si="8"/>
      </c>
      <c r="BP40">
        <f t="shared" si="8"/>
      </c>
      <c r="BQ40">
        <f t="shared" si="8"/>
      </c>
      <c r="BR40">
        <f t="shared" si="8"/>
      </c>
      <c r="BS40">
        <f t="shared" si="8"/>
      </c>
      <c r="BT40">
        <f t="shared" si="8"/>
      </c>
      <c r="BU40">
        <f t="shared" si="8"/>
      </c>
      <c r="BV40">
        <f t="shared" si="8"/>
      </c>
      <c r="BW40">
        <f t="shared" si="8"/>
      </c>
      <c r="BX40">
        <f t="shared" si="8"/>
      </c>
      <c r="BY40">
        <f t="shared" si="8"/>
      </c>
      <c r="BZ40">
        <f t="shared" si="8"/>
      </c>
      <c r="CA40">
        <f t="shared" si="8"/>
      </c>
      <c r="CB40">
        <f t="shared" si="8"/>
      </c>
      <c r="CC40">
        <f t="shared" si="8"/>
      </c>
      <c r="CD40">
        <f t="shared" si="8"/>
      </c>
      <c r="CE40">
        <f t="shared" si="8"/>
      </c>
      <c r="CF40">
        <f t="shared" si="8"/>
      </c>
      <c r="CG40">
        <f t="shared" si="8"/>
      </c>
      <c r="CH40">
        <f t="shared" si="8"/>
      </c>
      <c r="CI40">
        <f t="shared" si="8"/>
      </c>
      <c r="CJ40">
        <f t="shared" si="8"/>
      </c>
      <c r="CK40">
        <f t="shared" si="8"/>
      </c>
      <c r="CL40">
        <f t="shared" si="8"/>
      </c>
      <c r="CM40">
        <f t="shared" si="8"/>
      </c>
      <c r="CN40">
        <f t="shared" si="8"/>
      </c>
      <c r="CO40">
        <f t="shared" si="8"/>
      </c>
      <c r="CP40">
        <f t="shared" si="8"/>
      </c>
      <c r="CQ40">
        <f t="shared" si="8"/>
      </c>
      <c r="CR40">
        <f t="shared" si="8"/>
      </c>
      <c r="CS40">
        <f t="shared" si="8"/>
      </c>
      <c r="CT40">
        <f t="shared" si="8"/>
      </c>
      <c r="CU40">
        <f t="shared" si="8"/>
      </c>
      <c r="CV40">
        <f t="shared" si="8"/>
      </c>
      <c r="CW40">
        <f t="shared" si="8"/>
      </c>
      <c r="CX40">
        <f t="shared" si="8"/>
      </c>
      <c r="CY40">
        <f t="shared" si="8"/>
      </c>
      <c r="CZ40">
        <f t="shared" si="8"/>
      </c>
      <c r="DA40">
        <f t="shared" si="8"/>
      </c>
      <c r="DB40">
        <f t="shared" si="8"/>
      </c>
      <c r="DC40">
        <f t="shared" si="8"/>
      </c>
      <c r="DD40">
        <f t="shared" si="8"/>
      </c>
      <c r="DE40">
        <f t="shared" si="8"/>
      </c>
      <c r="DF40">
        <f t="shared" si="8"/>
      </c>
      <c r="DG40">
        <f t="shared" si="8"/>
      </c>
      <c r="DH40">
        <f t="shared" si="8"/>
      </c>
      <c r="DI40">
        <f t="shared" si="8"/>
      </c>
      <c r="DJ40">
        <f t="shared" si="8"/>
      </c>
      <c r="DK40">
        <f t="shared" si="8"/>
      </c>
      <c r="DL40">
        <f t="shared" si="8"/>
      </c>
      <c r="DM40">
        <f t="shared" si="8"/>
      </c>
      <c r="DN40">
        <f t="shared" si="8"/>
      </c>
      <c r="DO40">
        <f t="shared" si="8"/>
      </c>
      <c r="DP40">
        <f t="shared" si="8"/>
      </c>
      <c r="DQ40">
        <f t="shared" si="8"/>
      </c>
      <c r="DR40">
        <f t="shared" si="8"/>
      </c>
      <c r="DS40">
        <f t="shared" si="8"/>
      </c>
      <c r="DT40">
        <f t="shared" si="8"/>
      </c>
      <c r="DU40">
        <f t="shared" si="8"/>
      </c>
      <c r="DV40">
        <f t="shared" si="8"/>
      </c>
      <c r="DW40">
        <f t="shared" si="8"/>
      </c>
      <c r="DX40">
        <f t="shared" si="8"/>
      </c>
      <c r="DY40">
        <f t="shared" si="8"/>
      </c>
      <c r="DZ40">
        <f t="shared" si="8"/>
      </c>
      <c r="EA40">
        <f t="shared" si="8"/>
      </c>
      <c r="EB40">
        <f t="shared" si="8"/>
      </c>
      <c r="EC40">
        <f t="shared" si="8"/>
      </c>
      <c r="ED40">
        <f t="shared" si="8"/>
      </c>
      <c r="EE40">
        <f t="shared" si="8"/>
      </c>
      <c r="EF40">
        <f t="shared" si="8"/>
      </c>
      <c r="EG40">
        <f t="shared" si="8"/>
      </c>
      <c r="EH40">
        <f t="shared" si="8"/>
      </c>
      <c r="EI40">
        <f t="shared" si="8"/>
      </c>
      <c r="EJ40">
        <f t="shared" si="8"/>
      </c>
      <c r="EK40">
        <f t="shared" si="8"/>
      </c>
      <c r="EL40">
        <f t="shared" si="8"/>
      </c>
      <c r="EM40">
        <f t="shared" si="8"/>
      </c>
      <c r="EN40">
        <f t="shared" si="8"/>
      </c>
      <c r="EO40">
        <f t="shared" si="8"/>
      </c>
      <c r="EP40">
        <f t="shared" si="8"/>
      </c>
      <c r="EQ40">
        <f t="shared" si="8"/>
      </c>
      <c r="ER40">
        <f t="shared" si="8"/>
      </c>
      <c r="ES40">
        <f t="shared" si="8"/>
      </c>
      <c r="ET40">
        <f t="shared" si="8"/>
      </c>
      <c r="EU40">
        <f t="shared" si="8"/>
      </c>
      <c r="EV40">
        <f t="shared" si="8"/>
      </c>
      <c r="EW40">
        <f t="shared" si="8"/>
      </c>
      <c r="EX40">
        <f t="shared" si="8"/>
      </c>
      <c r="EY40">
        <f t="shared" si="8"/>
      </c>
      <c r="EZ40">
        <f t="shared" si="8"/>
      </c>
      <c r="FA40" t="str">
        <f t="shared" si="12"/>
        <v>-</v>
      </c>
      <c r="FB40">
        <f t="shared" si="13"/>
      </c>
      <c r="FC40" cm="1">
        <f t="array" ref="FC40">_xlfn.LET(_xlpm.unit_type,$G40,_xlpm.market_rent_from_rent_roll,$E40,_xlpm.unit_type_list,RentRoll_InputArea_DesignatedUnitType,_xlpm.rent_by_unit_type,RentRoll_InputArea_MarketRent,_xlpm.use_rent_roll_market_rent,LEFT(RR_VacantUnitMktRentSource,9)="Rent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0">
        <f t="shared" si="14"/>
        <v>1145</v>
      </c>
      <c r="FE40">
        <f t="shared" si="15"/>
        <v>1145</v>
      </c>
      <c r="FF40">
        <f t="shared" si="16"/>
        <v>1145</v>
      </c>
      <c r="FH40">
        <f t="shared" si="17"/>
      </c>
      <c r="FI40">
        <f t="shared" si="18"/>
      </c>
      <c r="FK40" cm="1">
        <f t="array" ref="FK40">IF(AND(LEN($D40)&gt;0,ISNA(MATCH(TRUE,EXACT($G40,RentRoll_InputArea_DesignatedUnitType),0))),1,0)</f>
        <v>0</v>
      </c>
      <c r="FL40">
        <f t="shared" si="19"/>
        <v>17</v>
      </c>
      <c r="IO40" cm="1">
        <f t="array" ref="IO40">IF(LEN($G40)=0,"Rent Roll is incomplete",_xlfn.XLOOKUP(TRUE,EXACT(RentRoll_InputArea_DesignatedUnitType,$G40),RentRoll_InputArea_Beds,"Not Found"))</f>
        <v>1</v>
      </c>
      <c r="IQ40" t="str">
        <f t="shared" si="20"/>
        <v>1 Bedroom Unit</v>
      </c>
      <c r="IR40">
        <f t="shared" si="21"/>
        <v>1145</v>
      </c>
      <c r="IW40" t="str">
        <f t="shared" si="22"/>
        <v>2-208</v>
      </c>
      <c r="IZ40">
        <f t="shared" si="23"/>
        <v>1</v>
      </c>
      <c r="JA40">
        <f t="shared" si="24"/>
        <v>1145</v>
      </c>
      <c r="JH40">
        <f t="shared" si="25"/>
        <v>1159</v>
      </c>
      <c r="JJ40">
        <f t="shared" si="26"/>
      </c>
      <c r="JQ40" t="str">
        <f t="shared" si="27"/>
        <v>Occupied</v>
      </c>
      <c r="JR40" cm="1">
        <f t="array" ref="JR40">_xlfn.XLOOKUP(TRUE,EXACT(RentRoll_InputArea_DesignatedUnitType,$G40),RentRoll_InputArea_SquareFootage,"Not Found")</f>
        <v>704</v>
      </c>
      <c r="JS40" t="str">
        <f t="shared" si="28"/>
        <v>Apartment</v>
      </c>
      <c r="JT40">
        <f t="shared" si="29"/>
      </c>
      <c r="JY40">
        <f t="shared" si="9"/>
        <v>43556</v>
      </c>
      <c r="JZ40">
        <f t="shared" si="9"/>
        <v>43921</v>
      </c>
    </row>
    <row r="41" ht="15" customHeight="1">
      <c r="A41">
        <f t="shared" si="10"/>
        <v>18</v>
      </c>
      <c r="D41" t="s">
        <v>2778</v>
      </c>
      <c r="E41">
        <v>1118</v>
      </c>
      <c r="F41" t="s">
        <v>2779</v>
      </c>
      <c r="G41" t="s">
        <v>2529</v>
      </c>
      <c r="H41">
        <v>1098</v>
      </c>
      <c r="I41" cm="1">
        <f t="array" ref="I41">_xlfn.LET(_xlpm.has_subsidy,$N41&gt;0,_xlpm.is_chap9_sbl,$FF$20,_xlpm.contract_rent,$H41,_xlpm.unit_type_mkt_rent,_xlfn.XLOOKUP(TRUE,EXACT($G41,RentRoll_InputArea_DesignatedUnitType),RentRoll_InputArea_MarketRent,"Not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1">
        <f t="shared" si="11"/>
        <v>1098</v>
      </c>
      <c r="O41" s="1">
        <v>43519</v>
      </c>
      <c r="P41" s="1">
        <v>43738</v>
      </c>
      <c r="Q41">
        <f t="shared" si="8"/>
        <v>1098</v>
      </c>
      <c r="R41">
        <f t="shared" si="8"/>
      </c>
      <c r="S41">
        <f t="shared" si="8"/>
      </c>
      <c r="T41">
        <f t="shared" si="8"/>
      </c>
      <c r="U41">
        <f t="shared" si="8"/>
      </c>
      <c r="V41">
        <f t="shared" si="8"/>
      </c>
      <c r="W41">
        <f t="shared" si="8"/>
      </c>
      <c r="X41">
        <f t="shared" si="8"/>
      </c>
      <c r="Y41">
        <f t="shared" si="8"/>
      </c>
      <c r="Z41">
        <f t="shared" si="8"/>
      </c>
      <c r="AA41">
        <f t="shared" si="8"/>
      </c>
      <c r="AB41">
        <f t="shared" si="8"/>
      </c>
      <c r="AC41">
        <f t="shared" si="8"/>
      </c>
      <c r="AD41">
        <f t="shared" si="8"/>
      </c>
      <c r="AE41">
        <f t="shared" si="8"/>
      </c>
      <c r="AF41">
        <f t="shared" si="8"/>
      </c>
      <c r="AG41">
        <f t="shared" si="8"/>
      </c>
      <c r="AH41">
        <f t="shared" si="8"/>
      </c>
      <c r="AI41">
        <f t="shared" si="8"/>
      </c>
      <c r="AJ41">
        <f t="shared" si="8"/>
      </c>
      <c r="AK41">
        <f t="shared" si="8"/>
      </c>
      <c r="AL41">
        <f t="shared" si="8"/>
      </c>
      <c r="AM41">
        <f t="shared" si="8"/>
      </c>
      <c r="AN41">
        <f t="shared" si="8"/>
      </c>
      <c r="AO41">
        <f t="shared" si="8"/>
      </c>
      <c r="AP41">
        <f t="shared" si="8"/>
      </c>
      <c r="AQ41">
        <f t="shared" si="8"/>
      </c>
      <c r="AR41">
        <f t="shared" si="8"/>
      </c>
      <c r="AS41">
        <f t="shared" si="8"/>
      </c>
      <c r="AT41">
        <f t="shared" si="8"/>
      </c>
      <c r="AU41">
        <f t="shared" si="8"/>
      </c>
      <c r="AV41">
        <f t="shared" si="8"/>
      </c>
      <c r="AW41">
        <f t="shared" si="8"/>
      </c>
      <c r="AX41">
        <f t="shared" si="8"/>
      </c>
      <c r="AY41">
        <f t="shared" si="8"/>
      </c>
      <c r="AZ41">
        <f t="shared" si="8"/>
      </c>
      <c r="BA41">
        <f t="shared" si="8"/>
      </c>
      <c r="BB41">
        <f t="shared" si="8"/>
      </c>
      <c r="BC41">
        <f t="shared" si="8"/>
      </c>
      <c r="BD41">
        <f t="shared" si="8"/>
      </c>
      <c r="BE41">
        <f t="shared" si="8"/>
      </c>
      <c r="BF41">
        <f t="shared" si="8"/>
      </c>
      <c r="BG41">
        <f t="shared" si="8"/>
      </c>
      <c r="BH41">
        <f t="shared" si="8"/>
      </c>
      <c r="BI41">
        <f t="shared" si="8"/>
      </c>
      <c r="BJ41">
        <f t="shared" si="8"/>
      </c>
      <c r="BK41">
        <f t="shared" si="8"/>
      </c>
      <c r="BL41">
        <f t="shared" si="8"/>
      </c>
      <c r="BM41">
        <f t="shared" si="8"/>
      </c>
      <c r="BN41">
        <f t="shared" si="8"/>
      </c>
      <c r="BO41">
        <f t="shared" si="8"/>
      </c>
      <c r="BP41">
        <f t="shared" si="8"/>
      </c>
      <c r="BQ41">
        <f t="shared" si="8"/>
      </c>
      <c r="BR41">
        <f t="shared" si="8"/>
      </c>
      <c r="BS41">
        <f t="shared" si="8"/>
      </c>
      <c r="BT41">
        <f t="shared" si="8"/>
      </c>
      <c r="BU41">
        <f t="shared" si="8"/>
      </c>
      <c r="BV41">
        <f t="shared" si="8"/>
      </c>
      <c r="BW41">
        <f t="shared" si="8"/>
      </c>
      <c r="BX41">
        <f t="shared" si="8"/>
      </c>
      <c r="BY41">
        <f t="shared" si="8"/>
      </c>
      <c r="BZ41">
        <f t="shared" si="8"/>
      </c>
      <c r="CA41">
        <f t="shared" si="8"/>
      </c>
      <c r="CB41">
        <f t="shared" si="8"/>
      </c>
      <c r="CC41">
        <f t="shared" si="8"/>
      </c>
      <c r="CD41">
        <f t="shared" si="8"/>
      </c>
      <c r="CE41">
        <f t="shared" si="8"/>
      </c>
      <c r="CF41">
        <f t="shared" si="8"/>
      </c>
      <c r="CG41">
        <f t="shared" si="8"/>
      </c>
      <c r="CH41">
        <f t="shared" si="8"/>
      </c>
      <c r="CI41">
        <f t="shared" si="8"/>
      </c>
      <c r="CJ41">
        <f t="shared" si="8"/>
      </c>
      <c r="CK41">
        <f t="shared" si="8"/>
      </c>
      <c r="CL41">
        <f t="shared" si="8"/>
      </c>
      <c r="CM41">
        <f t="shared" si="8"/>
      </c>
      <c r="CN41">
        <f t="shared" si="8"/>
      </c>
      <c r="CO41">
        <f t="shared" si="8"/>
      </c>
      <c r="CP41">
        <f t="shared" si="8"/>
      </c>
      <c r="CQ41">
        <f t="shared" si="8"/>
      </c>
      <c r="CR41">
        <f t="shared" si="8"/>
      </c>
      <c r="CS41">
        <f t="shared" si="8"/>
      </c>
      <c r="CT41">
        <f t="shared" si="8"/>
      </c>
      <c r="CU41">
        <f t="shared" si="8"/>
      </c>
      <c r="CV41">
        <f t="shared" si="8"/>
      </c>
      <c r="CW41">
        <f t="shared" si="8"/>
      </c>
      <c r="CX41">
        <f t="shared" si="8"/>
      </c>
      <c r="CY41">
        <f t="shared" si="8"/>
      </c>
      <c r="CZ41">
        <f t="shared" si="8"/>
      </c>
      <c r="DA41">
        <f t="shared" si="8"/>
      </c>
      <c r="DB41">
        <f t="shared" si="8"/>
      </c>
      <c r="DC41">
        <f t="shared" si="8"/>
      </c>
      <c r="DD41">
        <f t="shared" si="8"/>
      </c>
      <c r="DE41">
        <f t="shared" si="8"/>
      </c>
      <c r="DF41">
        <f t="shared" si="8"/>
      </c>
      <c r="DG41">
        <f t="shared" si="8"/>
      </c>
      <c r="DH41">
        <f t="shared" si="8"/>
      </c>
      <c r="DI41">
        <f t="shared" si="8"/>
      </c>
      <c r="DJ41">
        <f t="shared" si="8"/>
      </c>
      <c r="DK41">
        <f t="shared" si="8"/>
      </c>
      <c r="DL41">
        <f t="shared" si="8"/>
      </c>
      <c r="DM41">
        <f t="shared" si="8"/>
      </c>
      <c r="DN41">
        <f t="shared" si="8"/>
      </c>
      <c r="DO41">
        <f t="shared" si="8"/>
      </c>
      <c r="DP41">
        <f t="shared" si="8"/>
      </c>
      <c r="DQ41">
        <f t="shared" si="8"/>
      </c>
      <c r="DR41">
        <f t="shared" si="8"/>
      </c>
      <c r="DS41">
        <f t="shared" si="8"/>
      </c>
      <c r="DT41">
        <f t="shared" si="8"/>
      </c>
      <c r="DU41">
        <f t="shared" si="8"/>
      </c>
      <c r="DV41">
        <f t="shared" si="8"/>
      </c>
      <c r="DW41">
        <f t="shared" si="8"/>
      </c>
      <c r="DX41">
        <f t="shared" si="8"/>
      </c>
      <c r="DY41">
        <f t="shared" si="8"/>
      </c>
      <c r="DZ41">
        <f t="shared" si="8"/>
      </c>
      <c r="EA41">
        <f t="shared" si="8"/>
      </c>
      <c r="EB41">
        <f t="shared" si="8"/>
      </c>
      <c r="EC41">
        <f t="shared" si="8"/>
      </c>
      <c r="ED41">
        <f t="shared" si="8"/>
      </c>
      <c r="EE41">
        <f t="shared" si="8"/>
      </c>
      <c r="EF41">
        <f t="shared" si="8"/>
      </c>
      <c r="EG41">
        <f t="shared" si="8"/>
      </c>
      <c r="EH41">
        <f t="shared" si="8"/>
      </c>
      <c r="EI41">
        <f t="shared" si="8"/>
      </c>
      <c r="EJ41">
        <f t="shared" si="8"/>
      </c>
      <c r="EK41">
        <f t="shared" si="8"/>
      </c>
      <c r="EL41">
        <f t="shared" si="8"/>
      </c>
      <c r="EM41">
        <f t="shared" si="8"/>
      </c>
      <c r="EN41">
        <f t="shared" si="8"/>
      </c>
      <c r="EO41">
        <f t="shared" si="8"/>
      </c>
      <c r="EP41">
        <f t="shared" si="8"/>
      </c>
      <c r="EQ41">
        <f t="shared" si="8"/>
      </c>
      <c r="ER41">
        <f t="shared" si="8"/>
      </c>
      <c r="ES41">
        <f t="shared" si="8"/>
      </c>
      <c r="ET41">
        <f t="shared" si="8"/>
      </c>
      <c r="EU41">
        <f t="shared" si="8"/>
      </c>
      <c r="EV41">
        <f t="shared" si="8"/>
      </c>
      <c r="EW41">
        <f t="shared" si="8"/>
      </c>
      <c r="EX41">
        <f t="shared" si="8"/>
      </c>
      <c r="EY41">
        <f t="shared" si="8"/>
      </c>
      <c r="EZ41">
        <f t="shared" si="8"/>
      </c>
      <c r="FA41" t="str">
        <f t="shared" si="12"/>
        <v>-</v>
      </c>
      <c r="FB41">
        <f t="shared" si="13"/>
      </c>
      <c r="FC41" cm="1">
        <f t="array" ref="FC41">_xlfn.LET(_xlpm.unit_type,$G41,_xlpm.market_rent_from_rent_roll,$E41,_xlpm.unit_type_list,RentRoll_InputArea_DesignatedUnitType,_xlpm.rent_by_unit_type,RentRoll_InputArea_MarketRent,_xlpm.use_rent_roll_market_rent,LEFT(RR_VacantUnitMktRentSource,9)="Rent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1">
        <f t="shared" si="14"/>
        <v>1098</v>
      </c>
      <c r="FE41">
        <f t="shared" si="15"/>
        <v>1098</v>
      </c>
      <c r="FF41">
        <f t="shared" si="16"/>
        <v>1098</v>
      </c>
      <c r="FH41">
        <f t="shared" si="17"/>
      </c>
      <c r="FI41">
        <f t="shared" si="18"/>
      </c>
      <c r="FK41" cm="1">
        <f t="array" ref="FK41">IF(AND(LEN($D41)&gt;0,ISNA(MATCH(TRUE,EXACT($G41,RentRoll_InputArea_DesignatedUnitType),0))),1,0)</f>
        <v>0</v>
      </c>
      <c r="FL41">
        <f t="shared" si="19"/>
        <v>18</v>
      </c>
      <c r="IO41" cm="1">
        <f t="array" ref="IO41">IF(LEN($G41)=0,"Rent Roll is incomplete",_xlfn.XLOOKUP(TRUE,EXACT(RentRoll_InputArea_DesignatedUnitType,$G41),RentRoll_InputArea_Beds,"Not Found"))</f>
        <v>1</v>
      </c>
      <c r="IQ41" t="str">
        <f t="shared" si="20"/>
        <v>1 Bedroom Unit</v>
      </c>
      <c r="IR41">
        <f t="shared" si="21"/>
        <v>1098</v>
      </c>
      <c r="IW41" t="str">
        <f t="shared" si="22"/>
        <v>2-209</v>
      </c>
      <c r="IZ41">
        <f t="shared" si="23"/>
        <v>1</v>
      </c>
      <c r="JA41">
        <f t="shared" si="24"/>
        <v>1098</v>
      </c>
      <c r="JH41">
        <f t="shared" si="25"/>
        <v>1159</v>
      </c>
      <c r="JJ41">
        <f t="shared" si="26"/>
      </c>
      <c r="JQ41" t="str">
        <f t="shared" si="27"/>
        <v>Occupied</v>
      </c>
      <c r="JR41" cm="1">
        <f t="array" ref="JR41">_xlfn.XLOOKUP(TRUE,EXACT(RentRoll_InputArea_DesignatedUnitType,$G41),RentRoll_InputArea_SquareFootage,"Not Found")</f>
        <v>704</v>
      </c>
      <c r="JS41" t="str">
        <f t="shared" si="28"/>
        <v>Apartment</v>
      </c>
      <c r="JT41">
        <f t="shared" si="29"/>
      </c>
      <c r="JY41">
        <f t="shared" si="9"/>
        <v>43519</v>
      </c>
      <c r="JZ41">
        <f t="shared" si="9"/>
        <v>43738</v>
      </c>
    </row>
    <row r="42" ht="15" customHeight="1">
      <c r="A42">
        <f t="shared" si="10"/>
        <v>19</v>
      </c>
      <c r="D42" t="s">
        <v>2780</v>
      </c>
      <c r="E42">
        <v>1194</v>
      </c>
      <c r="F42" t="s">
        <v>2781</v>
      </c>
      <c r="G42" t="s">
        <v>2529</v>
      </c>
      <c r="H42">
        <v>1198</v>
      </c>
      <c r="I42" cm="1">
        <f t="array" ref="I42">_xlfn.LET(_xlpm.has_subsidy,$N42&gt;0,_xlpm.is_chap9_sbl,$FF$20,_xlpm.contract_rent,$H42,_xlpm.unit_type_mkt_rent,_xlfn.XLOOKUP(TRUE,EXACT($G42,RentRoll_InputArea_DesignatedUnitType),RentRoll_InputArea_MarketRent,"Not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2">
        <f t="shared" si="11"/>
        <v>1198</v>
      </c>
      <c r="O42" s="1">
        <v>43529</v>
      </c>
      <c r="P42" s="1">
        <v>43890</v>
      </c>
      <c r="Q42">
        <f t="shared" si="8"/>
        <v>1198</v>
      </c>
      <c r="R42">
        <f t="shared" si="8"/>
      </c>
      <c r="S42">
        <f t="shared" si="8"/>
      </c>
      <c r="T42">
        <f t="shared" si="8"/>
      </c>
      <c r="U42">
        <f t="shared" si="8"/>
      </c>
      <c r="V42">
        <f t="shared" si="8"/>
      </c>
      <c r="W42">
        <f t="shared" si="8"/>
      </c>
      <c r="X42">
        <f t="shared" si="8"/>
      </c>
      <c r="Y42">
        <f t="shared" si="8"/>
      </c>
      <c r="Z42">
        <f t="shared" si="8"/>
      </c>
      <c r="AA42">
        <f t="shared" si="8"/>
      </c>
      <c r="AB42">
        <f t="shared" si="8"/>
      </c>
      <c r="AC42">
        <f t="shared" si="8"/>
      </c>
      <c r="AD42">
        <f t="shared" si="8"/>
      </c>
      <c r="AE42">
        <f t="shared" si="8"/>
      </c>
      <c r="AF42">
        <f t="shared" si="8"/>
      </c>
      <c r="AG42">
        <f t="shared" si="8"/>
      </c>
      <c r="AH42">
        <f t="shared" si="8"/>
      </c>
      <c r="AI42">
        <f t="shared" si="8"/>
      </c>
      <c r="AJ42">
        <f t="shared" si="8"/>
      </c>
      <c r="AK42">
        <f t="shared" si="8"/>
      </c>
      <c r="AL42">
        <f t="shared" si="8"/>
      </c>
      <c r="AM42">
        <f t="shared" si="8"/>
      </c>
      <c r="AN42">
        <f t="shared" si="8"/>
      </c>
      <c r="AO42">
        <f t="shared" si="8"/>
      </c>
      <c r="AP42">
        <f t="shared" si="8"/>
      </c>
      <c r="AQ42">
        <f t="shared" si="8"/>
      </c>
      <c r="AR42">
        <f t="shared" si="8"/>
      </c>
      <c r="AS42">
        <f t="shared" si="8"/>
      </c>
      <c r="AT42">
        <f t="shared" si="8"/>
      </c>
      <c r="AU42">
        <f t="shared" si="8"/>
      </c>
      <c r="AV42">
        <f t="shared" si="8"/>
      </c>
      <c r="AW42">
        <f t="shared" si="8"/>
      </c>
      <c r="AX42">
        <f t="shared" si="8"/>
      </c>
      <c r="AY42">
        <f t="shared" si="8"/>
      </c>
      <c r="AZ42">
        <f t="shared" si="8"/>
      </c>
      <c r="BA42">
        <f t="shared" si="8"/>
      </c>
      <c r="BB42">
        <f t="shared" si="8"/>
      </c>
      <c r="BC42">
        <f t="shared" si="8"/>
      </c>
      <c r="BD42">
        <f t="shared" si="8"/>
      </c>
      <c r="BE42">
        <f t="shared" si="8"/>
      </c>
      <c r="BF42">
        <f t="shared" si="8"/>
      </c>
      <c r="BG42">
        <f t="shared" si="8"/>
      </c>
      <c r="BH42">
        <f t="shared" si="8"/>
      </c>
      <c r="BI42">
        <f t="shared" si="8"/>
      </c>
      <c r="BJ42">
        <f t="shared" si="8"/>
      </c>
      <c r="BK42">
        <f t="shared" si="8"/>
      </c>
      <c r="BL42">
        <f t="shared" si="8"/>
      </c>
      <c r="BM42">
        <f t="shared" si="8"/>
      </c>
      <c r="BN42">
        <f t="shared" si="8"/>
      </c>
      <c r="BO42">
        <f t="shared" si="8"/>
      </c>
      <c r="BP42">
        <f t="shared" si="8"/>
      </c>
      <c r="BQ42">
        <f t="shared" si="8"/>
      </c>
      <c r="BR42">
        <f t="shared" si="8"/>
      </c>
      <c r="BS42">
        <f t="shared" si="8"/>
      </c>
      <c r="BT42">
        <f t="shared" si="8"/>
      </c>
      <c r="BU42">
        <f t="shared" si="8"/>
      </c>
      <c r="BV42">
        <f t="shared" si="8"/>
      </c>
      <c r="BW42">
        <f t="shared" si="8"/>
      </c>
      <c r="BX42">
        <f t="shared" si="8"/>
      </c>
      <c r="BY42">
        <f t="shared" si="8"/>
      </c>
      <c r="BZ42">
        <f t="shared" si="8"/>
      </c>
      <c r="CA42">
        <f t="shared" si="8"/>
      </c>
      <c r="CB42">
        <f t="shared" si="8"/>
      </c>
      <c r="CC42">
        <f t="shared" si="8"/>
      </c>
      <c r="CD42">
        <f t="shared" si="8"/>
      </c>
      <c r="CE42">
        <f t="shared" si="8"/>
      </c>
      <c r="CF42">
        <f t="shared" si="8"/>
      </c>
      <c r="CG42">
        <f t="shared" si="8"/>
      </c>
      <c r="CH42">
        <f t="shared" si="8"/>
      </c>
      <c r="CI42">
        <f t="shared" si="8"/>
      </c>
      <c r="CJ42">
        <f t="shared" si="8"/>
      </c>
      <c r="CK42">
        <f t="shared" si="8"/>
      </c>
      <c r="CL42">
        <f t="shared" si="8"/>
      </c>
      <c r="CM42">
        <f t="shared" si="8"/>
      </c>
      <c r="CN42">
        <f t="shared" si="8"/>
      </c>
      <c r="CO42">
        <f t="shared" si="8"/>
      </c>
      <c r="CP42">
        <f t="shared" si="8"/>
      </c>
      <c r="CQ42">
        <f t="shared" si="8"/>
      </c>
      <c r="CR42">
        <f t="shared" si="8"/>
      </c>
      <c r="CS42">
        <f t="shared" si="8"/>
      </c>
      <c r="CT42">
        <f t="shared" si="8"/>
      </c>
      <c r="CU42">
        <f t="shared" si="8"/>
      </c>
      <c r="CV42">
        <f t="shared" si="8"/>
      </c>
      <c r="CW42">
        <f t="shared" si="8"/>
      </c>
      <c r="CX42">
        <f t="shared" si="8"/>
      </c>
      <c r="CY42">
        <f t="shared" si="8"/>
      </c>
      <c r="CZ42">
        <f t="shared" si="8"/>
      </c>
      <c r="DA42">
        <f t="shared" si="8"/>
      </c>
      <c r="DB42">
        <f t="shared" si="8"/>
      </c>
      <c r="DC42">
        <f t="shared" si="8"/>
      </c>
      <c r="DD42">
        <f t="shared" si="8"/>
      </c>
      <c r="DE42">
        <f t="shared" si="8"/>
      </c>
      <c r="DF42">
        <f t="shared" si="8"/>
      </c>
      <c r="DG42">
        <f t="shared" si="8"/>
      </c>
      <c r="DH42">
        <f t="shared" si="8"/>
      </c>
      <c r="DI42">
        <f t="shared" si="8"/>
      </c>
      <c r="DJ42">
        <f t="shared" si="8"/>
      </c>
      <c r="DK42">
        <f t="shared" si="8"/>
      </c>
      <c r="DL42">
        <f t="shared" si="8"/>
      </c>
      <c r="DM42">
        <f t="shared" si="8"/>
      </c>
      <c r="DN42">
        <f t="shared" si="8"/>
      </c>
      <c r="DO42">
        <f t="shared" si="8"/>
      </c>
      <c r="DP42">
        <f t="shared" si="8"/>
      </c>
      <c r="DQ42">
        <f t="shared" si="8"/>
      </c>
      <c r="DR42">
        <f t="shared" si="8"/>
      </c>
      <c r="DS42">
        <f t="shared" si="8"/>
      </c>
      <c r="DT42">
        <f t="shared" si="8"/>
      </c>
      <c r="DU42">
        <f t="shared" si="8"/>
      </c>
      <c r="DV42">
        <f t="shared" si="8"/>
      </c>
      <c r="DW42">
        <f t="shared" si="8"/>
      </c>
      <c r="DX42">
        <f t="shared" si="8"/>
      </c>
      <c r="DY42">
        <f t="shared" si="8"/>
      </c>
      <c r="DZ42">
        <f t="shared" si="8"/>
      </c>
      <c r="EA42">
        <f t="shared" si="8"/>
      </c>
      <c r="EB42">
        <f t="shared" si="8"/>
      </c>
      <c r="EC42">
        <f t="shared" si="8"/>
      </c>
      <c r="ED42">
        <f t="shared" si="8"/>
      </c>
      <c r="EE42">
        <f t="shared" si="8"/>
      </c>
      <c r="EF42">
        <f t="shared" si="8"/>
      </c>
      <c r="EG42">
        <f t="shared" si="8"/>
      </c>
      <c r="EH42">
        <f t="shared" si="8"/>
      </c>
      <c r="EI42">
        <f t="shared" si="8"/>
      </c>
      <c r="EJ42">
        <f t="shared" si="8"/>
      </c>
      <c r="EK42">
        <f t="shared" si="8"/>
      </c>
      <c r="EL42">
        <f t="shared" si="8"/>
      </c>
      <c r="EM42">
        <f t="shared" si="8"/>
      </c>
      <c r="EN42">
        <f t="shared" si="8"/>
      </c>
      <c r="EO42">
        <f t="shared" si="8"/>
      </c>
      <c r="EP42">
        <f t="shared" si="8"/>
      </c>
      <c r="EQ42">
        <f t="shared" si="8"/>
      </c>
      <c r="ER42">
        <f t="shared" si="8"/>
      </c>
      <c r="ES42">
        <f t="shared" si="8"/>
      </c>
      <c r="ET42">
        <f t="shared" si="8"/>
      </c>
      <c r="EU42">
        <f t="shared" si="8"/>
      </c>
      <c r="EV42">
        <f t="shared" si="8"/>
      </c>
      <c r="EW42">
        <f t="shared" si="8"/>
      </c>
      <c r="EX42">
        <f t="shared" si="8"/>
      </c>
      <c r="EY42">
        <f t="shared" si="8"/>
      </c>
      <c r="EZ42">
        <f t="shared" si="8"/>
      </c>
      <c r="FA42" t="str">
        <f t="shared" si="12"/>
        <v>-</v>
      </c>
      <c r="FB42">
        <f t="shared" si="13"/>
      </c>
      <c r="FC42" cm="1">
        <f t="array" ref="FC42">_xlfn.LET(_xlpm.unit_type,$G42,_xlpm.market_rent_from_rent_roll,$E42,_xlpm.unit_type_list,RentRoll_InputArea_DesignatedUnitType,_xlpm.rent_by_unit_type,RentRoll_InputArea_MarketRent,_xlpm.use_rent_roll_market_rent,LEFT(RR_VacantUnitMktRentSource,9)="Rent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2">
        <f t="shared" si="14"/>
        <v>1198</v>
      </c>
      <c r="FE42">
        <f t="shared" si="15"/>
        <v>1198</v>
      </c>
      <c r="FF42">
        <f t="shared" si="16"/>
        <v>1198</v>
      </c>
      <c r="FH42">
        <f t="shared" si="17"/>
      </c>
      <c r="FI42">
        <f t="shared" si="18"/>
      </c>
      <c r="FK42" cm="1">
        <f t="array" ref="FK42">IF(AND(LEN($D42)&gt;0,ISNA(MATCH(TRUE,EXACT($G42,RentRoll_InputArea_DesignatedUnitType),0))),1,0)</f>
        <v>0</v>
      </c>
      <c r="FL42">
        <f t="shared" si="19"/>
        <v>19</v>
      </c>
      <c r="IO42" cm="1">
        <f t="array" ref="IO42">IF(LEN($G42)=0,"Rent Roll is incomplete",_xlfn.XLOOKUP(TRUE,EXACT(RentRoll_InputArea_DesignatedUnitType,$G42),RentRoll_InputArea_Beds,"Not Found"))</f>
        <v>1</v>
      </c>
      <c r="IQ42" t="str">
        <f t="shared" si="20"/>
        <v>1 Bedroom Unit</v>
      </c>
      <c r="IR42">
        <f t="shared" si="21"/>
        <v>1198</v>
      </c>
      <c r="IW42" t="str">
        <f t="shared" si="22"/>
        <v>2-210</v>
      </c>
      <c r="IZ42">
        <f t="shared" si="23"/>
        <v>1</v>
      </c>
      <c r="JA42">
        <f t="shared" si="24"/>
        <v>1198</v>
      </c>
      <c r="JH42">
        <f t="shared" si="25"/>
        <v>1159</v>
      </c>
      <c r="JJ42">
        <f t="shared" si="26"/>
      </c>
      <c r="JQ42" t="str">
        <f t="shared" si="27"/>
        <v>Occupied</v>
      </c>
      <c r="JR42" cm="1">
        <f t="array" ref="JR42">_xlfn.XLOOKUP(TRUE,EXACT(RentRoll_InputArea_DesignatedUnitType,$G42),RentRoll_InputArea_SquareFootage,"Not Found")</f>
        <v>704</v>
      </c>
      <c r="JS42" t="str">
        <f t="shared" si="28"/>
        <v>Apartment</v>
      </c>
      <c r="JT42">
        <f t="shared" si="29"/>
      </c>
      <c r="JY42">
        <f t="shared" si="9"/>
        <v>43529</v>
      </c>
      <c r="JZ42">
        <f t="shared" si="9"/>
        <v>43890</v>
      </c>
    </row>
    <row r="43" ht="15" customHeight="1">
      <c r="A43">
        <f t="shared" si="10"/>
        <v>20</v>
      </c>
      <c r="D43" t="s">
        <v>2782</v>
      </c>
      <c r="E43">
        <v>1204</v>
      </c>
      <c r="F43" t="s">
        <v>2783</v>
      </c>
      <c r="G43" t="s">
        <v>2529</v>
      </c>
      <c r="H43">
        <v>1145</v>
      </c>
      <c r="I43" cm="1">
        <f t="array" ref="I43">_xlfn.LET(_xlpm.has_subsidy,$N43&gt;0,_xlpm.is_chap9_sbl,$FF$20,_xlpm.contract_rent,$H43,_xlpm.unit_type_mkt_rent,_xlfn.XLOOKUP(TRUE,EXACT($G43,RentRoll_InputArea_DesignatedUnitType),RentRoll_InputArea_MarketRent,"Not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3">
        <f t="shared" si="11"/>
        <v>1145</v>
      </c>
      <c r="O43" s="1">
        <v>43323</v>
      </c>
      <c r="P43" s="1">
        <v>43616</v>
      </c>
      <c r="Q43">
        <f t="shared" si="8"/>
        <v>1145</v>
      </c>
      <c r="R43">
        <f t="shared" si="8"/>
      </c>
      <c r="S43">
        <f t="shared" si="8"/>
      </c>
      <c r="T43">
        <f t="shared" si="8"/>
      </c>
      <c r="U43">
        <f t="shared" si="8"/>
      </c>
      <c r="V43">
        <f t="shared" si="8"/>
      </c>
      <c r="W43">
        <f t="shared" si="8"/>
      </c>
      <c r="X43">
        <f t="shared" si="8"/>
      </c>
      <c r="Y43">
        <f t="shared" si="8"/>
      </c>
      <c r="Z43">
        <f t="shared" si="8"/>
      </c>
      <c r="AA43">
        <f t="shared" si="8"/>
      </c>
      <c r="AB43">
        <f t="shared" si="8"/>
      </c>
      <c r="AC43">
        <f t="shared" si="8"/>
      </c>
      <c r="AD43">
        <f t="shared" si="8"/>
      </c>
      <c r="AE43">
        <f t="shared" si="8"/>
      </c>
      <c r="AF43">
        <f t="shared" si="8"/>
      </c>
      <c r="AG43">
        <f t="shared" si="8"/>
      </c>
      <c r="AH43">
        <f t="shared" si="8"/>
      </c>
      <c r="AI43">
        <f t="shared" si="8"/>
      </c>
      <c r="AJ43">
        <f t="shared" si="8"/>
      </c>
      <c r="AK43">
        <f t="shared" si="8"/>
      </c>
      <c r="AL43">
        <f t="shared" si="8"/>
      </c>
      <c r="AM43">
        <f t="shared" si="8"/>
      </c>
      <c r="AN43">
        <f t="shared" si="8"/>
      </c>
      <c r="AO43">
        <f t="shared" si="8"/>
      </c>
      <c r="AP43">
        <f t="shared" si="8"/>
      </c>
      <c r="AQ43">
        <f t="shared" si="8"/>
      </c>
      <c r="AR43">
        <f t="shared" si="8"/>
      </c>
      <c r="AS43">
        <f t="shared" si="8"/>
      </c>
      <c r="AT43">
        <f t="shared" si="8"/>
      </c>
      <c r="AU43">
        <f t="shared" si="8"/>
      </c>
      <c r="AV43">
        <f t="shared" si="8"/>
      </c>
      <c r="AW43">
        <f t="shared" si="8"/>
      </c>
      <c r="AX43">
        <f t="shared" si="8"/>
      </c>
      <c r="AY43">
        <f t="shared" si="8"/>
      </c>
      <c r="AZ43">
        <f t="shared" si="8"/>
      </c>
      <c r="BA43">
        <f t="shared" si="8"/>
      </c>
      <c r="BB43">
        <f t="shared" si="8"/>
      </c>
      <c r="BC43">
        <f t="shared" si="8"/>
      </c>
      <c r="BD43">
        <f t="shared" si="8"/>
      </c>
      <c r="BE43">
        <f t="shared" si="8"/>
      </c>
      <c r="BF43">
        <f t="shared" si="8"/>
      </c>
      <c r="BG43">
        <f t="shared" si="8"/>
      </c>
      <c r="BH43">
        <f t="shared" si="8"/>
      </c>
      <c r="BI43">
        <f t="shared" si="8"/>
      </c>
      <c r="BJ43">
        <f t="shared" si="8"/>
      </c>
      <c r="BK43">
        <f t="shared" si="8"/>
      </c>
      <c r="BL43">
        <f t="shared" si="8"/>
      </c>
      <c r="BM43">
        <f t="shared" si="8"/>
      </c>
      <c r="BN43">
        <f t="shared" si="8"/>
      </c>
      <c r="BO43">
        <f t="shared" si="8"/>
      </c>
      <c r="BP43">
        <f t="shared" si="8"/>
      </c>
      <c r="BQ43">
        <f t="shared" si="8"/>
      </c>
      <c r="BR43">
        <f t="shared" si="8"/>
      </c>
      <c r="BS43">
        <f t="shared" si="8"/>
      </c>
      <c r="BT43">
        <f t="shared" si="8"/>
      </c>
      <c r="BU43">
        <f t="shared" si="8"/>
      </c>
      <c r="BV43">
        <f t="shared" si="8"/>
      </c>
      <c r="BW43">
        <f t="shared" si="8"/>
      </c>
      <c r="BX43">
        <f t="shared" si="8"/>
      </c>
      <c r="BY43">
        <f t="shared" si="8"/>
      </c>
      <c r="BZ43">
        <f t="shared" si="8"/>
      </c>
      <c r="CA43">
        <f t="shared" si="8"/>
      </c>
      <c r="CB43">
        <f t="shared" si="8"/>
      </c>
      <c r="CC43">
        <f t="shared" si="8"/>
      </c>
      <c r="CD43">
        <f t="shared" si="8"/>
      </c>
      <c r="CE43">
        <f t="shared" si="8"/>
      </c>
      <c r="CF43">
        <f t="shared" si="8"/>
      </c>
      <c r="CG43">
        <f t="shared" si="8"/>
      </c>
      <c r="CH43">
        <f t="shared" si="8"/>
      </c>
      <c r="CI43">
        <f t="shared" si="8"/>
      </c>
      <c r="CJ43">
        <f t="shared" si="8"/>
      </c>
      <c r="CK43">
        <f t="shared" si="8"/>
      </c>
      <c r="CL43">
        <f t="shared" si="8"/>
      </c>
      <c r="CM43">
        <f t="shared" si="8"/>
      </c>
      <c r="CN43">
        <f t="shared" si="8"/>
      </c>
      <c r="CO43">
        <f t="shared" si="8"/>
      </c>
      <c r="CP43">
        <f t="shared" si="8"/>
      </c>
      <c r="CQ43">
        <f t="shared" si="8"/>
      </c>
      <c r="CR43">
        <f t="shared" si="8"/>
      </c>
      <c r="CS43">
        <f t="shared" si="8"/>
      </c>
      <c r="CT43">
        <f t="shared" si="8"/>
      </c>
      <c r="CU43">
        <f t="shared" si="8"/>
      </c>
      <c r="CV43">
        <f t="shared" si="8"/>
      </c>
      <c r="CW43">
        <f t="shared" si="8"/>
      </c>
      <c r="CX43">
        <f t="shared" si="8"/>
      </c>
      <c r="CY43">
        <f t="shared" si="8"/>
      </c>
      <c r="CZ43">
        <f t="shared" si="8"/>
      </c>
      <c r="DA43">
        <f t="shared" si="8"/>
      </c>
      <c r="DB43">
        <f t="shared" si="8"/>
      </c>
      <c r="DC43">
        <f t="shared" si="8"/>
      </c>
      <c r="DD43">
        <f t="shared" si="8"/>
      </c>
      <c r="DE43">
        <f t="shared" si="8"/>
      </c>
      <c r="DF43">
        <f t="shared" si="8"/>
      </c>
      <c r="DG43">
        <f t="shared" si="8"/>
      </c>
      <c r="DH43">
        <f t="shared" si="8"/>
      </c>
      <c r="DI43">
        <f t="shared" si="8"/>
      </c>
      <c r="DJ43">
        <f t="shared" si="8"/>
      </c>
      <c r="DK43">
        <f t="shared" si="8"/>
      </c>
      <c r="DL43">
        <f t="shared" si="8"/>
      </c>
      <c r="DM43">
        <f t="shared" si="8"/>
      </c>
      <c r="DN43">
        <f t="shared" si="8"/>
      </c>
      <c r="DO43">
        <f t="shared" si="8"/>
      </c>
      <c r="DP43">
        <f t="shared" si="8"/>
      </c>
      <c r="DQ43">
        <f t="shared" si="8"/>
      </c>
      <c r="DR43">
        <f t="shared" si="8"/>
      </c>
      <c r="DS43">
        <f t="shared" si="8"/>
      </c>
      <c r="DT43">
        <f t="shared" si="8"/>
      </c>
      <c r="DU43">
        <f t="shared" si="8"/>
      </c>
      <c r="DV43">
        <f t="shared" si="8"/>
      </c>
      <c r="DW43">
        <f t="shared" si="8"/>
      </c>
      <c r="DX43">
        <f t="shared" si="8"/>
      </c>
      <c r="DY43">
        <f t="shared" si="8"/>
      </c>
      <c r="DZ43">
        <f t="shared" si="8"/>
      </c>
      <c r="EA43">
        <f t="shared" si="8"/>
      </c>
      <c r="EB43">
        <f t="shared" si="8"/>
      </c>
      <c r="EC43">
        <f t="shared" si="8"/>
      </c>
      <c r="ED43">
        <f t="shared" si="8"/>
      </c>
      <c r="EE43">
        <f t="shared" si="8"/>
      </c>
      <c r="EF43">
        <f t="shared" si="8"/>
      </c>
      <c r="EG43">
        <f t="shared" si="8"/>
      </c>
      <c r="EH43">
        <f t="shared" si="8"/>
      </c>
      <c r="EI43">
        <f t="shared" si="8"/>
      </c>
      <c r="EJ43">
        <f t="shared" si="8"/>
      </c>
      <c r="EK43">
        <f t="shared" si="8"/>
      </c>
      <c r="EL43">
        <f t="shared" si="8"/>
      </c>
      <c r="EM43">
        <f t="shared" si="8"/>
      </c>
      <c r="EN43">
        <f t="shared" si="8"/>
      </c>
      <c r="EO43">
        <f t="shared" si="8"/>
      </c>
      <c r="EP43">
        <f t="shared" si="8"/>
      </c>
      <c r="EQ43">
        <f t="shared" si="8"/>
      </c>
      <c r="ER43">
        <f t="shared" si="8"/>
      </c>
      <c r="ES43">
        <f t="shared" si="8"/>
      </c>
      <c r="ET43">
        <f t="shared" si="8"/>
      </c>
      <c r="EU43">
        <f t="shared" si="8"/>
      </c>
      <c r="EV43">
        <f t="shared" si="8"/>
      </c>
      <c r="EW43">
        <f t="shared" si="8"/>
      </c>
      <c r="EX43">
        <f t="shared" si="8"/>
      </c>
      <c r="EY43">
        <f t="shared" si="8"/>
      </c>
      <c r="EZ43">
        <f t="shared" si="8"/>
      </c>
      <c r="FA43" t="str">
        <f t="shared" si="12"/>
        <v>-</v>
      </c>
      <c r="FB43">
        <f t="shared" si="13"/>
      </c>
      <c r="FC43" cm="1">
        <f t="array" ref="FC43">_xlfn.LET(_xlpm.unit_type,$G43,_xlpm.market_rent_from_rent_roll,$E43,_xlpm.unit_type_list,RentRoll_InputArea_DesignatedUnitType,_xlpm.rent_by_unit_type,RentRoll_InputArea_MarketRent,_xlpm.use_rent_roll_market_rent,LEFT(RR_VacantUnitMktRentSource,9)="Rent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3">
        <f t="shared" si="14"/>
        <v>1145</v>
      </c>
      <c r="FE43">
        <f t="shared" si="15"/>
        <v>1145</v>
      </c>
      <c r="FF43">
        <f t="shared" si="16"/>
        <v>1145</v>
      </c>
      <c r="FH43">
        <f t="shared" si="17"/>
      </c>
      <c r="FI43">
        <f t="shared" si="18"/>
      </c>
      <c r="FK43" cm="1">
        <f t="array" ref="FK43">IF(AND(LEN($D43)&gt;0,ISNA(MATCH(TRUE,EXACT($G43,RentRoll_InputArea_DesignatedUnitType),0))),1,0)</f>
        <v>0</v>
      </c>
      <c r="FL43">
        <f t="shared" si="19"/>
        <v>20</v>
      </c>
      <c r="IO43" cm="1">
        <f t="array" ref="IO43">IF(LEN($G43)=0,"Rent Roll is incomplete",_xlfn.XLOOKUP(TRUE,EXACT(RentRoll_InputArea_DesignatedUnitType,$G43),RentRoll_InputArea_Beds,"Not Found"))</f>
        <v>1</v>
      </c>
      <c r="IQ43" t="str">
        <f t="shared" si="20"/>
        <v>1 Bedroom Unit</v>
      </c>
      <c r="IR43">
        <f t="shared" si="21"/>
        <v>1145</v>
      </c>
      <c r="IW43" t="str">
        <f t="shared" si="22"/>
        <v>2-211</v>
      </c>
      <c r="IZ43">
        <f t="shared" si="23"/>
        <v>1</v>
      </c>
      <c r="JA43">
        <f t="shared" si="24"/>
        <v>1145</v>
      </c>
      <c r="JH43">
        <f t="shared" si="25"/>
        <v>1159</v>
      </c>
      <c r="JJ43">
        <f t="shared" si="26"/>
      </c>
      <c r="JQ43" t="str">
        <f t="shared" si="27"/>
        <v>Occupied</v>
      </c>
      <c r="JR43" cm="1">
        <f t="array" ref="JR43">_xlfn.XLOOKUP(TRUE,EXACT(RentRoll_InputArea_DesignatedUnitType,$G43),RentRoll_InputArea_SquareFootage,"Not Found")</f>
        <v>704</v>
      </c>
      <c r="JS43" t="str">
        <f t="shared" si="28"/>
        <v>Apartment</v>
      </c>
      <c r="JT43">
        <f t="shared" si="29"/>
      </c>
      <c r="JY43">
        <f t="shared" si="9"/>
        <v>43323</v>
      </c>
      <c r="JZ43">
        <f t="shared" si="9"/>
        <v>43616</v>
      </c>
    </row>
    <row r="44" ht="15" customHeight="1">
      <c r="A44">
        <f t="shared" si="10"/>
        <v>21</v>
      </c>
      <c r="D44" t="s">
        <v>2784</v>
      </c>
      <c r="E44">
        <v>1193</v>
      </c>
      <c r="F44" t="s">
        <v>2785</v>
      </c>
      <c r="G44" t="s">
        <v>2529</v>
      </c>
      <c r="H44">
        <v>1164</v>
      </c>
      <c r="I44" cm="1">
        <f t="array" ref="I44">_xlfn.LET(_xlpm.has_subsidy,$N44&gt;0,_xlpm.is_chap9_sbl,$FF$20,_xlpm.contract_rent,$H44,_xlpm.unit_type_mkt_rent,_xlfn.XLOOKUP(TRUE,EXACT($G44,RentRoll_InputArea_DesignatedUnitType),RentRoll_InputArea_MarketRent,"Not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4">
        <f t="shared" si="11"/>
        <v>1164</v>
      </c>
      <c r="O44" s="1">
        <v>43508</v>
      </c>
      <c r="P44" s="1">
        <v>43861</v>
      </c>
      <c r="Q44">
        <f t="shared" si="8"/>
        <v>1164</v>
      </c>
      <c r="R44">
        <f t="shared" si="8"/>
      </c>
      <c r="S44">
        <f t="shared" si="8"/>
      </c>
      <c r="T44">
        <f t="shared" si="8"/>
      </c>
      <c r="U44">
        <f t="shared" si="8"/>
      </c>
      <c r="V44">
        <f t="shared" si="8"/>
      </c>
      <c r="W44">
        <f t="shared" si="8"/>
      </c>
      <c r="X44">
        <f t="shared" si="8"/>
      </c>
      <c r="Y44">
        <f t="shared" si="8"/>
      </c>
      <c r="Z44">
        <f t="shared" si="8"/>
      </c>
      <c r="AA44">
        <f t="shared" si="8"/>
      </c>
      <c r="AB44">
        <f t="shared" si="8"/>
      </c>
      <c r="AC44">
        <f t="shared" si="8"/>
      </c>
      <c r="AD44">
        <f t="shared" si="8"/>
      </c>
      <c r="AE44">
        <f t="shared" si="8"/>
      </c>
      <c r="AF44">
        <f t="shared" si="8"/>
      </c>
      <c r="AG44">
        <f t="shared" si="8"/>
      </c>
      <c r="AH44">
        <f t="shared" si="8"/>
      </c>
      <c r="AI44">
        <f t="shared" si="8"/>
      </c>
      <c r="AJ44">
        <f t="shared" si="8"/>
      </c>
      <c r="AK44">
        <f t="shared" si="8"/>
      </c>
      <c r="AL44">
        <f t="shared" si="8"/>
      </c>
      <c r="AM44">
        <f t="shared" si="8"/>
      </c>
      <c r="AN44">
        <f t="shared" si="8"/>
      </c>
      <c r="AO44">
        <f t="shared" si="8"/>
      </c>
      <c r="AP44">
        <f t="shared" si="8"/>
      </c>
      <c r="AQ44">
        <f t="shared" si="8"/>
      </c>
      <c r="AR44">
        <f t="shared" si="8"/>
      </c>
      <c r="AS44">
        <f t="shared" si="8"/>
      </c>
      <c r="AT44">
        <f t="shared" si="8"/>
      </c>
      <c r="AU44">
        <f t="shared" si="8"/>
      </c>
      <c r="AV44">
        <f t="shared" si="8"/>
      </c>
      <c r="AW44">
        <f t="shared" si="8"/>
      </c>
      <c r="AX44">
        <f t="shared" si="8"/>
      </c>
      <c r="AY44">
        <f t="shared" si="8"/>
      </c>
      <c r="AZ44">
        <f t="shared" si="8"/>
      </c>
      <c r="BA44">
        <f t="shared" si="8"/>
      </c>
      <c r="BB44">
        <f t="shared" si="8"/>
      </c>
      <c r="BC44">
        <f t="shared" si="8"/>
      </c>
      <c r="BD44">
        <f t="shared" si="8"/>
      </c>
      <c r="BE44">
        <f t="shared" si="8"/>
      </c>
      <c r="BF44">
        <f t="shared" si="8"/>
      </c>
      <c r="BG44">
        <f t="shared" si="8"/>
      </c>
      <c r="BH44">
        <f t="shared" si="8"/>
      </c>
      <c r="BI44">
        <f t="shared" si="8"/>
      </c>
      <c r="BJ44">
        <f t="shared" si="8"/>
      </c>
      <c r="BK44">
        <f t="shared" si="8"/>
      </c>
      <c r="BL44">
        <f t="shared" si="8"/>
      </c>
      <c r="BM44">
        <f t="shared" si="8"/>
      </c>
      <c r="BN44">
        <f t="shared" si="8"/>
      </c>
      <c r="BO44">
        <f t="shared" si="8"/>
      </c>
      <c r="BP44">
        <f t="shared" si="8"/>
      </c>
      <c r="BQ44">
        <f t="shared" si="8"/>
      </c>
      <c r="BR44">
        <f t="shared" si="8"/>
      </c>
      <c r="BS44">
        <f t="shared" si="8"/>
      </c>
      <c r="BT44">
        <f t="shared" si="8"/>
      </c>
      <c r="BU44">
        <f t="shared" si="8"/>
      </c>
      <c r="BV44">
        <f t="shared" si="8"/>
      </c>
      <c r="BW44">
        <f t="shared" si="8"/>
      </c>
      <c r="BX44">
        <f t="shared" si="8"/>
      </c>
      <c r="BY44">
        <f t="shared" si="8"/>
      </c>
      <c r="BZ44">
        <f t="shared" si="8"/>
      </c>
      <c r="CA44">
        <f t="shared" si="8"/>
      </c>
      <c r="CB44">
        <f t="shared" si="8"/>
      </c>
      <c r="CC44">
        <f t="shared" si="8"/>
      </c>
      <c r="CD44">
        <f t="shared" si="8"/>
      </c>
      <c r="CE44">
        <f t="shared" si="8"/>
      </c>
      <c r="CF44">
        <f t="shared" si="8"/>
      </c>
      <c r="CG44">
        <f t="shared" si="8"/>
      </c>
      <c r="CH44">
        <f t="shared" si="8"/>
      </c>
      <c r="CI44">
        <f t="shared" si="8"/>
      </c>
      <c r="CJ44">
        <f t="shared" si="8"/>
      </c>
      <c r="CK44">
        <f t="shared" si="8"/>
      </c>
      <c r="CL44">
        <f t="shared" si="8"/>
      </c>
      <c r="CM44">
        <f t="shared" si="8"/>
      </c>
      <c r="CN44">
        <f t="shared" si="8"/>
      </c>
      <c r="CO44">
        <f t="shared" si="8"/>
      </c>
      <c r="CP44">
        <f t="shared" si="8"/>
      </c>
      <c r="CQ44">
        <f t="shared" si="8"/>
      </c>
      <c r="CR44">
        <f t="shared" si="8"/>
      </c>
      <c r="CS44">
        <f t="shared" si="8"/>
      </c>
      <c r="CT44">
        <f t="shared" si="8"/>
      </c>
      <c r="CU44">
        <f t="shared" si="8"/>
      </c>
      <c r="CV44">
        <f t="shared" si="8"/>
      </c>
      <c r="CW44">
        <f t="shared" si="8"/>
      </c>
      <c r="CX44">
        <f t="shared" si="8"/>
      </c>
      <c r="CY44">
        <f t="shared" si="8"/>
      </c>
      <c r="CZ44">
        <f t="shared" si="8"/>
      </c>
      <c r="DA44">
        <f t="shared" si="8"/>
      </c>
      <c r="DB44">
        <f t="shared" si="8"/>
      </c>
      <c r="DC44">
        <f t="shared" si="8"/>
      </c>
      <c r="DD44">
        <f t="shared" si="8"/>
      </c>
      <c r="DE44">
        <f t="shared" si="8"/>
      </c>
      <c r="DF44">
        <f t="shared" si="8"/>
      </c>
      <c r="DG44">
        <f t="shared" si="8"/>
      </c>
      <c r="DH44">
        <f t="shared" si="8"/>
      </c>
      <c r="DI44">
        <f t="shared" si="8"/>
      </c>
      <c r="DJ44">
        <f t="shared" si="8"/>
      </c>
      <c r="DK44">
        <f t="shared" si="8"/>
      </c>
      <c r="DL44">
        <f t="shared" si="8"/>
      </c>
      <c r="DM44">
        <f t="shared" si="8"/>
      </c>
      <c r="DN44">
        <f t="shared" si="8"/>
      </c>
      <c r="DO44">
        <f t="shared" si="8"/>
      </c>
      <c r="DP44">
        <f t="shared" si="8"/>
      </c>
      <c r="DQ44">
        <f t="shared" si="8"/>
      </c>
      <c r="DR44">
        <f t="shared" si="8"/>
      </c>
      <c r="DS44">
        <f t="shared" si="8"/>
      </c>
      <c r="DT44">
        <f t="shared" si="8"/>
      </c>
      <c r="DU44">
        <f t="shared" si="8"/>
      </c>
      <c r="DV44">
        <f t="shared" si="8"/>
      </c>
      <c r="DW44">
        <f t="shared" si="8"/>
      </c>
      <c r="DX44">
        <f t="shared" si="8"/>
      </c>
      <c r="DY44">
        <f t="shared" si="8"/>
      </c>
      <c r="DZ44">
        <f t="shared" si="8"/>
      </c>
      <c r="EA44">
        <f t="shared" si="8"/>
      </c>
      <c r="EB44">
        <f t="shared" si="8"/>
      </c>
      <c r="EC44">
        <f t="shared" si="8"/>
      </c>
      <c r="ED44">
        <f t="shared" si="8"/>
      </c>
      <c r="EE44">
        <f t="shared" si="8"/>
      </c>
      <c r="EF44">
        <f t="shared" si="8"/>
      </c>
      <c r="EG44">
        <f t="shared" si="8"/>
      </c>
      <c r="EH44">
        <f t="shared" si="8"/>
      </c>
      <c r="EI44">
        <f t="shared" si="8"/>
      </c>
      <c r="EJ44">
        <f t="shared" si="8"/>
      </c>
      <c r="EK44">
        <f t="shared" si="8"/>
      </c>
      <c r="EL44">
        <f t="shared" si="8"/>
      </c>
      <c r="EM44">
        <f t="shared" si="8"/>
      </c>
      <c r="EN44">
        <f t="shared" si="8"/>
      </c>
      <c r="EO44">
        <f t="shared" si="8"/>
      </c>
      <c r="EP44">
        <f t="shared" si="8"/>
      </c>
      <c r="EQ44">
        <f t="shared" si="8"/>
      </c>
      <c r="ER44">
        <f t="shared" si="8"/>
      </c>
      <c r="ES44">
        <f t="shared" si="8"/>
      </c>
      <c r="ET44">
        <f t="shared" si="8"/>
      </c>
      <c r="EU44">
        <f t="shared" si="8"/>
      </c>
      <c r="EV44">
        <f t="shared" si="8"/>
      </c>
      <c r="EW44">
        <f t="shared" si="8"/>
      </c>
      <c r="EX44">
        <f t="shared" si="8"/>
      </c>
      <c r="EY44">
        <f t="shared" si="8"/>
      </c>
      <c r="EZ44">
        <f t="shared" si="8"/>
      </c>
      <c r="FA44" t="str">
        <f t="shared" si="12"/>
        <v>-</v>
      </c>
      <c r="FB44">
        <f t="shared" si="13"/>
      </c>
      <c r="FC44" cm="1">
        <f t="array" ref="FC44">_xlfn.LET(_xlpm.unit_type,$G44,_xlpm.market_rent_from_rent_roll,$E44,_xlpm.unit_type_list,RentRoll_InputArea_DesignatedUnitType,_xlpm.rent_by_unit_type,RentRoll_InputArea_MarketRent,_xlpm.use_rent_roll_market_rent,LEFT(RR_VacantUnitMktRentSource,9)="Rent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4">
        <f t="shared" si="14"/>
        <v>1164</v>
      </c>
      <c r="FE44">
        <f t="shared" si="15"/>
        <v>1164</v>
      </c>
      <c r="FF44">
        <f t="shared" si="16"/>
        <v>1164</v>
      </c>
      <c r="FH44">
        <f t="shared" si="17"/>
      </c>
      <c r="FI44">
        <f t="shared" si="18"/>
      </c>
      <c r="FK44" cm="1">
        <f t="array" ref="FK44">IF(AND(LEN($D44)&gt;0,ISNA(MATCH(TRUE,EXACT($G44,RentRoll_InputArea_DesignatedUnitType),0))),1,0)</f>
        <v>0</v>
      </c>
      <c r="FL44">
        <f t="shared" si="19"/>
        <v>21</v>
      </c>
      <c r="IO44" cm="1">
        <f t="array" ref="IO44">IF(LEN($G44)=0,"Rent Roll is incomplete",_xlfn.XLOOKUP(TRUE,EXACT(RentRoll_InputArea_DesignatedUnitType,$G44),RentRoll_InputArea_Beds,"Not Found"))</f>
        <v>1</v>
      </c>
      <c r="IQ44" t="str">
        <f t="shared" si="20"/>
        <v>1 Bedroom Unit</v>
      </c>
      <c r="IR44">
        <f t="shared" si="21"/>
        <v>1164</v>
      </c>
      <c r="IW44" t="str">
        <f t="shared" si="22"/>
        <v>2-212</v>
      </c>
      <c r="IZ44">
        <f t="shared" si="23"/>
        <v>1</v>
      </c>
      <c r="JA44">
        <f t="shared" si="24"/>
        <v>1164</v>
      </c>
      <c r="JH44">
        <f t="shared" si="25"/>
        <v>1159</v>
      </c>
      <c r="JJ44">
        <f t="shared" si="26"/>
      </c>
      <c r="JQ44" t="str">
        <f t="shared" si="27"/>
        <v>Occupied</v>
      </c>
      <c r="JR44" cm="1">
        <f t="array" ref="JR44">_xlfn.XLOOKUP(TRUE,EXACT(RentRoll_InputArea_DesignatedUnitType,$G44),RentRoll_InputArea_SquareFootage,"Not Found")</f>
        <v>704</v>
      </c>
      <c r="JS44" t="str">
        <f t="shared" si="28"/>
        <v>Apartment</v>
      </c>
      <c r="JT44">
        <f t="shared" si="29"/>
      </c>
      <c r="JY44">
        <f t="shared" si="9"/>
        <v>43508</v>
      </c>
      <c r="JZ44">
        <f t="shared" si="9"/>
        <v>43861</v>
      </c>
    </row>
    <row r="45" ht="15" customHeight="1">
      <c r="A45">
        <f t="shared" si="10"/>
        <v>22</v>
      </c>
      <c r="D45" t="s">
        <v>2786</v>
      </c>
      <c r="E45">
        <v>1160</v>
      </c>
      <c r="F45" t="s">
        <v>2787</v>
      </c>
      <c r="G45" t="s">
        <v>2529</v>
      </c>
      <c r="H45">
        <v>932</v>
      </c>
      <c r="I45" cm="1">
        <f t="array" ref="I45">_xlfn.LET(_xlpm.has_subsidy,$N45&gt;0,_xlpm.is_chap9_sbl,$FF$20,_xlpm.contract_rent,$H45,_xlpm.unit_type_mkt_rent,_xlfn.XLOOKUP(TRUE,EXACT($G45,RentRoll_InputArea_DesignatedUnitType),RentRoll_InputArea_MarketRent,"Not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5">
        <f t="shared" si="11"/>
        <v>932</v>
      </c>
      <c r="O45" s="1">
        <v>43435</v>
      </c>
      <c r="P45" s="1">
        <v>43708</v>
      </c>
      <c r="Q45">
        <f t="shared" si="8"/>
        <v>932</v>
      </c>
      <c r="R45">
        <f t="shared" si="8"/>
      </c>
      <c r="S45">
        <f t="shared" si="8"/>
      </c>
      <c r="T45">
        <f t="shared" si="8"/>
      </c>
      <c r="U45">
        <f t="shared" si="8"/>
      </c>
      <c r="V45">
        <f t="shared" si="8"/>
      </c>
      <c r="W45">
        <f t="shared" si="8"/>
      </c>
      <c r="X45">
        <f t="shared" si="8"/>
      </c>
      <c r="Y45">
        <f t="shared" si="8"/>
      </c>
      <c r="Z45">
        <f t="shared" si="8"/>
      </c>
      <c r="AA45">
        <f t="shared" si="8"/>
      </c>
      <c r="AB45">
        <f t="shared" si="8"/>
      </c>
      <c r="AC45">
        <f t="shared" si="8"/>
      </c>
      <c r="AD45">
        <f t="shared" si="8"/>
      </c>
      <c r="AE45">
        <f t="shared" si="8"/>
      </c>
      <c r="AF45">
        <f t="shared" si="8"/>
      </c>
      <c r="AG45">
        <f t="shared" si="8"/>
      </c>
      <c r="AH45">
        <f t="shared" si="8"/>
      </c>
      <c r="AI45">
        <f t="shared" si="8"/>
      </c>
      <c r="AJ45">
        <f t="shared" si="8"/>
      </c>
      <c r="AK45">
        <f t="shared" si="8"/>
      </c>
      <c r="AL45">
        <f t="shared" si="8"/>
      </c>
      <c r="AM45">
        <f t="shared" si="8"/>
      </c>
      <c r="AN45">
        <f t="shared" si="8"/>
      </c>
      <c r="AO45">
        <f t="shared" si="8"/>
      </c>
      <c r="AP45">
        <f t="shared" si="8"/>
      </c>
      <c r="AQ45">
        <f t="shared" si="8"/>
      </c>
      <c r="AR45">
        <f t="shared" si="8"/>
      </c>
      <c r="AS45">
        <f t="shared" si="8"/>
      </c>
      <c r="AT45">
        <f t="shared" si="8"/>
      </c>
      <c r="AU45">
        <f t="shared" si="8"/>
      </c>
      <c r="AV45">
        <f t="shared" si="8"/>
      </c>
      <c r="AW45">
        <f t="shared" si="8"/>
      </c>
      <c r="AX45">
        <f t="shared" si="8"/>
      </c>
      <c r="AY45">
        <f t="shared" si="8"/>
      </c>
      <c r="AZ45">
        <f t="shared" si="8"/>
      </c>
      <c r="BA45">
        <f t="shared" si="8"/>
      </c>
      <c r="BB45">
        <f t="shared" si="8"/>
      </c>
      <c r="BC45">
        <f t="shared" si="8"/>
      </c>
      <c r="BD45">
        <f t="shared" si="8"/>
      </c>
      <c r="BE45">
        <f t="shared" si="8"/>
      </c>
      <c r="BF45">
        <f t="shared" si="8"/>
      </c>
      <c r="BG45">
        <f t="shared" si="8"/>
      </c>
      <c r="BH45">
        <f t="shared" si="8"/>
      </c>
      <c r="BI45">
        <f t="shared" si="8"/>
      </c>
      <c r="BJ45">
        <f t="shared" si="8"/>
      </c>
      <c r="BK45">
        <f t="shared" si="8"/>
      </c>
      <c r="BL45">
        <f t="shared" si="8"/>
      </c>
      <c r="BM45">
        <f t="shared" si="8"/>
      </c>
      <c r="BN45">
        <f t="shared" si="8"/>
      </c>
      <c r="BO45">
        <f t="shared" si="8"/>
      </c>
      <c r="BP45">
        <f t="shared" si="8"/>
      </c>
      <c r="BQ45">
        <f t="shared" si="8"/>
      </c>
      <c r="BR45">
        <f t="shared" si="8"/>
      </c>
      <c r="BS45">
        <f t="shared" si="8"/>
      </c>
      <c r="BT45">
        <f t="shared" si="8"/>
      </c>
      <c r="BU45">
        <f t="shared" si="8"/>
      </c>
      <c r="BV45">
        <f t="shared" si="8"/>
      </c>
      <c r="BW45">
        <f t="shared" si="8"/>
      </c>
      <c r="BX45">
        <f t="shared" si="8"/>
      </c>
      <c r="BY45">
        <f t="shared" si="8"/>
      </c>
      <c r="BZ45">
        <f t="shared" si="8"/>
      </c>
      <c r="CA45">
        <f t="shared" si="8"/>
      </c>
      <c r="CB45">
        <f t="shared" si="8"/>
      </c>
      <c r="CC45">
        <f t="shared" si="8"/>
      </c>
      <c r="CD45">
        <f t="shared" si="8"/>
      </c>
      <c r="CE45">
        <f t="shared" si="8"/>
      </c>
      <c r="CF45">
        <f t="shared" si="8"/>
      </c>
      <c r="CG45">
        <f t="shared" si="8"/>
      </c>
      <c r="CH45">
        <f t="shared" si="8"/>
      </c>
      <c r="CI45">
        <f t="shared" si="8"/>
      </c>
      <c r="CJ45">
        <f t="shared" si="8"/>
      </c>
      <c r="CK45">
        <f t="shared" si="8"/>
      </c>
      <c r="CL45">
        <f t="shared" si="8"/>
      </c>
      <c r="CM45">
        <f t="shared" si="8"/>
      </c>
      <c r="CN45">
        <f t="shared" si="8"/>
      </c>
      <c r="CO45">
        <f t="shared" si="8"/>
      </c>
      <c r="CP45">
        <f t="shared" si="8"/>
      </c>
      <c r="CQ45">
        <f t="shared" si="8"/>
      </c>
      <c r="CR45">
        <f t="shared" si="8"/>
      </c>
      <c r="CS45">
        <f t="shared" si="8"/>
      </c>
      <c r="CT45">
        <f t="shared" si="8"/>
      </c>
      <c r="CU45">
        <f t="shared" si="8"/>
      </c>
      <c r="CV45">
        <f t="shared" si="8"/>
      </c>
      <c r="CW45">
        <f t="shared" si="8"/>
      </c>
      <c r="CX45">
        <f t="shared" si="8"/>
      </c>
      <c r="CY45">
        <f t="shared" si="8"/>
      </c>
      <c r="CZ45">
        <f t="shared" si="8"/>
      </c>
      <c r="DA45">
        <f t="shared" si="8"/>
      </c>
      <c r="DB45">
        <f t="shared" si="8"/>
      </c>
      <c r="DC45">
        <f t="shared" si="8"/>
      </c>
      <c r="DD45">
        <f t="shared" si="8"/>
      </c>
      <c r="DE45">
        <f t="shared" si="8"/>
      </c>
      <c r="DF45">
        <f t="shared" si="8"/>
      </c>
      <c r="DG45">
        <f t="shared" si="8"/>
      </c>
      <c r="DH45">
        <f t="shared" si="8"/>
      </c>
      <c r="DI45">
        <f t="shared" si="8"/>
      </c>
      <c r="DJ45">
        <f t="shared" si="8"/>
      </c>
      <c r="DK45">
        <f t="shared" si="8"/>
      </c>
      <c r="DL45">
        <f t="shared" si="8"/>
      </c>
      <c r="DM45">
        <f t="shared" si="8"/>
      </c>
      <c r="DN45">
        <f t="shared" si="8"/>
      </c>
      <c r="DO45">
        <f t="shared" si="8"/>
      </c>
      <c r="DP45">
        <f t="shared" si="8"/>
      </c>
      <c r="DQ45">
        <f t="shared" si="8"/>
      </c>
      <c r="DR45">
        <f t="shared" si="8"/>
      </c>
      <c r="DS45">
        <f t="shared" si="8"/>
      </c>
      <c r="DT45">
        <f t="shared" si="8"/>
      </c>
      <c r="DU45">
        <f t="shared" si="8"/>
      </c>
      <c r="DV45">
        <f t="shared" si="8"/>
      </c>
      <c r="DW45">
        <f t="shared" si="8"/>
      </c>
      <c r="DX45">
        <f t="shared" si="8"/>
      </c>
      <c r="DY45">
        <f t="shared" si="8"/>
      </c>
      <c r="DZ45">
        <f t="shared" si="8"/>
      </c>
      <c r="EA45">
        <f t="shared" si="8"/>
      </c>
      <c r="EB45">
        <f t="shared" si="8"/>
      </c>
      <c r="EC45">
        <f t="shared" si="8"/>
      </c>
      <c r="ED45">
        <f t="shared" si="8"/>
      </c>
      <c r="EE45">
        <f t="shared" si="8"/>
      </c>
      <c r="EF45">
        <f t="shared" si="8"/>
      </c>
      <c r="EG45">
        <f t="shared" si="8"/>
      </c>
      <c r="EH45">
        <f t="shared" si="8"/>
      </c>
      <c r="EI45">
        <f t="shared" si="8"/>
      </c>
      <c r="EJ45">
        <f t="shared" si="8"/>
      </c>
      <c r="EK45">
        <f t="shared" si="8"/>
      </c>
      <c r="EL45">
        <f t="shared" si="8"/>
      </c>
      <c r="EM45">
        <f t="shared" si="8"/>
      </c>
      <c r="EN45">
        <f t="shared" si="8"/>
      </c>
      <c r="EO45">
        <f t="shared" si="8"/>
      </c>
      <c r="EP45">
        <f t="shared" si="8"/>
      </c>
      <c r="EQ45">
        <f t="shared" si="8"/>
      </c>
      <c r="ER45">
        <f t="shared" si="8"/>
      </c>
      <c r="ES45">
        <f t="shared" si="8"/>
      </c>
      <c r="ET45">
        <f t="shared" si="8"/>
      </c>
      <c r="EU45">
        <f t="shared" si="8"/>
      </c>
      <c r="EV45">
        <f t="shared" si="8"/>
      </c>
      <c r="EW45">
        <f t="shared" si="8"/>
      </c>
      <c r="EX45">
        <f t="shared" si="8"/>
      </c>
      <c r="EY45">
        <f t="shared" si="8"/>
      </c>
      <c r="EZ45">
        <f t="shared" si="8"/>
      </c>
      <c r="FA45" t="str">
        <f t="shared" si="12"/>
        <v>-</v>
      </c>
      <c r="FB45">
        <f t="shared" si="13"/>
      </c>
      <c r="FC45" cm="1">
        <f t="array" ref="FC45">_xlfn.LET(_xlpm.unit_type,$G45,_xlpm.market_rent_from_rent_roll,$E45,_xlpm.unit_type_list,RentRoll_InputArea_DesignatedUnitType,_xlpm.rent_by_unit_type,RentRoll_InputArea_MarketRent,_xlpm.use_rent_roll_market_rent,LEFT(RR_VacantUnitMktRentSource,9)="Rent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5">
        <f t="shared" si="14"/>
        <v>932</v>
      </c>
      <c r="FE45">
        <f t="shared" si="15"/>
        <v>932</v>
      </c>
      <c r="FF45">
        <f t="shared" si="16"/>
        <v>932</v>
      </c>
      <c r="FH45">
        <f t="shared" si="17"/>
      </c>
      <c r="FI45">
        <f t="shared" si="18"/>
      </c>
      <c r="FK45" cm="1">
        <f t="array" ref="FK45">IF(AND(LEN($D45)&gt;0,ISNA(MATCH(TRUE,EXACT($G45,RentRoll_InputArea_DesignatedUnitType),0))),1,0)</f>
        <v>0</v>
      </c>
      <c r="FL45">
        <f t="shared" si="19"/>
        <v>22</v>
      </c>
      <c r="IO45" cm="1">
        <f t="array" ref="IO45">IF(LEN($G45)=0,"Rent Roll is incomplete",_xlfn.XLOOKUP(TRUE,EXACT(RentRoll_InputArea_DesignatedUnitType,$G45),RentRoll_InputArea_Beds,"Not Found"))</f>
        <v>1</v>
      </c>
      <c r="IQ45" t="str">
        <f t="shared" si="20"/>
        <v>1 Bedroom Unit</v>
      </c>
      <c r="IR45">
        <f t="shared" si="21"/>
        <v>932</v>
      </c>
      <c r="IW45" t="str">
        <f t="shared" si="22"/>
        <v>2-213</v>
      </c>
      <c r="IZ45">
        <f t="shared" si="23"/>
        <v>1</v>
      </c>
      <c r="JA45">
        <f t="shared" si="24"/>
        <v>932</v>
      </c>
      <c r="JH45">
        <f t="shared" si="25"/>
        <v>1159</v>
      </c>
      <c r="JJ45">
        <f t="shared" si="26"/>
      </c>
      <c r="JQ45" t="str">
        <f t="shared" si="27"/>
        <v>Occupied</v>
      </c>
      <c r="JR45" cm="1">
        <f t="array" ref="JR45">_xlfn.XLOOKUP(TRUE,EXACT(RentRoll_InputArea_DesignatedUnitType,$G45),RentRoll_InputArea_SquareFootage,"Not Found")</f>
        <v>704</v>
      </c>
      <c r="JS45" t="str">
        <f t="shared" si="28"/>
        <v>Apartment</v>
      </c>
      <c r="JT45">
        <f t="shared" si="29"/>
      </c>
      <c r="JY45">
        <f t="shared" si="9"/>
        <v>43435</v>
      </c>
      <c r="JZ45">
        <f t="shared" si="9"/>
        <v>43708</v>
      </c>
    </row>
    <row r="46" ht="15" customHeight="1">
      <c r="A46">
        <f t="shared" si="10"/>
        <v>23</v>
      </c>
      <c r="D46" t="s">
        <v>2788</v>
      </c>
      <c r="E46">
        <v>1159</v>
      </c>
      <c r="F46" t="s">
        <v>2789</v>
      </c>
      <c r="G46" t="s">
        <v>2529</v>
      </c>
      <c r="H46">
        <v>1097</v>
      </c>
      <c r="I46" cm="1">
        <f t="array" ref="I46">_xlfn.LET(_xlpm.has_subsidy,$N46&gt;0,_xlpm.is_chap9_sbl,$FF$20,_xlpm.contract_rent,$H46,_xlpm.unit_type_mkt_rent,_xlfn.XLOOKUP(TRUE,EXACT($G46,RentRoll_InputArea_DesignatedUnitType),RentRoll_InputArea_MarketRent,"Not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6">
        <f t="shared" si="11"/>
        <v>1097</v>
      </c>
      <c r="O46" s="1">
        <v>43596</v>
      </c>
      <c r="P46" s="1">
        <v>43951</v>
      </c>
      <c r="Q46">
        <f t="shared" si="8"/>
        <v>1097</v>
      </c>
      <c r="R46">
        <f t="shared" si="8"/>
      </c>
      <c r="S46">
        <f t="shared" si="8"/>
      </c>
      <c r="T46">
        <f t="shared" si="8"/>
      </c>
      <c r="U46">
        <f t="shared" si="8"/>
      </c>
      <c r="V46">
        <f t="shared" si="8"/>
      </c>
      <c r="W46">
        <f t="shared" si="8"/>
      </c>
      <c r="X46">
        <f t="shared" si="8"/>
      </c>
      <c r="Y46">
        <f t="shared" si="8"/>
      </c>
      <c r="Z46">
        <f t="shared" si="8"/>
      </c>
      <c r="AA46">
        <f t="shared" si="8"/>
      </c>
      <c r="AB46">
        <f t="shared" si="8"/>
      </c>
      <c r="AC46">
        <f t="shared" si="8"/>
      </c>
      <c r="AD46">
        <f t="shared" si="8"/>
      </c>
      <c r="AE46">
        <f t="shared" si="8"/>
      </c>
      <c r="AF46">
        <f t="shared" si="8"/>
      </c>
      <c r="AG46">
        <f t="shared" si="8"/>
      </c>
      <c r="AH46">
        <f t="shared" si="8"/>
      </c>
      <c r="AI46">
        <f t="shared" si="8"/>
      </c>
      <c r="AJ46">
        <f t="shared" si="8"/>
      </c>
      <c r="AK46">
        <f t="shared" si="8"/>
      </c>
      <c r="AL46">
        <f t="shared" si="8"/>
      </c>
      <c r="AM46">
        <f t="shared" si="8"/>
      </c>
      <c r="AN46">
        <f t="shared" si="8"/>
      </c>
      <c r="AO46">
        <f t="shared" si="8"/>
      </c>
      <c r="AP46">
        <f t="shared" si="8"/>
      </c>
      <c r="AQ46">
        <f t="shared" si="8"/>
      </c>
      <c r="AR46">
        <f t="shared" si="8"/>
      </c>
      <c r="AS46">
        <f t="shared" si="8"/>
      </c>
      <c r="AT46">
        <f t="shared" si="8"/>
      </c>
      <c r="AU46">
        <f t="shared" si="8"/>
      </c>
      <c r="AV46">
        <f t="shared" si="8"/>
      </c>
      <c r="AW46">
        <f t="shared" si="8"/>
      </c>
      <c r="AX46">
        <f t="shared" si="8"/>
      </c>
      <c r="AY46">
        <f t="shared" si="8"/>
      </c>
      <c r="AZ46">
        <f t="shared" si="8"/>
      </c>
      <c r="BA46">
        <f t="shared" si="8"/>
      </c>
      <c r="BB46">
        <f t="shared" si="8"/>
      </c>
      <c r="BC46">
        <f t="shared" si="8"/>
      </c>
      <c r="BD46">
        <f t="shared" si="8"/>
      </c>
      <c r="BE46">
        <f t="shared" si="8"/>
      </c>
      <c r="BF46">
        <f t="shared" si="8"/>
      </c>
      <c r="BG46">
        <f t="shared" si="8"/>
      </c>
      <c r="BH46">
        <f t="shared" si="8"/>
      </c>
      <c r="BI46">
        <f t="shared" si="8"/>
      </c>
      <c r="BJ46">
        <f t="shared" si="8"/>
      </c>
      <c r="BK46">
        <f t="shared" si="8"/>
      </c>
      <c r="BL46">
        <f t="shared" si="8"/>
      </c>
      <c r="BM46">
        <f t="shared" si="8"/>
      </c>
      <c r="BN46">
        <f t="shared" si="8"/>
      </c>
      <c r="BO46">
        <f t="shared" si="8"/>
      </c>
      <c r="BP46">
        <f t="shared" si="8"/>
      </c>
      <c r="BQ46">
        <f t="shared" si="8"/>
      </c>
      <c r="BR46">
        <f t="shared" si="8"/>
      </c>
      <c r="BS46">
        <f t="shared" si="8"/>
      </c>
      <c r="BT46">
        <f t="shared" si="8"/>
      </c>
      <c r="BU46">
        <f t="shared" si="8"/>
      </c>
      <c r="BV46">
        <f t="shared" si="8"/>
      </c>
      <c r="BW46">
        <f t="shared" si="8"/>
      </c>
      <c r="BX46">
        <f t="shared" si="8"/>
      </c>
      <c r="BY46">
        <f t="shared" si="8"/>
      </c>
      <c r="BZ46">
        <f t="shared" si="8"/>
      </c>
      <c r="CA46">
        <f t="shared" si="8"/>
      </c>
      <c r="CB46">
        <f t="shared" si="8"/>
      </c>
      <c r="CC46">
        <f t="shared" si="8"/>
      </c>
      <c r="CD46">
        <f t="shared" si="8"/>
      </c>
      <c r="CE46">
        <f t="shared" si="8"/>
      </c>
      <c r="CF46">
        <f t="shared" si="8"/>
      </c>
      <c r="CG46">
        <f t="shared" si="8"/>
      </c>
      <c r="CH46">
        <f t="shared" si="8"/>
      </c>
      <c r="CI46">
        <f t="shared" si="8"/>
      </c>
      <c r="CJ46">
        <f t="shared" si="8"/>
      </c>
      <c r="CK46">
        <f t="shared" si="8"/>
      </c>
      <c r="CL46">
        <f t="shared" si="8"/>
      </c>
      <c r="CM46">
        <f t="shared" si="8"/>
      </c>
      <c r="CN46">
        <f t="shared" si="8"/>
      </c>
      <c r="CO46">
        <f t="shared" si="8"/>
      </c>
      <c r="CP46">
        <f t="shared" si="8"/>
      </c>
      <c r="CQ46">
        <f t="shared" si="8"/>
      </c>
      <c r="CR46">
        <f t="shared" si="8"/>
      </c>
      <c r="CS46">
        <f t="shared" si="8"/>
      </c>
      <c r="CT46">
        <f t="shared" si="8"/>
      </c>
      <c r="CU46">
        <f t="shared" si="8"/>
      </c>
      <c r="CV46">
        <f t="shared" si="8"/>
      </c>
      <c r="CW46">
        <f t="shared" si="8"/>
      </c>
      <c r="CX46">
        <f t="shared" si="8"/>
      </c>
      <c r="CY46">
        <f t="shared" si="8"/>
      </c>
      <c r="CZ46">
        <f t="shared" si="8"/>
      </c>
      <c r="DA46">
        <f t="shared" si="8"/>
      </c>
      <c r="DB46">
        <f t="shared" si="8"/>
      </c>
      <c r="DC46">
        <f t="shared" si="8"/>
      </c>
      <c r="DD46">
        <f t="shared" si="8"/>
      </c>
      <c r="DE46">
        <f t="shared" si="8"/>
      </c>
      <c r="DF46">
        <f t="shared" si="8"/>
      </c>
      <c r="DG46">
        <f t="shared" si="8"/>
      </c>
      <c r="DH46">
        <f t="shared" si="8"/>
      </c>
      <c r="DI46">
        <f t="shared" si="8"/>
      </c>
      <c r="DJ46">
        <f t="shared" si="8"/>
      </c>
      <c r="DK46">
        <f t="shared" si="8"/>
      </c>
      <c r="DL46">
        <f t="shared" si="8"/>
      </c>
      <c r="DM46">
        <f t="shared" si="8"/>
      </c>
      <c r="DN46">
        <f t="shared" si="8"/>
      </c>
      <c r="DO46">
        <f t="shared" si="8"/>
      </c>
      <c r="DP46">
        <f t="shared" si="8"/>
      </c>
      <c r="DQ46">
        <f t="shared" si="8"/>
      </c>
      <c r="DR46">
        <f t="shared" si="8"/>
      </c>
      <c r="DS46">
        <f t="shared" si="8"/>
      </c>
      <c r="DT46">
        <f t="shared" si="8"/>
      </c>
      <c r="DU46">
        <f t="shared" si="8"/>
      </c>
      <c r="DV46">
        <f t="shared" si="8"/>
      </c>
      <c r="DW46">
        <f t="shared" si="8"/>
      </c>
      <c r="DX46">
        <f t="shared" si="8"/>
      </c>
      <c r="DY46">
        <f t="shared" si="8"/>
      </c>
      <c r="DZ46">
        <f t="shared" si="8"/>
      </c>
      <c r="EA46">
        <f t="shared" si="8"/>
      </c>
      <c r="EB46">
        <f t="shared" si="8"/>
      </c>
      <c r="EC46">
        <f t="shared" si="8"/>
      </c>
      <c r="ED46">
        <f t="shared" si="8"/>
      </c>
      <c r="EE46">
        <f t="shared" si="8"/>
      </c>
      <c r="EF46">
        <f t="shared" si="8"/>
      </c>
      <c r="EG46">
        <f t="shared" si="8"/>
      </c>
      <c r="EH46">
        <f t="shared" si="8"/>
      </c>
      <c r="EI46">
        <f t="shared" si="8"/>
      </c>
      <c r="EJ46">
        <f t="shared" si="8"/>
      </c>
      <c r="EK46">
        <f t="shared" si="8"/>
      </c>
      <c r="EL46">
        <f t="shared" si="8"/>
      </c>
      <c r="EM46">
        <f t="shared" si="8"/>
      </c>
      <c r="EN46">
        <f t="shared" si="8"/>
      </c>
      <c r="EO46">
        <f t="shared" si="8"/>
      </c>
      <c r="EP46">
        <f t="shared" si="8"/>
      </c>
      <c r="EQ46">
        <f t="shared" si="8"/>
      </c>
      <c r="ER46">
        <f t="shared" si="8"/>
      </c>
      <c r="ES46">
        <f t="shared" si="8"/>
      </c>
      <c r="ET46">
        <f t="shared" si="8"/>
      </c>
      <c r="EU46">
        <f t="shared" si="8"/>
      </c>
      <c r="EV46">
        <f t="shared" si="8"/>
      </c>
      <c r="EW46">
        <f t="shared" si="8"/>
      </c>
      <c r="EX46">
        <f t="shared" si="8"/>
      </c>
      <c r="EY46">
        <f t="shared" si="8"/>
      </c>
      <c r="EZ46">
        <f t="shared" si="8"/>
      </c>
      <c r="FA46" t="str">
        <f t="shared" si="12"/>
        <v>-</v>
      </c>
      <c r="FB46">
        <f t="shared" si="13"/>
      </c>
      <c r="FC46" cm="1">
        <f t="array" ref="FC46">_xlfn.LET(_xlpm.unit_type,$G46,_xlpm.market_rent_from_rent_roll,$E46,_xlpm.unit_type_list,RentRoll_InputArea_DesignatedUnitType,_xlpm.rent_by_unit_type,RentRoll_InputArea_MarketRent,_xlpm.use_rent_roll_market_rent,LEFT(RR_VacantUnitMktRentSource,9)="Rent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6">
        <f t="shared" si="14"/>
        <v>1097</v>
      </c>
      <c r="FE46">
        <f t="shared" si="15"/>
        <v>1097</v>
      </c>
      <c r="FF46">
        <f t="shared" si="16"/>
        <v>1097</v>
      </c>
      <c r="FH46">
        <f t="shared" si="17"/>
      </c>
      <c r="FI46">
        <f t="shared" si="18"/>
      </c>
      <c r="FK46" cm="1">
        <f t="array" ref="FK46">IF(AND(LEN($D46)&gt;0,ISNA(MATCH(TRUE,EXACT($G46,RentRoll_InputArea_DesignatedUnitType),0))),1,0)</f>
        <v>0</v>
      </c>
      <c r="FL46">
        <f t="shared" si="19"/>
        <v>23</v>
      </c>
      <c r="IO46" cm="1">
        <f t="array" ref="IO46">IF(LEN($G46)=0,"Rent Roll is incomplete",_xlfn.XLOOKUP(TRUE,EXACT(RentRoll_InputArea_DesignatedUnitType,$G46),RentRoll_InputArea_Beds,"Not Found"))</f>
        <v>1</v>
      </c>
      <c r="IQ46" t="str">
        <f t="shared" si="20"/>
        <v>1 Bedroom Unit</v>
      </c>
      <c r="IR46">
        <f t="shared" si="21"/>
        <v>1097</v>
      </c>
      <c r="IW46" t="str">
        <f t="shared" si="22"/>
        <v>2-214</v>
      </c>
      <c r="IZ46">
        <f t="shared" si="23"/>
        <v>1</v>
      </c>
      <c r="JA46">
        <f t="shared" si="24"/>
        <v>1097</v>
      </c>
      <c r="JH46">
        <f t="shared" si="25"/>
        <v>1159</v>
      </c>
      <c r="JJ46">
        <f t="shared" si="26"/>
      </c>
      <c r="JQ46" t="str">
        <f t="shared" si="27"/>
        <v>Occupied</v>
      </c>
      <c r="JR46" cm="1">
        <f t="array" ref="JR46">_xlfn.XLOOKUP(TRUE,EXACT(RentRoll_InputArea_DesignatedUnitType,$G46),RentRoll_InputArea_SquareFootage,"Not Found")</f>
        <v>704</v>
      </c>
      <c r="JS46" t="str">
        <f t="shared" si="28"/>
        <v>Apartment</v>
      </c>
      <c r="JT46">
        <f t="shared" si="29"/>
      </c>
      <c r="JY46">
        <f t="shared" si="9"/>
        <v>43596</v>
      </c>
      <c r="JZ46">
        <f t="shared" si="9"/>
        <v>43951</v>
      </c>
    </row>
    <row r="47" ht="15" customHeight="1">
      <c r="A47">
        <f t="shared" si="10"/>
        <v>24</v>
      </c>
      <c r="D47" t="s">
        <v>2790</v>
      </c>
      <c r="E47">
        <v>1197</v>
      </c>
      <c r="F47" t="s">
        <v>2791</v>
      </c>
      <c r="G47" t="s">
        <v>2529</v>
      </c>
      <c r="H47">
        <v>1136</v>
      </c>
      <c r="I47" cm="1">
        <f t="array" ref="I47">_xlfn.LET(_xlpm.has_subsidy,$N47&gt;0,_xlpm.is_chap9_sbl,$FF$20,_xlpm.contract_rent,$H47,_xlpm.unit_type_mkt_rent,_xlfn.XLOOKUP(TRUE,EXACT($G47,RentRoll_InputArea_DesignatedUnitType),RentRoll_InputArea_MarketRent,"Not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7">
        <f t="shared" si="11"/>
        <v>1136</v>
      </c>
      <c r="O47" s="1">
        <v>43556</v>
      </c>
      <c r="P47" s="1">
        <v>43769</v>
      </c>
      <c r="Q47">
        <f t="shared" si="8"/>
        <v>1136</v>
      </c>
      <c r="R47">
        <f t="shared" si="8"/>
      </c>
      <c r="S47">
        <f t="shared" si="8"/>
      </c>
      <c r="T47">
        <f t="shared" si="8"/>
      </c>
      <c r="U47">
        <f t="shared" si="8"/>
      </c>
      <c r="V47">
        <f t="shared" si="8"/>
      </c>
      <c r="W47">
        <f t="shared" si="8"/>
      </c>
      <c r="X47">
        <f t="shared" si="8"/>
      </c>
      <c r="Y47">
        <f t="shared" si="8"/>
      </c>
      <c r="Z47">
        <f t="shared" si="8"/>
      </c>
      <c r="AA47">
        <f t="shared" si="8"/>
      </c>
      <c r="AB47">
        <f t="shared" si="8"/>
      </c>
      <c r="AC47">
        <f t="shared" si="8"/>
      </c>
      <c r="AD47">
        <f t="shared" si="8"/>
      </c>
      <c r="AE47">
        <f t="shared" si="8"/>
      </c>
      <c r="AF47">
        <f t="shared" si="8"/>
      </c>
      <c r="AG47">
        <f t="shared" si="8"/>
      </c>
      <c r="AH47">
        <f t="shared" si="8"/>
      </c>
      <c r="AI47">
        <f t="shared" si="8"/>
      </c>
      <c r="AJ47">
        <f t="shared" si="8"/>
      </c>
      <c r="AK47">
        <f t="shared" si="8"/>
      </c>
      <c r="AL47">
        <f t="shared" si="8"/>
      </c>
      <c r="AM47">
        <f t="shared" si="8"/>
      </c>
      <c r="AN47">
        <f t="shared" si="8"/>
      </c>
      <c r="AO47">
        <f t="shared" si="8"/>
      </c>
      <c r="AP47">
        <f t="shared" si="8"/>
      </c>
      <c r="AQ47">
        <f t="shared" si="8"/>
      </c>
      <c r="AR47">
        <f t="shared" si="8"/>
      </c>
      <c r="AS47">
        <f t="shared" si="8"/>
      </c>
      <c r="AT47">
        <f t="shared" si="8"/>
      </c>
      <c r="AU47">
        <f t="shared" si="8"/>
      </c>
      <c r="AV47">
        <f t="shared" si="8"/>
      </c>
      <c r="AW47">
        <f t="shared" si="8"/>
      </c>
      <c r="AX47">
        <f t="shared" si="8"/>
      </c>
      <c r="AY47">
        <f t="shared" si="8"/>
      </c>
      <c r="AZ47">
        <f t="shared" si="8"/>
      </c>
      <c r="BA47">
        <f t="shared" si="8"/>
      </c>
      <c r="BB47">
        <f t="shared" si="8"/>
      </c>
      <c r="BC47">
        <f t="shared" si="8"/>
      </c>
      <c r="BD47">
        <f t="shared" si="8"/>
      </c>
      <c r="BE47">
        <f t="shared" si="8"/>
      </c>
      <c r="BF47">
        <f t="shared" si="8"/>
      </c>
      <c r="BG47">
        <f t="shared" si="8"/>
      </c>
      <c r="BH47">
        <f t="shared" si="8"/>
      </c>
      <c r="BI47">
        <f t="shared" si="8"/>
      </c>
      <c r="BJ47">
        <f t="shared" si="8"/>
      </c>
      <c r="BK47">
        <f t="shared" si="8"/>
      </c>
      <c r="BL47">
        <f t="shared" si="8"/>
      </c>
      <c r="BM47">
        <f t="shared" si="8"/>
      </c>
      <c r="BN47">
        <f t="shared" si="8"/>
      </c>
      <c r="BO47">
        <f t="shared" si="8"/>
      </c>
      <c r="BP47">
        <f t="shared" si="8"/>
      </c>
      <c r="BQ47">
        <f t="shared" si="8"/>
      </c>
      <c r="BR47">
        <f t="shared" si="8"/>
      </c>
      <c r="BS47">
        <f t="shared" si="8"/>
      </c>
      <c r="BT47">
        <f t="shared" si="8"/>
      </c>
      <c r="BU47">
        <f t="shared" si="8"/>
      </c>
      <c r="BV47">
        <f t="shared" si="8"/>
      </c>
      <c r="BW47">
        <f t="shared" si="8"/>
      </c>
      <c r="BX47">
        <f t="shared" si="8"/>
      </c>
      <c r="BY47">
        <f t="shared" si="8"/>
      </c>
      <c r="BZ47">
        <f t="shared" si="8"/>
      </c>
      <c r="CA47">
        <f t="shared" si="8"/>
      </c>
      <c r="CB47">
        <f t="shared" si="8"/>
      </c>
      <c r="CC47">
        <f t="shared" si="8"/>
      </c>
      <c r="CD47">
        <f t="shared" si="8"/>
      </c>
      <c r="CE47">
        <f t="shared" si="8"/>
      </c>
      <c r="CF47">
        <f t="shared" si="8"/>
      </c>
      <c r="CG47">
        <f t="shared" si="8"/>
      </c>
      <c r="CH47">
        <f t="shared" si="8"/>
      </c>
      <c r="CI47">
        <f t="shared" si="8"/>
      </c>
      <c r="CJ47">
        <f t="shared" si="8"/>
      </c>
      <c r="CK47">
        <f t="shared" si="8"/>
      </c>
      <c r="CL47">
        <f t="shared" si="8"/>
      </c>
      <c r="CM47">
        <f t="shared" si="8"/>
      </c>
      <c r="CN47">
        <f t="shared" si="8"/>
      </c>
      <c r="CO47">
        <f t="shared" si="8"/>
      </c>
      <c r="CP47">
        <f t="shared" si="8"/>
      </c>
      <c r="CQ47">
        <f t="shared" si="8"/>
      </c>
      <c r="CR47">
        <f t="shared" si="8"/>
      </c>
      <c r="CS47">
        <f t="shared" si="8"/>
      </c>
      <c r="CT47">
        <f t="shared" si="8"/>
      </c>
      <c r="CU47">
        <f t="shared" si="8"/>
      </c>
      <c r="CV47">
        <f t="shared" si="8"/>
      </c>
      <c r="CW47">
        <f t="shared" si="8"/>
      </c>
      <c r="CX47">
        <f t="shared" si="8"/>
      </c>
      <c r="CY47">
        <f t="shared" si="8"/>
      </c>
      <c r="CZ47">
        <f t="shared" si="8"/>
      </c>
      <c r="DA47">
        <f t="shared" si="8"/>
      </c>
      <c r="DB47">
        <f t="shared" si="8"/>
      </c>
      <c r="DC47">
        <f t="shared" si="8"/>
      </c>
      <c r="DD47">
        <f t="shared" si="8"/>
      </c>
      <c r="DE47">
        <f t="shared" si="8"/>
      </c>
      <c r="DF47">
        <f t="shared" si="8"/>
      </c>
      <c r="DG47">
        <f t="shared" si="8"/>
      </c>
      <c r="DH47">
        <f t="shared" si="8"/>
      </c>
      <c r="DI47">
        <f t="shared" si="8"/>
      </c>
      <c r="DJ47">
        <f t="shared" si="8"/>
      </c>
      <c r="DK47">
        <f t="shared" si="8"/>
      </c>
      <c r="DL47">
        <f t="shared" si="8"/>
      </c>
      <c r="DM47">
        <f t="shared" si="8"/>
      </c>
      <c r="DN47">
        <f t="shared" si="8"/>
      </c>
      <c r="DO47">
        <f t="shared" si="8"/>
      </c>
      <c r="DP47">
        <f t="shared" si="8"/>
      </c>
      <c r="DQ47">
        <f t="shared" si="8"/>
      </c>
      <c r="DR47">
        <f t="shared" si="8"/>
      </c>
      <c r="DS47">
        <f t="shared" si="8"/>
      </c>
      <c r="DT47">
        <f t="shared" si="8"/>
      </c>
      <c r="DU47">
        <f t="shared" si="8"/>
      </c>
      <c r="DV47">
        <f t="shared" si="8"/>
      </c>
      <c r="DW47">
        <f t="shared" si="8"/>
      </c>
      <c r="DX47">
        <f t="shared" si="8"/>
      </c>
      <c r="DY47">
        <f t="shared" si="8"/>
      </c>
      <c r="DZ47">
        <f t="shared" si="8"/>
      </c>
      <c r="EA47">
        <f t="shared" si="8"/>
      </c>
      <c r="EB47">
        <f t="shared" si="8"/>
      </c>
      <c r="EC47">
        <f t="shared" si="8"/>
      </c>
      <c r="ED47">
        <f t="shared" si="8"/>
      </c>
      <c r="EE47">
        <f t="shared" si="8"/>
      </c>
      <c r="EF47">
        <f t="shared" si="8"/>
      </c>
      <c r="EG47">
        <f t="shared" si="8"/>
      </c>
      <c r="EH47">
        <f t="shared" si="8"/>
      </c>
      <c r="EI47">
        <f t="shared" si="8"/>
      </c>
      <c r="EJ47">
        <f t="shared" si="8"/>
      </c>
      <c r="EK47">
        <f t="shared" si="8"/>
      </c>
      <c r="EL47">
        <f t="shared" si="8"/>
      </c>
      <c r="EM47">
        <f t="shared" si="8"/>
      </c>
      <c r="EN47">
        <f t="shared" si="8"/>
      </c>
      <c r="EO47">
        <f t="shared" si="8"/>
      </c>
      <c r="EP47">
        <f t="shared" si="8"/>
      </c>
      <c r="EQ47">
        <f t="shared" si="8"/>
      </c>
      <c r="ER47">
        <f t="shared" si="8"/>
      </c>
      <c r="ES47">
        <f t="shared" si="8"/>
      </c>
      <c r="ET47">
        <f t="shared" si="8"/>
      </c>
      <c r="EU47">
        <f t="shared" si="8"/>
      </c>
      <c r="EV47">
        <f t="shared" si="8"/>
      </c>
      <c r="EW47">
        <f t="shared" si="8"/>
      </c>
      <c r="EX47">
        <f t="shared" si="8"/>
      </c>
      <c r="EY47">
        <f t="shared" si="8"/>
      </c>
      <c r="EZ47">
        <f t="shared" si="8"/>
      </c>
      <c r="FA47" t="str">
        <f t="shared" si="12"/>
        <v>-</v>
      </c>
      <c r="FB47">
        <f t="shared" si="13"/>
      </c>
      <c r="FC47" cm="1">
        <f t="array" ref="FC47">_xlfn.LET(_xlpm.unit_type,$G47,_xlpm.market_rent_from_rent_roll,$E47,_xlpm.unit_type_list,RentRoll_InputArea_DesignatedUnitType,_xlpm.rent_by_unit_type,RentRoll_InputArea_MarketRent,_xlpm.use_rent_roll_market_rent,LEFT(RR_VacantUnitMktRentSource,9)="Rent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47">
        <f t="shared" si="14"/>
        <v>1136</v>
      </c>
      <c r="FE47">
        <f t="shared" si="15"/>
        <v>1136</v>
      </c>
      <c r="FF47">
        <f t="shared" si="16"/>
        <v>1136</v>
      </c>
      <c r="FH47">
        <f t="shared" si="17"/>
      </c>
      <c r="FI47">
        <f t="shared" si="18"/>
      </c>
      <c r="FK47" cm="1">
        <f t="array" ref="FK47">IF(AND(LEN($D47)&gt;0,ISNA(MATCH(TRUE,EXACT($G47,RentRoll_InputArea_DesignatedUnitType),0))),1,0)</f>
        <v>0</v>
      </c>
      <c r="FL47">
        <f t="shared" si="19"/>
        <v>24</v>
      </c>
      <c r="IO47" cm="1">
        <f t="array" ref="IO47">IF(LEN($G47)=0,"Rent Roll is incomplete",_xlfn.XLOOKUP(TRUE,EXACT(RentRoll_InputArea_DesignatedUnitType,$G47),RentRoll_InputArea_Beds,"Not Found"))</f>
        <v>1</v>
      </c>
      <c r="IQ47" t="str">
        <f t="shared" si="20"/>
        <v>1 Bedroom Unit</v>
      </c>
      <c r="IR47">
        <f t="shared" si="21"/>
        <v>1136</v>
      </c>
      <c r="IW47" t="str">
        <f t="shared" si="22"/>
        <v>2-215</v>
      </c>
      <c r="IZ47">
        <f t="shared" si="23"/>
        <v>1</v>
      </c>
      <c r="JA47">
        <f t="shared" si="24"/>
        <v>1136</v>
      </c>
      <c r="JH47">
        <f t="shared" si="25"/>
        <v>1159</v>
      </c>
      <c r="JJ47">
        <f t="shared" si="26"/>
      </c>
      <c r="JQ47" t="str">
        <f t="shared" si="27"/>
        <v>Occupied</v>
      </c>
      <c r="JR47" cm="1">
        <f t="array" ref="JR47">_xlfn.XLOOKUP(TRUE,EXACT(RentRoll_InputArea_DesignatedUnitType,$G47),RentRoll_InputArea_SquareFootage,"Not Found")</f>
        <v>704</v>
      </c>
      <c r="JS47" t="str">
        <f t="shared" si="28"/>
        <v>Apartment</v>
      </c>
      <c r="JT47">
        <f t="shared" si="29"/>
      </c>
      <c r="JY47">
        <f t="shared" si="9"/>
        <v>43556</v>
      </c>
      <c r="JZ47">
        <f t="shared" si="9"/>
        <v>43769</v>
      </c>
    </row>
    <row r="48" ht="15" customHeight="1">
      <c r="A48">
        <f t="shared" si="10"/>
        <v>25</v>
      </c>
      <c r="D48" t="s">
        <v>2792</v>
      </c>
      <c r="E48">
        <v>1374</v>
      </c>
      <c r="F48" t="s">
        <v>2793</v>
      </c>
      <c r="G48" t="s">
        <v>2531</v>
      </c>
      <c r="H48">
        <v>1424</v>
      </c>
      <c r="I48" cm="1">
        <f t="array" ref="I48">_xlfn.LET(_xlpm.has_subsidy,$N48&gt;0,_xlpm.is_chap9_sbl,$FF$20,_xlpm.contract_rent,$H48,_xlpm.unit_type_mkt_rent,_xlfn.XLOOKUP(TRUE,EXACT($G48,RentRoll_InputArea_DesignatedUnitType),RentRoll_InputArea_MarketRent,"Not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8">
        <f t="shared" si="11"/>
        <v>1424</v>
      </c>
      <c r="O48" s="1">
        <v>43596</v>
      </c>
      <c r="P48" s="1">
        <v>43890</v>
      </c>
      <c r="Q48">
        <f t="shared" si="8"/>
      </c>
      <c r="R48">
        <f t="shared" si="8"/>
      </c>
      <c r="S48">
        <f t="shared" si="8"/>
        <v>1424</v>
      </c>
      <c r="T48">
        <f t="shared" si="8"/>
      </c>
      <c r="U48">
        <f t="shared" si="8"/>
      </c>
      <c r="V48">
        <f t="shared" si="8"/>
      </c>
      <c r="W48">
        <f t="shared" si="8"/>
      </c>
      <c r="X48">
        <f t="shared" si="8"/>
      </c>
      <c r="Y48">
        <f t="shared" si="8"/>
      </c>
      <c r="Z48">
        <f t="shared" si="8"/>
      </c>
      <c r="AA48">
        <f t="shared" si="8"/>
      </c>
      <c r="AB48">
        <f t="shared" si="8"/>
      </c>
      <c r="AC48">
        <f t="shared" si="8"/>
      </c>
      <c r="AD48">
        <f t="shared" si="8"/>
      </c>
      <c r="AE48">
        <f t="shared" si="8"/>
      </c>
      <c r="AF48">
        <f t="shared" si="8"/>
      </c>
      <c r="AG48">
        <f t="shared" si="8"/>
      </c>
      <c r="AH48">
        <f t="shared" si="8"/>
      </c>
      <c r="AI48">
        <f t="shared" si="8"/>
      </c>
      <c r="AJ48">
        <f t="shared" si="8"/>
      </c>
      <c r="AK48">
        <f t="shared" si="8"/>
      </c>
      <c r="AL48">
        <f t="shared" si="8"/>
      </c>
      <c r="AM48">
        <f t="shared" si="8"/>
      </c>
      <c r="AN48">
        <f t="shared" si="8"/>
      </c>
      <c r="AO48">
        <f t="shared" si="8"/>
      </c>
      <c r="AP48">
        <f t="shared" si="8"/>
      </c>
      <c r="AQ48">
        <f t="shared" si="8"/>
      </c>
      <c r="AR48">
        <f t="shared" si="8"/>
      </c>
      <c r="AS48">
        <f t="shared" si="8"/>
      </c>
      <c r="AT48">
        <f t="shared" si="8"/>
      </c>
      <c r="AU48">
        <f t="shared" si="8"/>
      </c>
      <c r="AV48">
        <f t="shared" si="8"/>
      </c>
      <c r="AW48">
        <f t="shared" si="8"/>
      </c>
      <c r="AX48">
        <f t="shared" si="8"/>
      </c>
      <c r="AY48">
        <f t="shared" si="8"/>
      </c>
      <c r="AZ48">
        <f t="shared" si="8"/>
      </c>
      <c r="BA48">
        <f t="shared" si="8"/>
      </c>
      <c r="BB48">
        <f t="shared" si="8"/>
      </c>
      <c r="BC48">
        <f t="shared" si="8"/>
      </c>
      <c r="BD48">
        <f t="shared" si="8"/>
      </c>
      <c r="BE48">
        <f t="shared" si="8"/>
      </c>
      <c r="BF48">
        <f t="shared" si="8"/>
      </c>
      <c r="BG48">
        <f t="shared" si="8"/>
      </c>
      <c r="BH48">
        <f t="shared" si="8"/>
      </c>
      <c r="BI48">
        <f t="shared" si="8"/>
      </c>
      <c r="BJ48">
        <f t="shared" si="8"/>
      </c>
      <c r="BK48">
        <f t="shared" si="8"/>
      </c>
      <c r="BL48">
        <f t="shared" si="8"/>
      </c>
      <c r="BM48">
        <f t="shared" si="8"/>
      </c>
      <c r="BN48">
        <f t="shared" si="8"/>
      </c>
      <c r="BO48">
        <f t="shared" si="8"/>
      </c>
      <c r="BP48">
        <f t="shared" si="8"/>
      </c>
      <c r="BQ48">
        <f t="shared" si="8"/>
      </c>
      <c r="BR48">
        <f t="shared" si="8"/>
      </c>
      <c r="BS48">
        <f t="shared" si="8"/>
      </c>
      <c r="BT48">
        <f t="shared" si="8"/>
      </c>
      <c r="BU48">
        <f t="shared" si="8"/>
      </c>
      <c r="BV48">
        <f t="shared" si="8"/>
      </c>
      <c r="BW48">
        <f t="shared" si="8"/>
      </c>
      <c r="BX48">
        <f t="shared" si="8"/>
      </c>
      <c r="BY48">
        <f t="shared" si="8"/>
      </c>
      <c r="BZ48">
        <f t="shared" si="8"/>
      </c>
      <c r="CA48">
        <f t="shared" si="8"/>
      </c>
      <c r="CB48">
        <f t="shared" si="8"/>
      </c>
      <c r="CC48">
        <f t="shared" si="8"/>
      </c>
      <c r="CD48">
        <f t="shared" si="8"/>
      </c>
      <c r="CE48">
        <f t="shared" si="8"/>
      </c>
      <c r="CF48">
        <f t="shared" si="8"/>
      </c>
      <c r="CG48">
        <f t="shared" si="8"/>
      </c>
      <c r="CH48">
        <f t="shared" si="8"/>
      </c>
      <c r="CI48">
        <f t="shared" si="8"/>
      </c>
      <c r="CJ48">
        <f t="shared" si="8"/>
      </c>
      <c r="CK48">
        <f t="shared" si="8"/>
      </c>
      <c r="CL48">
        <f t="shared" si="8"/>
      </c>
      <c r="CM48">
        <f t="shared" si="8"/>
      </c>
      <c r="CN48">
        <f t="shared" si="8"/>
      </c>
      <c r="CO48">
        <f t="shared" si="8"/>
      </c>
      <c r="CP48">
        <f t="shared" si="8"/>
      </c>
      <c r="CQ48">
        <f t="shared" si="8"/>
      </c>
      <c r="CR48">
        <f t="shared" si="8"/>
      </c>
      <c r="CS48">
        <f t="shared" si="8"/>
      </c>
      <c r="CT48">
        <f t="shared" si="8"/>
      </c>
      <c r="CU48">
        <f t="shared" si="8"/>
      </c>
      <c r="CV48">
        <f t="shared" si="8"/>
      </c>
      <c r="CW48">
        <f t="shared" si="8"/>
      </c>
      <c r="CX48">
        <f t="shared" si="8"/>
      </c>
      <c r="CY48">
        <f t="shared" si="8"/>
      </c>
      <c r="CZ48">
        <f t="shared" si="8"/>
      </c>
      <c r="DA48">
        <f t="shared" si="8"/>
      </c>
      <c r="DB48">
        <f t="shared" si="8"/>
      </c>
      <c r="DC48">
        <f t="shared" si="8"/>
      </c>
      <c r="DD48">
        <f t="shared" si="8"/>
      </c>
      <c r="DE48">
        <f t="shared" si="8"/>
      </c>
      <c r="DF48">
        <f t="shared" si="8"/>
      </c>
      <c r="DG48">
        <f t="shared" si="8"/>
      </c>
      <c r="DH48">
        <f t="shared" si="8"/>
      </c>
      <c r="DI48">
        <f t="shared" si="8"/>
      </c>
      <c r="DJ48">
        <f t="shared" si="8"/>
      </c>
      <c r="DK48">
        <f t="shared" si="8"/>
      </c>
      <c r="DL48">
        <f t="shared" si="8"/>
      </c>
      <c r="DM48">
        <f t="shared" si="8"/>
      </c>
      <c r="DN48">
        <f t="shared" si="8"/>
      </c>
      <c r="DO48">
        <f t="shared" si="8"/>
      </c>
      <c r="DP48">
        <f t="shared" si="8"/>
      </c>
      <c r="DQ48">
        <f t="shared" si="8"/>
      </c>
      <c r="DR48">
        <f t="shared" si="8"/>
      </c>
      <c r="DS48">
        <f t="shared" si="8"/>
      </c>
      <c r="DT48">
        <f t="shared" si="8"/>
      </c>
      <c r="DU48">
        <f t="shared" si="8"/>
      </c>
      <c r="DV48">
        <f t="shared" si="8"/>
      </c>
      <c r="DW48">
        <f t="shared" si="8"/>
      </c>
      <c r="DX48">
        <f t="shared" si="8"/>
      </c>
      <c r="DY48">
        <f t="shared" si="8"/>
      </c>
      <c r="DZ48">
        <f t="shared" si="8"/>
      </c>
      <c r="EA48">
        <f t="shared" si="8"/>
      </c>
      <c r="EB48">
        <f t="shared" si="8"/>
      </c>
      <c r="EC48">
        <f t="shared" si="8"/>
      </c>
      <c r="ED48">
        <f t="shared" si="8"/>
      </c>
      <c r="EE48">
        <f t="shared" si="8"/>
      </c>
      <c r="EF48">
        <f t="shared" si="8"/>
      </c>
      <c r="EG48">
        <f t="shared" si="8"/>
      </c>
      <c r="EH48">
        <f t="shared" si="8"/>
      </c>
      <c r="EI48">
        <f t="shared" si="8"/>
      </c>
      <c r="EJ48">
        <f t="shared" si="8"/>
      </c>
      <c r="EK48">
        <f t="shared" si="8"/>
      </c>
      <c r="EL48">
        <f t="shared" si="8"/>
      </c>
      <c r="EM48">
        <f t="shared" si="8"/>
      </c>
      <c r="EN48">
        <f t="shared" si="8"/>
      </c>
      <c r="EO48">
        <f t="shared" si="8"/>
      </c>
      <c r="EP48">
        <f t="shared" si="8"/>
      </c>
      <c r="EQ48">
        <f t="shared" si="8"/>
      </c>
      <c r="ER48">
        <f t="shared" si="8"/>
      </c>
      <c r="ES48">
        <f t="shared" si="8"/>
      </c>
      <c r="ET48">
        <f t="shared" si="8"/>
      </c>
      <c r="EU48">
        <f t="shared" si="8"/>
      </c>
      <c r="EV48">
        <f t="shared" si="8"/>
      </c>
      <c r="EW48">
        <f t="shared" si="8"/>
      </c>
      <c r="EX48">
        <f t="shared" si="8"/>
      </c>
      <c r="EY48">
        <f t="shared" si="8"/>
      </c>
      <c r="EZ48">
        <f t="shared" si="8"/>
      </c>
      <c r="FA48" t="str">
        <f t="shared" si="12"/>
        <v>-</v>
      </c>
      <c r="FB48">
        <f t="shared" si="13"/>
      </c>
      <c r="FC48" cm="1">
        <f t="array" ref="FC48">_xlfn.LET(_xlpm.unit_type,$G48,_xlpm.market_rent_from_rent_roll,$E48,_xlpm.unit_type_list,RentRoll_InputArea_DesignatedUnitType,_xlpm.rent_by_unit_type,RentRoll_InputArea_MarketRent,_xlpm.use_rent_roll_market_rent,LEFT(RR_VacantUnitMktRentSource,9)="Rent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48">
        <f t="shared" si="14"/>
        <v>1424</v>
      </c>
      <c r="FE48">
        <f t="shared" si="15"/>
        <v>1424</v>
      </c>
      <c r="FF48">
        <f t="shared" si="16"/>
        <v>1424</v>
      </c>
      <c r="FH48">
        <f t="shared" si="17"/>
      </c>
      <c r="FI48">
        <f t="shared" si="18"/>
      </c>
      <c r="FK48" cm="1">
        <f t="array" ref="FK48">IF(AND(LEN($D48)&gt;0,ISNA(MATCH(TRUE,EXACT($G48,RentRoll_InputArea_DesignatedUnitType),0))),1,0)</f>
        <v>0</v>
      </c>
      <c r="FL48">
        <f t="shared" si="19"/>
        <v>25</v>
      </c>
      <c r="IO48" cm="1">
        <f t="array" ref="IO48">IF(LEN($G48)=0,"Rent Roll is incomplete",_xlfn.XLOOKUP(TRUE,EXACT(RentRoll_InputArea_DesignatedUnitType,$G48),RentRoll_InputArea_Beds,"Not Found"))</f>
        <v>2</v>
      </c>
      <c r="IQ48" t="str">
        <f t="shared" si="20"/>
        <v>2 Bedroom Unit</v>
      </c>
      <c r="IR48">
        <f t="shared" si="21"/>
        <v>1424</v>
      </c>
      <c r="IW48" t="str">
        <f t="shared" si="22"/>
        <v>3-300</v>
      </c>
      <c r="IZ48">
        <f t="shared" si="23"/>
        <v>2</v>
      </c>
      <c r="JA48">
        <f t="shared" si="24"/>
        <v>1424</v>
      </c>
      <c r="JH48">
        <f t="shared" si="25"/>
        <v>1410</v>
      </c>
      <c r="JJ48">
        <f t="shared" si="26"/>
      </c>
      <c r="JQ48" t="str">
        <f t="shared" si="27"/>
        <v>Occupied</v>
      </c>
      <c r="JR48" cm="1">
        <f t="array" ref="JR48">_xlfn.XLOOKUP(TRUE,EXACT(RentRoll_InputArea_DesignatedUnitType,$G48),RentRoll_InputArea_SquareFootage,"Not Found")</f>
        <v>851</v>
      </c>
      <c r="JS48" t="str">
        <f t="shared" si="28"/>
        <v>Apartment</v>
      </c>
      <c r="JT48">
        <f t="shared" si="29"/>
      </c>
      <c r="JY48">
        <f t="shared" si="9"/>
        <v>43596</v>
      </c>
      <c r="JZ48">
        <f t="shared" si="9"/>
        <v>43890</v>
      </c>
    </row>
    <row r="49" ht="15" customHeight="1">
      <c r="A49">
        <f t="shared" si="10"/>
        <v>26</v>
      </c>
      <c r="D49" t="s">
        <v>2794</v>
      </c>
      <c r="E49">
        <v>1373</v>
      </c>
      <c r="F49" t="s">
        <v>2795</v>
      </c>
      <c r="G49" t="s">
        <v>2531</v>
      </c>
      <c r="H49">
        <v>1482</v>
      </c>
      <c r="I49" cm="1">
        <f t="array" ref="I49">_xlfn.LET(_xlpm.has_subsidy,$N49&gt;0,_xlpm.is_chap9_sbl,$FF$20,_xlpm.contract_rent,$H49,_xlpm.unit_type_mkt_rent,_xlfn.XLOOKUP(TRUE,EXACT($G49,RentRoll_InputArea_DesignatedUnitType),RentRoll_InputArea_MarketRent,"Not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49">
        <f t="shared" si="11"/>
        <v>1482</v>
      </c>
      <c r="O49" s="1">
        <v>43601</v>
      </c>
      <c r="P49" s="1">
        <v>43830</v>
      </c>
      <c r="Q49">
        <f t="shared" si="8"/>
      </c>
      <c r="R49">
        <f t="shared" si="8"/>
      </c>
      <c r="S49">
        <f t="shared" si="8"/>
        <v>1482</v>
      </c>
      <c r="T49">
        <f t="shared" si="8"/>
      </c>
      <c r="U49">
        <f t="shared" si="8"/>
      </c>
      <c r="V49">
        <f t="shared" si="8"/>
      </c>
      <c r="W49">
        <f t="shared" si="8"/>
      </c>
      <c r="X49">
        <f t="shared" si="8"/>
      </c>
      <c r="Y49">
        <f t="shared" si="8"/>
      </c>
      <c r="Z49">
        <f t="shared" si="8"/>
      </c>
      <c r="AA49">
        <f t="shared" si="8"/>
      </c>
      <c r="AB49">
        <f t="shared" si="8"/>
      </c>
      <c r="AC49">
        <f t="shared" si="8"/>
      </c>
      <c r="AD49">
        <f t="shared" si="8"/>
      </c>
      <c r="AE49">
        <f t="shared" si="8"/>
      </c>
      <c r="AF49">
        <f t="shared" si="8"/>
      </c>
      <c r="AG49">
        <f t="shared" si="8"/>
      </c>
      <c r="AH49">
        <f t="shared" si="8"/>
      </c>
      <c r="AI49">
        <f t="shared" si="8"/>
      </c>
      <c r="AJ49">
        <f t="shared" si="8"/>
      </c>
      <c r="AK49">
        <f t="shared" si="8"/>
      </c>
      <c r="AL49">
        <f t="shared" si="8"/>
      </c>
      <c r="AM49">
        <f t="shared" si="8"/>
      </c>
      <c r="AN49">
        <f t="shared" si="8"/>
      </c>
      <c r="AO49">
        <f t="shared" si="8"/>
      </c>
      <c r="AP49">
        <f t="shared" si="8"/>
      </c>
      <c r="AQ49">
        <f t="shared" si="8"/>
      </c>
      <c r="AR49">
        <f t="shared" si="8"/>
      </c>
      <c r="AS49">
        <f t="shared" si="8"/>
      </c>
      <c r="AT49">
        <f t="shared" si="8"/>
      </c>
      <c r="AU49">
        <f t="shared" si="8"/>
      </c>
      <c r="AV49">
        <f t="shared" si="8"/>
      </c>
      <c r="AW49">
        <f t="shared" si="8"/>
      </c>
      <c r="AX49">
        <f t="shared" si="8"/>
      </c>
      <c r="AY49">
        <f t="shared" si="8"/>
      </c>
      <c r="AZ49">
        <f t="shared" si="8"/>
      </c>
      <c r="BA49">
        <f t="shared" si="8"/>
      </c>
      <c r="BB49">
        <f t="shared" si="8"/>
      </c>
      <c r="BC49">
        <f t="shared" si="8"/>
      </c>
      <c r="BD49">
        <f t="shared" si="8"/>
      </c>
      <c r="BE49">
        <f t="shared" si="8"/>
      </c>
      <c r="BF49">
        <f t="shared" si="8"/>
      </c>
      <c r="BG49">
        <f t="shared" si="8"/>
      </c>
      <c r="BH49">
        <f t="shared" si="8"/>
      </c>
      <c r="BI49">
        <f t="shared" si="8"/>
      </c>
      <c r="BJ49">
        <f t="shared" si="8"/>
      </c>
      <c r="BK49">
        <f t="shared" si="8"/>
      </c>
      <c r="BL49">
        <f t="shared" si="8"/>
      </c>
      <c r="BM49">
        <f t="shared" si="8"/>
      </c>
      <c r="BN49">
        <f t="shared" si="8"/>
      </c>
      <c r="BO49">
        <f t="shared" si="8"/>
      </c>
      <c r="BP49">
        <f t="shared" si="8"/>
      </c>
      <c r="BQ49">
        <f t="shared" si="8"/>
      </c>
      <c r="BR49">
        <f t="shared" si="8"/>
      </c>
      <c r="BS49">
        <f t="shared" si="8"/>
      </c>
      <c r="BT49">
        <f t="shared" si="8"/>
      </c>
      <c r="BU49">
        <f t="shared" si="8"/>
      </c>
      <c r="BV49">
        <f t="shared" si="8"/>
      </c>
      <c r="BW49">
        <f t="shared" si="8"/>
      </c>
      <c r="BX49">
        <f t="shared" si="8"/>
      </c>
      <c r="BY49">
        <f t="shared" si="8"/>
      </c>
      <c r="BZ49">
        <f t="shared" si="8"/>
      </c>
      <c r="CA49">
        <f t="shared" si="8"/>
      </c>
      <c r="CB49">
        <f t="shared" si="8"/>
      </c>
      <c r="CC49">
        <f t="shared" si="8"/>
      </c>
      <c r="CD49">
        <f t="shared" si="8"/>
      </c>
      <c r="CE49">
        <f t="shared" si="8"/>
      </c>
      <c r="CF49">
        <f t="shared" si="8"/>
      </c>
      <c r="CG49">
        <f t="shared" si="8"/>
      </c>
      <c r="CH49">
        <f t="shared" si="8"/>
      </c>
      <c r="CI49">
        <f t="shared" si="8"/>
      </c>
      <c r="CJ49">
        <f t="shared" si="8"/>
      </c>
      <c r="CK49">
        <f t="shared" si="8"/>
      </c>
      <c r="CL49">
        <f t="shared" si="8"/>
      </c>
      <c r="CM49">
        <f t="shared" si="8"/>
      </c>
      <c r="CN49">
        <f t="shared" si="8"/>
      </c>
      <c r="CO49">
        <f t="shared" si="8"/>
      </c>
      <c r="CP49">
        <f t="shared" si="8"/>
      </c>
      <c r="CQ49">
        <f t="shared" si="8"/>
      </c>
      <c r="CR49">
        <f t="shared" si="8"/>
      </c>
      <c r="CS49">
        <f t="shared" si="8"/>
      </c>
      <c r="CT49">
        <f t="shared" si="8"/>
      </c>
      <c r="CU49">
        <f t="shared" si="8"/>
      </c>
      <c r="CV49">
        <f t="shared" si="8"/>
      </c>
      <c r="CW49">
        <f t="shared" si="8"/>
      </c>
      <c r="CX49">
        <f t="shared" si="8"/>
      </c>
      <c r="CY49">
        <f t="shared" si="8"/>
      </c>
      <c r="CZ49">
        <f t="shared" si="8"/>
      </c>
      <c r="DA49">
        <f t="shared" si="8"/>
      </c>
      <c r="DB49">
        <f t="shared" si="8"/>
      </c>
      <c r="DC49">
        <f t="shared" si="8"/>
      </c>
      <c r="DD49">
        <f t="shared" si="8"/>
      </c>
      <c r="DE49">
        <f t="shared" si="8"/>
      </c>
      <c r="DF49">
        <f t="shared" si="8"/>
      </c>
      <c r="DG49">
        <f t="shared" si="8"/>
      </c>
      <c r="DH49">
        <f t="shared" si="8"/>
      </c>
      <c r="DI49">
        <f t="shared" si="8"/>
      </c>
      <c r="DJ49">
        <f t="shared" si="8"/>
      </c>
      <c r="DK49">
        <f t="shared" si="8"/>
      </c>
      <c r="DL49">
        <f t="shared" si="8"/>
      </c>
      <c r="DM49">
        <f t="shared" si="8"/>
      </c>
      <c r="DN49">
        <f t="shared" si="8"/>
      </c>
      <c r="DO49">
        <f t="shared" si="8"/>
      </c>
      <c r="DP49">
        <f t="shared" si="8"/>
      </c>
      <c r="DQ49">
        <f t="shared" si="8"/>
      </c>
      <c r="DR49">
        <f t="shared" si="8"/>
      </c>
      <c r="DS49">
        <f t="shared" si="8"/>
      </c>
      <c r="DT49">
        <f t="shared" si="8"/>
      </c>
      <c r="DU49">
        <f t="shared" si="8"/>
      </c>
      <c r="DV49">
        <f t="shared" si="8"/>
      </c>
      <c r="DW49">
        <f t="shared" si="8"/>
      </c>
      <c r="DX49">
        <f t="shared" si="8"/>
      </c>
      <c r="DY49">
        <f t="shared" si="8"/>
      </c>
      <c r="DZ49">
        <f t="shared" si="8"/>
      </c>
      <c r="EA49">
        <f t="shared" si="8"/>
      </c>
      <c r="EB49">
        <f t="shared" si="8"/>
      </c>
      <c r="EC49">
        <f t="shared" si="8"/>
      </c>
      <c r="ED49">
        <f t="shared" si="8"/>
      </c>
      <c r="EE49">
        <f t="shared" si="8"/>
      </c>
      <c r="EF49">
        <f t="shared" si="8"/>
      </c>
      <c r="EG49">
        <f t="shared" si="8"/>
      </c>
      <c r="EH49">
        <f t="shared" si="8"/>
      </c>
      <c r="EI49">
        <f t="shared" si="8"/>
      </c>
      <c r="EJ49">
        <f t="shared" si="8"/>
      </c>
      <c r="EK49">
        <f t="shared" si="8"/>
      </c>
      <c r="EL49">
        <f t="shared" si="8"/>
      </c>
      <c r="EM49">
        <f t="shared" si="8"/>
      </c>
      <c r="EN49">
        <f t="shared" si="8"/>
      </c>
      <c r="EO49">
        <f t="shared" si="8"/>
      </c>
      <c r="EP49">
        <f t="shared" si="8"/>
      </c>
      <c r="EQ49">
        <f t="shared" si="8"/>
      </c>
      <c r="ER49">
        <f t="shared" si="8"/>
      </c>
      <c r="ES49">
        <f t="shared" si="8"/>
      </c>
      <c r="ET49">
        <f t="shared" si="8"/>
      </c>
      <c r="EU49">
        <f t="shared" si="8"/>
      </c>
      <c r="EV49">
        <f t="shared" si="8"/>
      </c>
      <c r="EW49">
        <f t="shared" si="8"/>
      </c>
      <c r="EX49">
        <f t="shared" si="8"/>
      </c>
      <c r="EY49">
        <f t="shared" si="8"/>
      </c>
      <c r="EZ49">
        <f t="shared" si="8"/>
      </c>
      <c r="FA49" t="str">
        <f t="shared" si="12"/>
        <v>-</v>
      </c>
      <c r="FB49">
        <f t="shared" si="13"/>
      </c>
      <c r="FC49" cm="1">
        <f t="array" ref="FC49">_xlfn.LET(_xlpm.unit_type,$G49,_xlpm.market_rent_from_rent_roll,$E49,_xlpm.unit_type_list,RentRoll_InputArea_DesignatedUnitType,_xlpm.rent_by_unit_type,RentRoll_InputArea_MarketRent,_xlpm.use_rent_roll_market_rent,LEFT(RR_VacantUnitMktRentSource,9)="Rent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49">
        <f t="shared" si="14"/>
        <v>1482</v>
      </c>
      <c r="FE49">
        <f t="shared" si="15"/>
        <v>1482</v>
      </c>
      <c r="FF49">
        <f t="shared" si="16"/>
        <v>1482</v>
      </c>
      <c r="FH49">
        <f t="shared" si="17"/>
      </c>
      <c r="FI49">
        <f t="shared" si="18"/>
      </c>
      <c r="FK49" cm="1">
        <f t="array" ref="FK49">IF(AND(LEN($D49)&gt;0,ISNA(MATCH(TRUE,EXACT($G49,RentRoll_InputArea_DesignatedUnitType),0))),1,0)</f>
        <v>0</v>
      </c>
      <c r="FL49">
        <f t="shared" si="19"/>
        <v>26</v>
      </c>
      <c r="IO49" cm="1">
        <f t="array" ref="IO49">IF(LEN($G49)=0,"Rent Roll is incomplete",_xlfn.XLOOKUP(TRUE,EXACT(RentRoll_InputArea_DesignatedUnitType,$G49),RentRoll_InputArea_Beds,"Not Found"))</f>
        <v>2</v>
      </c>
      <c r="IQ49" t="str">
        <f t="shared" si="20"/>
        <v>2 Bedroom Unit</v>
      </c>
      <c r="IR49">
        <f t="shared" si="21"/>
        <v>1482</v>
      </c>
      <c r="IW49" t="str">
        <f t="shared" si="22"/>
        <v>3-301</v>
      </c>
      <c r="IZ49">
        <f t="shared" si="23"/>
        <v>2</v>
      </c>
      <c r="JA49">
        <f t="shared" si="24"/>
        <v>1482</v>
      </c>
      <c r="JH49">
        <f t="shared" si="25"/>
        <v>1410</v>
      </c>
      <c r="JJ49">
        <f t="shared" si="26"/>
      </c>
      <c r="JQ49" t="str">
        <f t="shared" si="27"/>
        <v>Occupied</v>
      </c>
      <c r="JR49" cm="1">
        <f t="array" ref="JR49">_xlfn.XLOOKUP(TRUE,EXACT(RentRoll_InputArea_DesignatedUnitType,$G49),RentRoll_InputArea_SquareFootage,"Not Found")</f>
        <v>851</v>
      </c>
      <c r="JS49" t="str">
        <f t="shared" si="28"/>
        <v>Apartment</v>
      </c>
      <c r="JT49">
        <f t="shared" si="29"/>
      </c>
      <c r="JY49">
        <f t="shared" si="9"/>
        <v>43601</v>
      </c>
      <c r="JZ49">
        <f t="shared" si="9"/>
        <v>43830</v>
      </c>
    </row>
    <row r="50" ht="15" customHeight="1">
      <c r="A50">
        <f t="shared" si="10"/>
        <v>27</v>
      </c>
      <c r="D50" t="s">
        <v>2796</v>
      </c>
      <c r="E50">
        <v>1411</v>
      </c>
      <c r="F50" t="s">
        <v>2797</v>
      </c>
      <c r="G50" t="s">
        <v>2531</v>
      </c>
      <c r="H50">
        <v>1303</v>
      </c>
      <c r="I50" cm="1">
        <f t="array" ref="I50">_xlfn.LET(_xlpm.has_subsidy,$N50&gt;0,_xlpm.is_chap9_sbl,$FF$20,_xlpm.contract_rent,$H50,_xlpm.unit_type_mkt_rent,_xlfn.XLOOKUP(TRUE,EXACT($G50,RentRoll_InputArea_DesignatedUnitType),RentRoll_InputArea_MarketRent,"Not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0">
        <f t="shared" si="11"/>
        <v>1303</v>
      </c>
      <c r="O50" s="1">
        <v>43435</v>
      </c>
      <c r="P50" s="1">
        <v>43708</v>
      </c>
      <c r="Q50">
        <f t="shared" si="8"/>
      </c>
      <c r="R50">
        <f t="shared" si="8"/>
      </c>
      <c r="S50">
        <f t="shared" si="8"/>
        <v>1303</v>
      </c>
      <c r="T50">
        <f t="shared" si="8"/>
      </c>
      <c r="U50">
        <f t="shared" si="8"/>
      </c>
      <c r="V50">
        <f t="shared" si="8"/>
      </c>
      <c r="W50">
        <f t="shared" si="8"/>
      </c>
      <c r="X50">
        <f t="shared" si="8"/>
      </c>
      <c r="Y50">
        <f t="shared" si="8"/>
      </c>
      <c r="Z50">
        <f t="shared" si="8"/>
      </c>
      <c r="AA50">
        <f t="shared" si="8"/>
      </c>
      <c r="AB50">
        <f t="shared" si="8"/>
      </c>
      <c r="AC50">
        <f t="shared" si="8"/>
      </c>
      <c r="AD50">
        <f t="shared" si="8"/>
      </c>
      <c r="AE50">
        <f t="shared" si="8"/>
      </c>
      <c r="AF50">
        <f t="shared" si="8"/>
      </c>
      <c r="AG50">
        <f t="shared" si="8"/>
      </c>
      <c r="AH50">
        <f t="shared" si="8"/>
      </c>
      <c r="AI50">
        <f t="shared" si="8"/>
      </c>
      <c r="AJ50">
        <f t="shared" si="8"/>
      </c>
      <c r="AK50">
        <f t="shared" si="8"/>
      </c>
      <c r="AL50">
        <f t="shared" si="8"/>
      </c>
      <c r="AM50">
        <f t="shared" si="8"/>
      </c>
      <c r="AN50">
        <f t="shared" si="8"/>
      </c>
      <c r="AO50">
        <f t="shared" si="8"/>
      </c>
      <c r="AP50">
        <f t="shared" si="8"/>
      </c>
      <c r="AQ50">
        <f t="shared" si="8"/>
      </c>
      <c r="AR50">
        <f t="shared" si="8"/>
      </c>
      <c r="AS50">
        <f t="shared" si="8"/>
      </c>
      <c r="AT50">
        <f t="shared" si="8"/>
      </c>
      <c r="AU50">
        <f t="shared" si="8"/>
      </c>
      <c r="AV50">
        <f t="shared" si="8"/>
      </c>
      <c r="AW50">
        <f t="shared" si="8"/>
      </c>
      <c r="AX50">
        <f t="shared" si="8"/>
      </c>
      <c r="AY50">
        <f t="shared" si="8"/>
      </c>
      <c r="AZ50">
        <f t="shared" si="8"/>
      </c>
      <c r="BA50">
        <f t="shared" si="8"/>
      </c>
      <c r="BB50">
        <f t="shared" si="8"/>
      </c>
      <c r="BC50">
        <f t="shared" si="8"/>
      </c>
      <c r="BD50">
        <f t="shared" si="8"/>
      </c>
      <c r="BE50">
        <f t="shared" si="8"/>
      </c>
      <c r="BF50">
        <f t="shared" si="8"/>
      </c>
      <c r="BG50">
        <f t="shared" si="8"/>
      </c>
      <c r="BH50">
        <f t="shared" si="8"/>
      </c>
      <c r="BI50">
        <f t="shared" si="8"/>
      </c>
      <c r="BJ50">
        <f t="shared" si="8"/>
      </c>
      <c r="BK50">
        <f t="shared" si="8"/>
      </c>
      <c r="BL50">
        <f t="shared" si="8"/>
      </c>
      <c r="BM50">
        <f t="shared" si="8"/>
      </c>
      <c r="BN50">
        <f t="shared" si="8"/>
      </c>
      <c r="BO50">
        <f t="shared" si="8"/>
      </c>
      <c r="BP50">
        <f t="shared" si="8"/>
      </c>
      <c r="BQ50">
        <f t="shared" si="8"/>
      </c>
      <c r="BR50">
        <f t="shared" si="8"/>
      </c>
      <c r="BS50">
        <f t="shared" si="8"/>
      </c>
      <c r="BT50">
        <f t="shared" si="8"/>
      </c>
      <c r="BU50">
        <f t="shared" si="8"/>
      </c>
      <c r="BV50">
        <f t="shared" si="8"/>
      </c>
      <c r="BW50">
        <f t="shared" si="8"/>
      </c>
      <c r="BX50">
        <f t="shared" si="8"/>
      </c>
      <c r="BY50">
        <f t="shared" si="8"/>
      </c>
      <c r="BZ50">
        <f t="shared" si="8"/>
      </c>
      <c r="CA50">
        <f t="shared" si="8"/>
      </c>
      <c r="CB50">
        <f t="shared" si="8"/>
      </c>
      <c r="CC50">
        <f t="shared" si="8"/>
      </c>
      <c r="CD50">
        <f t="shared" si="8"/>
      </c>
      <c r="CE50">
        <f t="shared" si="8"/>
      </c>
      <c r="CF50">
        <f t="shared" si="8"/>
      </c>
      <c r="CG50">
        <f t="shared" si="8"/>
      </c>
      <c r="CH50">
        <f t="shared" si="8"/>
      </c>
      <c r="CI50">
        <f t="shared" si="8"/>
      </c>
      <c r="CJ50">
        <f t="shared" si="8"/>
      </c>
      <c r="CK50">
        <f t="shared" si="8"/>
      </c>
      <c r="CL50">
        <f t="shared" si="8"/>
      </c>
      <c r="CM50">
        <f t="shared" si="8"/>
      </c>
      <c r="CN50">
        <f t="shared" si="8"/>
      </c>
      <c r="CO50">
        <f t="shared" si="8"/>
      </c>
      <c r="CP50">
        <f t="shared" si="8"/>
      </c>
      <c r="CQ50">
        <f t="shared" si="8"/>
      </c>
      <c r="CR50">
        <f t="shared" si="8"/>
      </c>
      <c r="CS50">
        <f t="shared" si="8"/>
      </c>
      <c r="CT50">
        <f t="shared" si="8"/>
      </c>
      <c r="CU50">
        <f t="shared" si="8"/>
      </c>
      <c r="CV50">
        <f t="shared" si="8"/>
      </c>
      <c r="CW50">
        <f t="shared" si="8"/>
      </c>
      <c r="CX50">
        <f t="shared" si="8"/>
      </c>
      <c r="CY50">
        <f t="shared" si="8"/>
      </c>
      <c r="CZ50">
        <f t="shared" si="8"/>
      </c>
      <c r="DA50">
        <f t="shared" si="8"/>
      </c>
      <c r="DB50">
        <f t="shared" si="8"/>
      </c>
      <c r="DC50">
        <f t="shared" si="8"/>
      </c>
      <c r="DD50">
        <f t="shared" si="8"/>
      </c>
      <c r="DE50">
        <f t="shared" si="8"/>
      </c>
      <c r="DF50">
        <f t="shared" si="8"/>
      </c>
      <c r="DG50">
        <f t="shared" si="8"/>
      </c>
      <c r="DH50">
        <f t="shared" si="8"/>
      </c>
      <c r="DI50">
        <f t="shared" si="8"/>
      </c>
      <c r="DJ50">
        <f t="shared" si="8"/>
      </c>
      <c r="DK50">
        <f t="shared" si="8"/>
      </c>
      <c r="DL50">
        <f t="shared" si="8"/>
      </c>
      <c r="DM50">
        <f t="shared" si="8"/>
      </c>
      <c r="DN50">
        <f t="shared" si="8"/>
      </c>
      <c r="DO50">
        <f t="shared" si="8"/>
      </c>
      <c r="DP50">
        <f t="shared" si="8"/>
      </c>
      <c r="DQ50">
        <f t="shared" si="8"/>
      </c>
      <c r="DR50">
        <f t="shared" si="8"/>
      </c>
      <c r="DS50">
        <f t="shared" si="8"/>
      </c>
      <c r="DT50">
        <f t="shared" si="8"/>
      </c>
      <c r="DU50">
        <f t="shared" si="8"/>
      </c>
      <c r="DV50">
        <f t="shared" si="8"/>
      </c>
      <c r="DW50">
        <f t="shared" si="8"/>
      </c>
      <c r="DX50">
        <f t="shared" si="8"/>
      </c>
      <c r="DY50">
        <f t="shared" si="8"/>
      </c>
      <c r="DZ50">
        <f t="shared" si="8"/>
      </c>
      <c r="EA50">
        <f t="shared" si="8"/>
      </c>
      <c r="EB50">
        <f t="shared" si="8"/>
      </c>
      <c r="EC50">
        <f t="shared" si="8"/>
      </c>
      <c r="ED50">
        <f t="shared" si="8"/>
      </c>
      <c r="EE50">
        <f t="shared" si="8"/>
      </c>
      <c r="EF50">
        <f t="shared" si="8"/>
      </c>
      <c r="EG50">
        <f t="shared" si="8"/>
      </c>
      <c r="EH50">
        <f t="shared" si="8"/>
      </c>
      <c r="EI50">
        <f t="shared" si="8"/>
      </c>
      <c r="EJ50">
        <f t="shared" si="8"/>
      </c>
      <c r="EK50">
        <f t="shared" si="8"/>
      </c>
      <c r="EL50">
        <f t="shared" si="8"/>
      </c>
      <c r="EM50">
        <f t="shared" si="8"/>
      </c>
      <c r="EN50">
        <f t="shared" si="8"/>
      </c>
      <c r="EO50">
        <f t="shared" si="8"/>
      </c>
      <c r="EP50">
        <f t="shared" si="8"/>
      </c>
      <c r="EQ50">
        <f t="shared" si="8"/>
      </c>
      <c r="ER50">
        <f t="shared" si="8"/>
      </c>
      <c r="ES50">
        <f t="shared" si="8"/>
      </c>
      <c r="ET50">
        <f t="shared" si="8"/>
      </c>
      <c r="EU50">
        <f t="shared" si="8"/>
      </c>
      <c r="EV50">
        <f t="shared" si="8"/>
      </c>
      <c r="EW50">
        <f t="shared" si="8"/>
      </c>
      <c r="EX50">
        <f t="shared" si="8"/>
      </c>
      <c r="EY50">
        <f t="shared" si="8"/>
      </c>
      <c r="EZ50">
        <f t="shared" si="8"/>
      </c>
      <c r="FA50" t="str">
        <f t="shared" si="12"/>
        <v>-</v>
      </c>
      <c r="FB50">
        <f t="shared" si="13"/>
      </c>
      <c r="FC50" cm="1">
        <f t="array" ref="FC50">_xlfn.LET(_xlpm.unit_type,$G50,_xlpm.market_rent_from_rent_roll,$E50,_xlpm.unit_type_list,RentRoll_InputArea_DesignatedUnitType,_xlpm.rent_by_unit_type,RentRoll_InputArea_MarketRent,_xlpm.use_rent_roll_market_rent,LEFT(RR_VacantUnitMktRentSource,9)="Rent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50">
        <f t="shared" si="14"/>
        <v>1303</v>
      </c>
      <c r="FE50">
        <f t="shared" si="15"/>
        <v>1303</v>
      </c>
      <c r="FF50">
        <f t="shared" si="16"/>
        <v>1303</v>
      </c>
      <c r="FH50">
        <f t="shared" si="17"/>
      </c>
      <c r="FI50">
        <f t="shared" si="18"/>
      </c>
      <c r="FK50" cm="1">
        <f t="array" ref="FK50">IF(AND(LEN($D50)&gt;0,ISNA(MATCH(TRUE,EXACT($G50,RentRoll_InputArea_DesignatedUnitType),0))),1,0)</f>
        <v>0</v>
      </c>
      <c r="FL50">
        <f t="shared" si="19"/>
        <v>27</v>
      </c>
      <c r="IO50" cm="1">
        <f t="array" ref="IO50">IF(LEN($G50)=0,"Rent Roll is incomplete",_xlfn.XLOOKUP(TRUE,EXACT(RentRoll_InputArea_DesignatedUnitType,$G50),RentRoll_InputArea_Beds,"Not Found"))</f>
        <v>2</v>
      </c>
      <c r="IQ50" t="str">
        <f t="shared" si="20"/>
        <v>2 Bedroom Unit</v>
      </c>
      <c r="IR50">
        <f t="shared" si="21"/>
        <v>1303</v>
      </c>
      <c r="IW50" t="str">
        <f t="shared" si="22"/>
        <v>3-302</v>
      </c>
      <c r="IZ50">
        <f t="shared" si="23"/>
        <v>2</v>
      </c>
      <c r="JA50">
        <f t="shared" si="24"/>
        <v>1303</v>
      </c>
      <c r="JH50">
        <f t="shared" si="25"/>
        <v>1410</v>
      </c>
      <c r="JJ50">
        <f t="shared" si="26"/>
      </c>
      <c r="JQ50" t="str">
        <f t="shared" si="27"/>
        <v>Occupied</v>
      </c>
      <c r="JR50" cm="1">
        <f t="array" ref="JR50">_xlfn.XLOOKUP(TRUE,EXACT(RentRoll_InputArea_DesignatedUnitType,$G50),RentRoll_InputArea_SquareFootage,"Not Found")</f>
        <v>851</v>
      </c>
      <c r="JS50" t="str">
        <f t="shared" si="28"/>
        <v>Apartment</v>
      </c>
      <c r="JT50">
        <f t="shared" si="29"/>
      </c>
      <c r="JY50">
        <f t="shared" si="9"/>
        <v>43435</v>
      </c>
      <c r="JZ50">
        <f t="shared" si="9"/>
        <v>43708</v>
      </c>
    </row>
    <row r="51" ht="15" customHeight="1">
      <c r="A51">
        <f t="shared" si="10"/>
        <v>28</v>
      </c>
      <c r="D51" t="s">
        <v>2798</v>
      </c>
      <c r="E51">
        <v>1453</v>
      </c>
      <c r="F51" t="s">
        <v>2799</v>
      </c>
      <c r="G51" t="s">
        <v>2531</v>
      </c>
      <c r="H51">
        <v>1289</v>
      </c>
      <c r="I51" cm="1">
        <f t="array" ref="I51">_xlfn.LET(_xlpm.has_subsidy,$N51&gt;0,_xlpm.is_chap9_sbl,$FF$20,_xlpm.contract_rent,$H51,_xlpm.unit_type_mkt_rent,_xlfn.XLOOKUP(TRUE,EXACT($G51,RentRoll_InputArea_DesignatedUnitType),RentRoll_InputArea_MarketRent,"Not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1">
        <f t="shared" si="11"/>
        <v>1289</v>
      </c>
      <c r="O51" s="1">
        <v>43466</v>
      </c>
      <c r="P51" s="1">
        <v>43677</v>
      </c>
      <c r="Q51">
        <f t="shared" si="8"/>
      </c>
      <c r="R51">
        <f t="shared" si="8"/>
      </c>
      <c r="S51">
        <f t="shared" si="8"/>
        <v>1289</v>
      </c>
      <c r="T51">
        <f t="shared" si="8"/>
      </c>
      <c r="U51">
        <f t="shared" si="8"/>
      </c>
      <c r="V51">
        <f t="shared" si="8"/>
      </c>
      <c r="W51">
        <f t="shared" si="8"/>
      </c>
      <c r="X51">
        <f t="shared" si="8"/>
      </c>
      <c r="Y51">
        <f t="shared" si="8"/>
      </c>
      <c r="Z51">
        <f t="shared" si="8"/>
      </c>
      <c r="AA51">
        <f t="shared" si="8"/>
      </c>
      <c r="AB51">
        <f t="shared" si="8"/>
      </c>
      <c r="AC51">
        <f t="shared" si="8"/>
      </c>
      <c r="AD51">
        <f t="shared" si="8"/>
      </c>
      <c r="AE51">
        <f t="shared" si="8"/>
      </c>
      <c r="AF51">
        <f t="shared" si="8"/>
      </c>
      <c r="AG51">
        <f t="shared" si="8"/>
      </c>
      <c r="AH51">
        <f t="shared" si="8"/>
      </c>
      <c r="AI51">
        <f t="shared" si="8"/>
      </c>
      <c r="AJ51">
        <f t="shared" si="8"/>
      </c>
      <c r="AK51">
        <f t="shared" si="8"/>
      </c>
      <c r="AL51">
        <f t="shared" si="8"/>
      </c>
      <c r="AM51">
        <f t="shared" si="8"/>
      </c>
      <c r="AN51">
        <f t="shared" si="8"/>
      </c>
      <c r="AO51">
        <f t="shared" si="8"/>
      </c>
      <c r="AP51">
        <f t="shared" si="8"/>
      </c>
      <c r="AQ51">
        <f t="shared" si="8"/>
      </c>
      <c r="AR51">
        <f t="shared" si="8"/>
      </c>
      <c r="AS51">
        <f t="shared" si="8"/>
      </c>
      <c r="AT51">
        <f t="shared" si="8"/>
      </c>
      <c r="AU51">
        <f t="shared" si="8"/>
      </c>
      <c r="AV51">
        <f t="shared" si="8"/>
      </c>
      <c r="AW51">
        <f t="shared" si="8"/>
      </c>
      <c r="AX51">
        <f t="shared" si="8"/>
      </c>
      <c r="AY51">
        <f t="shared" si="8"/>
      </c>
      <c r="AZ51">
        <f t="shared" si="8"/>
      </c>
      <c r="BA51">
        <f t="shared" si="8"/>
      </c>
      <c r="BB51">
        <f t="shared" si="8"/>
      </c>
      <c r="BC51">
        <f t="shared" si="8"/>
      </c>
      <c r="BD51">
        <f t="shared" si="8"/>
      </c>
      <c r="BE51">
        <f t="shared" si="8"/>
      </c>
      <c r="BF51">
        <f t="shared" si="8"/>
      </c>
      <c r="BG51">
        <f t="shared" si="8"/>
      </c>
      <c r="BH51">
        <f t="shared" si="8"/>
      </c>
      <c r="BI51">
        <f t="shared" si="8"/>
      </c>
      <c r="BJ51">
        <f t="shared" si="8"/>
      </c>
      <c r="BK51">
        <f t="shared" si="8"/>
      </c>
      <c r="BL51">
        <f t="shared" si="8"/>
      </c>
      <c r="BM51">
        <f t="shared" si="8"/>
      </c>
      <c r="BN51">
        <f t="shared" si="8"/>
      </c>
      <c r="BO51">
        <f t="shared" si="8"/>
      </c>
      <c r="BP51">
        <f t="shared" si="8"/>
      </c>
      <c r="BQ51">
        <f t="shared" si="8"/>
      </c>
      <c r="BR51">
        <f t="shared" si="8"/>
      </c>
      <c r="BS51">
        <f t="shared" si="8"/>
      </c>
      <c r="BT51">
        <f t="shared" si="8"/>
      </c>
      <c r="BU51">
        <f t="shared" si="8"/>
      </c>
      <c r="BV51">
        <f t="shared" si="8"/>
      </c>
      <c r="BW51">
        <f t="shared" si="8"/>
      </c>
      <c r="BX51">
        <f t="shared" si="8"/>
      </c>
      <c r="BY51">
        <f t="shared" si="8"/>
      </c>
      <c r="BZ51">
        <f t="shared" si="8"/>
      </c>
      <c r="CA51">
        <f t="shared" si="8"/>
      </c>
      <c r="CB51">
        <f t="shared" si="8"/>
      </c>
      <c r="CC51">
        <f t="shared" si="8"/>
      </c>
      <c r="CD51">
        <f t="shared" si="8"/>
      </c>
      <c r="CE51">
        <f t="shared" si="8"/>
      </c>
      <c r="CF51">
        <f t="shared" si="8"/>
      </c>
      <c r="CG51">
        <f t="shared" si="8"/>
      </c>
      <c r="CH51">
        <f t="shared" si="8"/>
      </c>
      <c r="CI51">
        <f t="shared" si="8"/>
      </c>
      <c r="CJ51">
        <f t="shared" si="8"/>
      </c>
      <c r="CK51">
        <f t="shared" si="8"/>
      </c>
      <c r="CL51">
        <f t="shared" si="8"/>
      </c>
      <c r="CM51">
        <f t="shared" si="8"/>
      </c>
      <c r="CN51">
        <f t="shared" si="8"/>
      </c>
      <c r="CO51">
        <f t="shared" si="8"/>
      </c>
      <c r="CP51">
        <f t="shared" si="8"/>
      </c>
      <c r="CQ51">
        <f t="shared" si="8"/>
      </c>
      <c r="CR51">
        <f t="shared" si="8"/>
      </c>
      <c r="CS51">
        <f t="shared" si="8"/>
      </c>
      <c r="CT51">
        <f t="shared" si="8"/>
      </c>
      <c r="CU51">
        <f t="shared" si="8"/>
      </c>
      <c r="CV51">
        <f t="shared" si="8"/>
      </c>
      <c r="CW51">
        <f t="shared" si="8"/>
      </c>
      <c r="CX51">
        <f t="shared" si="8"/>
      </c>
      <c r="CY51">
        <f t="shared" si="8"/>
      </c>
      <c r="CZ51">
        <f t="shared" si="8"/>
      </c>
      <c r="DA51">
        <f t="shared" si="8"/>
      </c>
      <c r="DB51">
        <f t="shared" si="8"/>
      </c>
      <c r="DC51">
        <f t="shared" si="8"/>
      </c>
      <c r="DD51">
        <f t="shared" si="8"/>
      </c>
      <c r="DE51">
        <f t="shared" si="8"/>
      </c>
      <c r="DF51">
        <f t="shared" si="8"/>
      </c>
      <c r="DG51">
        <f t="shared" si="8"/>
      </c>
      <c r="DH51">
        <f t="shared" si="8"/>
      </c>
      <c r="DI51">
        <f t="shared" si="8"/>
      </c>
      <c r="DJ51">
        <f t="shared" si="8"/>
      </c>
      <c r="DK51">
        <f t="shared" si="8"/>
      </c>
      <c r="DL51">
        <f t="shared" si="8"/>
      </c>
      <c r="DM51">
        <f t="shared" si="8"/>
      </c>
      <c r="DN51">
        <f t="shared" si="8"/>
      </c>
      <c r="DO51">
        <f t="shared" si="8"/>
      </c>
      <c r="DP51">
        <f t="shared" si="8"/>
      </c>
      <c r="DQ51">
        <f t="shared" si="8"/>
      </c>
      <c r="DR51">
        <f t="shared" si="8"/>
      </c>
      <c r="DS51">
        <f t="shared" si="8"/>
      </c>
      <c r="DT51">
        <f t="shared" si="8"/>
      </c>
      <c r="DU51">
        <f t="shared" si="8"/>
      </c>
      <c r="DV51">
        <f t="shared" si="8"/>
      </c>
      <c r="DW51">
        <f t="shared" si="8"/>
      </c>
      <c r="DX51">
        <f t="shared" si="8"/>
      </c>
      <c r="DY51">
        <f t="shared" si="8"/>
      </c>
      <c r="DZ51">
        <f t="shared" si="8"/>
      </c>
      <c r="EA51">
        <f t="shared" si="8"/>
      </c>
      <c r="EB51">
        <f t="shared" si="8"/>
      </c>
      <c r="EC51">
        <f t="shared" si="8"/>
      </c>
      <c r="ED51">
        <f t="shared" si="8"/>
      </c>
      <c r="EE51">
        <f t="shared" si="8"/>
      </c>
      <c r="EF51">
        <f t="shared" si="8"/>
      </c>
      <c r="EG51">
        <f t="shared" si="8"/>
      </c>
      <c r="EH51">
        <f t="shared" si="8"/>
      </c>
      <c r="EI51">
        <f t="shared" si="8"/>
      </c>
      <c r="EJ51">
        <f t="shared" si="8"/>
      </c>
      <c r="EK51">
        <f t="shared" si="8"/>
      </c>
      <c r="EL51">
        <f t="shared" si="8"/>
      </c>
      <c r="EM51">
        <f t="shared" si="8"/>
      </c>
      <c r="EN51">
        <f t="shared" si="8"/>
      </c>
      <c r="EO51">
        <f t="shared" si="8"/>
      </c>
      <c r="EP51">
        <f t="shared" si="8"/>
      </c>
      <c r="EQ51">
        <f t="shared" si="8"/>
      </c>
      <c r="ER51">
        <f t="shared" si="8"/>
      </c>
      <c r="ES51">
        <f t="shared" si="8"/>
      </c>
      <c r="ET51">
        <f t="shared" si="8"/>
      </c>
      <c r="EU51">
        <f t="shared" si="8"/>
      </c>
      <c r="EV51">
        <f t="shared" si="8"/>
      </c>
      <c r="EW51">
        <f t="shared" si="8"/>
      </c>
      <c r="EX51">
        <f t="shared" si="8"/>
      </c>
      <c r="EY51">
        <f t="shared" si="8"/>
      </c>
      <c r="EZ51">
        <f t="shared" si="8"/>
      </c>
      <c r="FA51" t="str">
        <f t="shared" si="12"/>
        <v>-</v>
      </c>
      <c r="FB51">
        <f t="shared" si="13"/>
      </c>
      <c r="FC51" cm="1">
        <f t="array" ref="FC51">_xlfn.LET(_xlpm.unit_type,$G51,_xlpm.market_rent_from_rent_roll,$E51,_xlpm.unit_type_list,RentRoll_InputArea_DesignatedUnitType,_xlpm.rent_by_unit_type,RentRoll_InputArea_MarketRent,_xlpm.use_rent_roll_market_rent,LEFT(RR_VacantUnitMktRentSource,9)="Rent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51">
        <f t="shared" si="14"/>
        <v>1289</v>
      </c>
      <c r="FE51">
        <f t="shared" si="15"/>
        <v>1289</v>
      </c>
      <c r="FF51">
        <f t="shared" si="16"/>
        <v>1289</v>
      </c>
      <c r="FH51">
        <f t="shared" si="17"/>
      </c>
      <c r="FI51">
        <f t="shared" si="18"/>
      </c>
      <c r="FK51" cm="1">
        <f t="array" ref="FK51">IF(AND(LEN($D51)&gt;0,ISNA(MATCH(TRUE,EXACT($G51,RentRoll_InputArea_DesignatedUnitType),0))),1,0)</f>
        <v>0</v>
      </c>
      <c r="FL51">
        <f t="shared" si="19"/>
        <v>28</v>
      </c>
      <c r="IO51" cm="1">
        <f t="array" ref="IO51">IF(LEN($G51)=0,"Rent Roll is incomplete",_xlfn.XLOOKUP(TRUE,EXACT(RentRoll_InputArea_DesignatedUnitType,$G51),RentRoll_InputArea_Beds,"Not Found"))</f>
        <v>2</v>
      </c>
      <c r="IQ51" t="str">
        <f t="shared" si="20"/>
        <v>2 Bedroom Unit</v>
      </c>
      <c r="IR51">
        <f t="shared" si="21"/>
        <v>1289</v>
      </c>
      <c r="IW51" t="str">
        <f t="shared" si="22"/>
        <v>3-303</v>
      </c>
      <c r="IZ51">
        <f t="shared" si="23"/>
        <v>2</v>
      </c>
      <c r="JA51">
        <f t="shared" si="24"/>
        <v>1289</v>
      </c>
      <c r="JH51">
        <f t="shared" si="25"/>
        <v>1410</v>
      </c>
      <c r="JJ51">
        <f t="shared" si="26"/>
      </c>
      <c r="JQ51" t="str">
        <f t="shared" si="27"/>
        <v>Occupied</v>
      </c>
      <c r="JR51" cm="1">
        <f t="array" ref="JR51">_xlfn.XLOOKUP(TRUE,EXACT(RentRoll_InputArea_DesignatedUnitType,$G51),RentRoll_InputArea_SquareFootage,"Not Found")</f>
        <v>851</v>
      </c>
      <c r="JS51" t="str">
        <f t="shared" si="28"/>
        <v>Apartment</v>
      </c>
      <c r="JT51">
        <f t="shared" si="29"/>
      </c>
      <c r="JY51">
        <f t="shared" si="9"/>
        <v>43466</v>
      </c>
      <c r="JZ51">
        <f t="shared" si="9"/>
        <v>43677</v>
      </c>
    </row>
    <row r="52" ht="15" customHeight="1">
      <c r="A52">
        <f t="shared" si="10"/>
        <v>29</v>
      </c>
      <c r="D52" t="s">
        <v>2800</v>
      </c>
      <c r="E52">
        <v>1436</v>
      </c>
      <c r="F52" t="s">
        <v>2801</v>
      </c>
      <c r="G52" t="s">
        <v>2531</v>
      </c>
      <c r="H52">
        <v>1396</v>
      </c>
      <c r="I52" cm="1">
        <f t="array" ref="I52">_xlfn.LET(_xlpm.has_subsidy,$N52&gt;0,_xlpm.is_chap9_sbl,$FF$20,_xlpm.contract_rent,$H52,_xlpm.unit_type_mkt_rent,_xlfn.XLOOKUP(TRUE,EXACT($G52,RentRoll_InputArea_DesignatedUnitType),RentRoll_InputArea_MarketRent,"Not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2">
        <f t="shared" si="11"/>
        <v>1396</v>
      </c>
      <c r="O52" s="1">
        <v>43510</v>
      </c>
      <c r="P52" s="1">
        <v>43708</v>
      </c>
      <c r="Q52">
        <f t="shared" si="8"/>
      </c>
      <c r="R52">
        <f t="shared" si="8"/>
      </c>
      <c r="S52">
        <f t="shared" si="8"/>
        <v>1396</v>
      </c>
      <c r="T52">
        <f t="shared" si="8"/>
      </c>
      <c r="U52">
        <f t="shared" si="8"/>
      </c>
      <c r="V52">
        <f t="shared" si="8"/>
      </c>
      <c r="W52">
        <f t="shared" si="8"/>
      </c>
      <c r="X52">
        <f t="shared" si="8"/>
      </c>
      <c r="Y52">
        <f t="shared" si="8"/>
      </c>
      <c r="Z52">
        <f t="shared" si="8"/>
      </c>
      <c r="AA52">
        <f t="shared" si="8"/>
      </c>
      <c r="AB52">
        <f t="shared" si="8"/>
      </c>
      <c r="AC52">
        <f t="shared" si="8"/>
      </c>
      <c r="AD52">
        <f t="shared" si="8"/>
      </c>
      <c r="AE52">
        <f t="shared" si="8"/>
      </c>
      <c r="AF52">
        <f t="shared" si="8"/>
      </c>
      <c r="AG52">
        <f t="shared" si="8"/>
      </c>
      <c r="AH52">
        <f t="shared" si="8"/>
      </c>
      <c r="AI52">
        <f t="shared" si="8"/>
      </c>
      <c r="AJ52">
        <f t="shared" si="8"/>
      </c>
      <c r="AK52">
        <f t="shared" si="8"/>
      </c>
      <c r="AL52">
        <f t="shared" si="8"/>
      </c>
      <c r="AM52">
        <f t="shared" si="8"/>
      </c>
      <c r="AN52">
        <f t="shared" si="8"/>
      </c>
      <c r="AO52">
        <f t="shared" si="8"/>
      </c>
      <c r="AP52">
        <f t="shared" si="8"/>
      </c>
      <c r="AQ52">
        <f t="shared" si="8"/>
      </c>
      <c r="AR52">
        <f t="shared" si="8"/>
      </c>
      <c r="AS52">
        <f t="shared" si="8"/>
      </c>
      <c r="AT52">
        <f t="shared" si="8"/>
      </c>
      <c r="AU52">
        <f t="shared" si="8"/>
      </c>
      <c r="AV52">
        <f t="shared" si="8"/>
      </c>
      <c r="AW52">
        <f t="shared" si="8"/>
      </c>
      <c r="AX52">
        <f t="shared" si="8"/>
      </c>
      <c r="AY52">
        <f t="shared" si="8"/>
      </c>
      <c r="AZ52">
        <f t="shared" si="8"/>
      </c>
      <c r="BA52">
        <f t="shared" si="8"/>
      </c>
      <c r="BB52">
        <f t="shared" si="8"/>
      </c>
      <c r="BC52">
        <f t="shared" si="8"/>
      </c>
      <c r="BD52">
        <f t="shared" si="8"/>
      </c>
      <c r="BE52">
        <f t="shared" si="8"/>
      </c>
      <c r="BF52">
        <f t="shared" si="8"/>
      </c>
      <c r="BG52">
        <f t="shared" si="8"/>
      </c>
      <c r="BH52">
        <f t="shared" si="8"/>
      </c>
      <c r="BI52">
        <f t="shared" si="8"/>
      </c>
      <c r="BJ52">
        <f t="shared" si="8"/>
      </c>
      <c r="BK52">
        <f t="shared" si="8"/>
      </c>
      <c r="BL52">
        <f t="shared" si="8"/>
      </c>
      <c r="BM52">
        <f t="shared" si="8"/>
      </c>
      <c r="BN52">
        <f t="shared" si="8"/>
      </c>
      <c r="BO52">
        <f t="shared" si="8"/>
      </c>
      <c r="BP52">
        <f t="shared" si="8"/>
      </c>
      <c r="BQ52">
        <f t="shared" si="8"/>
      </c>
      <c r="BR52">
        <f t="shared" si="8"/>
      </c>
      <c r="BS52">
        <f t="shared" si="8"/>
      </c>
      <c r="BT52">
        <f t="shared" si="8"/>
      </c>
      <c r="BU52">
        <f t="shared" si="8"/>
      </c>
      <c r="BV52">
        <f t="shared" si="8"/>
      </c>
      <c r="BW52">
        <f t="shared" si="8"/>
      </c>
      <c r="BX52">
        <f t="shared" si="8"/>
      </c>
      <c r="BY52">
        <f t="shared" si="8"/>
      </c>
      <c r="BZ52">
        <f t="shared" si="8"/>
      </c>
      <c r="CA52">
        <f t="shared" si="8"/>
      </c>
      <c r="CB52">
        <f t="shared" si="8"/>
      </c>
      <c r="CC52">
        <f t="shared" si="8"/>
      </c>
      <c r="CD52">
        <f t="shared" si="8"/>
      </c>
      <c r="CE52">
        <f t="shared" si="8"/>
      </c>
      <c r="CF52">
        <f t="shared" si="8"/>
      </c>
      <c r="CG52">
        <f t="shared" si="8"/>
      </c>
      <c r="CH52">
        <f t="shared" si="8"/>
      </c>
      <c r="CI52">
        <f t="shared" si="8"/>
      </c>
      <c r="CJ52">
        <f t="shared" si="8"/>
      </c>
      <c r="CK52">
        <f t="shared" si="8"/>
      </c>
      <c r="CL52">
        <f t="shared" si="8"/>
      </c>
      <c r="CM52">
        <f t="shared" si="8"/>
      </c>
      <c r="CN52">
        <f t="shared" si="8"/>
      </c>
      <c r="CO52">
        <f t="shared" si="8"/>
      </c>
      <c r="CP52">
        <f t="shared" si="8"/>
      </c>
      <c r="CQ52">
        <f t="shared" si="8"/>
      </c>
      <c r="CR52">
        <f t="shared" si="8"/>
      </c>
      <c r="CS52">
        <f t="shared" si="8"/>
      </c>
      <c r="CT52">
        <f t="shared" si="8"/>
      </c>
      <c r="CU52">
        <f t="shared" si="8"/>
      </c>
      <c r="CV52">
        <f t="shared" si="8"/>
      </c>
      <c r="CW52">
        <f t="shared" si="8"/>
      </c>
      <c r="CX52">
        <f t="shared" si="8"/>
      </c>
      <c r="CY52">
        <f t="shared" si="8"/>
      </c>
      <c r="CZ52">
        <f t="shared" si="8"/>
      </c>
      <c r="DA52">
        <f t="shared" si="8"/>
      </c>
      <c r="DB52">
        <f t="shared" si="8"/>
      </c>
      <c r="DC52">
        <f t="shared" si="8"/>
      </c>
      <c r="DD52">
        <f t="shared" si="8"/>
      </c>
      <c r="DE52">
        <f t="shared" si="8"/>
      </c>
      <c r="DF52">
        <f t="shared" si="8"/>
      </c>
      <c r="DG52">
        <f t="shared" si="8"/>
      </c>
      <c r="DH52">
        <f t="shared" si="8"/>
      </c>
      <c r="DI52">
        <f t="shared" si="8"/>
      </c>
      <c r="DJ52">
        <f t="shared" si="8"/>
      </c>
      <c r="DK52">
        <f t="shared" si="8"/>
      </c>
      <c r="DL52">
        <f t="shared" si="8"/>
      </c>
      <c r="DM52">
        <f t="shared" si="8"/>
      </c>
      <c r="DN52">
        <f t="shared" si="8"/>
      </c>
      <c r="DO52">
        <f t="shared" si="8"/>
      </c>
      <c r="DP52">
        <f t="shared" si="8"/>
      </c>
      <c r="DQ52">
        <f t="shared" si="8"/>
      </c>
      <c r="DR52">
        <f t="shared" si="8"/>
      </c>
      <c r="DS52">
        <f t="shared" si="8"/>
      </c>
      <c r="DT52">
        <f t="shared" si="8"/>
      </c>
      <c r="DU52">
        <f t="shared" si="8"/>
      </c>
      <c r="DV52">
        <f t="shared" si="8"/>
      </c>
      <c r="DW52">
        <f t="shared" si="8"/>
      </c>
      <c r="DX52">
        <f t="shared" si="8"/>
      </c>
      <c r="DY52">
        <f t="shared" si="8"/>
      </c>
      <c r="DZ52">
        <f t="shared" si="8"/>
      </c>
      <c r="EA52">
        <f t="shared" si="8"/>
      </c>
      <c r="EB52">
        <f t="shared" si="8"/>
      </c>
      <c r="EC52">
        <f t="shared" si="8"/>
      </c>
      <c r="ED52">
        <f t="shared" si="8"/>
      </c>
      <c r="EE52">
        <f t="shared" si="8"/>
      </c>
      <c r="EF52">
        <f t="shared" si="8"/>
      </c>
      <c r="EG52">
        <f t="shared" si="8"/>
      </c>
      <c r="EH52">
        <f t="shared" si="8"/>
      </c>
      <c r="EI52">
        <f t="shared" si="8"/>
      </c>
      <c r="EJ52">
        <f t="shared" si="8"/>
      </c>
      <c r="EK52">
        <f t="shared" si="8"/>
      </c>
      <c r="EL52">
        <f t="shared" si="8"/>
      </c>
      <c r="EM52">
        <f t="shared" si="8"/>
      </c>
      <c r="EN52">
        <f t="shared" si="8"/>
      </c>
      <c r="EO52">
        <f t="shared" si="8"/>
      </c>
      <c r="EP52">
        <f t="shared" si="8"/>
      </c>
      <c r="EQ52">
        <f t="shared" si="8"/>
      </c>
      <c r="ER52">
        <f t="shared" si="8"/>
      </c>
      <c r="ES52">
        <f t="shared" si="8"/>
      </c>
      <c r="ET52">
        <f t="shared" si="8"/>
      </c>
      <c r="EU52">
        <f t="shared" si="8"/>
      </c>
      <c r="EV52">
        <f t="shared" si="8"/>
      </c>
      <c r="EW52">
        <f t="shared" si="8"/>
      </c>
      <c r="EX52">
        <f t="shared" si="8"/>
      </c>
      <c r="EY52">
        <f t="shared" si="8"/>
      </c>
      <c r="EZ52">
        <f t="shared" si="8"/>
      </c>
      <c r="FA52" t="str">
        <f t="shared" si="12"/>
        <v>-</v>
      </c>
      <c r="FB52">
        <f t="shared" si="13"/>
      </c>
      <c r="FC52" cm="1">
        <f t="array" ref="FC52">_xlfn.LET(_xlpm.unit_type,$G52,_xlpm.market_rent_from_rent_roll,$E52,_xlpm.unit_type_list,RentRoll_InputArea_DesignatedUnitType,_xlpm.rent_by_unit_type,RentRoll_InputArea_MarketRent,_xlpm.use_rent_roll_market_rent,LEFT(RR_VacantUnitMktRentSource,9)="Rent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52">
        <f t="shared" si="14"/>
        <v>1396</v>
      </c>
      <c r="FE52">
        <f t="shared" si="15"/>
        <v>1396</v>
      </c>
      <c r="FF52">
        <f t="shared" si="16"/>
        <v>1396</v>
      </c>
      <c r="FH52">
        <f t="shared" si="17"/>
      </c>
      <c r="FI52">
        <f t="shared" si="18"/>
      </c>
      <c r="FK52" cm="1">
        <f t="array" ref="FK52">IF(AND(LEN($D52)&gt;0,ISNA(MATCH(TRUE,EXACT($G52,RentRoll_InputArea_DesignatedUnitType),0))),1,0)</f>
        <v>0</v>
      </c>
      <c r="FL52">
        <f t="shared" si="19"/>
        <v>29</v>
      </c>
      <c r="IO52" cm="1">
        <f t="array" ref="IO52">IF(LEN($G52)=0,"Rent Roll is incomplete",_xlfn.XLOOKUP(TRUE,EXACT(RentRoll_InputArea_DesignatedUnitType,$G52),RentRoll_InputArea_Beds,"Not Found"))</f>
        <v>2</v>
      </c>
      <c r="IQ52" t="str">
        <f t="shared" si="20"/>
        <v>2 Bedroom Unit</v>
      </c>
      <c r="IR52">
        <f t="shared" si="21"/>
        <v>1396</v>
      </c>
      <c r="IW52" t="str">
        <f t="shared" si="22"/>
        <v>3-304</v>
      </c>
      <c r="IZ52">
        <f t="shared" si="23"/>
        <v>2</v>
      </c>
      <c r="JA52">
        <f t="shared" si="24"/>
        <v>1396</v>
      </c>
      <c r="JH52">
        <f t="shared" si="25"/>
        <v>1410</v>
      </c>
      <c r="JJ52">
        <f t="shared" si="26"/>
      </c>
      <c r="JQ52" t="str">
        <f t="shared" si="27"/>
        <v>Occupied</v>
      </c>
      <c r="JR52" cm="1">
        <f t="array" ref="JR52">_xlfn.XLOOKUP(TRUE,EXACT(RentRoll_InputArea_DesignatedUnitType,$G52),RentRoll_InputArea_SquareFootage,"Not Found")</f>
        <v>851</v>
      </c>
      <c r="JS52" t="str">
        <f t="shared" si="28"/>
        <v>Apartment</v>
      </c>
      <c r="JT52">
        <f t="shared" si="29"/>
      </c>
      <c r="JY52">
        <f t="shared" si="9"/>
        <v>43510</v>
      </c>
      <c r="JZ52">
        <f t="shared" si="9"/>
        <v>43708</v>
      </c>
    </row>
    <row r="53" ht="15" customHeight="1">
      <c r="A53">
        <f t="shared" si="10"/>
        <v>30</v>
      </c>
      <c r="B53" t="s">
        <v>2802</v>
      </c>
      <c r="D53" t="s">
        <v>2803</v>
      </c>
      <c r="E53">
        <v>1411</v>
      </c>
      <c r="F53" t="s">
        <v>2804</v>
      </c>
      <c r="G53" t="s">
        <v>2531</v>
      </c>
      <c r="I53" cm="1">
        <f t="array" ref="I53">_xlfn.LET(_xlpm.has_subsidy,$N53&gt;0,_xlpm.is_chap9_sbl,$FF$20,_xlpm.contract_rent,$H53,_xlpm.unit_type_mkt_rent,_xlfn.XLOOKUP(TRUE,EXACT($G53,RentRoll_InputArea_DesignatedUnitType),RentRoll_InputArea_MarketRent,"Not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3">
        <f t="shared" si="11"/>
      </c>
      <c r="Q53">
        <f t="shared" si="8"/>
      </c>
      <c r="R53">
        <f t="shared" si="8"/>
      </c>
      <c r="S53">
        <f t="shared" si="8"/>
      </c>
      <c r="T53">
        <f t="shared" si="8"/>
      </c>
      <c r="U53">
        <f t="shared" si="8"/>
      </c>
      <c r="V53">
        <f t="shared" si="8"/>
      </c>
      <c r="W53">
        <f t="shared" si="8"/>
      </c>
      <c r="X53">
        <f t="shared" si="8"/>
      </c>
      <c r="Y53">
        <f t="shared" si="8"/>
      </c>
      <c r="Z53">
        <f t="shared" si="8"/>
      </c>
      <c r="AA53">
        <f t="shared" si="8"/>
      </c>
      <c r="AB53">
        <f t="shared" si="8"/>
      </c>
      <c r="AC53">
        <f t="shared" si="8"/>
      </c>
      <c r="AD53">
        <f t="shared" si="8"/>
      </c>
      <c r="AE53">
        <f t="shared" si="8"/>
      </c>
      <c r="AF53">
        <f t="shared" si="8"/>
      </c>
      <c r="AG53">
        <f t="shared" si="8"/>
      </c>
      <c r="AH53">
        <f t="shared" si="8"/>
      </c>
      <c r="AI53">
        <f t="shared" si="8"/>
      </c>
      <c r="AJ53">
        <f t="shared" si="8"/>
      </c>
      <c r="AK53">
        <f t="shared" si="8"/>
      </c>
      <c r="AL53">
        <f t="shared" si="8"/>
      </c>
      <c r="AM53">
        <f t="shared" si="8"/>
      </c>
      <c r="AN53">
        <f t="shared" si="8"/>
      </c>
      <c r="AO53">
        <f t="shared" si="8"/>
      </c>
      <c r="AP53">
        <f t="shared" si="8"/>
      </c>
      <c r="AQ53">
        <f t="shared" si="8"/>
      </c>
      <c r="AR53">
        <f t="shared" si="8"/>
      </c>
      <c r="AS53">
        <f t="shared" si="8"/>
      </c>
      <c r="AT53">
        <f t="shared" si="8"/>
      </c>
      <c r="AU53">
        <f t="shared" si="8"/>
      </c>
      <c r="AV53">
        <f t="shared" si="8"/>
      </c>
      <c r="AW53">
        <f t="shared" si="8"/>
      </c>
      <c r="AX53">
        <f t="shared" si="8"/>
      </c>
      <c r="AY53">
        <f t="shared" si="8"/>
      </c>
      <c r="AZ53">
        <f t="shared" si="8"/>
      </c>
      <c r="BA53">
        <f t="shared" si="8"/>
      </c>
      <c r="BB53">
        <f t="shared" si="8"/>
      </c>
      <c r="BC53">
        <f t="shared" si="8"/>
      </c>
      <c r="BD53">
        <f t="shared" si="8"/>
      </c>
      <c r="BE53">
        <f t="shared" si="8"/>
      </c>
      <c r="BF53">
        <f t="shared" si="8"/>
      </c>
      <c r="BG53">
        <f t="shared" si="8"/>
      </c>
      <c r="BH53">
        <f t="shared" si="8"/>
      </c>
      <c r="BI53">
        <f t="shared" si="8"/>
      </c>
      <c r="BJ53">
        <f t="shared" si="8"/>
      </c>
      <c r="BK53">
        <f t="shared" si="8"/>
      </c>
      <c r="BL53">
        <f t="shared" si="8"/>
      </c>
      <c r="BM53">
        <f t="shared" si="8"/>
      </c>
      <c r="BN53">
        <f t="shared" si="8"/>
      </c>
      <c r="BO53">
        <f t="shared" si="8"/>
      </c>
      <c r="BP53">
        <f t="shared" si="8"/>
      </c>
      <c r="BQ53">
        <f t="shared" si="8"/>
      </c>
      <c r="BR53">
        <f t="shared" si="8"/>
      </c>
      <c r="BS53">
        <f t="shared" si="8"/>
      </c>
      <c r="BT53">
        <f t="shared" si="8"/>
      </c>
      <c r="BU53">
        <f t="shared" si="8"/>
      </c>
      <c r="BV53">
        <f t="shared" si="8"/>
      </c>
      <c r="BW53">
        <f t="shared" si="8"/>
      </c>
      <c r="BX53">
        <f t="shared" si="8"/>
      </c>
      <c r="BY53">
        <f t="shared" si="8"/>
      </c>
      <c r="BZ53">
        <f t="shared" si="8"/>
      </c>
      <c r="CA53">
        <f t="shared" si="8"/>
      </c>
      <c r="CB53">
        <f t="shared" si="8"/>
      </c>
      <c r="CC53">
        <f t="shared" si="8"/>
      </c>
      <c r="CD53">
        <f t="shared" si="8"/>
      </c>
      <c r="CE53">
        <f t="shared" si="8"/>
      </c>
      <c r="CF53">
        <f t="shared" si="8"/>
      </c>
      <c r="CG53">
        <f t="shared" si="8"/>
      </c>
      <c r="CH53">
        <f t="shared" si="8"/>
      </c>
      <c r="CI53">
        <f t="shared" si="8"/>
      </c>
      <c r="CJ53">
        <f t="shared" si="8"/>
      </c>
      <c r="CK53">
        <f t="shared" si="8"/>
      </c>
      <c r="CL53">
        <f t="shared" si="8"/>
      </c>
      <c r="CM53">
        <f t="shared" si="8"/>
      </c>
      <c r="CN53">
        <f t="shared" si="8"/>
      </c>
      <c r="CO53">
        <f t="shared" si="8"/>
      </c>
      <c r="CP53">
        <f t="shared" si="8"/>
      </c>
      <c r="CQ53">
        <f t="shared" si="8"/>
      </c>
      <c r="CR53">
        <f t="shared" si="8"/>
      </c>
      <c r="CS53">
        <f t="shared" si="8"/>
      </c>
      <c r="CT53">
        <f t="shared" si="8"/>
      </c>
      <c r="CU53">
        <f t="shared" si="8"/>
      </c>
      <c r="CV53">
        <f t="shared" si="8"/>
      </c>
      <c r="CW53">
        <f t="shared" si="8"/>
      </c>
      <c r="CX53">
        <f t="shared" si="8"/>
      </c>
      <c r="CY53">
        <f t="shared" si="8"/>
      </c>
      <c r="CZ53">
        <f t="shared" si="8"/>
      </c>
      <c r="DA53">
        <f t="shared" si="8"/>
      </c>
      <c r="DB53">
        <f t="shared" si="8"/>
      </c>
      <c r="DC53">
        <f t="shared" si="8"/>
      </c>
      <c r="DD53">
        <f t="shared" si="8"/>
      </c>
      <c r="DE53">
        <f t="shared" si="8"/>
      </c>
      <c r="DF53">
        <f t="shared" si="8"/>
      </c>
      <c r="DG53">
        <f t="shared" si="8"/>
      </c>
      <c r="DH53">
        <f t="shared" si="8"/>
      </c>
      <c r="DI53">
        <f t="shared" si="8"/>
      </c>
      <c r="DJ53">
        <f t="shared" si="8"/>
      </c>
      <c r="DK53">
        <f t="shared" si="8"/>
      </c>
      <c r="DL53">
        <f t="shared" si="8"/>
      </c>
      <c r="DM53">
        <f t="shared" si="8"/>
      </c>
      <c r="DN53">
        <f t="shared" si="8"/>
      </c>
      <c r="DO53">
        <f t="shared" si="8"/>
      </c>
      <c r="DP53">
        <f t="shared" si="8"/>
      </c>
      <c r="DQ53">
        <f t="shared" si="8"/>
      </c>
      <c r="DR53">
        <f t="shared" si="8"/>
      </c>
      <c r="DS53">
        <f t="shared" si="8"/>
      </c>
      <c r="DT53">
        <f t="shared" si="8"/>
      </c>
      <c r="DU53">
        <f t="shared" si="8"/>
      </c>
      <c r="DV53">
        <f t="shared" si="8"/>
      </c>
      <c r="DW53">
        <f t="shared" si="8"/>
      </c>
      <c r="DX53">
        <f t="shared" si="8"/>
      </c>
      <c r="DY53">
        <f t="shared" si="8"/>
      </c>
      <c r="DZ53">
        <f t="shared" si="8"/>
      </c>
      <c r="EA53">
        <f t="shared" si="8"/>
      </c>
      <c r="EB53">
        <f t="shared" si="8"/>
      </c>
      <c r="EC53">
        <f t="shared" si="8"/>
      </c>
      <c r="ED53">
        <f t="shared" si="8"/>
      </c>
      <c r="EE53">
        <f t="shared" si="8"/>
      </c>
      <c r="EF53">
        <f t="shared" si="8"/>
      </c>
      <c r="EG53">
        <f t="shared" si="8"/>
      </c>
      <c r="EH53">
        <f t="shared" si="8"/>
      </c>
      <c r="EI53">
        <f t="shared" si="8"/>
      </c>
      <c r="EJ53">
        <f t="shared" si="8"/>
      </c>
      <c r="EK53">
        <f t="shared" si="8"/>
      </c>
      <c r="EL53">
        <f t="shared" si="8"/>
      </c>
      <c r="EM53">
        <f t="shared" si="8"/>
      </c>
      <c r="EN53">
        <f t="shared" si="8"/>
      </c>
      <c r="EO53">
        <f t="shared" si="8"/>
      </c>
      <c r="EP53">
        <f t="shared" si="8"/>
      </c>
      <c r="EQ53">
        <f t="shared" si="8"/>
      </c>
      <c r="ER53">
        <f t="shared" si="8"/>
      </c>
      <c r="ES53">
        <f t="shared" si="8"/>
      </c>
      <c r="ET53">
        <f t="shared" si="8"/>
      </c>
      <c r="EU53">
        <f t="shared" si="8"/>
      </c>
      <c r="EV53">
        <f t="shared" si="8"/>
      </c>
      <c r="EW53">
        <f t="shared" si="8"/>
      </c>
      <c r="EX53">
        <f t="shared" si="8"/>
      </c>
      <c r="EY53">
        <f t="shared" si="8"/>
      </c>
      <c r="EZ53">
        <f t="shared" si="8"/>
      </c>
      <c r="FA53">
        <f t="shared" si="12"/>
        <v>1410</v>
      </c>
      <c r="FB53">
        <f t="shared" si="13"/>
      </c>
      <c r="FC53" cm="1">
        <f t="array" ref="FC53">_xlfn.LET(_xlpm.unit_type,$G53,_xlpm.market_rent_from_rent_roll,$E53,_xlpm.unit_type_list,RentRoll_InputArea_DesignatedUnitType,_xlpm.rent_by_unit_type,RentRoll_InputArea_MarketRent,_xlpm.use_rent_roll_market_rent,LEFT(RR_VacantUnitMktRentSource,9)="Rent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53">
        <f t="shared" si="14"/>
      </c>
      <c r="FE53">
        <f t="shared" si="15"/>
        <v>1410</v>
      </c>
      <c r="FF53">
        <f t="shared" si="16"/>
        <v>0</v>
      </c>
      <c r="FH53">
        <f t="shared" si="17"/>
      </c>
      <c r="FI53">
        <f t="shared" si="18"/>
      </c>
      <c r="FK53" cm="1">
        <f t="array" ref="FK53">IF(AND(LEN($D53)&gt;0,ISNA(MATCH(TRUE,EXACT($G53,RentRoll_InputArea_DesignatedUnitType),0))),1,0)</f>
        <v>0</v>
      </c>
      <c r="FL53">
        <f t="shared" si="19"/>
        <v>30</v>
      </c>
      <c r="IO53" cm="1">
        <f t="array" ref="IO53">IF(LEN($G53)=0,"Rent Roll is incomplete",_xlfn.XLOOKUP(TRUE,EXACT(RentRoll_InputArea_DesignatedUnitType,$G53),RentRoll_InputArea_Beds,"Not Found"))</f>
        <v>2</v>
      </c>
      <c r="IQ53" t="str">
        <f t="shared" si="20"/>
        <v>2 Bedroom Unit</v>
      </c>
      <c r="IR53">
        <f t="shared" si="21"/>
        <v>1410</v>
      </c>
      <c r="IW53" t="str">
        <f t="shared" si="22"/>
        <v>3-305</v>
      </c>
      <c r="IZ53">
        <f t="shared" si="23"/>
        <v>2</v>
      </c>
      <c r="JA53">
        <f t="shared" si="24"/>
        <v>0</v>
      </c>
      <c r="JH53">
        <f t="shared" si="25"/>
        <v>1410</v>
      </c>
      <c r="JJ53">
        <f t="shared" si="26"/>
      </c>
      <c r="JQ53" t="str">
        <f t="shared" si="27"/>
        <v>Vacant</v>
      </c>
      <c r="JR53" cm="1">
        <f t="array" ref="JR53">_xlfn.XLOOKUP(TRUE,EXACT(RentRoll_InputArea_DesignatedUnitType,$G53),RentRoll_InputArea_SquareFootage,"Not Found")</f>
        <v>851</v>
      </c>
      <c r="JS53" t="str">
        <f t="shared" si="28"/>
        <v>Apartment</v>
      </c>
      <c r="JT53">
        <f t="shared" si="29"/>
      </c>
      <c r="JY53">
        <f t="shared" si="9"/>
      </c>
      <c r="JZ53">
        <f t="shared" si="9"/>
      </c>
    </row>
    <row r="54" ht="15" customHeight="1">
      <c r="A54">
        <f t="shared" si="10"/>
        <v>31</v>
      </c>
      <c r="D54" t="s">
        <v>2805</v>
      </c>
      <c r="E54">
        <v>1433</v>
      </c>
      <c r="F54" t="s">
        <v>2806</v>
      </c>
      <c r="G54" t="s">
        <v>2531</v>
      </c>
      <c r="H54">
        <v>1382</v>
      </c>
      <c r="I54" cm="1">
        <f t="array" ref="I54">_xlfn.LET(_xlpm.has_subsidy,$N54&gt;0,_xlpm.is_chap9_sbl,$FF$20,_xlpm.contract_rent,$H54,_xlpm.unit_type_mkt_rent,_xlfn.XLOOKUP(TRUE,EXACT($G54,RentRoll_InputArea_DesignatedUnitType),RentRoll_InputArea_MarketRent,"Not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4">
        <f t="shared" si="11"/>
        <v>1382</v>
      </c>
      <c r="O54" s="1">
        <v>43316</v>
      </c>
      <c r="P54" s="1">
        <v>43616</v>
      </c>
      <c r="Q54">
        <f t="shared" si="8"/>
      </c>
      <c r="R54">
        <f t="shared" si="8"/>
      </c>
      <c r="S54">
        <f t="shared" si="8"/>
        <v>1382</v>
      </c>
      <c r="T54">
        <f t="shared" si="8"/>
      </c>
      <c r="U54">
        <f t="shared" si="8"/>
      </c>
      <c r="V54">
        <f t="shared" si="8"/>
      </c>
      <c r="W54">
        <f t="shared" si="8"/>
      </c>
      <c r="X54">
        <f t="shared" si="8"/>
      </c>
      <c r="Y54">
        <f t="shared" si="8"/>
      </c>
      <c r="Z54">
        <f t="shared" si="8"/>
      </c>
      <c r="AA54">
        <f t="shared" si="8"/>
      </c>
      <c r="AB54">
        <f t="shared" si="8"/>
      </c>
      <c r="AC54">
        <f t="shared" si="8"/>
      </c>
      <c r="AD54">
        <f t="shared" si="8"/>
      </c>
      <c r="AE54">
        <f t="shared" si="8"/>
      </c>
      <c r="AF54">
        <f t="shared" si="8"/>
      </c>
      <c r="AG54">
        <f t="shared" si="8"/>
      </c>
      <c r="AH54">
        <f t="shared" si="8"/>
      </c>
      <c r="AI54">
        <f t="shared" si="8"/>
      </c>
      <c r="AJ54">
        <f t="shared" si="8"/>
      </c>
      <c r="AK54">
        <f t="shared" si="8"/>
      </c>
      <c r="AL54">
        <f t="shared" si="8"/>
      </c>
      <c r="AM54">
        <f t="shared" si="8"/>
      </c>
      <c r="AN54">
        <f t="shared" si="8"/>
      </c>
      <c r="AO54">
        <f t="shared" si="8"/>
      </c>
      <c r="AP54">
        <f t="shared" si="8"/>
      </c>
      <c r="AQ54">
        <f t="shared" si="8"/>
      </c>
      <c r="AR54">
        <f t="shared" si="8"/>
      </c>
      <c r="AS54">
        <f t="shared" si="8"/>
      </c>
      <c r="AT54">
        <f t="shared" si="8"/>
      </c>
      <c r="AU54">
        <f t="shared" si="8"/>
      </c>
      <c r="AV54">
        <f t="shared" si="8"/>
      </c>
      <c r="AW54">
        <f t="shared" si="8"/>
      </c>
      <c r="AX54">
        <f t="shared" si="8"/>
      </c>
      <c r="AY54">
        <f t="shared" si="8"/>
      </c>
      <c r="AZ54">
        <f t="shared" si="8"/>
      </c>
      <c r="BA54">
        <f t="shared" si="8"/>
      </c>
      <c r="BB54">
        <f t="shared" si="8"/>
      </c>
      <c r="BC54">
        <f t="shared" si="8"/>
      </c>
      <c r="BD54">
        <f t="shared" si="8"/>
      </c>
      <c r="BE54">
        <f t="shared" si="8"/>
      </c>
      <c r="BF54">
        <f t="shared" si="8"/>
      </c>
      <c r="BG54">
        <f t="shared" si="8"/>
      </c>
      <c r="BH54">
        <f t="shared" si="8"/>
      </c>
      <c r="BI54">
        <f t="shared" si="8"/>
      </c>
      <c r="BJ54">
        <f t="shared" si="8"/>
      </c>
      <c r="BK54">
        <f t="shared" si="8"/>
      </c>
      <c r="BL54">
        <f t="shared" si="8"/>
      </c>
      <c r="BM54">
        <f t="shared" si="8"/>
      </c>
      <c r="BN54">
        <f t="shared" si="8"/>
      </c>
      <c r="BO54">
        <f t="shared" si="8"/>
      </c>
      <c r="BP54">
        <f t="shared" si="8"/>
      </c>
      <c r="BQ54">
        <f t="shared" si="8"/>
      </c>
      <c r="BR54">
        <f t="shared" si="8"/>
      </c>
      <c r="BS54">
        <f t="shared" si="8"/>
      </c>
      <c r="BT54">
        <f t="shared" si="8"/>
      </c>
      <c r="BU54">
        <f t="shared" si="8"/>
      </c>
      <c r="BV54">
        <f t="shared" si="8"/>
      </c>
      <c r="BW54">
        <f t="shared" si="8"/>
      </c>
      <c r="BX54">
        <f t="shared" si="8"/>
      </c>
      <c r="BY54">
        <f t="shared" si="8"/>
      </c>
      <c r="BZ54">
        <f t="shared" si="8"/>
      </c>
      <c r="CA54">
        <f t="shared" si="8"/>
      </c>
      <c r="CB54">
        <f t="shared" si="8"/>
      </c>
      <c r="CC54">
        <f t="shared" si="8"/>
      </c>
      <c r="CD54">
        <f t="shared" si="8"/>
      </c>
      <c r="CE54">
        <f t="shared" si="8"/>
      </c>
      <c r="CF54">
        <f t="shared" si="8"/>
      </c>
      <c r="CG54">
        <f t="shared" si="8"/>
      </c>
      <c r="CH54">
        <f t="shared" si="8"/>
      </c>
      <c r="CI54">
        <f t="shared" si="8"/>
      </c>
      <c r="CJ54">
        <f t="shared" si="8"/>
      </c>
      <c r="CK54">
        <f t="shared" si="8"/>
      </c>
      <c r="CL54">
        <f t="shared" si="8"/>
      </c>
      <c r="CM54">
        <f t="shared" si="8"/>
      </c>
      <c r="CN54">
        <f t="shared" si="8"/>
      </c>
      <c r="CO54">
        <f t="shared" si="8"/>
      </c>
      <c r="CP54">
        <f t="shared" si="8"/>
      </c>
      <c r="CQ54">
        <f t="shared" si="8"/>
      </c>
      <c r="CR54">
        <f t="shared" si="8"/>
      </c>
      <c r="CS54">
        <f t="shared" si="8"/>
      </c>
      <c r="CT54">
        <f t="shared" si="8"/>
      </c>
      <c r="CU54">
        <f t="shared" si="8"/>
      </c>
      <c r="CV54">
        <f t="shared" si="8"/>
      </c>
      <c r="CW54">
        <f t="shared" si="8"/>
      </c>
      <c r="CX54">
        <f t="shared" si="8"/>
      </c>
      <c r="CY54">
        <f t="shared" si="8"/>
      </c>
      <c r="CZ54">
        <f t="shared" si="8"/>
      </c>
      <c r="DA54">
        <f t="shared" si="8"/>
      </c>
      <c r="DB54">
        <f t="shared" si="8"/>
      </c>
      <c r="DC54">
        <f t="shared" si="8"/>
      </c>
      <c r="DD54">
        <f t="shared" si="8"/>
      </c>
      <c r="DE54">
        <f t="shared" si="8"/>
      </c>
      <c r="DF54">
        <f t="shared" si="8"/>
      </c>
      <c r="DG54">
        <f t="shared" si="8"/>
      </c>
      <c r="DH54">
        <f t="shared" si="8"/>
      </c>
      <c r="DI54">
        <f t="shared" si="8"/>
      </c>
      <c r="DJ54">
        <f t="shared" si="8"/>
      </c>
      <c r="DK54">
        <f t="shared" si="8"/>
      </c>
      <c r="DL54">
        <f t="shared" si="8"/>
      </c>
      <c r="DM54">
        <f t="shared" si="8"/>
      </c>
      <c r="DN54">
        <f t="shared" si="8"/>
      </c>
      <c r="DO54">
        <f t="shared" si="8"/>
      </c>
      <c r="DP54">
        <f t="shared" si="8"/>
      </c>
      <c r="DQ54">
        <f t="shared" si="8"/>
      </c>
      <c r="DR54">
        <f t="shared" si="8"/>
      </c>
      <c r="DS54">
        <f t="shared" si="8"/>
      </c>
      <c r="DT54">
        <f t="shared" si="8"/>
      </c>
      <c r="DU54">
        <f t="shared" si="8"/>
      </c>
      <c r="DV54">
        <f t="shared" si="8"/>
      </c>
      <c r="DW54">
        <f t="shared" si="8"/>
      </c>
      <c r="DX54">
        <f t="shared" si="8"/>
      </c>
      <c r="DY54">
        <f t="shared" si="8"/>
      </c>
      <c r="DZ54">
        <f t="shared" si="8"/>
      </c>
      <c r="EA54">
        <f t="shared" si="8"/>
      </c>
      <c r="EB54">
        <f t="shared" si="8"/>
      </c>
      <c r="EC54">
        <f t="shared" si="8"/>
      </c>
      <c r="ED54">
        <f t="shared" si="8"/>
      </c>
      <c r="EE54">
        <f t="shared" si="8"/>
      </c>
      <c r="EF54">
        <f t="shared" si="8"/>
      </c>
      <c r="EG54">
        <f t="shared" si="8"/>
      </c>
      <c r="EH54">
        <f t="shared" si="8"/>
      </c>
      <c r="EI54">
        <f t="shared" si="8"/>
      </c>
      <c r="EJ54">
        <f t="shared" si="8"/>
      </c>
      <c r="EK54">
        <f t="shared" si="8"/>
      </c>
      <c r="EL54">
        <f t="shared" si="8"/>
      </c>
      <c r="EM54">
        <f t="shared" si="8"/>
      </c>
      <c r="EN54">
        <f t="shared" si="8"/>
      </c>
      <c r="EO54">
        <f t="shared" si="8"/>
      </c>
      <c r="EP54">
        <f t="shared" si="8"/>
      </c>
      <c r="EQ54">
        <f t="shared" si="8"/>
      </c>
      <c r="ER54">
        <f t="shared" si="8"/>
      </c>
      <c r="ES54">
        <f t="shared" si="8"/>
      </c>
      <c r="ET54">
        <f t="shared" si="8"/>
      </c>
      <c r="EU54">
        <f t="shared" si="8"/>
      </c>
      <c r="EV54">
        <f t="shared" si="8"/>
      </c>
      <c r="EW54">
        <f t="shared" si="8"/>
      </c>
      <c r="EX54">
        <f t="shared" si="8"/>
      </c>
      <c r="EY54">
        <f t="shared" si="8"/>
      </c>
      <c r="EZ54">
        <f t="shared" si="8"/>
      </c>
      <c r="FA54" t="str">
        <f t="shared" si="12"/>
        <v>-</v>
      </c>
      <c r="FB54">
        <f t="shared" si="13"/>
      </c>
      <c r="FC54" cm="1">
        <f t="array" ref="FC54">_xlfn.LET(_xlpm.unit_type,$G54,_xlpm.market_rent_from_rent_roll,$E54,_xlpm.unit_type_list,RentRoll_InputArea_DesignatedUnitType,_xlpm.rent_by_unit_type,RentRoll_InputArea_MarketRent,_xlpm.use_rent_roll_market_rent,LEFT(RR_VacantUnitMktRentSource,9)="Rent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54">
        <f t="shared" si="14"/>
        <v>1382</v>
      </c>
      <c r="FE54">
        <f t="shared" si="15"/>
        <v>1382</v>
      </c>
      <c r="FF54">
        <f t="shared" si="16"/>
        <v>1382</v>
      </c>
      <c r="FH54">
        <f t="shared" si="17"/>
      </c>
      <c r="FI54">
        <f t="shared" si="18"/>
      </c>
      <c r="FK54" cm="1">
        <f t="array" ref="FK54">IF(AND(LEN($D54)&gt;0,ISNA(MATCH(TRUE,EXACT($G54,RentRoll_InputArea_DesignatedUnitType),0))),1,0)</f>
        <v>0</v>
      </c>
      <c r="FL54">
        <f t="shared" si="19"/>
        <v>31</v>
      </c>
      <c r="IO54" cm="1">
        <f t="array" ref="IO54">IF(LEN($G54)=0,"Rent Roll is incomplete",_xlfn.XLOOKUP(TRUE,EXACT(RentRoll_InputArea_DesignatedUnitType,$G54),RentRoll_InputArea_Beds,"Not Found"))</f>
        <v>2</v>
      </c>
      <c r="IQ54" t="str">
        <f t="shared" si="20"/>
        <v>2 Bedroom Unit</v>
      </c>
      <c r="IR54">
        <f t="shared" si="21"/>
        <v>1382</v>
      </c>
      <c r="IW54" t="str">
        <f t="shared" si="22"/>
        <v>3-306</v>
      </c>
      <c r="IZ54">
        <f t="shared" si="23"/>
        <v>2</v>
      </c>
      <c r="JA54">
        <f t="shared" si="24"/>
        <v>1382</v>
      </c>
      <c r="JH54">
        <f t="shared" si="25"/>
        <v>1410</v>
      </c>
      <c r="JJ54">
        <f t="shared" si="26"/>
      </c>
      <c r="JQ54" t="str">
        <f t="shared" si="27"/>
        <v>Occupied</v>
      </c>
      <c r="JR54" cm="1">
        <f t="array" ref="JR54">_xlfn.XLOOKUP(TRUE,EXACT(RentRoll_InputArea_DesignatedUnitType,$G54),RentRoll_InputArea_SquareFootage,"Not Found")</f>
        <v>851</v>
      </c>
      <c r="JS54" t="str">
        <f t="shared" si="28"/>
        <v>Apartment</v>
      </c>
      <c r="JT54">
        <f t="shared" si="29"/>
      </c>
      <c r="JY54">
        <f t="shared" si="9"/>
        <v>43316</v>
      </c>
      <c r="JZ54">
        <f t="shared" si="9"/>
        <v>43616</v>
      </c>
    </row>
    <row r="55" ht="15" customHeight="1">
      <c r="A55">
        <f t="shared" si="10"/>
        <v>32</v>
      </c>
      <c r="D55" t="s">
        <v>2807</v>
      </c>
      <c r="E55">
        <v>1472</v>
      </c>
      <c r="F55" t="s">
        <v>2808</v>
      </c>
      <c r="G55" t="s">
        <v>2531</v>
      </c>
      <c r="H55">
        <v>1333</v>
      </c>
      <c r="I55" cm="1">
        <f t="array" ref="I55">_xlfn.LET(_xlpm.has_subsidy,$N55&gt;0,_xlpm.is_chap9_sbl,$FF$20,_xlpm.contract_rent,$H55,_xlpm.unit_type_mkt_rent,_xlfn.XLOOKUP(TRUE,EXACT($G55,RentRoll_InputArea_DesignatedUnitType),RentRoll_InputArea_MarketRent,"Not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5">
        <f t="shared" si="11"/>
        <v>1333</v>
      </c>
      <c r="O55" s="1">
        <v>43399</v>
      </c>
      <c r="P55" s="1">
        <v>43677</v>
      </c>
      <c r="Q55">
        <f t="shared" si="8"/>
      </c>
      <c r="R55">
        <f t="shared" si="8"/>
      </c>
      <c r="S55">
        <f t="shared" si="8"/>
        <v>1333</v>
      </c>
      <c r="T55">
        <f t="shared" si="8"/>
      </c>
      <c r="U55">
        <f t="shared" si="8"/>
      </c>
      <c r="V55">
        <f t="shared" si="8"/>
      </c>
      <c r="W55">
        <f t="shared" si="8"/>
      </c>
      <c r="X55">
        <f t="shared" si="8"/>
      </c>
      <c r="Y55">
        <f t="shared" si="8"/>
      </c>
      <c r="Z55">
        <f t="shared" si="8"/>
      </c>
      <c r="AA55">
        <f t="shared" si="8"/>
      </c>
      <c r="AB55">
        <f t="shared" si="8"/>
      </c>
      <c r="AC55">
        <f t="shared" si="8"/>
      </c>
      <c r="AD55">
        <f t="shared" si="8"/>
      </c>
      <c r="AE55">
        <f t="shared" si="8"/>
      </c>
      <c r="AF55">
        <f t="shared" si="8"/>
      </c>
      <c r="AG55">
        <f t="shared" si="8"/>
      </c>
      <c r="AH55">
        <f t="shared" si="8"/>
      </c>
      <c r="AI55">
        <f t="shared" si="8"/>
      </c>
      <c r="AJ55">
        <f t="shared" si="8"/>
      </c>
      <c r="AK55">
        <f t="shared" si="8"/>
      </c>
      <c r="AL55">
        <f t="shared" si="8"/>
      </c>
      <c r="AM55">
        <f t="shared" si="8"/>
      </c>
      <c r="AN55">
        <f t="shared" si="8"/>
      </c>
      <c r="AO55">
        <f t="shared" si="8"/>
      </c>
      <c r="AP55">
        <f t="shared" si="8"/>
      </c>
      <c r="AQ55">
        <f t="shared" si="8"/>
      </c>
      <c r="AR55">
        <f t="shared" si="8"/>
      </c>
      <c r="AS55">
        <f t="shared" si="8"/>
      </c>
      <c r="AT55">
        <f t="shared" si="8"/>
      </c>
      <c r="AU55">
        <f t="shared" si="8"/>
      </c>
      <c r="AV55">
        <f t="shared" si="8"/>
      </c>
      <c r="AW55">
        <f t="shared" si="8"/>
      </c>
      <c r="AX55">
        <f t="shared" si="8"/>
      </c>
      <c r="AY55">
        <f t="shared" si="8"/>
      </c>
      <c r="AZ55">
        <f t="shared" si="8"/>
      </c>
      <c r="BA55">
        <f t="shared" si="8"/>
      </c>
      <c r="BB55">
        <f t="shared" si="8"/>
      </c>
      <c r="BC55">
        <f t="shared" si="8"/>
      </c>
      <c r="BD55">
        <f t="shared" si="8"/>
      </c>
      <c r="BE55">
        <f t="shared" si="8"/>
      </c>
      <c r="BF55">
        <f t="shared" si="8"/>
      </c>
      <c r="BG55">
        <f t="shared" si="8"/>
      </c>
      <c r="BH55">
        <f t="shared" si="8"/>
      </c>
      <c r="BI55">
        <f t="shared" si="8"/>
      </c>
      <c r="BJ55">
        <f t="shared" si="8"/>
      </c>
      <c r="BK55">
        <f t="shared" si="8"/>
      </c>
      <c r="BL55">
        <f t="shared" si="8"/>
      </c>
      <c r="BM55">
        <f t="shared" si="8"/>
      </c>
      <c r="BN55">
        <f t="shared" si="8"/>
      </c>
      <c r="BO55">
        <f t="shared" si="8"/>
      </c>
      <c r="BP55">
        <f t="shared" si="8"/>
      </c>
      <c r="BQ55">
        <f t="shared" si="8"/>
      </c>
      <c r="BR55">
        <f t="shared" si="8"/>
      </c>
      <c r="BS55">
        <f t="shared" si="8"/>
      </c>
      <c r="BT55">
        <f t="shared" si="8"/>
      </c>
      <c r="BU55">
        <f t="shared" si="8"/>
      </c>
      <c r="BV55">
        <f t="shared" si="8"/>
      </c>
      <c r="BW55">
        <f t="shared" si="8"/>
      </c>
      <c r="BX55">
        <f t="shared" si="8"/>
      </c>
      <c r="BY55">
        <f t="shared" si="8"/>
      </c>
      <c r="BZ55">
        <f t="shared" si="8"/>
      </c>
      <c r="CA55">
        <f t="shared" si="8"/>
      </c>
      <c r="CB55">
        <f t="shared" si="8"/>
      </c>
      <c r="CC55">
        <f t="shared" si="8"/>
      </c>
      <c r="CD55">
        <f t="shared" si="8"/>
      </c>
      <c r="CE55">
        <f t="shared" si="8"/>
      </c>
      <c r="CF55">
        <f t="shared" si="8"/>
      </c>
      <c r="CG55">
        <f t="shared" si="8"/>
      </c>
      <c r="CH55">
        <f t="shared" si="8"/>
      </c>
      <c r="CI55">
        <f t="shared" si="8"/>
      </c>
      <c r="CJ55">
        <f t="shared" si="8"/>
      </c>
      <c r="CK55">
        <f t="shared" si="8"/>
      </c>
      <c r="CL55">
        <f t="shared" si="8"/>
      </c>
      <c r="CM55">
        <f t="shared" si="8"/>
      </c>
      <c r="CN55">
        <f t="shared" si="8"/>
      </c>
      <c r="CO55">
        <f t="shared" si="8"/>
      </c>
      <c r="CP55">
        <f t="shared" si="8"/>
      </c>
      <c r="CQ55">
        <f t="shared" si="8"/>
      </c>
      <c r="CR55">
        <f t="shared" si="8"/>
      </c>
      <c r="CS55">
        <f t="shared" si="8"/>
      </c>
      <c r="CT55">
        <f t="shared" si="8"/>
      </c>
      <c r="CU55">
        <f t="shared" si="8"/>
      </c>
      <c r="CV55">
        <f t="shared" si="8"/>
      </c>
      <c r="CW55">
        <f t="shared" si="8"/>
      </c>
      <c r="CX55">
        <f t="shared" si="8"/>
      </c>
      <c r="CY55">
        <f t="shared" si="8"/>
      </c>
      <c r="CZ55">
        <f t="shared" si="8"/>
      </c>
      <c r="DA55">
        <f t="shared" si="8"/>
      </c>
      <c r="DB55">
        <f t="shared" si="8"/>
      </c>
      <c r="DC55">
        <f t="shared" si="8"/>
      </c>
      <c r="DD55">
        <f t="shared" si="8"/>
      </c>
      <c r="DE55">
        <f t="shared" si="8"/>
      </c>
      <c r="DF55">
        <f t="shared" si="8"/>
      </c>
      <c r="DG55">
        <f t="shared" si="8"/>
      </c>
      <c r="DH55">
        <f t="shared" si="8"/>
      </c>
      <c r="DI55">
        <f t="shared" si="8"/>
      </c>
      <c r="DJ55">
        <f t="shared" si="8"/>
      </c>
      <c r="DK55">
        <f t="shared" si="8"/>
      </c>
      <c r="DL55">
        <f t="shared" si="8"/>
      </c>
      <c r="DM55">
        <f t="shared" si="8"/>
      </c>
      <c r="DN55">
        <f t="shared" si="8"/>
      </c>
      <c r="DO55">
        <f t="shared" si="8"/>
      </c>
      <c r="DP55">
        <f t="shared" si="8"/>
      </c>
      <c r="DQ55">
        <f t="shared" si="8"/>
      </c>
      <c r="DR55">
        <f t="shared" si="8"/>
      </c>
      <c r="DS55">
        <f t="shared" si="8"/>
      </c>
      <c r="DT55">
        <f t="shared" si="8"/>
      </c>
      <c r="DU55">
        <f t="shared" si="8"/>
      </c>
      <c r="DV55">
        <f t="shared" si="8"/>
      </c>
      <c r="DW55">
        <f t="shared" si="8"/>
      </c>
      <c r="DX55">
        <f t="shared" si="8"/>
      </c>
      <c r="DY55">
        <f t="shared" si="8"/>
      </c>
      <c r="DZ55">
        <f t="shared" si="8"/>
      </c>
      <c r="EA55">
        <f t="shared" si="8"/>
      </c>
      <c r="EB55">
        <f t="shared" si="8"/>
      </c>
      <c r="EC55">
        <f t="shared" si="8"/>
      </c>
      <c r="ED55">
        <f t="shared" si="8"/>
      </c>
      <c r="EE55">
        <f t="shared" si="8"/>
      </c>
      <c r="EF55">
        <f t="shared" si="8"/>
      </c>
      <c r="EG55">
        <f t="shared" si="8"/>
      </c>
      <c r="EH55">
        <f t="shared" si="8"/>
      </c>
      <c r="EI55">
        <f t="shared" si="8"/>
      </c>
      <c r="EJ55">
        <f t="shared" si="8"/>
      </c>
      <c r="EK55">
        <f t="shared" si="8"/>
      </c>
      <c r="EL55">
        <f t="shared" si="8"/>
      </c>
      <c r="EM55">
        <f t="shared" si="8"/>
      </c>
      <c r="EN55">
        <f t="shared" si="8"/>
      </c>
      <c r="EO55">
        <f t="shared" si="8"/>
      </c>
      <c r="EP55">
        <f t="shared" si="8"/>
      </c>
      <c r="EQ55">
        <f t="shared" si="8"/>
      </c>
      <c r="ER55">
        <f t="shared" si="8"/>
      </c>
      <c r="ES55">
        <f t="shared" si="8"/>
      </c>
      <c r="ET55">
        <f t="shared" si="8"/>
      </c>
      <c r="EU55">
        <f t="shared" si="8"/>
      </c>
      <c r="EV55">
        <f t="shared" si="8"/>
      </c>
      <c r="EW55">
        <f t="shared" si="8"/>
      </c>
      <c r="EX55">
        <f t="shared" si="8"/>
      </c>
      <c r="EY55">
        <f t="shared" si="8"/>
      </c>
      <c r="EZ55">
        <f t="shared" si="8"/>
      </c>
      <c r="FA55" t="str">
        <f t="shared" si="12"/>
        <v>-</v>
      </c>
      <c r="FB55">
        <f t="shared" si="13"/>
      </c>
      <c r="FC55" cm="1">
        <f t="array" ref="FC55">_xlfn.LET(_xlpm.unit_type,$G55,_xlpm.market_rent_from_rent_roll,$E55,_xlpm.unit_type_list,RentRoll_InputArea_DesignatedUnitType,_xlpm.rent_by_unit_type,RentRoll_InputArea_MarketRent,_xlpm.use_rent_roll_market_rent,LEFT(RR_VacantUnitMktRentSource,9)="Rent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1410</v>
      </c>
      <c r="FD55">
        <f t="shared" si="14"/>
        <v>1333</v>
      </c>
      <c r="FE55">
        <f t="shared" si="15"/>
        <v>1333</v>
      </c>
      <c r="FF55">
        <f t="shared" si="16"/>
        <v>1333</v>
      </c>
      <c r="FH55">
        <f t="shared" si="17"/>
      </c>
      <c r="FI55">
        <f t="shared" si="18"/>
      </c>
      <c r="FK55" cm="1">
        <f t="array" ref="FK55">IF(AND(LEN($D55)&gt;0,ISNA(MATCH(TRUE,EXACT($G55,RentRoll_InputArea_DesignatedUnitType),0))),1,0)</f>
        <v>0</v>
      </c>
      <c r="FL55">
        <f t="shared" si="19"/>
        <v>32</v>
      </c>
      <c r="IO55" cm="1">
        <f t="array" ref="IO55">IF(LEN($G55)=0,"Rent Roll is incomplete",_xlfn.XLOOKUP(TRUE,EXACT(RentRoll_InputArea_DesignatedUnitType,$G55),RentRoll_InputArea_Beds,"Not Found"))</f>
        <v>2</v>
      </c>
      <c r="IQ55" t="str">
        <f t="shared" si="20"/>
        <v>2 Bedroom Unit</v>
      </c>
      <c r="IR55">
        <f t="shared" si="21"/>
        <v>1333</v>
      </c>
      <c r="IW55" t="str">
        <f t="shared" si="22"/>
        <v>3-307</v>
      </c>
      <c r="IZ55">
        <f t="shared" si="23"/>
        <v>2</v>
      </c>
      <c r="JA55">
        <f t="shared" si="24"/>
        <v>1333</v>
      </c>
      <c r="JH55">
        <f t="shared" si="25"/>
        <v>1410</v>
      </c>
      <c r="JJ55">
        <f t="shared" si="26"/>
      </c>
      <c r="JQ55" t="str">
        <f t="shared" si="27"/>
        <v>Occupied</v>
      </c>
      <c r="JR55" cm="1">
        <f t="array" ref="JR55">_xlfn.XLOOKUP(TRUE,EXACT(RentRoll_InputArea_DesignatedUnitType,$G55),RentRoll_InputArea_SquareFootage,"Not Found")</f>
        <v>851</v>
      </c>
      <c r="JS55" t="str">
        <f t="shared" si="28"/>
        <v>Apartment</v>
      </c>
      <c r="JT55">
        <f t="shared" si="29"/>
      </c>
      <c r="JY55">
        <f t="shared" si="9"/>
        <v>43399</v>
      </c>
      <c r="JZ55">
        <f t="shared" si="9"/>
        <v>43677</v>
      </c>
    </row>
    <row r="56" ht="15" customHeight="1">
      <c r="A56">
        <f t="shared" si="10"/>
        <v>33</v>
      </c>
      <c r="D56" t="s">
        <v>2809</v>
      </c>
      <c r="E56">
        <v>1474</v>
      </c>
      <c r="F56" t="s">
        <v>2810</v>
      </c>
      <c r="G56" t="s">
        <v>2532</v>
      </c>
      <c r="H56">
        <v>1498</v>
      </c>
      <c r="I56" cm="1">
        <f t="array" ref="I56">_xlfn.LET(_xlpm.has_subsidy,$N56&gt;0,_xlpm.is_chap9_sbl,$FF$20,_xlpm.contract_rent,$H56,_xlpm.unit_type_mkt_rent,_xlfn.XLOOKUP(TRUE,EXACT($G56,RentRoll_InputArea_DesignatedUnitType),RentRoll_InputArea_MarketRent,"Not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6">
        <f t="shared" si="11"/>
        <v>1498</v>
      </c>
      <c r="O56" s="1">
        <v>43374</v>
      </c>
      <c r="P56" s="1">
        <v>43585</v>
      </c>
      <c r="Q56">
        <f t="shared" si="8"/>
      </c>
      <c r="R56">
        <f t="shared" si="8"/>
      </c>
      <c r="S56">
        <f t="shared" si="8"/>
      </c>
      <c r="T56">
        <f t="shared" si="8"/>
        <v>1498</v>
      </c>
      <c r="U56">
        <f t="shared" si="8"/>
      </c>
      <c r="V56">
        <f t="shared" si="8"/>
      </c>
      <c r="W56">
        <f t="shared" si="8"/>
      </c>
      <c r="X56">
        <f t="shared" si="8"/>
      </c>
      <c r="Y56">
        <f t="shared" si="8"/>
      </c>
      <c r="Z56">
        <f t="shared" si="8"/>
      </c>
      <c r="AA56">
        <f t="shared" si="8"/>
      </c>
      <c r="AB56">
        <f t="shared" si="8"/>
      </c>
      <c r="AC56">
        <f t="shared" si="8"/>
      </c>
      <c r="AD56">
        <f t="shared" si="8"/>
      </c>
      <c r="AE56">
        <f t="shared" si="8"/>
      </c>
      <c r="AF56">
        <f t="shared" si="8"/>
      </c>
      <c r="AG56">
        <f t="shared" si="8"/>
      </c>
      <c r="AH56">
        <f t="shared" si="8"/>
      </c>
      <c r="AI56">
        <f t="shared" si="8"/>
      </c>
      <c r="AJ56">
        <f t="shared" si="8"/>
      </c>
      <c r="AK56">
        <f t="shared" si="8"/>
      </c>
      <c r="AL56">
        <f t="shared" si="8"/>
      </c>
      <c r="AM56">
        <f t="shared" si="8"/>
      </c>
      <c r="AN56">
        <f t="shared" si="8"/>
      </c>
      <c r="AO56">
        <f t="shared" si="8"/>
      </c>
      <c r="AP56">
        <f t="shared" si="8"/>
      </c>
      <c r="AQ56">
        <f t="shared" si="8"/>
      </c>
      <c r="AR56">
        <f t="shared" si="8"/>
      </c>
      <c r="AS56">
        <f t="shared" si="8"/>
      </c>
      <c r="AT56">
        <f t="shared" si="8"/>
      </c>
      <c r="AU56">
        <f t="shared" si="8"/>
      </c>
      <c r="AV56">
        <f t="shared" si="8"/>
      </c>
      <c r="AW56">
        <f t="shared" si="8"/>
      </c>
      <c r="AX56">
        <f t="shared" si="8"/>
      </c>
      <c r="AY56">
        <f t="shared" si="8"/>
      </c>
      <c r="AZ56">
        <f t="shared" si="8"/>
      </c>
      <c r="BA56">
        <f t="shared" si="8"/>
      </c>
      <c r="BB56">
        <f t="shared" si="8"/>
      </c>
      <c r="BC56">
        <f t="shared" si="8"/>
      </c>
      <c r="BD56">
        <f t="shared" si="8"/>
      </c>
      <c r="BE56">
        <f t="shared" si="8"/>
      </c>
      <c r="BF56">
        <f t="shared" si="8"/>
      </c>
      <c r="BG56">
        <f t="shared" si="8"/>
      </c>
      <c r="BH56">
        <f t="shared" si="8"/>
      </c>
      <c r="BI56">
        <f t="shared" si="8"/>
      </c>
      <c r="BJ56">
        <f t="shared" si="8"/>
      </c>
      <c r="BK56">
        <f t="shared" si="8"/>
      </c>
      <c r="BL56">
        <f t="shared" si="8"/>
      </c>
      <c r="BM56">
        <f t="shared" si="8"/>
      </c>
      <c r="BN56">
        <f t="shared" si="8"/>
      </c>
      <c r="BO56">
        <f t="shared" si="8"/>
      </c>
      <c r="BP56">
        <f t="shared" si="8"/>
      </c>
      <c r="BQ56">
        <f t="shared" si="8"/>
      </c>
      <c r="BR56">
        <f t="shared" si="8"/>
      </c>
      <c r="BS56">
        <f t="shared" si="8"/>
      </c>
      <c r="BT56">
        <f t="shared" si="8"/>
      </c>
      <c r="BU56">
        <f t="shared" si="8"/>
      </c>
      <c r="BV56">
        <f t="shared" si="8"/>
      </c>
      <c r="BW56">
        <f t="shared" si="8"/>
      </c>
      <c r="BX56">
        <f t="shared" si="8"/>
      </c>
      <c r="BY56">
        <f t="shared" si="8"/>
      </c>
      <c r="BZ56">
        <f t="shared" si="8"/>
      </c>
      <c r="CA56">
        <f t="shared" si="8"/>
      </c>
      <c r="CB56">
        <f t="shared" si="8"/>
      </c>
      <c r="CC56">
        <f t="shared" si="8"/>
      </c>
      <c r="CD56">
        <f t="shared" si="8"/>
      </c>
      <c r="CE56">
        <f t="shared" si="8"/>
      </c>
      <c r="CF56">
        <f t="shared" si="8"/>
      </c>
      <c r="CG56">
        <f t="shared" si="8"/>
      </c>
      <c r="CH56">
        <f t="shared" si="8"/>
      </c>
      <c r="CI56">
        <f t="shared" si="8"/>
      </c>
      <c r="CJ56">
        <f t="shared" si="8"/>
      </c>
      <c r="CK56">
        <f t="shared" si="8"/>
      </c>
      <c r="CL56">
        <f t="shared" si="8"/>
      </c>
      <c r="CM56">
        <f t="shared" si="8"/>
      </c>
      <c r="CN56">
        <f t="shared" si="8"/>
      </c>
      <c r="CO56">
        <f t="shared" si="8"/>
      </c>
      <c r="CP56">
        <f t="shared" si="8"/>
      </c>
      <c r="CQ56">
        <f t="shared" si="8"/>
      </c>
      <c r="CR56">
        <f t="shared" si="8"/>
      </c>
      <c r="CS56">
        <f t="shared" si="8"/>
      </c>
      <c r="CT56">
        <f t="shared" si="8"/>
      </c>
      <c r="CU56">
        <f t="shared" si="8"/>
      </c>
      <c r="CV56">
        <f t="shared" si="8"/>
      </c>
      <c r="CW56">
        <f t="shared" si="8"/>
      </c>
      <c r="CX56">
        <f t="shared" si="8"/>
      </c>
      <c r="CY56">
        <f t="shared" si="8"/>
      </c>
      <c r="CZ56">
        <f t="shared" si="8"/>
      </c>
      <c r="DA56">
        <f t="shared" si="8"/>
      </c>
      <c r="DB56">
        <f t="shared" si="8"/>
      </c>
      <c r="DC56">
        <f t="shared" si="8"/>
      </c>
      <c r="DD56">
        <f t="shared" si="8"/>
      </c>
      <c r="DE56">
        <f t="shared" si="8"/>
      </c>
      <c r="DF56">
        <f t="shared" si="8"/>
      </c>
      <c r="DG56">
        <f t="shared" si="8"/>
      </c>
      <c r="DH56">
        <f t="shared" si="8"/>
      </c>
      <c r="DI56">
        <f t="shared" si="8"/>
      </c>
      <c r="DJ56">
        <f t="shared" si="8"/>
      </c>
      <c r="DK56">
        <f t="shared" si="8"/>
      </c>
      <c r="DL56">
        <f t="shared" si="8"/>
      </c>
      <c r="DM56">
        <f t="shared" si="8"/>
      </c>
      <c r="DN56">
        <f t="shared" si="8"/>
      </c>
      <c r="DO56">
        <f t="shared" si="8"/>
      </c>
      <c r="DP56">
        <f t="shared" si="8"/>
      </c>
      <c r="DQ56">
        <f t="shared" si="8"/>
      </c>
      <c r="DR56">
        <f t="shared" si="8"/>
      </c>
      <c r="DS56">
        <f t="shared" si="8"/>
      </c>
      <c r="DT56">
        <f t="shared" si="8"/>
      </c>
      <c r="DU56">
        <f t="shared" si="8"/>
      </c>
      <c r="DV56">
        <f t="shared" si="8"/>
      </c>
      <c r="DW56">
        <f t="shared" si="8"/>
      </c>
      <c r="DX56">
        <f t="shared" si="8"/>
      </c>
      <c r="DY56">
        <f t="shared" si="8"/>
      </c>
      <c r="DZ56">
        <f t="shared" si="8"/>
      </c>
      <c r="EA56">
        <f t="shared" si="8"/>
      </c>
      <c r="EB56">
        <f t="shared" si="8"/>
      </c>
      <c r="EC56">
        <f t="shared" si="8"/>
      </c>
      <c r="ED56">
        <f t="shared" si="8"/>
      </c>
      <c r="EE56">
        <f t="shared" si="8"/>
      </c>
      <c r="EF56">
        <f t="shared" si="8"/>
      </c>
      <c r="EG56">
        <f t="shared" si="8"/>
      </c>
      <c r="EH56">
        <f t="shared" si="8"/>
      </c>
      <c r="EI56">
        <f t="shared" si="8"/>
      </c>
      <c r="EJ56">
        <f t="shared" si="8"/>
      </c>
      <c r="EK56">
        <f t="shared" si="8"/>
      </c>
      <c r="EL56">
        <f t="shared" si="8"/>
      </c>
      <c r="EM56">
        <f t="shared" si="8"/>
      </c>
      <c r="EN56">
        <f t="shared" si="8"/>
      </c>
      <c r="EO56">
        <f t="shared" si="8"/>
      </c>
      <c r="EP56">
        <f t="shared" si="8"/>
      </c>
      <c r="EQ56">
        <f t="shared" si="8"/>
      </c>
      <c r="ER56">
        <f t="shared" si="8"/>
      </c>
      <c r="ES56">
        <f t="shared" si="8"/>
      </c>
      <c r="ET56">
        <f t="shared" si="8"/>
      </c>
      <c r="EU56">
        <f t="shared" si="8"/>
      </c>
      <c r="EV56">
        <f t="shared" si="8"/>
      </c>
      <c r="EW56">
        <f t="shared" si="8"/>
      </c>
      <c r="EX56">
        <f t="shared" si="8"/>
      </c>
      <c r="EY56">
        <f t="shared" si="8"/>
      </c>
      <c r="EZ56">
        <f t="shared" si="8"/>
      </c>
      <c r="FA56" t="str">
        <f t="shared" si="12"/>
        <v>-</v>
      </c>
      <c r="FB56">
        <f t="shared" si="13"/>
      </c>
      <c r="FC56" cm="1">
        <f t="array" ref="FC56">_xlfn.LET(_xlpm.unit_type,$G56,_xlpm.market_rent_from_rent_roll,$E56,_xlpm.unit_type_list,RentRoll_InputArea_DesignatedUnitType,_xlpm.rent_by_unit_type,RentRoll_InputArea_MarketRent,_xlpm.use_rent_roll_market_rent,LEFT(RR_VacantUnitMktRentSource,9)="Rent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56">
        <f t="shared" si="14"/>
        <v>1498</v>
      </c>
      <c r="FE56">
        <f t="shared" si="15"/>
        <v>1498</v>
      </c>
      <c r="FF56">
        <f t="shared" si="16"/>
        <v>1498</v>
      </c>
      <c r="FH56">
        <f t="shared" si="17"/>
      </c>
      <c r="FI56">
        <f t="shared" si="18"/>
      </c>
      <c r="FK56" cm="1">
        <f t="array" ref="FK56">IF(AND(LEN($D56)&gt;0,ISNA(MATCH(TRUE,EXACT($G56,RentRoll_InputArea_DesignatedUnitType),0))),1,0)</f>
        <v>0</v>
      </c>
      <c r="FL56">
        <f t="shared" si="19"/>
        <v>33</v>
      </c>
      <c r="IO56" cm="1">
        <f t="array" ref="IO56">IF(LEN($G56)=0,"Rent Roll is incomplete",_xlfn.XLOOKUP(TRUE,EXACT(RentRoll_InputArea_DesignatedUnitType,$G56),RentRoll_InputArea_Beds,"Not Found"))</f>
        <v>0</v>
      </c>
      <c r="IQ56" t="str">
        <f t="shared" si="20"/>
        <v>0 Bedroom Unit (Efficiency/Studio)</v>
      </c>
      <c r="IR56">
        <f t="shared" si="21"/>
        <v>1498</v>
      </c>
      <c r="IW56" t="str">
        <f t="shared" si="22"/>
        <v>4-400</v>
      </c>
      <c r="IZ56">
        <f t="shared" si="23"/>
        <v>0</v>
      </c>
      <c r="JA56">
        <f t="shared" si="24"/>
        <v>1498</v>
      </c>
      <c r="JH56">
        <f t="shared" si="25"/>
        <v>1533</v>
      </c>
      <c r="JJ56">
        <f t="shared" si="26"/>
      </c>
      <c r="JQ56" t="str">
        <f t="shared" si="27"/>
        <v>Occupied</v>
      </c>
      <c r="JR56" cm="1">
        <f t="array" ref="JR56">_xlfn.XLOOKUP(TRUE,EXACT(RentRoll_InputArea_DesignatedUnitType,$G56),RentRoll_InputArea_SquareFootage,"Not Found")</f>
        <v>1050</v>
      </c>
      <c r="JS56" t="str">
        <f t="shared" si="28"/>
        <v>Apartment</v>
      </c>
      <c r="JT56">
        <f t="shared" si="29"/>
      </c>
      <c r="JY56">
        <f t="shared" si="9"/>
        <v>43374</v>
      </c>
      <c r="JZ56">
        <f t="shared" si="9"/>
        <v>43585</v>
      </c>
    </row>
    <row r="57" ht="15" customHeight="1">
      <c r="A57">
        <f t="shared" si="10"/>
        <v>34</v>
      </c>
      <c r="B57" t="s">
        <v>2802</v>
      </c>
      <c r="D57" t="s">
        <v>2812</v>
      </c>
      <c r="E57">
        <v>1547</v>
      </c>
      <c r="F57" t="s">
        <v>2804</v>
      </c>
      <c r="G57" t="s">
        <v>2532</v>
      </c>
      <c r="I57" cm="1">
        <f t="array" ref="I57">_xlfn.LET(_xlpm.has_subsidy,$N57&gt;0,_xlpm.is_chap9_sbl,$FF$20,_xlpm.contract_rent,$H57,_xlpm.unit_type_mkt_rent,_xlfn.XLOOKUP(TRUE,EXACT($G57,RentRoll_InputArea_DesignatedUnitType),RentRoll_InputArea_MarketRent,"Not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7">
        <f t="shared" si="11"/>
      </c>
      <c r="Q57">
        <f t="shared" si="8"/>
      </c>
      <c r="R57">
        <f t="shared" si="8"/>
      </c>
      <c r="S57">
        <f t="shared" si="8"/>
      </c>
      <c r="T57">
        <f t="shared" si="8"/>
      </c>
      <c r="U57">
        <f t="shared" si="8"/>
      </c>
      <c r="V57">
        <f t="shared" si="8"/>
      </c>
      <c r="W57">
        <f t="shared" si="8"/>
      </c>
      <c r="X57">
        <f t="shared" si="8"/>
      </c>
      <c r="Y57">
        <f t="shared" si="8"/>
      </c>
      <c r="Z57">
        <f t="shared" si="8"/>
      </c>
      <c r="AA57">
        <f t="shared" si="8"/>
      </c>
      <c r="AB57">
        <f t="shared" si="8"/>
      </c>
      <c r="AC57">
        <f t="shared" si="8"/>
      </c>
      <c r="AD57">
        <f t="shared" si="8"/>
      </c>
      <c r="AE57">
        <f t="shared" si="8"/>
      </c>
      <c r="AF57">
        <f t="shared" si="8"/>
      </c>
      <c r="AG57">
        <f t="shared" si="8"/>
      </c>
      <c r="AH57">
        <f t="shared" si="8"/>
      </c>
      <c r="AI57">
        <f t="shared" si="8"/>
      </c>
      <c r="AJ57">
        <f t="shared" si="8"/>
      </c>
      <c r="AK57">
        <f t="shared" si="8"/>
      </c>
      <c r="AL57">
        <f t="shared" si="8"/>
      </c>
      <c r="AM57">
        <f t="shared" si="8"/>
      </c>
      <c r="AN57">
        <f t="shared" si="8"/>
      </c>
      <c r="AO57">
        <f t="shared" si="8"/>
      </c>
      <c r="AP57">
        <f t="shared" si="8"/>
      </c>
      <c r="AQ57">
        <f t="shared" si="8"/>
      </c>
      <c r="AR57">
        <f t="shared" si="8"/>
      </c>
      <c r="AS57">
        <f t="shared" si="8"/>
      </c>
      <c r="AT57">
        <f t="shared" si="8"/>
      </c>
      <c r="AU57">
        <f t="shared" si="8"/>
      </c>
      <c r="AV57">
        <f t="shared" si="8"/>
      </c>
      <c r="AW57">
        <f t="shared" si="8"/>
      </c>
      <c r="AX57">
        <f t="shared" si="8"/>
      </c>
      <c r="AY57">
        <f t="shared" si="8"/>
      </c>
      <c r="AZ57">
        <f t="shared" si="8"/>
      </c>
      <c r="BA57">
        <f t="shared" si="8"/>
      </c>
      <c r="BB57">
        <f t="shared" si="8"/>
      </c>
      <c r="BC57">
        <f t="shared" si="8"/>
      </c>
      <c r="BD57">
        <f t="shared" si="8"/>
      </c>
      <c r="BE57">
        <f t="shared" si="8"/>
      </c>
      <c r="BF57">
        <f t="shared" si="8"/>
      </c>
      <c r="BG57">
        <f t="shared" si="8"/>
      </c>
      <c r="BH57">
        <f t="shared" si="8"/>
      </c>
      <c r="BI57">
        <f t="shared" si="8"/>
      </c>
      <c r="BJ57">
        <f t="shared" si="8"/>
      </c>
      <c r="BK57">
        <f t="shared" si="8"/>
      </c>
      <c r="BL57">
        <f t="shared" si="8"/>
      </c>
      <c r="BM57">
        <f t="shared" si="8"/>
      </c>
      <c r="BN57">
        <f t="shared" si="8"/>
      </c>
      <c r="BO57">
        <f t="shared" si="8"/>
      </c>
      <c r="BP57">
        <f t="shared" si="8"/>
      </c>
      <c r="BQ57">
        <f t="shared" si="8"/>
      </c>
      <c r="BR57">
        <f t="shared" si="8"/>
      </c>
      <c r="BS57">
        <f t="shared" si="8"/>
      </c>
      <c r="BT57">
        <f t="shared" si="8"/>
      </c>
      <c r="BU57">
        <f t="shared" si="8"/>
      </c>
      <c r="BV57">
        <f t="shared" si="8"/>
      </c>
      <c r="BW57">
        <f t="shared" si="8"/>
      </c>
      <c r="BX57">
        <f t="shared" si="8"/>
      </c>
      <c r="BY57">
        <f t="shared" si="8"/>
      </c>
      <c r="BZ57">
        <f t="shared" si="8"/>
      </c>
      <c r="CA57">
        <f t="shared" si="8"/>
      </c>
      <c r="CB57">
        <f t="shared" si="8"/>
      </c>
      <c r="CC57">
        <f t="shared" si="8"/>
      </c>
      <c r="CD57">
        <f t="shared" si="8"/>
      </c>
      <c r="CE57">
        <f t="shared" si="8"/>
      </c>
      <c r="CF57">
        <f t="shared" si="8"/>
      </c>
      <c r="CG57">
        <f t="shared" si="8"/>
      </c>
      <c r="CH57">
        <f t="shared" si="8"/>
      </c>
      <c r="CI57">
        <f t="shared" si="8"/>
      </c>
      <c r="CJ57">
        <f t="shared" si="8"/>
      </c>
      <c r="CK57">
        <f t="shared" si="8"/>
      </c>
      <c r="CL57">
        <f t="shared" si="8"/>
      </c>
      <c r="CM57">
        <f t="shared" si="8"/>
      </c>
      <c r="CN57">
        <f t="shared" si="8"/>
      </c>
      <c r="CO57">
        <f t="shared" si="8"/>
      </c>
      <c r="CP57">
        <f t="shared" si="8"/>
      </c>
      <c r="CQ57">
        <f t="shared" si="8"/>
      </c>
      <c r="CR57">
        <f t="shared" si="8"/>
      </c>
      <c r="CS57">
        <f t="shared" si="8"/>
      </c>
      <c r="CT57">
        <f t="shared" si="8"/>
      </c>
      <c r="CU57">
        <f t="shared" si="8"/>
      </c>
      <c r="CV57">
        <f t="shared" si="8"/>
      </c>
      <c r="CW57">
        <f t="shared" si="8"/>
      </c>
      <c r="CX57">
        <f t="shared" si="8"/>
      </c>
      <c r="CY57">
        <f t="shared" si="8"/>
      </c>
      <c r="CZ57">
        <f t="shared" si="8"/>
      </c>
      <c r="DA57">
        <f t="shared" si="8"/>
      </c>
      <c r="DB57">
        <f t="shared" si="8"/>
      </c>
      <c r="DC57">
        <f t="shared" si="8"/>
      </c>
      <c r="DD57">
        <f t="shared" si="8"/>
      </c>
      <c r="DE57">
        <f t="shared" si="8"/>
      </c>
      <c r="DF57">
        <f t="shared" si="8"/>
      </c>
      <c r="DG57">
        <f t="shared" si="8"/>
      </c>
      <c r="DH57">
        <f t="shared" si="8"/>
      </c>
      <c r="DI57">
        <f t="shared" si="8"/>
      </c>
      <c r="DJ57">
        <f t="shared" si="8"/>
      </c>
      <c r="DK57">
        <f t="shared" si="8"/>
      </c>
      <c r="DL57">
        <f t="shared" si="8"/>
      </c>
      <c r="DM57">
        <f t="shared" si="8"/>
      </c>
      <c r="DN57">
        <f t="shared" si="8"/>
      </c>
      <c r="DO57">
        <f t="shared" si="8"/>
      </c>
      <c r="DP57">
        <f t="shared" si="8"/>
      </c>
      <c r="DQ57">
        <f t="shared" si="8"/>
      </c>
      <c r="DR57">
        <f t="shared" si="8"/>
      </c>
      <c r="DS57">
        <f t="shared" si="8"/>
      </c>
      <c r="DT57">
        <f t="shared" si="8"/>
      </c>
      <c r="DU57">
        <f t="shared" si="8"/>
      </c>
      <c r="DV57">
        <f t="shared" si="8"/>
      </c>
      <c r="DW57">
        <f t="shared" si="8"/>
      </c>
      <c r="DX57">
        <f t="shared" si="8"/>
      </c>
      <c r="DY57">
        <f t="shared" si="8"/>
      </c>
      <c r="DZ57">
        <f t="shared" si="8"/>
      </c>
      <c r="EA57">
        <f t="shared" si="8"/>
      </c>
      <c r="EB57">
        <f t="shared" si="8"/>
      </c>
      <c r="EC57">
        <f t="shared" si="8"/>
      </c>
      <c r="ED57">
        <f t="shared" si="8"/>
      </c>
      <c r="EE57">
        <f t="shared" si="8"/>
      </c>
      <c r="EF57">
        <f t="shared" si="8"/>
      </c>
      <c r="EG57">
        <f t="shared" si="8"/>
      </c>
      <c r="EH57">
        <f t="shared" si="8"/>
      </c>
      <c r="EI57">
        <f t="shared" si="8"/>
      </c>
      <c r="EJ57">
        <f t="shared" si="8"/>
      </c>
      <c r="EK57">
        <f t="shared" si="8"/>
      </c>
      <c r="EL57">
        <f t="shared" si="8"/>
      </c>
      <c r="EM57">
        <f t="shared" si="8"/>
      </c>
      <c r="EN57">
        <f t="shared" si="8"/>
      </c>
      <c r="EO57">
        <f t="shared" si="8"/>
      </c>
      <c r="EP57">
        <f t="shared" si="8"/>
      </c>
      <c r="EQ57">
        <f t="shared" si="8"/>
      </c>
      <c r="ER57">
        <f t="shared" si="8"/>
      </c>
      <c r="ES57">
        <f t="shared" si="8"/>
      </c>
      <c r="ET57">
        <f t="shared" si="8"/>
      </c>
      <c r="EU57">
        <f t="shared" si="8"/>
      </c>
      <c r="EV57">
        <f t="shared" si="8"/>
      </c>
      <c r="EW57">
        <f t="shared" si="8"/>
      </c>
      <c r="EX57">
        <f t="shared" si="8"/>
      </c>
      <c r="EY57">
        <f t="shared" si="8"/>
      </c>
      <c r="EZ57">
        <f t="shared" si="8"/>
      </c>
      <c r="FA57">
        <f t="shared" si="12"/>
        <v>1533</v>
      </c>
      <c r="FB57">
        <f t="shared" si="13"/>
      </c>
      <c r="FC57" cm="1">
        <f t="array" ref="FC57">_xlfn.LET(_xlpm.unit_type,$G57,_xlpm.market_rent_from_rent_roll,$E57,_xlpm.unit_type_list,RentRoll_InputArea_DesignatedUnitType,_xlpm.rent_by_unit_type,RentRoll_InputArea_MarketRent,_xlpm.use_rent_roll_market_rent,LEFT(RR_VacantUnitMktRentSource,9)="Rent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57">
        <f t="shared" si="14"/>
      </c>
      <c r="FE57">
        <f t="shared" si="15"/>
        <v>1533</v>
      </c>
      <c r="FF57">
        <f t="shared" si="16"/>
        <v>0</v>
      </c>
      <c r="FH57">
        <f t="shared" si="17"/>
      </c>
      <c r="FI57">
        <f t="shared" si="18"/>
      </c>
      <c r="FK57" cm="1">
        <f t="array" ref="FK57">IF(AND(LEN($D57)&gt;0,ISNA(MATCH(TRUE,EXACT($G57,RentRoll_InputArea_DesignatedUnitType),0))),1,0)</f>
        <v>0</v>
      </c>
      <c r="FL57">
        <f t="shared" si="19"/>
        <v>34</v>
      </c>
      <c r="IO57" cm="1">
        <f t="array" ref="IO57">IF(LEN($G57)=0,"Rent Roll is incomplete",_xlfn.XLOOKUP(TRUE,EXACT(RentRoll_InputArea_DesignatedUnitType,$G57),RentRoll_InputArea_Beds,"Not Found"))</f>
        <v>0</v>
      </c>
      <c r="IQ57" t="str">
        <f t="shared" si="20"/>
        <v>0 Bedroom Unit (Efficiency/Studio)</v>
      </c>
      <c r="IR57">
        <f t="shared" si="21"/>
        <v>1533</v>
      </c>
      <c r="IW57" t="str">
        <f t="shared" si="22"/>
        <v>4-401</v>
      </c>
      <c r="IZ57">
        <f t="shared" si="23"/>
        <v>0</v>
      </c>
      <c r="JA57">
        <f t="shared" si="24"/>
        <v>0</v>
      </c>
      <c r="JH57">
        <f t="shared" si="25"/>
        <v>1533</v>
      </c>
      <c r="JJ57">
        <f t="shared" si="26"/>
      </c>
      <c r="JQ57" t="str">
        <f t="shared" si="27"/>
        <v>Vacant</v>
      </c>
      <c r="JR57" cm="1">
        <f t="array" ref="JR57">_xlfn.XLOOKUP(TRUE,EXACT(RentRoll_InputArea_DesignatedUnitType,$G57),RentRoll_InputArea_SquareFootage,"Not Found")</f>
        <v>1050</v>
      </c>
      <c r="JS57" t="str">
        <f t="shared" si="28"/>
        <v>Apartment</v>
      </c>
      <c r="JT57">
        <f t="shared" si="29"/>
      </c>
      <c r="JY57">
        <f t="shared" si="9"/>
      </c>
      <c r="JZ57">
        <f t="shared" si="9"/>
      </c>
    </row>
    <row r="58" ht="15" customHeight="1">
      <c r="A58">
        <f t="shared" si="10"/>
        <v>35</v>
      </c>
      <c r="D58" t="s">
        <v>2813</v>
      </c>
      <c r="E58">
        <v>1187</v>
      </c>
      <c r="F58" t="s">
        <v>2814</v>
      </c>
      <c r="G58" t="s">
        <v>2530</v>
      </c>
      <c r="H58">
        <v>1221</v>
      </c>
      <c r="I58" cm="1">
        <f t="array" ref="I58">_xlfn.LET(_xlpm.has_subsidy,$N58&gt;0,_xlpm.is_chap9_sbl,$FF$20,_xlpm.contract_rent,$H58,_xlpm.unit_type_mkt_rent,_xlfn.XLOOKUP(TRUE,EXACT($G58,RentRoll_InputArea_DesignatedUnitType),RentRoll_InputArea_MarketRent,"Not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8">
        <f t="shared" si="11"/>
        <v>1221</v>
      </c>
      <c r="O58" s="1">
        <v>43498</v>
      </c>
      <c r="P58" s="1">
        <v>43799</v>
      </c>
      <c r="Q58">
        <f t="shared" si="8"/>
      </c>
      <c r="R58">
        <f t="shared" si="8"/>
        <v>1221</v>
      </c>
      <c r="S58">
        <f t="shared" si="8"/>
      </c>
      <c r="T58">
        <f t="shared" si="8"/>
      </c>
      <c r="U58">
        <f t="shared" si="8"/>
      </c>
      <c r="V58">
        <f t="shared" si="8"/>
      </c>
      <c r="W58">
        <f t="shared" si="8"/>
      </c>
      <c r="X58">
        <f t="shared" si="8"/>
      </c>
      <c r="Y58">
        <f t="shared" si="8"/>
      </c>
      <c r="Z58">
        <f t="shared" si="8"/>
      </c>
      <c r="AA58">
        <f t="shared" si="8"/>
      </c>
      <c r="AB58">
        <f t="shared" si="8"/>
      </c>
      <c r="AC58">
        <f t="shared" si="8"/>
      </c>
      <c r="AD58">
        <f t="shared" si="8"/>
      </c>
      <c r="AE58">
        <f t="shared" si="8"/>
      </c>
      <c r="AF58">
        <f t="shared" si="8"/>
      </c>
      <c r="AG58">
        <f t="shared" si="8"/>
      </c>
      <c r="AH58">
        <f t="shared" si="8"/>
      </c>
      <c r="AI58">
        <f t="shared" si="8"/>
      </c>
      <c r="AJ58">
        <f t="shared" si="8"/>
      </c>
      <c r="AK58">
        <f t="shared" si="8"/>
      </c>
      <c r="AL58">
        <f t="shared" si="8"/>
      </c>
      <c r="AM58">
        <f t="shared" si="8"/>
      </c>
      <c r="AN58">
        <f t="shared" si="8"/>
      </c>
      <c r="AO58">
        <f t="shared" si="8"/>
      </c>
      <c r="AP58">
        <f t="shared" si="8"/>
      </c>
      <c r="AQ58">
        <f t="shared" si="8"/>
      </c>
      <c r="AR58">
        <f t="shared" si="8"/>
      </c>
      <c r="AS58">
        <f t="shared" si="8"/>
      </c>
      <c r="AT58">
        <f t="shared" si="8"/>
      </c>
      <c r="AU58">
        <f t="shared" si="8"/>
      </c>
      <c r="AV58">
        <f t="shared" si="8"/>
      </c>
      <c r="AW58">
        <f t="shared" si="8"/>
      </c>
      <c r="AX58">
        <f t="shared" si="8"/>
      </c>
      <c r="AY58">
        <f t="shared" si="8"/>
      </c>
      <c r="AZ58">
        <f t="shared" si="8"/>
      </c>
      <c r="BA58">
        <f t="shared" si="8"/>
      </c>
      <c r="BB58">
        <f t="shared" si="8"/>
      </c>
      <c r="BC58">
        <f t="shared" si="8"/>
      </c>
      <c r="BD58">
        <f t="shared" si="8"/>
      </c>
      <c r="BE58">
        <f t="shared" si="8"/>
      </c>
      <c r="BF58">
        <f t="shared" si="8"/>
      </c>
      <c r="BG58">
        <f t="shared" si="8"/>
      </c>
      <c r="BH58">
        <f t="shared" si="8"/>
      </c>
      <c r="BI58">
        <f t="shared" si="8"/>
      </c>
      <c r="BJ58">
        <f t="shared" si="8"/>
      </c>
      <c r="BK58">
        <f t="shared" si="8"/>
      </c>
      <c r="BL58">
        <f t="shared" si="8"/>
      </c>
      <c r="BM58">
        <f t="shared" si="8"/>
      </c>
      <c r="BN58">
        <f t="shared" si="8"/>
      </c>
      <c r="BO58">
        <f t="shared" si="8"/>
      </c>
      <c r="BP58">
        <f t="shared" si="8"/>
      </c>
      <c r="BQ58">
        <f t="shared" si="8"/>
      </c>
      <c r="BR58">
        <f t="shared" si="8"/>
      </c>
      <c r="BS58">
        <f t="shared" si="8"/>
      </c>
      <c r="BT58">
        <f t="shared" si="8"/>
      </c>
      <c r="BU58">
        <f t="shared" si="8"/>
      </c>
      <c r="BV58">
        <f t="shared" si="8"/>
      </c>
      <c r="BW58">
        <f t="shared" si="8"/>
      </c>
      <c r="BX58">
        <f t="shared" si="8"/>
      </c>
      <c r="BY58">
        <f t="shared" si="8"/>
      </c>
      <c r="BZ58">
        <f t="shared" si="8"/>
      </c>
      <c r="CA58">
        <f t="shared" si="8"/>
      </c>
      <c r="CB58">
        <f t="shared" si="8"/>
      </c>
      <c r="CC58">
        <f t="shared" si="8"/>
      </c>
      <c r="CD58">
        <f t="shared" si="8"/>
      </c>
      <c r="CE58">
        <f t="shared" si="8"/>
      </c>
      <c r="CF58">
        <f t="shared" si="8"/>
      </c>
      <c r="CG58">
        <f t="shared" si="8"/>
      </c>
      <c r="CH58">
        <f t="shared" si="8"/>
      </c>
      <c r="CI58">
        <f t="shared" si="8"/>
      </c>
      <c r="CJ58">
        <f t="shared" si="8"/>
      </c>
      <c r="CK58">
        <f t="shared" si="8"/>
      </c>
      <c r="CL58">
        <f t="shared" si="8"/>
      </c>
      <c r="CM58">
        <f t="shared" si="8"/>
      </c>
      <c r="CN58">
        <f t="shared" si="8"/>
      </c>
      <c r="CO58">
        <f t="shared" si="8"/>
      </c>
      <c r="CP58">
        <f t="shared" si="8"/>
      </c>
      <c r="CQ58">
        <f t="shared" si="8"/>
      </c>
      <c r="CR58">
        <f t="shared" si="8"/>
      </c>
      <c r="CS58">
        <f t="shared" si="8"/>
      </c>
      <c r="CT58">
        <f t="shared" si="8"/>
      </c>
      <c r="CU58">
        <f t="shared" si="8"/>
      </c>
      <c r="CV58">
        <f t="shared" si="8"/>
      </c>
      <c r="CW58">
        <f t="shared" si="8"/>
      </c>
      <c r="CX58">
        <f t="shared" si="8"/>
      </c>
      <c r="CY58">
        <f t="shared" si="8"/>
      </c>
      <c r="CZ58">
        <f t="shared" si="8"/>
      </c>
      <c r="DA58">
        <f t="shared" si="8"/>
      </c>
      <c r="DB58">
        <f t="shared" si="8"/>
      </c>
      <c r="DC58">
        <f t="shared" si="8"/>
      </c>
      <c r="DD58">
        <f t="shared" si="8"/>
      </c>
      <c r="DE58">
        <f t="shared" si="8"/>
      </c>
      <c r="DF58">
        <f t="shared" si="8"/>
      </c>
      <c r="DG58">
        <f t="shared" si="8"/>
      </c>
      <c r="DH58">
        <f t="shared" si="8"/>
      </c>
      <c r="DI58">
        <f t="shared" si="8"/>
      </c>
      <c r="DJ58">
        <f t="shared" si="8"/>
      </c>
      <c r="DK58">
        <f t="shared" si="8"/>
      </c>
      <c r="DL58">
        <f t="shared" si="8"/>
      </c>
      <c r="DM58">
        <f t="shared" si="8"/>
      </c>
      <c r="DN58">
        <f t="shared" si="8"/>
      </c>
      <c r="DO58">
        <f t="shared" si="8"/>
      </c>
      <c r="DP58">
        <f t="shared" si="8"/>
      </c>
      <c r="DQ58">
        <f t="shared" si="8"/>
      </c>
      <c r="DR58">
        <f t="shared" si="8"/>
      </c>
      <c r="DS58">
        <f t="shared" si="8"/>
      </c>
      <c r="DT58">
        <f t="shared" si="8"/>
      </c>
      <c r="DU58">
        <f t="shared" si="8"/>
      </c>
      <c r="DV58">
        <f t="shared" si="8"/>
      </c>
      <c r="DW58">
        <f t="shared" si="8"/>
      </c>
      <c r="DX58">
        <f t="shared" si="8"/>
      </c>
      <c r="DY58">
        <f t="shared" si="8"/>
      </c>
      <c r="DZ58">
        <f t="shared" si="8"/>
      </c>
      <c r="EA58">
        <f t="shared" si="8"/>
      </c>
      <c r="EB58">
        <f t="shared" si="8"/>
      </c>
      <c r="EC58">
        <f t="shared" si="8"/>
      </c>
      <c r="ED58">
        <f t="shared" si="8"/>
      </c>
      <c r="EE58">
        <f t="shared" si="8"/>
      </c>
      <c r="EF58">
        <f t="shared" si="8"/>
      </c>
      <c r="EG58">
        <f t="shared" si="8"/>
      </c>
      <c r="EH58">
        <f t="shared" si="8"/>
      </c>
      <c r="EI58">
        <f t="shared" si="8"/>
      </c>
      <c r="EJ58">
        <f t="shared" si="8"/>
      </c>
      <c r="EK58">
        <f t="shared" si="8"/>
      </c>
      <c r="EL58">
        <f t="shared" si="8"/>
      </c>
      <c r="EM58">
        <f t="shared" si="8"/>
      </c>
      <c r="EN58">
        <f t="shared" si="8"/>
      </c>
      <c r="EO58">
        <f t="shared" si="8"/>
      </c>
      <c r="EP58">
        <f t="shared" si="8"/>
      </c>
      <c r="EQ58">
        <f t="shared" si="8"/>
      </c>
      <c r="ER58">
        <f t="shared" si="8"/>
      </c>
      <c r="ES58">
        <f t="shared" si="8"/>
      </c>
      <c r="ET58">
        <f t="shared" si="8"/>
      </c>
      <c r="EU58">
        <f t="shared" si="8"/>
      </c>
      <c r="EV58">
        <f t="shared" si="8"/>
      </c>
      <c r="EW58">
        <f t="shared" si="8"/>
      </c>
      <c r="EX58">
        <f t="shared" si="8"/>
      </c>
      <c r="EY58">
        <f t="shared" si="8"/>
      </c>
      <c r="EZ58">
        <f t="shared" si="8"/>
      </c>
      <c r="FA58" t="str">
        <f t="shared" si="12"/>
        <v>-</v>
      </c>
      <c r="FB58">
        <f t="shared" si="13"/>
      </c>
      <c r="FC58" cm="1">
        <f t="array" ref="FC58">_xlfn.LET(_xlpm.unit_type,$G58,_xlpm.market_rent_from_rent_roll,$E58,_xlpm.unit_type_list,RentRoll_InputArea_DesignatedUnitType,_xlpm.rent_by_unit_type,RentRoll_InputArea_MarketRent,_xlpm.use_rent_roll_market_rent,LEFT(RR_VacantUnitMktRentSource,9)="Rent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58">
        <f t="shared" si="14"/>
        <v>1221</v>
      </c>
      <c r="FE58">
        <f t="shared" si="15"/>
        <v>1221</v>
      </c>
      <c r="FF58">
        <f t="shared" si="16"/>
        <v>1221</v>
      </c>
      <c r="FH58">
        <f t="shared" si="17"/>
      </c>
      <c r="FI58">
        <f t="shared" si="18"/>
      </c>
      <c r="FK58" cm="1">
        <f t="array" ref="FK58">IF(AND(LEN($D58)&gt;0,ISNA(MATCH(TRUE,EXACT($G58,RentRoll_InputArea_DesignatedUnitType),0))),1,0)</f>
        <v>0</v>
      </c>
      <c r="FL58">
        <f t="shared" si="19"/>
        <v>35</v>
      </c>
      <c r="IO58" cm="1">
        <f t="array" ref="IO58">IF(LEN($G58)=0,"Rent Roll is incomplete",_xlfn.XLOOKUP(TRUE,EXACT(RentRoll_InputArea_DesignatedUnitType,$G58),RentRoll_InputArea_Beds,"Not Found"))</f>
        <v>0</v>
      </c>
      <c r="IQ58" t="str">
        <f t="shared" si="20"/>
        <v>0 Bedroom Unit (Efficiency/Studio)</v>
      </c>
      <c r="IR58">
        <f t="shared" si="21"/>
        <v>1221</v>
      </c>
      <c r="IW58" t="str">
        <f t="shared" si="22"/>
        <v>4-402</v>
      </c>
      <c r="IZ58">
        <f t="shared" si="23"/>
        <v>0</v>
      </c>
      <c r="JA58">
        <f t="shared" si="24"/>
        <v>1221</v>
      </c>
      <c r="JH58">
        <f t="shared" si="25"/>
        <v>1217</v>
      </c>
      <c r="JJ58">
        <f t="shared" si="26"/>
      </c>
      <c r="JQ58" t="str">
        <f t="shared" si="27"/>
        <v>Occupied</v>
      </c>
      <c r="JR58" cm="1">
        <f t="array" ref="JR58">_xlfn.XLOOKUP(TRUE,EXACT(RentRoll_InputArea_DesignatedUnitType,$G58),RentRoll_InputArea_SquareFootage,"Not Found")</f>
        <v>800</v>
      </c>
      <c r="JS58" t="str">
        <f t="shared" si="28"/>
        <v>Apartment</v>
      </c>
      <c r="JT58">
        <f t="shared" si="29"/>
      </c>
      <c r="JY58">
        <f t="shared" si="9"/>
        <v>43498</v>
      </c>
      <c r="JZ58">
        <f t="shared" si="9"/>
        <v>43799</v>
      </c>
    </row>
    <row r="59" ht="15" customHeight="1">
      <c r="A59">
        <f t="shared" si="10"/>
        <v>36</v>
      </c>
      <c r="D59" t="s">
        <v>2815</v>
      </c>
      <c r="E59">
        <v>1182</v>
      </c>
      <c r="F59" t="s">
        <v>2816</v>
      </c>
      <c r="G59" t="s">
        <v>2530</v>
      </c>
      <c r="H59">
        <v>1180</v>
      </c>
      <c r="I59" cm="1">
        <f t="array" ref="I59">_xlfn.LET(_xlpm.has_subsidy,$N59&gt;0,_xlpm.is_chap9_sbl,$FF$20,_xlpm.contract_rent,$H59,_xlpm.unit_type_mkt_rent,_xlfn.XLOOKUP(TRUE,EXACT($G59,RentRoll_InputArea_DesignatedUnitType),RentRoll_InputArea_MarketRent,"Not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59">
        <f t="shared" si="11"/>
        <v>1180</v>
      </c>
      <c r="O59" s="1">
        <v>43358</v>
      </c>
      <c r="P59" s="1">
        <v>43646</v>
      </c>
      <c r="Q59">
        <f t="shared" si="8"/>
      </c>
      <c r="R59">
        <f t="shared" si="8"/>
        <v>1180</v>
      </c>
      <c r="S59">
        <f t="shared" si="8"/>
      </c>
      <c r="T59">
        <f t="shared" si="8"/>
      </c>
      <c r="U59">
        <f t="shared" si="8"/>
      </c>
      <c r="V59">
        <f t="shared" si="8"/>
      </c>
      <c r="W59">
        <f t="shared" si="8"/>
      </c>
      <c r="X59">
        <f t="shared" si="8"/>
      </c>
      <c r="Y59">
        <f t="shared" si="8"/>
      </c>
      <c r="Z59">
        <f t="shared" si="8"/>
      </c>
      <c r="AA59">
        <f t="shared" si="8"/>
      </c>
      <c r="AB59">
        <f t="shared" si="8"/>
      </c>
      <c r="AC59">
        <f t="shared" si="8"/>
      </c>
      <c r="AD59">
        <f t="shared" si="8"/>
      </c>
      <c r="AE59">
        <f t="shared" si="8"/>
      </c>
      <c r="AF59">
        <f t="shared" si="8"/>
      </c>
      <c r="AG59">
        <f t="shared" si="8"/>
      </c>
      <c r="AH59">
        <f t="shared" si="8"/>
      </c>
      <c r="AI59">
        <f t="shared" si="8"/>
      </c>
      <c r="AJ59">
        <f t="shared" si="8"/>
      </c>
      <c r="AK59">
        <f t="shared" si="8"/>
      </c>
      <c r="AL59">
        <f t="shared" si="8"/>
      </c>
      <c r="AM59">
        <f t="shared" si="8"/>
      </c>
      <c r="AN59">
        <f t="shared" si="8"/>
      </c>
      <c r="AO59">
        <f t="shared" si="8"/>
      </c>
      <c r="AP59">
        <f t="shared" si="8"/>
      </c>
      <c r="AQ59">
        <f t="shared" si="8"/>
      </c>
      <c r="AR59">
        <f t="shared" si="8"/>
      </c>
      <c r="AS59">
        <f t="shared" si="8"/>
      </c>
      <c r="AT59">
        <f t="shared" si="8"/>
      </c>
      <c r="AU59">
        <f t="shared" si="8"/>
      </c>
      <c r="AV59">
        <f t="shared" si="8"/>
      </c>
      <c r="AW59">
        <f t="shared" si="8"/>
      </c>
      <c r="AX59">
        <f t="shared" si="8"/>
      </c>
      <c r="AY59">
        <f t="shared" si="8"/>
      </c>
      <c r="AZ59">
        <f t="shared" si="8"/>
      </c>
      <c r="BA59">
        <f t="shared" si="8"/>
      </c>
      <c r="BB59">
        <f t="shared" si="8"/>
      </c>
      <c r="BC59">
        <f t="shared" si="8"/>
      </c>
      <c r="BD59">
        <f t="shared" si="8"/>
      </c>
      <c r="BE59">
        <f t="shared" si="8"/>
      </c>
      <c r="BF59">
        <f t="shared" si="8"/>
      </c>
      <c r="BG59">
        <f t="shared" si="8"/>
      </c>
      <c r="BH59">
        <f t="shared" si="8"/>
      </c>
      <c r="BI59">
        <f t="shared" si="8"/>
      </c>
      <c r="BJ59">
        <f t="shared" si="8"/>
      </c>
      <c r="BK59">
        <f t="shared" si="8"/>
      </c>
      <c r="BL59">
        <f t="shared" si="8"/>
      </c>
      <c r="BM59">
        <f t="shared" si="8"/>
      </c>
      <c r="BN59">
        <f t="shared" si="8"/>
      </c>
      <c r="BO59">
        <f t="shared" si="8"/>
      </c>
      <c r="BP59">
        <f t="shared" si="8"/>
      </c>
      <c r="BQ59">
        <f t="shared" si="8"/>
      </c>
      <c r="BR59">
        <f t="shared" si="8"/>
      </c>
      <c r="BS59">
        <f t="shared" si="8"/>
      </c>
      <c r="BT59">
        <f t="shared" si="8"/>
      </c>
      <c r="BU59">
        <f t="shared" si="8"/>
      </c>
      <c r="BV59">
        <f t="shared" si="8"/>
      </c>
      <c r="BW59">
        <f t="shared" si="8"/>
      </c>
      <c r="BX59">
        <f t="shared" si="8"/>
      </c>
      <c r="BY59">
        <f t="shared" si="8"/>
      </c>
      <c r="BZ59">
        <f t="shared" si="8"/>
      </c>
      <c r="CA59">
        <f t="shared" si="8"/>
      </c>
      <c r="CB59">
        <f t="shared" si="8"/>
      </c>
      <c r="CC59">
        <f t="shared" si="8"/>
      </c>
      <c r="CD59">
        <f t="shared" si="8"/>
      </c>
      <c r="CE59">
        <f t="shared" si="8"/>
      </c>
      <c r="CF59">
        <f t="shared" si="8"/>
      </c>
      <c r="CG59">
        <f t="shared" si="8"/>
      </c>
      <c r="CH59">
        <f t="shared" si="8"/>
      </c>
      <c r="CI59">
        <f t="shared" si="8"/>
      </c>
      <c r="CJ59">
        <f t="shared" si="8"/>
      </c>
      <c r="CK59">
        <f t="shared" si="8"/>
      </c>
      <c r="CL59">
        <f t="shared" si="8"/>
      </c>
      <c r="CM59">
        <f t="shared" si="8"/>
      </c>
      <c r="CN59">
        <f t="shared" si="8"/>
      </c>
      <c r="CO59">
        <f t="shared" si="8"/>
      </c>
      <c r="CP59">
        <f t="shared" si="8"/>
      </c>
      <c r="CQ59">
        <f t="shared" si="8"/>
      </c>
      <c r="CR59">
        <f t="shared" si="8"/>
      </c>
      <c r="CS59">
        <f t="shared" si="8"/>
      </c>
      <c r="CT59">
        <f t="shared" si="8"/>
      </c>
      <c r="CU59">
        <f t="shared" si="8"/>
      </c>
      <c r="CV59">
        <f t="shared" si="8"/>
      </c>
      <c r="CW59">
        <f t="shared" si="8"/>
      </c>
      <c r="CX59">
        <f t="shared" si="8"/>
      </c>
      <c r="CY59">
        <f t="shared" si="8"/>
      </c>
      <c r="CZ59">
        <f t="shared" si="8"/>
      </c>
      <c r="DA59">
        <f t="shared" si="8"/>
      </c>
      <c r="DB59">
        <f t="shared" si="8"/>
      </c>
      <c r="DC59">
        <f t="shared" si="8"/>
      </c>
      <c r="DD59">
        <f t="shared" si="8"/>
      </c>
      <c r="DE59">
        <f t="shared" si="8"/>
      </c>
      <c r="DF59">
        <f t="shared" si="8"/>
      </c>
      <c r="DG59">
        <f t="shared" si="8"/>
      </c>
      <c r="DH59">
        <f t="shared" si="8"/>
      </c>
      <c r="DI59">
        <f t="shared" si="8"/>
      </c>
      <c r="DJ59">
        <f t="shared" si="8"/>
      </c>
      <c r="DK59">
        <f t="shared" si="8"/>
      </c>
      <c r="DL59">
        <f t="shared" si="8"/>
      </c>
      <c r="DM59">
        <f t="shared" si="8"/>
      </c>
      <c r="DN59">
        <f t="shared" si="8"/>
      </c>
      <c r="DO59">
        <f t="shared" si="8"/>
      </c>
      <c r="DP59">
        <f t="shared" si="8"/>
      </c>
      <c r="DQ59">
        <f t="shared" si="8"/>
      </c>
      <c r="DR59">
        <f t="shared" si="8"/>
      </c>
      <c r="DS59">
        <f t="shared" si="8"/>
      </c>
      <c r="DT59">
        <f t="shared" si="8"/>
      </c>
      <c r="DU59">
        <f t="shared" si="8"/>
      </c>
      <c r="DV59">
        <f t="shared" si="8"/>
      </c>
      <c r="DW59">
        <f t="shared" si="8"/>
      </c>
      <c r="DX59">
        <f t="shared" si="8"/>
      </c>
      <c r="DY59">
        <f t="shared" si="8"/>
      </c>
      <c r="DZ59">
        <f t="shared" si="8"/>
      </c>
      <c r="EA59">
        <f t="shared" si="8"/>
      </c>
      <c r="EB59">
        <f t="shared" si="8"/>
      </c>
      <c r="EC59">
        <f t="shared" si="8"/>
      </c>
      <c r="ED59">
        <f t="shared" si="8"/>
      </c>
      <c r="EE59">
        <f t="shared" si="8"/>
      </c>
      <c r="EF59">
        <f t="shared" si="8"/>
      </c>
      <c r="EG59">
        <f t="shared" si="8"/>
      </c>
      <c r="EH59">
        <f t="shared" si="8"/>
      </c>
      <c r="EI59">
        <f t="shared" si="8"/>
      </c>
      <c r="EJ59">
        <f t="shared" si="8"/>
      </c>
      <c r="EK59">
        <f t="shared" si="8"/>
      </c>
      <c r="EL59">
        <f t="shared" si="8"/>
      </c>
      <c r="EM59">
        <f t="shared" si="8"/>
      </c>
      <c r="EN59">
        <f t="shared" si="8"/>
      </c>
      <c r="EO59">
        <f t="shared" si="8"/>
      </c>
      <c r="EP59">
        <f t="shared" si="8"/>
      </c>
      <c r="EQ59">
        <f t="shared" si="8"/>
      </c>
      <c r="ER59">
        <f t="shared" si="8"/>
      </c>
      <c r="ES59">
        <f t="shared" si="8"/>
      </c>
      <c r="ET59">
        <f t="shared" si="8"/>
      </c>
      <c r="EU59">
        <f t="shared" si="8"/>
      </c>
      <c r="EV59">
        <f t="shared" si="8"/>
      </c>
      <c r="EW59">
        <f t="shared" si="8"/>
      </c>
      <c r="EX59">
        <f t="shared" si="8"/>
      </c>
      <c r="EY59">
        <f t="shared" si="8"/>
      </c>
      <c r="EZ59">
        <f t="shared" si="8"/>
      </c>
      <c r="FA59" t="str">
        <f t="shared" si="12"/>
        <v>-</v>
      </c>
      <c r="FB59">
        <f t="shared" si="13"/>
      </c>
      <c r="FC59" cm="1">
        <f t="array" ref="FC59">_xlfn.LET(_xlpm.unit_type,$G59,_xlpm.market_rent_from_rent_roll,$E59,_xlpm.unit_type_list,RentRoll_InputArea_DesignatedUnitType,_xlpm.rent_by_unit_type,RentRoll_InputArea_MarketRent,_xlpm.use_rent_roll_market_rent,LEFT(RR_VacantUnitMktRentSource,9)="Rent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59">
        <f t="shared" si="14"/>
        <v>1180</v>
      </c>
      <c r="FE59">
        <f t="shared" si="15"/>
        <v>1180</v>
      </c>
      <c r="FF59">
        <f t="shared" si="16"/>
        <v>1180</v>
      </c>
      <c r="FH59">
        <f t="shared" si="17"/>
      </c>
      <c r="FI59">
        <f t="shared" si="18"/>
      </c>
      <c r="FK59" cm="1">
        <f t="array" ref="FK59">IF(AND(LEN($D59)&gt;0,ISNA(MATCH(TRUE,EXACT($G59,RentRoll_InputArea_DesignatedUnitType),0))),1,0)</f>
        <v>0</v>
      </c>
      <c r="FL59">
        <f t="shared" si="19"/>
        <v>36</v>
      </c>
      <c r="IO59" cm="1">
        <f t="array" ref="IO59">IF(LEN($G59)=0,"Rent Roll is incomplete",_xlfn.XLOOKUP(TRUE,EXACT(RentRoll_InputArea_DesignatedUnitType,$G59),RentRoll_InputArea_Beds,"Not Found"))</f>
        <v>0</v>
      </c>
      <c r="IQ59" t="str">
        <f t="shared" si="20"/>
        <v>0 Bedroom Unit (Efficiency/Studio)</v>
      </c>
      <c r="IR59">
        <f t="shared" si="21"/>
        <v>1180</v>
      </c>
      <c r="IW59" t="str">
        <f t="shared" si="22"/>
        <v>4-403</v>
      </c>
      <c r="IZ59">
        <f t="shared" si="23"/>
        <v>0</v>
      </c>
      <c r="JA59">
        <f t="shared" si="24"/>
        <v>1180</v>
      </c>
      <c r="JH59">
        <f t="shared" si="25"/>
        <v>1217</v>
      </c>
      <c r="JJ59">
        <f t="shared" si="26"/>
      </c>
      <c r="JQ59" t="str">
        <f t="shared" si="27"/>
        <v>Occupied</v>
      </c>
      <c r="JR59" cm="1">
        <f t="array" ref="JR59">_xlfn.XLOOKUP(TRUE,EXACT(RentRoll_InputArea_DesignatedUnitType,$G59),RentRoll_InputArea_SquareFootage,"Not Found")</f>
        <v>800</v>
      </c>
      <c r="JS59" t="str">
        <f t="shared" si="28"/>
        <v>Apartment</v>
      </c>
      <c r="JT59">
        <f t="shared" si="29"/>
      </c>
      <c r="JY59">
        <f t="shared" si="9"/>
        <v>43358</v>
      </c>
      <c r="JZ59">
        <f t="shared" si="9"/>
        <v>43646</v>
      </c>
    </row>
    <row r="60" ht="15" customHeight="1">
      <c r="A60">
        <f t="shared" si="10"/>
        <v>37</v>
      </c>
      <c r="D60" t="s">
        <v>2817</v>
      </c>
      <c r="E60">
        <v>1177</v>
      </c>
      <c r="F60" t="s">
        <v>2818</v>
      </c>
      <c r="G60" t="s">
        <v>2530</v>
      </c>
      <c r="H60">
        <v>1238</v>
      </c>
      <c r="I60" cm="1">
        <f t="array" ref="I60">_xlfn.LET(_xlpm.has_subsidy,$N60&gt;0,_xlpm.is_chap9_sbl,$FF$20,_xlpm.contract_rent,$H60,_xlpm.unit_type_mkt_rent,_xlfn.XLOOKUP(TRUE,EXACT($G60,RentRoll_InputArea_DesignatedUnitType),RentRoll_InputArea_MarketRent,"Not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0">
        <f t="shared" si="11"/>
        <v>1238</v>
      </c>
      <c r="O60" s="1">
        <v>43365</v>
      </c>
      <c r="P60" s="1">
        <v>43646</v>
      </c>
      <c r="Q60">
        <f t="shared" si="8"/>
      </c>
      <c r="R60">
        <f t="shared" si="8"/>
        <v>1238</v>
      </c>
      <c r="S60">
        <f t="shared" si="8"/>
      </c>
      <c r="T60">
        <f t="shared" si="8"/>
      </c>
      <c r="U60">
        <f t="shared" si="8"/>
      </c>
      <c r="V60">
        <f t="shared" si="8"/>
      </c>
      <c r="W60">
        <f t="shared" si="8"/>
      </c>
      <c r="X60">
        <f t="shared" si="8"/>
      </c>
      <c r="Y60">
        <f t="shared" si="8"/>
      </c>
      <c r="Z60">
        <f t="shared" si="8"/>
      </c>
      <c r="AA60">
        <f t="shared" si="8"/>
      </c>
      <c r="AB60">
        <f t="shared" si="8"/>
      </c>
      <c r="AC60">
        <f t="shared" si="8"/>
      </c>
      <c r="AD60">
        <f t="shared" si="8"/>
      </c>
      <c r="AE60">
        <f t="shared" si="8"/>
      </c>
      <c r="AF60">
        <f t="shared" si="8"/>
      </c>
      <c r="AG60">
        <f t="shared" si="8"/>
      </c>
      <c r="AH60">
        <f t="shared" si="8"/>
      </c>
      <c r="AI60">
        <f t="shared" si="8"/>
      </c>
      <c r="AJ60">
        <f t="shared" si="8"/>
      </c>
      <c r="AK60">
        <f t="shared" si="8"/>
      </c>
      <c r="AL60">
        <f t="shared" si="8"/>
      </c>
      <c r="AM60">
        <f t="shared" si="8"/>
      </c>
      <c r="AN60">
        <f t="shared" si="8"/>
      </c>
      <c r="AO60">
        <f t="shared" si="8"/>
      </c>
      <c r="AP60">
        <f t="shared" si="8"/>
      </c>
      <c r="AQ60">
        <f t="shared" si="8"/>
      </c>
      <c r="AR60">
        <f t="shared" si="8"/>
      </c>
      <c r="AS60">
        <f t="shared" si="8"/>
      </c>
      <c r="AT60">
        <f t="shared" si="8"/>
      </c>
      <c r="AU60">
        <f t="shared" si="8"/>
      </c>
      <c r="AV60">
        <f t="shared" si="8"/>
      </c>
      <c r="AW60">
        <f t="shared" si="8"/>
      </c>
      <c r="AX60">
        <f t="shared" si="8"/>
      </c>
      <c r="AY60">
        <f t="shared" si="8"/>
      </c>
      <c r="AZ60">
        <f t="shared" si="8"/>
      </c>
      <c r="BA60">
        <f t="shared" si="8"/>
      </c>
      <c r="BB60">
        <f t="shared" si="8"/>
      </c>
      <c r="BC60">
        <f t="shared" si="8"/>
      </c>
      <c r="BD60">
        <f t="shared" si="8"/>
      </c>
      <c r="BE60">
        <f t="shared" si="8"/>
      </c>
      <c r="BF60">
        <f t="shared" si="8"/>
      </c>
      <c r="BG60">
        <f t="shared" si="8"/>
      </c>
      <c r="BH60">
        <f t="shared" si="8"/>
      </c>
      <c r="BI60">
        <f t="shared" si="8"/>
      </c>
      <c r="BJ60">
        <f t="shared" si="8"/>
      </c>
      <c r="BK60">
        <f t="shared" si="8"/>
      </c>
      <c r="BL60">
        <f t="shared" si="8"/>
      </c>
      <c r="BM60">
        <f t="shared" si="8"/>
      </c>
      <c r="BN60">
        <f t="shared" si="8"/>
      </c>
      <c r="BO60">
        <f t="shared" si="8"/>
      </c>
      <c r="BP60">
        <f t="shared" si="8"/>
      </c>
      <c r="BQ60">
        <f t="shared" si="8"/>
      </c>
      <c r="BR60">
        <f t="shared" si="8"/>
      </c>
      <c r="BS60">
        <f t="shared" si="8"/>
      </c>
      <c r="BT60">
        <f t="shared" si="8"/>
      </c>
      <c r="BU60">
        <f t="shared" si="8"/>
      </c>
      <c r="BV60">
        <f t="shared" si="8"/>
      </c>
      <c r="BW60">
        <f t="shared" si="8"/>
      </c>
      <c r="BX60">
        <f t="shared" si="8"/>
      </c>
      <c r="BY60">
        <f t="shared" si="8"/>
      </c>
      <c r="BZ60">
        <f t="shared" si="8"/>
      </c>
      <c r="CA60">
        <f t="shared" si="8"/>
      </c>
      <c r="CB60">
        <f t="shared" si="8"/>
      </c>
      <c r="CC60">
        <f t="shared" si="8"/>
      </c>
      <c r="CD60">
        <f t="shared" si="8"/>
      </c>
      <c r="CE60">
        <f t="shared" si="8"/>
      </c>
      <c r="CF60">
        <f t="shared" si="8"/>
      </c>
      <c r="CG60">
        <f t="shared" si="8"/>
      </c>
      <c r="CH60">
        <f t="shared" si="8"/>
      </c>
      <c r="CI60">
        <f t="shared" si="8"/>
      </c>
      <c r="CJ60">
        <f t="shared" si="8"/>
      </c>
      <c r="CK60">
        <f t="shared" si="8"/>
      </c>
      <c r="CL60">
        <f t="shared" si="8"/>
      </c>
      <c r="CM60">
        <f t="shared" si="8"/>
      </c>
      <c r="CN60">
        <f t="shared" si="8"/>
      </c>
      <c r="CO60">
        <f t="shared" si="8"/>
      </c>
      <c r="CP60">
        <f t="shared" si="8"/>
      </c>
      <c r="CQ60">
        <f t="shared" si="8"/>
      </c>
      <c r="CR60">
        <f t="shared" si="8"/>
      </c>
      <c r="CS60">
        <f t="shared" si="8"/>
      </c>
      <c r="CT60">
        <f t="shared" si="8"/>
      </c>
      <c r="CU60">
        <f t="shared" si="8"/>
      </c>
      <c r="CV60">
        <f t="shared" si="8"/>
      </c>
      <c r="CW60">
        <f t="shared" si="8"/>
      </c>
      <c r="CX60">
        <f t="shared" si="8"/>
      </c>
      <c r="CY60">
        <f t="shared" si="8"/>
      </c>
      <c r="CZ60">
        <f t="shared" si="8"/>
      </c>
      <c r="DA60">
        <f t="shared" si="8"/>
      </c>
      <c r="DB60">
        <f t="shared" si="8"/>
      </c>
      <c r="DC60">
        <f t="shared" si="8"/>
      </c>
      <c r="DD60">
        <f t="shared" si="8"/>
      </c>
      <c r="DE60">
        <f t="shared" si="8"/>
      </c>
      <c r="DF60">
        <f t="shared" si="8"/>
      </c>
      <c r="DG60">
        <f t="shared" si="8"/>
      </c>
      <c r="DH60">
        <f t="shared" si="8"/>
      </c>
      <c r="DI60">
        <f t="shared" si="8"/>
      </c>
      <c r="DJ60">
        <f t="shared" si="8"/>
      </c>
      <c r="DK60">
        <f t="shared" si="8"/>
      </c>
      <c r="DL60">
        <f t="shared" si="8"/>
      </c>
      <c r="DM60">
        <f t="shared" si="8"/>
      </c>
      <c r="DN60">
        <f t="shared" si="8"/>
      </c>
      <c r="DO60">
        <f t="shared" si="8"/>
      </c>
      <c r="DP60">
        <f t="shared" si="8"/>
      </c>
      <c r="DQ60">
        <f t="shared" si="8"/>
      </c>
      <c r="DR60">
        <f t="shared" si="8"/>
      </c>
      <c r="DS60">
        <f t="shared" si="8"/>
      </c>
      <c r="DT60">
        <f t="shared" si="8"/>
      </c>
      <c r="DU60">
        <f t="shared" si="8"/>
      </c>
      <c r="DV60">
        <f t="shared" si="8"/>
      </c>
      <c r="DW60">
        <f t="shared" si="8"/>
      </c>
      <c r="DX60">
        <f t="shared" si="8"/>
      </c>
      <c r="DY60">
        <f t="shared" si="8"/>
      </c>
      <c r="DZ60">
        <f t="shared" si="8"/>
      </c>
      <c r="EA60">
        <f t="shared" si="8"/>
      </c>
      <c r="EB60">
        <f t="shared" si="8"/>
      </c>
      <c r="EC60">
        <f t="shared" si="8"/>
      </c>
      <c r="ED60">
        <f t="shared" si="8"/>
      </c>
      <c r="EE60">
        <f t="shared" si="8"/>
      </c>
      <c r="EF60">
        <f t="shared" si="8"/>
      </c>
      <c r="EG60">
        <f t="shared" si="8"/>
      </c>
      <c r="EH60">
        <f t="shared" si="8"/>
      </c>
      <c r="EI60">
        <f t="shared" si="8"/>
      </c>
      <c r="EJ60">
        <f t="shared" si="8"/>
      </c>
      <c r="EK60">
        <f t="shared" si="8"/>
      </c>
      <c r="EL60">
        <f t="shared" si="8"/>
      </c>
      <c r="EM60">
        <f t="shared" si="8"/>
      </c>
      <c r="EN60">
        <f t="shared" si="8"/>
      </c>
      <c r="EO60">
        <f t="shared" si="8"/>
      </c>
      <c r="EP60">
        <f t="shared" si="8"/>
      </c>
      <c r="EQ60">
        <f t="shared" si="8"/>
      </c>
      <c r="ER60">
        <f t="shared" si="8"/>
      </c>
      <c r="ES60">
        <f t="shared" si="8"/>
      </c>
      <c r="ET60">
        <f t="shared" si="8"/>
      </c>
      <c r="EU60">
        <f t="shared" si="8"/>
      </c>
      <c r="EV60">
        <f t="shared" si="8"/>
      </c>
      <c r="EW60">
        <f t="shared" si="8"/>
      </c>
      <c r="EX60">
        <f t="shared" si="8"/>
      </c>
      <c r="EY60">
        <f t="shared" si="8"/>
      </c>
      <c r="EZ60">
        <f t="shared" si="8"/>
      </c>
      <c r="FA60" t="str">
        <f t="shared" si="12"/>
        <v>-</v>
      </c>
      <c r="FB60">
        <f t="shared" si="13"/>
      </c>
      <c r="FC60" cm="1">
        <f t="array" ref="FC60">_xlfn.LET(_xlpm.unit_type,$G60,_xlpm.market_rent_from_rent_roll,$E60,_xlpm.unit_type_list,RentRoll_InputArea_DesignatedUnitType,_xlpm.rent_by_unit_type,RentRoll_InputArea_MarketRent,_xlpm.use_rent_roll_market_rent,LEFT(RR_VacantUnitMktRentSource,9)="Rent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60">
        <f t="shared" si="14"/>
        <v>1238</v>
      </c>
      <c r="FE60">
        <f t="shared" si="15"/>
        <v>1238</v>
      </c>
      <c r="FF60">
        <f t="shared" si="16"/>
        <v>1238</v>
      </c>
      <c r="FH60">
        <f t="shared" si="17"/>
      </c>
      <c r="FI60">
        <f t="shared" si="18"/>
      </c>
      <c r="FK60" cm="1">
        <f t="array" ref="FK60">IF(AND(LEN($D60)&gt;0,ISNA(MATCH(TRUE,EXACT($G60,RentRoll_InputArea_DesignatedUnitType),0))),1,0)</f>
        <v>0</v>
      </c>
      <c r="FL60">
        <f t="shared" si="19"/>
        <v>37</v>
      </c>
      <c r="IO60" cm="1">
        <f t="array" ref="IO60">IF(LEN($G60)=0,"Rent Roll is incomplete",_xlfn.XLOOKUP(TRUE,EXACT(RentRoll_InputArea_DesignatedUnitType,$G60),RentRoll_InputArea_Beds,"Not Found"))</f>
        <v>0</v>
      </c>
      <c r="IQ60" t="str">
        <f t="shared" si="20"/>
        <v>0 Bedroom Unit (Efficiency/Studio)</v>
      </c>
      <c r="IR60">
        <f t="shared" si="21"/>
        <v>1238</v>
      </c>
      <c r="IW60" t="str">
        <f t="shared" si="22"/>
        <v>4-404</v>
      </c>
      <c r="IZ60">
        <f t="shared" si="23"/>
        <v>0</v>
      </c>
      <c r="JA60">
        <f t="shared" si="24"/>
        <v>1238</v>
      </c>
      <c r="JH60">
        <f t="shared" si="25"/>
        <v>1217</v>
      </c>
      <c r="JJ60">
        <f t="shared" si="26"/>
      </c>
      <c r="JQ60" t="str">
        <f t="shared" si="27"/>
        <v>Occupied</v>
      </c>
      <c r="JR60" cm="1">
        <f t="array" ref="JR60">_xlfn.XLOOKUP(TRUE,EXACT(RentRoll_InputArea_DesignatedUnitType,$G60),RentRoll_InputArea_SquareFootage,"Not Found")</f>
        <v>800</v>
      </c>
      <c r="JS60" t="str">
        <f t="shared" si="28"/>
        <v>Apartment</v>
      </c>
      <c r="JT60">
        <f t="shared" si="29"/>
      </c>
      <c r="JY60">
        <f t="shared" si="9"/>
        <v>43365</v>
      </c>
      <c r="JZ60">
        <f t="shared" si="9"/>
        <v>43646</v>
      </c>
    </row>
    <row r="61" ht="15" customHeight="1">
      <c r="A61">
        <f t="shared" si="10"/>
        <v>38</v>
      </c>
      <c r="D61" t="s">
        <v>2819</v>
      </c>
      <c r="E61">
        <v>1249</v>
      </c>
      <c r="F61" t="s">
        <v>2820</v>
      </c>
      <c r="G61" t="s">
        <v>2530</v>
      </c>
      <c r="H61">
        <v>1219</v>
      </c>
      <c r="I61" cm="1">
        <f t="array" ref="I61">_xlfn.LET(_xlpm.has_subsidy,$N61&gt;0,_xlpm.is_chap9_sbl,$FF$20,_xlpm.contract_rent,$H61,_xlpm.unit_type_mkt_rent,_xlfn.XLOOKUP(TRUE,EXACT($G61,RentRoll_InputArea_DesignatedUnitType),RentRoll_InputArea_MarketRent,"Not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1">
        <f t="shared" si="11"/>
        <v>1219</v>
      </c>
      <c r="O61" s="1">
        <v>43521</v>
      </c>
      <c r="P61" s="1">
        <v>43890</v>
      </c>
      <c r="Q61">
        <f t="shared" si="8"/>
      </c>
      <c r="R61">
        <f t="shared" si="8"/>
        <v>1219</v>
      </c>
      <c r="S61">
        <f t="shared" si="8"/>
      </c>
      <c r="T61">
        <f t="shared" si="8"/>
      </c>
      <c r="U61">
        <f t="shared" si="8"/>
      </c>
      <c r="V61">
        <f t="shared" si="8"/>
      </c>
      <c r="W61">
        <f t="shared" si="8"/>
      </c>
      <c r="X61">
        <f t="shared" si="8"/>
      </c>
      <c r="Y61">
        <f t="shared" si="8"/>
      </c>
      <c r="Z61">
        <f t="shared" si="8"/>
      </c>
      <c r="AA61">
        <f t="shared" si="8"/>
      </c>
      <c r="AB61">
        <f t="shared" si="8"/>
      </c>
      <c r="AC61">
        <f t="shared" si="8"/>
      </c>
      <c r="AD61">
        <f t="shared" si="8"/>
      </c>
      <c r="AE61">
        <f t="shared" si="8"/>
      </c>
      <c r="AF61">
        <f t="shared" si="8"/>
      </c>
      <c r="AG61">
        <f t="shared" si="8"/>
      </c>
      <c r="AH61">
        <f t="shared" si="8"/>
      </c>
      <c r="AI61">
        <f t="shared" si="8"/>
      </c>
      <c r="AJ61">
        <f t="shared" si="8"/>
      </c>
      <c r="AK61">
        <f t="shared" si="8"/>
      </c>
      <c r="AL61">
        <f t="shared" si="8"/>
      </c>
      <c r="AM61">
        <f t="shared" si="8"/>
      </c>
      <c r="AN61">
        <f t="shared" si="8"/>
      </c>
      <c r="AO61">
        <f t="shared" si="8"/>
      </c>
      <c r="AP61">
        <f t="shared" si="8"/>
      </c>
      <c r="AQ61">
        <f t="shared" si="8"/>
      </c>
      <c r="AR61">
        <f t="shared" si="8"/>
      </c>
      <c r="AS61">
        <f t="shared" si="8"/>
      </c>
      <c r="AT61">
        <f t="shared" si="8"/>
      </c>
      <c r="AU61">
        <f t="shared" si="8"/>
      </c>
      <c r="AV61">
        <f t="shared" si="8"/>
      </c>
      <c r="AW61">
        <f t="shared" si="8"/>
      </c>
      <c r="AX61">
        <f t="shared" si="8"/>
      </c>
      <c r="AY61">
        <f t="shared" si="8"/>
      </c>
      <c r="AZ61">
        <f t="shared" si="8"/>
      </c>
      <c r="BA61">
        <f t="shared" si="8"/>
      </c>
      <c r="BB61">
        <f t="shared" si="8"/>
      </c>
      <c r="BC61">
        <f t="shared" si="8"/>
      </c>
      <c r="BD61">
        <f t="shared" si="8"/>
      </c>
      <c r="BE61">
        <f t="shared" si="8"/>
      </c>
      <c r="BF61">
        <f t="shared" si="8"/>
      </c>
      <c r="BG61">
        <f t="shared" si="8"/>
      </c>
      <c r="BH61">
        <f t="shared" si="8"/>
      </c>
      <c r="BI61">
        <f t="shared" si="8"/>
      </c>
      <c r="BJ61">
        <f t="shared" si="8"/>
      </c>
      <c r="BK61">
        <f t="shared" si="8"/>
      </c>
      <c r="BL61">
        <f t="shared" si="8"/>
      </c>
      <c r="BM61">
        <f t="shared" si="8"/>
      </c>
      <c r="BN61">
        <f t="shared" si="8"/>
      </c>
      <c r="BO61">
        <f t="shared" si="8"/>
      </c>
      <c r="BP61">
        <f t="shared" si="8"/>
      </c>
      <c r="BQ61">
        <f t="shared" si="8"/>
      </c>
      <c r="BR61">
        <f t="shared" si="8"/>
      </c>
      <c r="BS61">
        <f t="shared" si="8"/>
      </c>
      <c r="BT61">
        <f t="shared" si="8"/>
      </c>
      <c r="BU61">
        <f t="shared" si="8"/>
      </c>
      <c r="BV61">
        <f t="shared" si="8"/>
      </c>
      <c r="BW61">
        <f t="shared" si="8"/>
      </c>
      <c r="BX61">
        <f t="shared" si="8"/>
      </c>
      <c r="BY61">
        <f t="shared" si="8"/>
      </c>
      <c r="BZ61">
        <f t="shared" si="8"/>
      </c>
      <c r="CA61">
        <f t="shared" si="8"/>
      </c>
      <c r="CB61">
        <f t="shared" si="8"/>
      </c>
      <c r="CC61">
        <f t="shared" si="8"/>
      </c>
      <c r="CD61">
        <f t="shared" si="8"/>
      </c>
      <c r="CE61">
        <f t="shared" si="8"/>
      </c>
      <c r="CF61">
        <f t="shared" si="8"/>
      </c>
      <c r="CG61">
        <f t="shared" si="8"/>
      </c>
      <c r="CH61">
        <f t="shared" si="8"/>
      </c>
      <c r="CI61">
        <f t="shared" si="8"/>
      </c>
      <c r="CJ61">
        <f t="shared" si="8"/>
      </c>
      <c r="CK61">
        <f t="shared" si="8"/>
      </c>
      <c r="CL61">
        <f t="shared" si="8"/>
      </c>
      <c r="CM61">
        <f t="shared" si="8"/>
      </c>
      <c r="CN61">
        <f t="shared" si="8"/>
      </c>
      <c r="CO61">
        <f t="shared" si="8"/>
      </c>
      <c r="CP61">
        <f t="shared" si="8"/>
      </c>
      <c r="CQ61">
        <f t="shared" si="8"/>
      </c>
      <c r="CR61">
        <f t="shared" si="8"/>
      </c>
      <c r="CS61">
        <f t="shared" si="8"/>
      </c>
      <c r="CT61">
        <f t="shared" si="8"/>
      </c>
      <c r="CU61">
        <f t="shared" si="8"/>
      </c>
      <c r="CV61">
        <f t="shared" si="8"/>
      </c>
      <c r="CW61">
        <f t="shared" si="8"/>
      </c>
      <c r="CX61">
        <f t="shared" si="8"/>
      </c>
      <c r="CY61">
        <f t="shared" si="8"/>
      </c>
      <c r="CZ61">
        <f t="shared" si="8"/>
      </c>
      <c r="DA61">
        <f t="shared" si="8"/>
      </c>
      <c r="DB61">
        <f t="shared" si="8"/>
      </c>
      <c r="DC61">
        <f t="shared" si="8"/>
      </c>
      <c r="DD61">
        <f t="shared" si="8"/>
      </c>
      <c r="DE61">
        <f t="shared" si="8"/>
      </c>
      <c r="DF61">
        <f t="shared" si="8"/>
      </c>
      <c r="DG61">
        <f t="shared" si="8"/>
      </c>
      <c r="DH61">
        <f t="shared" si="8"/>
      </c>
      <c r="DI61">
        <f t="shared" si="8"/>
      </c>
      <c r="DJ61">
        <f t="shared" si="8"/>
      </c>
      <c r="DK61">
        <f t="shared" si="8"/>
      </c>
      <c r="DL61">
        <f t="shared" si="8"/>
      </c>
      <c r="DM61">
        <f t="shared" si="8"/>
      </c>
      <c r="DN61">
        <f t="shared" si="8"/>
      </c>
      <c r="DO61">
        <f t="shared" si="8"/>
      </c>
      <c r="DP61">
        <f t="shared" si="8"/>
      </c>
      <c r="DQ61">
        <f t="shared" si="8"/>
      </c>
      <c r="DR61">
        <f t="shared" si="8"/>
      </c>
      <c r="DS61">
        <f t="shared" si="8"/>
      </c>
      <c r="DT61">
        <f t="shared" si="8"/>
      </c>
      <c r="DU61">
        <f t="shared" si="8"/>
      </c>
      <c r="DV61">
        <f t="shared" si="8"/>
      </c>
      <c r="DW61">
        <f t="shared" si="8"/>
      </c>
      <c r="DX61">
        <f t="shared" si="8"/>
      </c>
      <c r="DY61">
        <f t="shared" si="8"/>
      </c>
      <c r="DZ61">
        <f t="shared" si="8"/>
      </c>
      <c r="EA61">
        <f t="shared" si="8"/>
      </c>
      <c r="EB61">
        <f t="shared" si="8"/>
      </c>
      <c r="EC61">
        <f t="shared" si="8"/>
      </c>
      <c r="ED61">
        <f t="shared" si="8"/>
      </c>
      <c r="EE61">
        <f t="shared" si="8"/>
      </c>
      <c r="EF61">
        <f t="shared" si="8"/>
      </c>
      <c r="EG61">
        <f t="shared" si="8"/>
      </c>
      <c r="EH61">
        <f t="shared" si="8"/>
      </c>
      <c r="EI61">
        <f t="shared" si="8"/>
      </c>
      <c r="EJ61">
        <f t="shared" si="8"/>
      </c>
      <c r="EK61">
        <f t="shared" si="8"/>
      </c>
      <c r="EL61">
        <f t="shared" si="8"/>
      </c>
      <c r="EM61">
        <f t="shared" si="8"/>
      </c>
      <c r="EN61">
        <f t="shared" si="8"/>
      </c>
      <c r="EO61">
        <f t="shared" si="8"/>
      </c>
      <c r="EP61">
        <f t="shared" si="8"/>
      </c>
      <c r="EQ61">
        <f t="shared" si="8"/>
      </c>
      <c r="ER61">
        <f t="shared" si="8"/>
      </c>
      <c r="ES61">
        <f t="shared" si="8"/>
      </c>
      <c r="ET61">
        <f t="shared" si="8"/>
      </c>
      <c r="EU61">
        <f t="shared" si="8"/>
      </c>
      <c r="EV61">
        <f t="shared" si="8"/>
      </c>
      <c r="EW61">
        <f t="shared" si="8"/>
      </c>
      <c r="EX61">
        <f t="shared" si="8"/>
      </c>
      <c r="EY61">
        <f t="shared" si="8"/>
      </c>
      <c r="EZ61">
        <f t="shared" si="8"/>
      </c>
      <c r="FA61" t="str">
        <f t="shared" si="12"/>
        <v>-</v>
      </c>
      <c r="FB61">
        <f t="shared" si="13"/>
      </c>
      <c r="FC61" cm="1">
        <f t="array" ref="FC61">_xlfn.LET(_xlpm.unit_type,$G61,_xlpm.market_rent_from_rent_roll,$E61,_xlpm.unit_type_list,RentRoll_InputArea_DesignatedUnitType,_xlpm.rent_by_unit_type,RentRoll_InputArea_MarketRent,_xlpm.use_rent_roll_market_rent,LEFT(RR_VacantUnitMktRentSource,9)="Rent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61">
        <f t="shared" si="14"/>
        <v>1219</v>
      </c>
      <c r="FE61">
        <f t="shared" si="15"/>
        <v>1219</v>
      </c>
      <c r="FF61">
        <f t="shared" si="16"/>
        <v>1219</v>
      </c>
      <c r="FH61">
        <f t="shared" si="17"/>
      </c>
      <c r="FI61">
        <f t="shared" si="18"/>
      </c>
      <c r="FK61" cm="1">
        <f t="array" ref="FK61">IF(AND(LEN($D61)&gt;0,ISNA(MATCH(TRUE,EXACT($G61,RentRoll_InputArea_DesignatedUnitType),0))),1,0)</f>
        <v>0</v>
      </c>
      <c r="FL61">
        <f t="shared" si="19"/>
        <v>38</v>
      </c>
      <c r="IO61" cm="1">
        <f t="array" ref="IO61">IF(LEN($G61)=0,"Rent Roll is incomplete",_xlfn.XLOOKUP(TRUE,EXACT(RentRoll_InputArea_DesignatedUnitType,$G61),RentRoll_InputArea_Beds,"Not Found"))</f>
        <v>0</v>
      </c>
      <c r="IQ61" t="str">
        <f t="shared" si="20"/>
        <v>0 Bedroom Unit (Efficiency/Studio)</v>
      </c>
      <c r="IR61">
        <f t="shared" si="21"/>
        <v>1219</v>
      </c>
      <c r="IW61" t="str">
        <f t="shared" si="22"/>
        <v>4-405</v>
      </c>
      <c r="IZ61">
        <f t="shared" si="23"/>
        <v>0</v>
      </c>
      <c r="JA61">
        <f t="shared" si="24"/>
        <v>1219</v>
      </c>
      <c r="JH61">
        <f t="shared" si="25"/>
        <v>1217</v>
      </c>
      <c r="JJ61">
        <f t="shared" si="26"/>
      </c>
      <c r="JQ61" t="str">
        <f t="shared" si="27"/>
        <v>Occupied</v>
      </c>
      <c r="JR61" cm="1">
        <f t="array" ref="JR61">_xlfn.XLOOKUP(TRUE,EXACT(RentRoll_InputArea_DesignatedUnitType,$G61),RentRoll_InputArea_SquareFootage,"Not Found")</f>
        <v>800</v>
      </c>
      <c r="JS61" t="str">
        <f t="shared" si="28"/>
        <v>Apartment</v>
      </c>
      <c r="JT61">
        <f t="shared" si="29"/>
      </c>
      <c r="JY61">
        <f t="shared" si="9"/>
        <v>43521</v>
      </c>
      <c r="JZ61">
        <f t="shared" si="9"/>
        <v>43890</v>
      </c>
    </row>
    <row r="62" ht="15" customHeight="1">
      <c r="A62">
        <f t="shared" si="10"/>
        <v>39</v>
      </c>
      <c r="B62" t="s">
        <v>2802</v>
      </c>
      <c r="D62" t="s">
        <v>2821</v>
      </c>
      <c r="E62">
        <v>1559</v>
      </c>
      <c r="F62" t="s">
        <v>2804</v>
      </c>
      <c r="G62" t="s">
        <v>2532</v>
      </c>
      <c r="I62" cm="1">
        <f t="array" ref="I62">_xlfn.LET(_xlpm.has_subsidy,$N62&gt;0,_xlpm.is_chap9_sbl,$FF$20,_xlpm.contract_rent,$H62,_xlpm.unit_type_mkt_rent,_xlfn.XLOOKUP(TRUE,EXACT($G62,RentRoll_InputArea_DesignatedUnitType),RentRoll_InputArea_MarketRent,"Not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2">
        <f t="shared" si="11"/>
      </c>
      <c r="Q62">
        <f t="shared" si="8"/>
      </c>
      <c r="R62">
        <f t="shared" si="8"/>
      </c>
      <c r="S62">
        <f t="shared" si="8"/>
      </c>
      <c r="T62">
        <f t="shared" si="8"/>
      </c>
      <c r="U62">
        <f t="shared" si="8"/>
      </c>
      <c r="V62">
        <f t="shared" si="8"/>
      </c>
      <c r="W62">
        <f t="shared" si="8"/>
      </c>
      <c r="X62">
        <f t="shared" si="8"/>
      </c>
      <c r="Y62">
        <f t="shared" si="8"/>
      </c>
      <c r="Z62">
        <f t="shared" si="8"/>
      </c>
      <c r="AA62">
        <f t="shared" si="8"/>
      </c>
      <c r="AB62">
        <f t="shared" si="8"/>
      </c>
      <c r="AC62">
        <f t="shared" si="8"/>
      </c>
      <c r="AD62">
        <f t="shared" si="8"/>
      </c>
      <c r="AE62">
        <f t="shared" si="8"/>
      </c>
      <c r="AF62">
        <f t="shared" si="8"/>
      </c>
      <c r="AG62">
        <f t="shared" si="8"/>
      </c>
      <c r="AH62">
        <f t="shared" si="8"/>
      </c>
      <c r="AI62">
        <f t="shared" si="8"/>
      </c>
      <c r="AJ62">
        <f t="shared" si="8"/>
      </c>
      <c r="AK62">
        <f t="shared" si="8"/>
      </c>
      <c r="AL62">
        <f t="shared" si="8"/>
      </c>
      <c r="AM62">
        <f t="shared" si="8"/>
      </c>
      <c r="AN62">
        <f t="shared" si="8"/>
      </c>
      <c r="AO62">
        <f t="shared" si="8"/>
      </c>
      <c r="AP62">
        <f t="shared" si="8"/>
      </c>
      <c r="AQ62">
        <f t="shared" si="8"/>
      </c>
      <c r="AR62">
        <f t="shared" si="8"/>
      </c>
      <c r="AS62">
        <f t="shared" si="8"/>
      </c>
      <c r="AT62">
        <f t="shared" si="8"/>
      </c>
      <c r="AU62">
        <f t="shared" si="8"/>
      </c>
      <c r="AV62">
        <f t="shared" si="8"/>
      </c>
      <c r="AW62">
        <f t="shared" si="8"/>
      </c>
      <c r="AX62">
        <f t="shared" si="8"/>
      </c>
      <c r="AY62">
        <f t="shared" si="8"/>
      </c>
      <c r="AZ62">
        <f t="shared" si="8"/>
      </c>
      <c r="BA62">
        <f t="shared" si="8"/>
      </c>
      <c r="BB62">
        <f t="shared" si="8"/>
      </c>
      <c r="BC62">
        <f t="shared" si="8"/>
      </c>
      <c r="BD62">
        <f t="shared" si="8"/>
      </c>
      <c r="BE62">
        <f t="shared" si="8"/>
      </c>
      <c r="BF62">
        <f t="shared" si="8"/>
      </c>
      <c r="BG62">
        <f t="shared" si="8"/>
      </c>
      <c r="BH62">
        <f t="shared" si="8"/>
      </c>
      <c r="BI62">
        <f t="shared" si="8"/>
      </c>
      <c r="BJ62">
        <f t="shared" si="8"/>
      </c>
      <c r="BK62">
        <f t="shared" si="8"/>
      </c>
      <c r="BL62">
        <f t="shared" si="8"/>
      </c>
      <c r="BM62">
        <f t="shared" si="8"/>
      </c>
      <c r="BN62">
        <f t="shared" si="8"/>
      </c>
      <c r="BO62">
        <f t="shared" si="8"/>
      </c>
      <c r="BP62">
        <f t="shared" si="8"/>
      </c>
      <c r="BQ62">
        <f t="shared" si="8"/>
      </c>
      <c r="BR62">
        <f t="shared" si="8"/>
      </c>
      <c r="BS62">
        <f t="shared" si="8"/>
      </c>
      <c r="BT62">
        <f t="shared" si="8"/>
      </c>
      <c r="BU62">
        <f t="shared" si="8"/>
      </c>
      <c r="BV62">
        <f t="shared" si="8"/>
      </c>
      <c r="BW62">
        <f t="shared" si="8"/>
      </c>
      <c r="BX62">
        <f t="shared" si="8"/>
      </c>
      <c r="BY62">
        <f t="shared" si="8"/>
      </c>
      <c r="BZ62">
        <f t="shared" si="8"/>
      </c>
      <c r="CA62">
        <f t="shared" si="8"/>
      </c>
      <c r="CB62">
        <f t="shared" si="8"/>
      </c>
      <c r="CC62">
        <f t="shared" si="8"/>
      </c>
      <c r="CD62">
        <f t="shared" si="8"/>
      </c>
      <c r="CE62">
        <f t="shared" si="8"/>
      </c>
      <c r="CF62">
        <f t="shared" si="8"/>
      </c>
      <c r="CG62">
        <f t="shared" si="8"/>
      </c>
      <c r="CH62">
        <f t="shared" si="8"/>
      </c>
      <c r="CI62">
        <f t="shared" si="8"/>
      </c>
      <c r="CJ62">
        <f t="shared" si="8"/>
      </c>
      <c r="CK62">
        <f t="shared" si="8"/>
      </c>
      <c r="CL62">
        <f t="shared" si="8"/>
      </c>
      <c r="CM62">
        <f t="shared" si="8"/>
      </c>
      <c r="CN62">
        <f t="shared" si="8"/>
      </c>
      <c r="CO62">
        <f t="shared" si="8"/>
      </c>
      <c r="CP62">
        <f t="shared" si="8"/>
      </c>
      <c r="CQ62">
        <f t="shared" si="8"/>
      </c>
      <c r="CR62">
        <f t="shared" si="8"/>
      </c>
      <c r="CS62">
        <f t="shared" si="8"/>
      </c>
      <c r="CT62">
        <f t="shared" si="8"/>
      </c>
      <c r="CU62">
        <f t="shared" si="8"/>
      </c>
      <c r="CV62">
        <f t="shared" si="8"/>
      </c>
      <c r="CW62">
        <f t="shared" si="8"/>
      </c>
      <c r="CX62">
        <f t="shared" si="8"/>
      </c>
      <c r="CY62">
        <f t="shared" si="8"/>
      </c>
      <c r="CZ62">
        <f t="shared" si="8"/>
      </c>
      <c r="DA62">
        <f t="shared" si="8"/>
      </c>
      <c r="DB62">
        <f t="shared" si="8"/>
      </c>
      <c r="DC62">
        <f t="shared" si="8"/>
      </c>
      <c r="DD62">
        <f t="shared" si="8"/>
      </c>
      <c r="DE62">
        <f t="shared" si="8"/>
      </c>
      <c r="DF62">
        <f t="shared" si="8"/>
      </c>
      <c r="DG62">
        <f t="shared" si="8"/>
      </c>
      <c r="DH62">
        <f t="shared" si="8"/>
      </c>
      <c r="DI62">
        <f t="shared" si="8"/>
      </c>
      <c r="DJ62">
        <f t="shared" si="8"/>
      </c>
      <c r="DK62">
        <f t="shared" si="8"/>
      </c>
      <c r="DL62">
        <f t="shared" si="8"/>
      </c>
      <c r="DM62">
        <f t="shared" si="8"/>
      </c>
      <c r="DN62">
        <f t="shared" si="8"/>
      </c>
      <c r="DO62">
        <f t="shared" si="8"/>
      </c>
      <c r="DP62">
        <f t="shared" si="8"/>
      </c>
      <c r="DQ62">
        <f t="shared" si="8"/>
      </c>
      <c r="DR62">
        <f t="shared" si="8"/>
      </c>
      <c r="DS62">
        <f t="shared" si="8"/>
      </c>
      <c r="DT62">
        <f t="shared" si="8"/>
      </c>
      <c r="DU62">
        <f t="shared" si="8"/>
      </c>
      <c r="DV62">
        <f t="shared" si="8"/>
      </c>
      <c r="DW62">
        <f t="shared" si="8"/>
      </c>
      <c r="DX62">
        <f t="shared" si="8"/>
      </c>
      <c r="DY62">
        <f t="shared" si="8"/>
      </c>
      <c r="DZ62">
        <f t="shared" si="8"/>
      </c>
      <c r="EA62">
        <f t="shared" si="8"/>
      </c>
      <c r="EB62">
        <f t="shared" si="8"/>
      </c>
      <c r="EC62">
        <f t="shared" si="8"/>
      </c>
      <c r="ED62">
        <f t="shared" si="8"/>
      </c>
      <c r="EE62">
        <f t="shared" si="8"/>
      </c>
      <c r="EF62">
        <f t="shared" si="8"/>
      </c>
      <c r="EG62">
        <f t="shared" si="8"/>
      </c>
      <c r="EH62">
        <f t="shared" si="8"/>
      </c>
      <c r="EI62">
        <f t="shared" si="8"/>
      </c>
      <c r="EJ62">
        <f t="shared" si="8"/>
      </c>
      <c r="EK62">
        <f t="shared" si="8"/>
      </c>
      <c r="EL62">
        <f t="shared" si="8"/>
      </c>
      <c r="EM62">
        <f t="shared" si="8"/>
      </c>
      <c r="EN62">
        <f t="shared" si="8"/>
      </c>
      <c r="EO62">
        <f t="shared" si="8"/>
      </c>
      <c r="EP62">
        <f t="shared" si="8"/>
      </c>
      <c r="EQ62">
        <f t="shared" si="8"/>
      </c>
      <c r="ER62">
        <f t="shared" si="8"/>
      </c>
      <c r="ES62">
        <f t="shared" si="8"/>
      </c>
      <c r="ET62">
        <f t="shared" si="8"/>
      </c>
      <c r="EU62">
        <f t="shared" si="8"/>
      </c>
      <c r="EV62">
        <f t="shared" si="8"/>
      </c>
      <c r="EW62">
        <f t="shared" si="8"/>
      </c>
      <c r="EX62">
        <f t="shared" si="8"/>
      </c>
      <c r="EY62">
        <f t="shared" si="8"/>
      </c>
      <c r="EZ62">
        <f t="shared" si="8"/>
      </c>
      <c r="FA62">
        <f t="shared" si="12"/>
        <v>1533</v>
      </c>
      <c r="FB62">
        <f t="shared" si="13"/>
      </c>
      <c r="FC62" cm="1">
        <f t="array" ref="FC62">_xlfn.LET(_xlpm.unit_type,$G62,_xlpm.market_rent_from_rent_roll,$E62,_xlpm.unit_type_list,RentRoll_InputArea_DesignatedUnitType,_xlpm.rent_by_unit_type,RentRoll_InputArea_MarketRent,_xlpm.use_rent_roll_market_rent,LEFT(RR_VacantUnitMktRentSource,9)="Rent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62">
        <f t="shared" si="14"/>
      </c>
      <c r="FE62">
        <f t="shared" si="15"/>
        <v>1533</v>
      </c>
      <c r="FF62">
        <f t="shared" si="16"/>
        <v>0</v>
      </c>
      <c r="FH62">
        <f t="shared" si="17"/>
      </c>
      <c r="FI62">
        <f t="shared" si="18"/>
      </c>
      <c r="FK62" cm="1">
        <f t="array" ref="FK62">IF(AND(LEN($D62)&gt;0,ISNA(MATCH(TRUE,EXACT($G62,RentRoll_InputArea_DesignatedUnitType),0))),1,0)</f>
        <v>0</v>
      </c>
      <c r="FL62">
        <f t="shared" si="19"/>
        <v>39</v>
      </c>
      <c r="IO62" cm="1">
        <f t="array" ref="IO62">IF(LEN($G62)=0,"Rent Roll is incomplete",_xlfn.XLOOKUP(TRUE,EXACT(RentRoll_InputArea_DesignatedUnitType,$G62),RentRoll_InputArea_Beds,"Not Found"))</f>
        <v>0</v>
      </c>
      <c r="IQ62" t="str">
        <f t="shared" si="20"/>
        <v>0 Bedroom Unit (Efficiency/Studio)</v>
      </c>
      <c r="IR62">
        <f t="shared" si="21"/>
        <v>1533</v>
      </c>
      <c r="IW62" t="str">
        <f t="shared" si="22"/>
        <v>4-406</v>
      </c>
      <c r="IZ62">
        <f t="shared" si="23"/>
        <v>0</v>
      </c>
      <c r="JA62">
        <f t="shared" si="24"/>
        <v>0</v>
      </c>
      <c r="JH62">
        <f t="shared" si="25"/>
        <v>1533</v>
      </c>
      <c r="JJ62">
        <f t="shared" si="26"/>
      </c>
      <c r="JQ62" t="str">
        <f t="shared" si="27"/>
        <v>Vacant</v>
      </c>
      <c r="JR62" cm="1">
        <f t="array" ref="JR62">_xlfn.XLOOKUP(TRUE,EXACT(RentRoll_InputArea_DesignatedUnitType,$G62),RentRoll_InputArea_SquareFootage,"Not Found")</f>
        <v>1050</v>
      </c>
      <c r="JS62" t="str">
        <f t="shared" si="28"/>
        <v>Apartment</v>
      </c>
      <c r="JT62">
        <f t="shared" si="29"/>
      </c>
      <c r="JY62">
        <f t="shared" si="9"/>
      </c>
      <c r="JZ62">
        <f t="shared" si="9"/>
      </c>
    </row>
    <row r="63" ht="15" customHeight="1">
      <c r="A63">
        <f t="shared" si="10"/>
        <v>40</v>
      </c>
      <c r="D63" t="s">
        <v>2822</v>
      </c>
      <c r="E63">
        <v>1478</v>
      </c>
      <c r="F63" t="s">
        <v>2823</v>
      </c>
      <c r="G63" t="s">
        <v>2532</v>
      </c>
      <c r="H63">
        <v>1477</v>
      </c>
      <c r="I63" cm="1">
        <f t="array" ref="I63">_xlfn.LET(_xlpm.has_subsidy,$N63&gt;0,_xlpm.is_chap9_sbl,$FF$20,_xlpm.contract_rent,$H63,_xlpm.unit_type_mkt_rent,_xlfn.XLOOKUP(TRUE,EXACT($G63,RentRoll_InputArea_DesignatedUnitType),RentRoll_InputArea_MarketRent,"Not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3">
        <f t="shared" si="11"/>
        <v>1477</v>
      </c>
      <c r="O63" s="1">
        <v>43316</v>
      </c>
      <c r="P63" s="1">
        <v>43616</v>
      </c>
      <c r="Q63">
        <f t="shared" si="8"/>
      </c>
      <c r="R63">
        <f t="shared" si="8"/>
      </c>
      <c r="S63">
        <f t="shared" si="8"/>
      </c>
      <c r="T63">
        <f t="shared" si="8"/>
        <v>1477</v>
      </c>
      <c r="U63">
        <f t="shared" si="8"/>
      </c>
      <c r="V63">
        <f t="shared" si="8"/>
      </c>
      <c r="W63">
        <f t="shared" si="8"/>
      </c>
      <c r="X63">
        <f t="shared" si="8"/>
      </c>
      <c r="Y63">
        <f t="shared" si="8"/>
      </c>
      <c r="Z63">
        <f t="shared" si="8"/>
      </c>
      <c r="AA63">
        <f t="shared" si="8"/>
      </c>
      <c r="AB63">
        <f t="shared" si="8"/>
      </c>
      <c r="AC63">
        <f t="shared" si="8"/>
      </c>
      <c r="AD63">
        <f t="shared" si="8"/>
      </c>
      <c r="AE63">
        <f t="shared" si="8"/>
      </c>
      <c r="AF63">
        <f t="shared" si="8"/>
      </c>
      <c r="AG63">
        <f t="shared" si="8"/>
      </c>
      <c r="AH63">
        <f t="shared" si="8"/>
      </c>
      <c r="AI63">
        <f t="shared" si="8"/>
      </c>
      <c r="AJ63">
        <f t="shared" si="8"/>
      </c>
      <c r="AK63">
        <f t="shared" si="8"/>
      </c>
      <c r="AL63">
        <f t="shared" si="8"/>
      </c>
      <c r="AM63">
        <f t="shared" si="8"/>
      </c>
      <c r="AN63">
        <f t="shared" si="8"/>
      </c>
      <c r="AO63">
        <f t="shared" si="8"/>
      </c>
      <c r="AP63">
        <f t="shared" si="8"/>
      </c>
      <c r="AQ63">
        <f t="shared" si="8"/>
      </c>
      <c r="AR63">
        <f t="shared" si="8"/>
      </c>
      <c r="AS63">
        <f t="shared" si="8"/>
      </c>
      <c r="AT63">
        <f t="shared" si="8"/>
      </c>
      <c r="AU63">
        <f t="shared" si="8"/>
      </c>
      <c r="AV63">
        <f t="shared" si="8"/>
      </c>
      <c r="AW63">
        <f t="shared" si="8"/>
      </c>
      <c r="AX63">
        <f t="shared" si="8"/>
      </c>
      <c r="AY63">
        <f t="shared" si="8"/>
      </c>
      <c r="AZ63">
        <f t="shared" si="8"/>
      </c>
      <c r="BA63">
        <f t="shared" si="8"/>
      </c>
      <c r="BB63">
        <f t="shared" si="8"/>
      </c>
      <c r="BC63">
        <f t="shared" si="8"/>
      </c>
      <c r="BD63">
        <f t="shared" si="8"/>
      </c>
      <c r="BE63">
        <f t="shared" si="8"/>
      </c>
      <c r="BF63">
        <f t="shared" si="8"/>
      </c>
      <c r="BG63">
        <f t="shared" si="8"/>
      </c>
      <c r="BH63">
        <f t="shared" si="8"/>
      </c>
      <c r="BI63">
        <f t="shared" si="8"/>
      </c>
      <c r="BJ63">
        <f t="shared" si="8"/>
      </c>
      <c r="BK63">
        <f t="shared" si="8"/>
      </c>
      <c r="BL63">
        <f t="shared" si="8"/>
      </c>
      <c r="BM63">
        <f t="shared" si="8"/>
      </c>
      <c r="BN63">
        <f t="shared" si="8"/>
      </c>
      <c r="BO63">
        <f t="shared" si="8"/>
      </c>
      <c r="BP63">
        <f t="shared" si="8"/>
      </c>
      <c r="BQ63">
        <f t="shared" si="8"/>
      </c>
      <c r="BR63">
        <f t="shared" si="8"/>
      </c>
      <c r="BS63">
        <f t="shared" si="8"/>
      </c>
      <c r="BT63">
        <f t="shared" si="8"/>
      </c>
      <c r="BU63">
        <f t="shared" si="8"/>
      </c>
      <c r="BV63">
        <f t="shared" si="8"/>
      </c>
      <c r="BW63">
        <f t="shared" si="8"/>
      </c>
      <c r="BX63">
        <f t="shared" si="8"/>
      </c>
      <c r="BY63">
        <f t="shared" si="8"/>
      </c>
      <c r="BZ63">
        <f t="shared" si="8"/>
      </c>
      <c r="CA63">
        <f t="shared" si="8"/>
      </c>
      <c r="CB63">
        <f t="shared" si="8"/>
      </c>
      <c r="CC63">
        <f t="shared" si="8"/>
      </c>
      <c r="CD63">
        <f t="shared" si="8"/>
      </c>
      <c r="CE63">
        <f t="shared" si="8"/>
      </c>
      <c r="CF63">
        <f t="shared" si="8"/>
      </c>
      <c r="CG63">
        <f t="shared" si="8"/>
      </c>
      <c r="CH63">
        <f t="shared" si="8"/>
      </c>
      <c r="CI63">
        <f t="shared" si="8"/>
      </c>
      <c r="CJ63">
        <f t="shared" si="8"/>
      </c>
      <c r="CK63">
        <f t="shared" si="8"/>
      </c>
      <c r="CL63">
        <f t="shared" si="8"/>
      </c>
      <c r="CM63">
        <f t="shared" si="8"/>
      </c>
      <c r="CN63">
        <f t="shared" si="8"/>
      </c>
      <c r="CO63">
        <f t="shared" si="8"/>
      </c>
      <c r="CP63">
        <f t="shared" si="8"/>
      </c>
      <c r="CQ63">
        <f t="shared" si="8"/>
      </c>
      <c r="CR63">
        <f t="shared" si="8"/>
      </c>
      <c r="CS63">
        <f t="shared" si="8"/>
      </c>
      <c r="CT63">
        <f t="shared" si="8"/>
      </c>
      <c r="CU63">
        <f t="shared" si="8"/>
      </c>
      <c r="CV63">
        <f t="shared" si="8"/>
      </c>
      <c r="CW63">
        <f t="shared" si="8"/>
      </c>
      <c r="CX63">
        <f t="shared" si="8"/>
      </c>
      <c r="CY63">
        <f t="shared" si="8"/>
      </c>
      <c r="CZ63">
        <f t="shared" si="8"/>
      </c>
      <c r="DA63">
        <f t="shared" si="8"/>
      </c>
      <c r="DB63">
        <f t="shared" si="8"/>
      </c>
      <c r="DC63">
        <f t="shared" si="8"/>
      </c>
      <c r="DD63">
        <f t="shared" si="8"/>
      </c>
      <c r="DE63">
        <f t="shared" si="8"/>
      </c>
      <c r="DF63">
        <f t="shared" si="8"/>
      </c>
      <c r="DG63">
        <f t="shared" si="8"/>
      </c>
      <c r="DH63">
        <f t="shared" si="8"/>
      </c>
      <c r="DI63">
        <f t="shared" si="8"/>
      </c>
      <c r="DJ63">
        <f t="shared" si="8"/>
      </c>
      <c r="DK63">
        <f t="shared" si="8"/>
      </c>
      <c r="DL63">
        <f t="shared" si="8"/>
      </c>
      <c r="DM63">
        <f t="shared" si="8"/>
      </c>
      <c r="DN63">
        <f t="shared" si="8"/>
      </c>
      <c r="DO63">
        <f t="shared" si="8"/>
      </c>
      <c r="DP63">
        <f t="shared" si="8"/>
      </c>
      <c r="DQ63">
        <f t="shared" si="8"/>
      </c>
      <c r="DR63">
        <f t="shared" si="8"/>
      </c>
      <c r="DS63">
        <f t="shared" si="8"/>
      </c>
      <c r="DT63">
        <f t="shared" si="8"/>
      </c>
      <c r="DU63">
        <f t="shared" si="8"/>
      </c>
      <c r="DV63">
        <f t="shared" si="8"/>
      </c>
      <c r="DW63">
        <f t="shared" si="8"/>
      </c>
      <c r="DX63">
        <f t="shared" si="8"/>
      </c>
      <c r="DY63">
        <f t="shared" si="8"/>
      </c>
      <c r="DZ63">
        <f t="shared" si="8"/>
      </c>
      <c r="EA63">
        <f t="shared" si="8"/>
      </c>
      <c r="EB63">
        <f t="shared" si="8"/>
      </c>
      <c r="EC63">
        <f t="shared" si="8"/>
      </c>
      <c r="ED63">
        <f t="shared" si="8"/>
      </c>
      <c r="EE63">
        <f t="shared" si="8"/>
      </c>
      <c r="EF63">
        <f t="shared" si="8"/>
      </c>
      <c r="EG63">
        <f t="shared" si="8"/>
      </c>
      <c r="EH63">
        <f t="shared" si="8"/>
      </c>
      <c r="EI63">
        <f t="shared" si="8"/>
      </c>
      <c r="EJ63">
        <f t="shared" si="8"/>
      </c>
      <c r="EK63">
        <f t="shared" si="8"/>
      </c>
      <c r="EL63">
        <f t="shared" si="8"/>
      </c>
      <c r="EM63">
        <f t="shared" si="8"/>
      </c>
      <c r="EN63">
        <f t="shared" si="8"/>
      </c>
      <c r="EO63">
        <f t="shared" si="8"/>
      </c>
      <c r="EP63">
        <f t="shared" si="8"/>
      </c>
      <c r="EQ63">
        <f t="shared" si="8"/>
      </c>
      <c r="ER63">
        <f t="shared" si="8"/>
      </c>
      <c r="ES63">
        <f t="shared" si="8"/>
      </c>
      <c r="ET63">
        <f t="shared" si="8"/>
      </c>
      <c r="EU63">
        <f t="shared" si="8"/>
      </c>
      <c r="EV63">
        <f t="shared" si="8"/>
      </c>
      <c r="EW63">
        <f t="shared" si="8"/>
      </c>
      <c r="EX63">
        <f t="shared" si="8"/>
      </c>
      <c r="EY63">
        <f t="shared" si="8"/>
      </c>
      <c r="EZ63">
        <f t="shared" si="8"/>
      </c>
      <c r="FA63" t="str">
        <f t="shared" si="12"/>
        <v>-</v>
      </c>
      <c r="FB63">
        <f t="shared" si="13"/>
      </c>
      <c r="FC63" cm="1">
        <f t="array" ref="FC63">_xlfn.LET(_xlpm.unit_type,$G63,_xlpm.market_rent_from_rent_roll,$E63,_xlpm.unit_type_list,RentRoll_InputArea_DesignatedUnitType,_xlpm.rent_by_unit_type,RentRoll_InputArea_MarketRent,_xlpm.use_rent_roll_market_rent,LEFT(RR_VacantUnitMktRentSource,9)="Rent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63">
        <f t="shared" si="14"/>
        <v>1477</v>
      </c>
      <c r="FE63">
        <f t="shared" si="15"/>
        <v>1477</v>
      </c>
      <c r="FF63">
        <f t="shared" si="16"/>
        <v>1477</v>
      </c>
      <c r="FH63">
        <f t="shared" si="17"/>
      </c>
      <c r="FI63">
        <f t="shared" si="18"/>
      </c>
      <c r="FK63" cm="1">
        <f t="array" ref="FK63">IF(AND(LEN($D63)&gt;0,ISNA(MATCH(TRUE,EXACT($G63,RentRoll_InputArea_DesignatedUnitType),0))),1,0)</f>
        <v>0</v>
      </c>
      <c r="FL63">
        <f t="shared" si="19"/>
        <v>40</v>
      </c>
      <c r="IO63" cm="1">
        <f t="array" ref="IO63">IF(LEN($G63)=0,"Rent Roll is incomplete",_xlfn.XLOOKUP(TRUE,EXACT(RentRoll_InputArea_DesignatedUnitType,$G63),RentRoll_InputArea_Beds,"Not Found"))</f>
        <v>0</v>
      </c>
      <c r="IQ63" t="str">
        <f t="shared" si="20"/>
        <v>0 Bedroom Unit (Efficiency/Studio)</v>
      </c>
      <c r="IR63">
        <f t="shared" si="21"/>
        <v>1477</v>
      </c>
      <c r="IW63" t="str">
        <f t="shared" si="22"/>
        <v>4-407</v>
      </c>
      <c r="IZ63">
        <f t="shared" si="23"/>
        <v>0</v>
      </c>
      <c r="JA63">
        <f t="shared" si="24"/>
        <v>1477</v>
      </c>
      <c r="JH63">
        <f t="shared" si="25"/>
        <v>1533</v>
      </c>
      <c r="JJ63">
        <f t="shared" si="26"/>
      </c>
      <c r="JQ63" t="str">
        <f t="shared" si="27"/>
        <v>Occupied</v>
      </c>
      <c r="JR63" cm="1">
        <f t="array" ref="JR63">_xlfn.XLOOKUP(TRUE,EXACT(RentRoll_InputArea_DesignatedUnitType,$G63),RentRoll_InputArea_SquareFootage,"Not Found")</f>
        <v>1050</v>
      </c>
      <c r="JS63" t="str">
        <f t="shared" si="28"/>
        <v>Apartment</v>
      </c>
      <c r="JT63">
        <f t="shared" si="29"/>
      </c>
      <c r="JY63">
        <f t="shared" si="9"/>
        <v>43316</v>
      </c>
      <c r="JZ63">
        <f t="shared" si="9"/>
        <v>43616</v>
      </c>
    </row>
    <row r="64" ht="15" customHeight="1">
      <c r="A64">
        <f t="shared" si="10"/>
        <v>41</v>
      </c>
      <c r="D64" t="s">
        <v>2824</v>
      </c>
      <c r="E64">
        <v>1528</v>
      </c>
      <c r="F64" t="s">
        <v>2825</v>
      </c>
      <c r="G64" t="s">
        <v>2532</v>
      </c>
      <c r="H64">
        <v>1612</v>
      </c>
      <c r="I64" cm="1">
        <f t="array" ref="I64">_xlfn.LET(_xlpm.has_subsidy,$N64&gt;0,_xlpm.is_chap9_sbl,$FF$20,_xlpm.contract_rent,$H64,_xlpm.unit_type_mkt_rent,_xlfn.XLOOKUP(TRUE,EXACT($G64,RentRoll_InputArea_DesignatedUnitType),RentRoll_InputArea_MarketRent,"Not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4">
        <f t="shared" si="11"/>
        <v>1612</v>
      </c>
      <c r="O64" s="1">
        <v>43405</v>
      </c>
      <c r="P64" s="1">
        <v>43616</v>
      </c>
      <c r="Q64">
        <f t="shared" si="8"/>
      </c>
      <c r="R64">
        <f t="shared" si="8"/>
      </c>
      <c r="S64">
        <f t="shared" si="8"/>
      </c>
      <c r="T64">
        <f t="shared" si="8"/>
        <v>1612</v>
      </c>
      <c r="U64">
        <f t="shared" si="8"/>
      </c>
      <c r="V64">
        <f t="shared" si="8"/>
      </c>
      <c r="W64">
        <f t="shared" si="8"/>
      </c>
      <c r="X64">
        <f t="shared" si="8"/>
      </c>
      <c r="Y64">
        <f t="shared" si="8"/>
      </c>
      <c r="Z64">
        <f t="shared" si="8"/>
      </c>
      <c r="AA64">
        <f t="shared" si="8"/>
      </c>
      <c r="AB64">
        <f t="shared" si="8"/>
      </c>
      <c r="AC64">
        <f t="shared" si="8"/>
      </c>
      <c r="AD64">
        <f t="shared" si="8"/>
      </c>
      <c r="AE64">
        <f t="shared" si="8"/>
      </c>
      <c r="AF64">
        <f t="shared" si="8"/>
      </c>
      <c r="AG64">
        <f t="shared" si="8"/>
      </c>
      <c r="AH64">
        <f t="shared" si="8"/>
      </c>
      <c r="AI64">
        <f t="shared" si="8"/>
      </c>
      <c r="AJ64">
        <f t="shared" si="8"/>
      </c>
      <c r="AK64">
        <f t="shared" si="8"/>
      </c>
      <c r="AL64">
        <f t="shared" si="8"/>
      </c>
      <c r="AM64">
        <f t="shared" si="8"/>
      </c>
      <c r="AN64">
        <f t="shared" si="8"/>
      </c>
      <c r="AO64">
        <f t="shared" si="8"/>
      </c>
      <c r="AP64">
        <f t="shared" si="8"/>
      </c>
      <c r="AQ64">
        <f t="shared" si="8"/>
      </c>
      <c r="AR64">
        <f t="shared" si="8"/>
      </c>
      <c r="AS64">
        <f t="shared" si="8"/>
      </c>
      <c r="AT64">
        <f t="shared" si="8"/>
      </c>
      <c r="AU64">
        <f t="shared" si="8"/>
      </c>
      <c r="AV64">
        <f t="shared" si="8"/>
      </c>
      <c r="AW64">
        <f t="shared" si="8"/>
      </c>
      <c r="AX64">
        <f t="shared" si="8"/>
      </c>
      <c r="AY64">
        <f t="shared" si="8"/>
      </c>
      <c r="AZ64">
        <f t="shared" si="8"/>
      </c>
      <c r="BA64">
        <f t="shared" si="8"/>
      </c>
      <c r="BB64">
        <f t="shared" si="8"/>
      </c>
      <c r="BC64">
        <f t="shared" si="8"/>
      </c>
      <c r="BD64">
        <f t="shared" si="8"/>
      </c>
      <c r="BE64">
        <f t="shared" si="8"/>
      </c>
      <c r="BF64">
        <f t="shared" si="8"/>
      </c>
      <c r="BG64">
        <f t="shared" si="8"/>
      </c>
      <c r="BH64">
        <f t="shared" si="8"/>
      </c>
      <c r="BI64">
        <f t="shared" si="8"/>
      </c>
      <c r="BJ64">
        <f t="shared" si="8"/>
      </c>
      <c r="BK64">
        <f t="shared" si="8"/>
      </c>
      <c r="BL64">
        <f t="shared" si="8"/>
      </c>
      <c r="BM64">
        <f t="shared" si="8"/>
      </c>
      <c r="BN64">
        <f t="shared" si="8"/>
      </c>
      <c r="BO64">
        <f t="shared" si="8"/>
      </c>
      <c r="BP64">
        <f t="shared" si="8"/>
      </c>
      <c r="BQ64">
        <f t="shared" si="8"/>
      </c>
      <c r="BR64">
        <f t="shared" si="8"/>
      </c>
      <c r="BS64">
        <f t="shared" si="8"/>
      </c>
      <c r="BT64">
        <f t="shared" si="8"/>
      </c>
      <c r="BU64">
        <f t="shared" si="8"/>
      </c>
      <c r="BV64">
        <f t="shared" si="8"/>
      </c>
      <c r="BW64">
        <f t="shared" si="8"/>
      </c>
      <c r="BX64">
        <f t="shared" si="8"/>
      </c>
      <c r="BY64">
        <f t="shared" si="8"/>
      </c>
      <c r="BZ64">
        <f t="shared" si="8"/>
      </c>
      <c r="CA64">
        <f t="shared" si="8"/>
      </c>
      <c r="CB64">
        <f t="shared" si="8"/>
      </c>
      <c r="CC64">
        <f t="shared" si="8"/>
      </c>
      <c r="CD64">
        <f t="shared" si="8"/>
      </c>
      <c r="CE64">
        <f t="shared" si="8"/>
      </c>
      <c r="CF64">
        <f t="shared" si="8"/>
      </c>
      <c r="CG64">
        <f t="shared" si="8"/>
      </c>
      <c r="CH64">
        <f t="shared" si="8"/>
      </c>
      <c r="CI64">
        <f t="shared" si="8"/>
      </c>
      <c r="CJ64">
        <f t="shared" si="8"/>
      </c>
      <c r="CK64">
        <f t="shared" si="8"/>
      </c>
      <c r="CL64">
        <f t="shared" si="8"/>
      </c>
      <c r="CM64">
        <f t="shared" si="8"/>
      </c>
      <c r="CN64">
        <f t="shared" si="8"/>
      </c>
      <c r="CO64">
        <f t="shared" si="8"/>
      </c>
      <c r="CP64">
        <f t="shared" si="8"/>
      </c>
      <c r="CQ64">
        <f t="shared" si="8"/>
      </c>
      <c r="CR64">
        <f t="shared" si="8"/>
      </c>
      <c r="CS64">
        <f t="shared" si="8"/>
      </c>
      <c r="CT64">
        <f t="shared" si="8"/>
      </c>
      <c r="CU64">
        <f t="shared" si="8"/>
      </c>
      <c r="CV64">
        <f t="shared" si="8"/>
      </c>
      <c r="CW64">
        <f t="shared" si="8"/>
      </c>
      <c r="CX64">
        <f t="shared" si="8"/>
      </c>
      <c r="CY64">
        <f t="shared" si="8"/>
      </c>
      <c r="CZ64">
        <f t="shared" si="8"/>
      </c>
      <c r="DA64">
        <f t="shared" si="8"/>
      </c>
      <c r="DB64">
        <f t="shared" si="8"/>
      </c>
      <c r="DC64">
        <f t="shared" si="8"/>
      </c>
      <c r="DD64">
        <f t="shared" si="8"/>
      </c>
      <c r="DE64">
        <f t="shared" si="8"/>
      </c>
      <c r="DF64">
        <f t="shared" si="8"/>
      </c>
      <c r="DG64">
        <f t="shared" si="8"/>
      </c>
      <c r="DH64">
        <f t="shared" si="8"/>
      </c>
      <c r="DI64">
        <f t="shared" si="8"/>
      </c>
      <c r="DJ64">
        <f t="shared" si="8"/>
      </c>
      <c r="DK64">
        <f t="shared" si="8"/>
      </c>
      <c r="DL64">
        <f t="shared" si="8"/>
      </c>
      <c r="DM64">
        <f t="shared" si="8"/>
      </c>
      <c r="DN64">
        <f t="shared" si="8"/>
      </c>
      <c r="DO64">
        <f t="shared" si="8"/>
      </c>
      <c r="DP64">
        <f t="shared" si="8"/>
      </c>
      <c r="DQ64">
        <f t="shared" si="8"/>
      </c>
      <c r="DR64">
        <f t="shared" si="8"/>
      </c>
      <c r="DS64">
        <f t="shared" si="8"/>
      </c>
      <c r="DT64">
        <f t="shared" si="8"/>
      </c>
      <c r="DU64">
        <f t="shared" si="8"/>
      </c>
      <c r="DV64">
        <f t="shared" si="8"/>
      </c>
      <c r="DW64">
        <f t="shared" si="8"/>
      </c>
      <c r="DX64">
        <f t="shared" si="8"/>
      </c>
      <c r="DY64">
        <f t="shared" si="8"/>
      </c>
      <c r="DZ64">
        <f t="shared" si="8"/>
      </c>
      <c r="EA64">
        <f t="shared" si="8"/>
      </c>
      <c r="EB64">
        <f t="shared" si="8"/>
      </c>
      <c r="EC64">
        <f t="shared" si="8"/>
      </c>
      <c r="ED64">
        <f t="shared" si="8"/>
      </c>
      <c r="EE64">
        <f t="shared" si="8"/>
      </c>
      <c r="EF64">
        <f t="shared" si="8"/>
      </c>
      <c r="EG64">
        <f t="shared" si="8"/>
      </c>
      <c r="EH64">
        <f t="shared" si="8"/>
      </c>
      <c r="EI64">
        <f t="shared" si="8"/>
      </c>
      <c r="EJ64">
        <f t="shared" si="8"/>
      </c>
      <c r="EK64">
        <f t="shared" si="8"/>
      </c>
      <c r="EL64">
        <f t="shared" si="8"/>
      </c>
      <c r="EM64">
        <f t="shared" si="8"/>
      </c>
      <c r="EN64">
        <f t="shared" si="8"/>
      </c>
      <c r="EO64">
        <f t="shared" si="8"/>
      </c>
      <c r="EP64">
        <f t="shared" si="8"/>
      </c>
      <c r="EQ64">
        <f t="shared" si="8"/>
      </c>
      <c r="ER64">
        <f t="shared" si="8"/>
      </c>
      <c r="ES64">
        <f t="shared" si="8"/>
      </c>
      <c r="ET64">
        <f t="shared" si="8"/>
      </c>
      <c r="EU64">
        <f t="shared" si="8"/>
      </c>
      <c r="EV64">
        <f t="shared" si="8"/>
      </c>
      <c r="EW64">
        <f t="shared" si="8"/>
      </c>
      <c r="EX64">
        <f t="shared" si="8"/>
      </c>
      <c r="EY64">
        <f t="shared" si="8"/>
      </c>
      <c r="EZ64">
        <f t="shared" si="8"/>
      </c>
      <c r="FA64" t="str">
        <f t="shared" si="12"/>
        <v>-</v>
      </c>
      <c r="FB64">
        <f t="shared" si="13"/>
      </c>
      <c r="FC64" cm="1">
        <f t="array" ref="FC64">_xlfn.LET(_xlpm.unit_type,$G64,_xlpm.market_rent_from_rent_roll,$E64,_xlpm.unit_type_list,RentRoll_InputArea_DesignatedUnitType,_xlpm.rent_by_unit_type,RentRoll_InputArea_MarketRent,_xlpm.use_rent_roll_market_rent,LEFT(RR_VacantUnitMktRentSource,9)="Rent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64">
        <f t="shared" si="14"/>
        <v>1612</v>
      </c>
      <c r="FE64">
        <f t="shared" si="15"/>
        <v>1612</v>
      </c>
      <c r="FF64">
        <f t="shared" si="16"/>
        <v>1612</v>
      </c>
      <c r="FH64">
        <f t="shared" si="17"/>
      </c>
      <c r="FI64">
        <f t="shared" si="18"/>
      </c>
      <c r="FK64" cm="1">
        <f t="array" ref="FK64">IF(AND(LEN($D64)&gt;0,ISNA(MATCH(TRUE,EXACT($G64,RentRoll_InputArea_DesignatedUnitType),0))),1,0)</f>
        <v>0</v>
      </c>
      <c r="FL64">
        <f t="shared" si="19"/>
        <v>41</v>
      </c>
      <c r="IO64" cm="1">
        <f t="array" ref="IO64">IF(LEN($G64)=0,"Rent Roll is incomplete",_xlfn.XLOOKUP(TRUE,EXACT(RentRoll_InputArea_DesignatedUnitType,$G64),RentRoll_InputArea_Beds,"Not Found"))</f>
        <v>0</v>
      </c>
      <c r="IQ64" t="str">
        <f t="shared" si="20"/>
        <v>0 Bedroom Unit (Efficiency/Studio)</v>
      </c>
      <c r="IR64">
        <f t="shared" si="21"/>
        <v>1612</v>
      </c>
      <c r="IW64" t="str">
        <f t="shared" si="22"/>
        <v>4-408</v>
      </c>
      <c r="IZ64">
        <f t="shared" si="23"/>
        <v>0</v>
      </c>
      <c r="JA64">
        <f t="shared" si="24"/>
        <v>1612</v>
      </c>
      <c r="JH64">
        <f t="shared" si="25"/>
        <v>1533</v>
      </c>
      <c r="JJ64">
        <f t="shared" si="26"/>
      </c>
      <c r="JQ64" t="str">
        <f t="shared" si="27"/>
        <v>Occupied</v>
      </c>
      <c r="JR64" cm="1">
        <f t="array" ref="JR64">_xlfn.XLOOKUP(TRUE,EXACT(RentRoll_InputArea_DesignatedUnitType,$G64),RentRoll_InputArea_SquareFootage,"Not Found")</f>
        <v>1050</v>
      </c>
      <c r="JS64" t="str">
        <f t="shared" si="28"/>
        <v>Apartment</v>
      </c>
      <c r="JT64">
        <f t="shared" si="29"/>
      </c>
      <c r="JY64">
        <f t="shared" si="9"/>
        <v>43405</v>
      </c>
      <c r="JZ64">
        <f t="shared" si="9"/>
        <v>43616</v>
      </c>
    </row>
    <row r="65" ht="15" customHeight="1">
      <c r="A65">
        <f t="shared" si="10"/>
        <v>42</v>
      </c>
      <c r="D65" t="s">
        <v>2826</v>
      </c>
      <c r="E65">
        <v>1556</v>
      </c>
      <c r="F65" t="s">
        <v>2827</v>
      </c>
      <c r="G65" t="s">
        <v>2532</v>
      </c>
      <c r="H65">
        <v>1527</v>
      </c>
      <c r="I65" cm="1">
        <f t="array" ref="I65">_xlfn.LET(_xlpm.has_subsidy,$N65&gt;0,_xlpm.is_chap9_sbl,$FF$20,_xlpm.contract_rent,$H65,_xlpm.unit_type_mkt_rent,_xlfn.XLOOKUP(TRUE,EXACT($G65,RentRoll_InputArea_DesignatedUnitType),RentRoll_InputArea_MarketRent,"Not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5">
        <f t="shared" si="11"/>
        <v>1527</v>
      </c>
      <c r="O65" s="1">
        <v>43484</v>
      </c>
      <c r="P65" s="1">
        <v>43769</v>
      </c>
      <c r="Q65">
        <f t="shared" si="8"/>
      </c>
      <c r="R65">
        <f t="shared" si="8"/>
      </c>
      <c r="S65">
        <f t="shared" si="8"/>
      </c>
      <c r="T65">
        <f t="shared" si="8"/>
        <v>1527</v>
      </c>
      <c r="U65">
        <f t="shared" si="8"/>
      </c>
      <c r="V65">
        <f t="shared" si="8"/>
      </c>
      <c r="W65">
        <f t="shared" si="8"/>
      </c>
      <c r="X65">
        <f t="shared" si="8"/>
      </c>
      <c r="Y65">
        <f t="shared" si="8"/>
      </c>
      <c r="Z65">
        <f t="shared" si="8"/>
      </c>
      <c r="AA65">
        <f t="shared" si="8"/>
      </c>
      <c r="AB65">
        <f t="shared" si="8"/>
      </c>
      <c r="AC65">
        <f t="shared" si="8"/>
      </c>
      <c r="AD65">
        <f t="shared" si="8"/>
      </c>
      <c r="AE65">
        <f t="shared" si="8"/>
      </c>
      <c r="AF65">
        <f t="shared" si="8"/>
      </c>
      <c r="AG65">
        <f t="shared" si="8"/>
      </c>
      <c r="AH65">
        <f t="shared" si="8"/>
      </c>
      <c r="AI65">
        <f t="shared" si="8"/>
      </c>
      <c r="AJ65">
        <f t="shared" si="8"/>
      </c>
      <c r="AK65">
        <f t="shared" si="8"/>
      </c>
      <c r="AL65">
        <f t="shared" si="8"/>
      </c>
      <c r="AM65">
        <f t="shared" si="8"/>
      </c>
      <c r="AN65">
        <f t="shared" si="8"/>
      </c>
      <c r="AO65">
        <f t="shared" si="8"/>
      </c>
      <c r="AP65">
        <f t="shared" si="8"/>
      </c>
      <c r="AQ65">
        <f t="shared" si="8"/>
      </c>
      <c r="AR65">
        <f t="shared" si="8"/>
      </c>
      <c r="AS65">
        <f t="shared" si="8"/>
      </c>
      <c r="AT65">
        <f t="shared" si="8"/>
      </c>
      <c r="AU65">
        <f t="shared" si="8"/>
      </c>
      <c r="AV65">
        <f t="shared" si="8"/>
      </c>
      <c r="AW65">
        <f t="shared" si="8"/>
      </c>
      <c r="AX65">
        <f t="shared" si="8"/>
      </c>
      <c r="AY65">
        <f t="shared" si="8"/>
      </c>
      <c r="AZ65">
        <f t="shared" si="8"/>
      </c>
      <c r="BA65">
        <f t="shared" si="8"/>
      </c>
      <c r="BB65">
        <f t="shared" si="8"/>
      </c>
      <c r="BC65">
        <f t="shared" si="8"/>
      </c>
      <c r="BD65">
        <f t="shared" si="8"/>
      </c>
      <c r="BE65">
        <f t="shared" si="8"/>
      </c>
      <c r="BF65">
        <f t="shared" si="8"/>
      </c>
      <c r="BG65">
        <f t="shared" si="8"/>
      </c>
      <c r="BH65">
        <f t="shared" si="8"/>
      </c>
      <c r="BI65">
        <f t="shared" si="8"/>
      </c>
      <c r="BJ65">
        <f t="shared" si="8"/>
      </c>
      <c r="BK65">
        <f t="shared" si="8"/>
      </c>
      <c r="BL65">
        <f t="shared" si="8"/>
      </c>
      <c r="BM65">
        <f t="shared" si="8"/>
      </c>
      <c r="BN65">
        <f t="shared" si="8"/>
      </c>
      <c r="BO65">
        <f t="shared" si="8"/>
      </c>
      <c r="BP65">
        <f t="shared" si="8"/>
      </c>
      <c r="BQ65">
        <f t="shared" si="8"/>
      </c>
      <c r="BR65">
        <f t="shared" si="8"/>
      </c>
      <c r="BS65">
        <f t="shared" si="8"/>
      </c>
      <c r="BT65">
        <f t="shared" si="8"/>
      </c>
      <c r="BU65">
        <f t="shared" si="8"/>
      </c>
      <c r="BV65">
        <f t="shared" si="8"/>
      </c>
      <c r="BW65">
        <f t="shared" si="8"/>
      </c>
      <c r="BX65">
        <f t="shared" si="8"/>
      </c>
      <c r="BY65">
        <f t="shared" si="8"/>
      </c>
      <c r="BZ65">
        <f t="shared" si="8"/>
      </c>
      <c r="CA65">
        <f t="shared" si="8"/>
      </c>
      <c r="CB65">
        <f t="shared" si="8"/>
      </c>
      <c r="CC65">
        <f t="shared" si="8"/>
      </c>
      <c r="CD65">
        <f t="shared" si="8"/>
      </c>
      <c r="CE65">
        <f t="shared" si="8"/>
      </c>
      <c r="CF65">
        <f t="shared" si="8"/>
      </c>
      <c r="CG65">
        <f t="shared" si="8"/>
      </c>
      <c r="CH65">
        <f t="shared" si="8"/>
      </c>
      <c r="CI65">
        <f t="shared" si="8"/>
      </c>
      <c r="CJ65">
        <f t="shared" si="8"/>
      </c>
      <c r="CK65">
        <f t="shared" si="8"/>
      </c>
      <c r="CL65">
        <f t="shared" si="8"/>
      </c>
      <c r="CM65">
        <f t="shared" si="8"/>
      </c>
      <c r="CN65">
        <f t="shared" si="8"/>
      </c>
      <c r="CO65">
        <f t="shared" si="8"/>
      </c>
      <c r="CP65">
        <f t="shared" si="8"/>
      </c>
      <c r="CQ65">
        <f t="shared" si="8"/>
      </c>
      <c r="CR65">
        <f t="shared" si="8"/>
      </c>
      <c r="CS65">
        <f t="shared" si="8"/>
      </c>
      <c r="CT65">
        <f t="shared" si="8"/>
      </c>
      <c r="CU65">
        <f t="shared" si="8"/>
      </c>
      <c r="CV65">
        <f t="shared" si="8"/>
      </c>
      <c r="CW65">
        <f t="shared" si="8"/>
      </c>
      <c r="CX65">
        <f t="shared" si="8"/>
      </c>
      <c r="CY65">
        <f t="shared" si="8"/>
      </c>
      <c r="CZ65">
        <f t="shared" si="8"/>
      </c>
      <c r="DA65">
        <f t="shared" si="8"/>
      </c>
      <c r="DB65">
        <f t="shared" si="8"/>
      </c>
      <c r="DC65">
        <f t="shared" si="8"/>
      </c>
      <c r="DD65">
        <f t="shared" si="8"/>
      </c>
      <c r="DE65">
        <f t="shared" si="8"/>
      </c>
      <c r="DF65">
        <f t="shared" si="8"/>
      </c>
      <c r="DG65">
        <f t="shared" si="8"/>
      </c>
      <c r="DH65">
        <f t="shared" si="8"/>
      </c>
      <c r="DI65">
        <f t="shared" si="8"/>
      </c>
      <c r="DJ65">
        <f t="shared" si="8"/>
      </c>
      <c r="DK65">
        <f t="shared" si="8"/>
      </c>
      <c r="DL65">
        <f t="shared" si="8"/>
      </c>
      <c r="DM65">
        <f t="shared" si="8"/>
      </c>
      <c r="DN65">
        <f t="shared" si="8"/>
      </c>
      <c r="DO65">
        <f t="shared" si="8"/>
      </c>
      <c r="DP65">
        <f t="shared" si="8"/>
      </c>
      <c r="DQ65">
        <f t="shared" si="8"/>
      </c>
      <c r="DR65">
        <f t="shared" si="8"/>
      </c>
      <c r="DS65">
        <f t="shared" si="8"/>
      </c>
      <c r="DT65">
        <f t="shared" si="8"/>
      </c>
      <c r="DU65">
        <f t="shared" si="8"/>
      </c>
      <c r="DV65">
        <f t="shared" si="8"/>
      </c>
      <c r="DW65">
        <f t="shared" si="8"/>
      </c>
      <c r="DX65">
        <f t="shared" si="8"/>
      </c>
      <c r="DY65">
        <f t="shared" si="8"/>
      </c>
      <c r="DZ65">
        <f t="shared" si="8"/>
      </c>
      <c r="EA65">
        <f t="shared" si="8"/>
      </c>
      <c r="EB65">
        <f t="shared" si="8"/>
      </c>
      <c r="EC65">
        <f t="shared" si="8"/>
      </c>
      <c r="ED65">
        <f t="shared" si="8"/>
      </c>
      <c r="EE65">
        <f t="shared" si="8"/>
      </c>
      <c r="EF65">
        <f t="shared" si="8"/>
      </c>
      <c r="EG65">
        <f t="shared" si="8"/>
      </c>
      <c r="EH65">
        <f t="shared" si="8"/>
      </c>
      <c r="EI65">
        <f t="shared" si="8"/>
      </c>
      <c r="EJ65">
        <f t="shared" si="8"/>
      </c>
      <c r="EK65">
        <f t="shared" si="8"/>
      </c>
      <c r="EL65">
        <f t="shared" si="8"/>
      </c>
      <c r="EM65">
        <f t="shared" si="8"/>
      </c>
      <c r="EN65">
        <f t="shared" si="8"/>
      </c>
      <c r="EO65">
        <f t="shared" si="8"/>
      </c>
      <c r="EP65">
        <f t="shared" si="8"/>
      </c>
      <c r="EQ65">
        <f t="shared" si="8"/>
      </c>
      <c r="ER65">
        <f t="shared" si="8"/>
      </c>
      <c r="ES65">
        <f t="shared" si="8"/>
      </c>
      <c r="ET65">
        <f t="shared" si="8"/>
      </c>
      <c r="EU65">
        <f t="shared" si="8"/>
      </c>
      <c r="EV65">
        <f t="shared" si="8"/>
      </c>
      <c r="EW65">
        <f t="shared" si="8"/>
      </c>
      <c r="EX65">
        <f t="shared" si="8"/>
      </c>
      <c r="EY65">
        <f t="shared" si="8"/>
      </c>
      <c r="EZ65">
        <f t="shared" si="8"/>
      </c>
      <c r="FA65" t="str">
        <f t="shared" si="12"/>
        <v>-</v>
      </c>
      <c r="FB65">
        <f t="shared" si="13"/>
      </c>
      <c r="FC65" cm="1">
        <f t="array" ref="FC65">_xlfn.LET(_xlpm.unit_type,$G65,_xlpm.market_rent_from_rent_roll,$E65,_xlpm.unit_type_list,RentRoll_InputArea_DesignatedUnitType,_xlpm.rent_by_unit_type,RentRoll_InputArea_MarketRent,_xlpm.use_rent_roll_market_rent,LEFT(RR_VacantUnitMktRentSource,9)="Rent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65">
        <f t="shared" si="14"/>
        <v>1527</v>
      </c>
      <c r="FE65">
        <f t="shared" si="15"/>
        <v>1527</v>
      </c>
      <c r="FF65">
        <f t="shared" si="16"/>
        <v>1527</v>
      </c>
      <c r="FH65">
        <f t="shared" si="17"/>
      </c>
      <c r="FI65">
        <f t="shared" si="18"/>
      </c>
      <c r="FK65" cm="1">
        <f t="array" ref="FK65">IF(AND(LEN($D65)&gt;0,ISNA(MATCH(TRUE,EXACT($G65,RentRoll_InputArea_DesignatedUnitType),0))),1,0)</f>
        <v>0</v>
      </c>
      <c r="FL65">
        <f t="shared" si="19"/>
        <v>42</v>
      </c>
      <c r="IO65" cm="1">
        <f t="array" ref="IO65">IF(LEN($G65)=0,"Rent Roll is incomplete",_xlfn.XLOOKUP(TRUE,EXACT(RentRoll_InputArea_DesignatedUnitType,$G65),RentRoll_InputArea_Beds,"Not Found"))</f>
        <v>0</v>
      </c>
      <c r="IQ65" t="str">
        <f t="shared" si="20"/>
        <v>0 Bedroom Unit (Efficiency/Studio)</v>
      </c>
      <c r="IR65">
        <f t="shared" si="21"/>
        <v>1527</v>
      </c>
      <c r="IW65" t="str">
        <f t="shared" si="22"/>
        <v>4-409</v>
      </c>
      <c r="IZ65">
        <f t="shared" si="23"/>
        <v>0</v>
      </c>
      <c r="JA65">
        <f t="shared" si="24"/>
        <v>1527</v>
      </c>
      <c r="JH65">
        <f t="shared" si="25"/>
        <v>1533</v>
      </c>
      <c r="JJ65">
        <f t="shared" si="26"/>
      </c>
      <c r="JQ65" t="str">
        <f t="shared" si="27"/>
        <v>Occupied</v>
      </c>
      <c r="JR65" cm="1">
        <f t="array" ref="JR65">_xlfn.XLOOKUP(TRUE,EXACT(RentRoll_InputArea_DesignatedUnitType,$G65),RentRoll_InputArea_SquareFootage,"Not Found")</f>
        <v>1050</v>
      </c>
      <c r="JS65" t="str">
        <f t="shared" si="28"/>
        <v>Apartment</v>
      </c>
      <c r="JT65">
        <f t="shared" si="29"/>
      </c>
      <c r="JY65">
        <f t="shared" si="9"/>
        <v>43484</v>
      </c>
      <c r="JZ65">
        <f t="shared" si="9"/>
        <v>43769</v>
      </c>
    </row>
    <row r="66" ht="15" customHeight="1">
      <c r="A66">
        <f t="shared" si="10"/>
        <v>43</v>
      </c>
      <c r="D66" t="s">
        <v>2828</v>
      </c>
      <c r="E66">
        <v>1265</v>
      </c>
      <c r="F66" t="s">
        <v>2829</v>
      </c>
      <c r="G66" t="s">
        <v>2530</v>
      </c>
      <c r="H66">
        <v>1231</v>
      </c>
      <c r="I66" cm="1">
        <f t="array" ref="I66">_xlfn.LET(_xlpm.has_subsidy,$N66&gt;0,_xlpm.is_chap9_sbl,$FF$20,_xlpm.contract_rent,$H66,_xlpm.unit_type_mkt_rent,_xlfn.XLOOKUP(TRUE,EXACT($G66,RentRoll_InputArea_DesignatedUnitType),RentRoll_InputArea_MarketRent,"Not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6">
        <f t="shared" si="11"/>
        <v>1231</v>
      </c>
      <c r="O66" s="1">
        <v>43575</v>
      </c>
      <c r="P66" s="1">
        <v>43951</v>
      </c>
      <c r="Q66">
        <f t="shared" si="8"/>
      </c>
      <c r="R66">
        <f t="shared" si="8"/>
        <v>1231</v>
      </c>
      <c r="S66">
        <f t="shared" si="8"/>
      </c>
      <c r="T66">
        <f t="shared" si="8"/>
      </c>
      <c r="U66">
        <f t="shared" si="8"/>
      </c>
      <c r="V66">
        <f t="shared" si="8"/>
      </c>
      <c r="W66">
        <f t="shared" si="8"/>
      </c>
      <c r="X66">
        <f t="shared" si="8"/>
      </c>
      <c r="Y66">
        <f t="shared" si="8"/>
      </c>
      <c r="Z66">
        <f t="shared" si="8"/>
      </c>
      <c r="AA66">
        <f t="shared" si="8"/>
      </c>
      <c r="AB66">
        <f t="shared" si="8"/>
      </c>
      <c r="AC66">
        <f t="shared" si="8"/>
      </c>
      <c r="AD66">
        <f t="shared" si="8"/>
      </c>
      <c r="AE66">
        <f t="shared" si="8"/>
      </c>
      <c r="AF66">
        <f t="shared" si="8"/>
      </c>
      <c r="AG66">
        <f t="shared" si="8"/>
      </c>
      <c r="AH66">
        <f t="shared" si="8"/>
      </c>
      <c r="AI66">
        <f t="shared" si="8"/>
      </c>
      <c r="AJ66">
        <f t="shared" si="8"/>
      </c>
      <c r="AK66">
        <f t="shared" si="8"/>
      </c>
      <c r="AL66">
        <f t="shared" si="8"/>
      </c>
      <c r="AM66">
        <f t="shared" si="8"/>
      </c>
      <c r="AN66">
        <f t="shared" si="8"/>
      </c>
      <c r="AO66">
        <f t="shared" si="8"/>
      </c>
      <c r="AP66">
        <f t="shared" si="8"/>
      </c>
      <c r="AQ66">
        <f t="shared" si="8"/>
      </c>
      <c r="AR66">
        <f t="shared" si="8"/>
      </c>
      <c r="AS66">
        <f t="shared" si="8"/>
      </c>
      <c r="AT66">
        <f t="shared" si="8"/>
      </c>
      <c r="AU66">
        <f t="shared" si="8"/>
      </c>
      <c r="AV66">
        <f t="shared" si="8"/>
      </c>
      <c r="AW66">
        <f t="shared" si="8"/>
      </c>
      <c r="AX66">
        <f t="shared" si="8"/>
      </c>
      <c r="AY66">
        <f t="shared" si="8"/>
      </c>
      <c r="AZ66">
        <f t="shared" si="8"/>
      </c>
      <c r="BA66">
        <f t="shared" si="8"/>
      </c>
      <c r="BB66">
        <f t="shared" si="8"/>
      </c>
      <c r="BC66">
        <f t="shared" si="8"/>
      </c>
      <c r="BD66">
        <f t="shared" si="8"/>
      </c>
      <c r="BE66">
        <f t="shared" si="8"/>
      </c>
      <c r="BF66">
        <f t="shared" si="8"/>
      </c>
      <c r="BG66">
        <f t="shared" si="8"/>
      </c>
      <c r="BH66">
        <f t="shared" si="8"/>
      </c>
      <c r="BI66">
        <f t="shared" si="8"/>
      </c>
      <c r="BJ66">
        <f t="shared" si="8"/>
      </c>
      <c r="BK66">
        <f t="shared" si="8"/>
      </c>
      <c r="BL66">
        <f t="shared" si="8"/>
      </c>
      <c r="BM66">
        <f t="shared" si="8"/>
      </c>
      <c r="BN66">
        <f t="shared" si="8"/>
      </c>
      <c r="BO66">
        <f t="shared" si="8"/>
      </c>
      <c r="BP66">
        <f t="shared" si="8"/>
      </c>
      <c r="BQ66">
        <f t="shared" si="8"/>
      </c>
      <c r="BR66">
        <f t="shared" si="8"/>
      </c>
      <c r="BS66">
        <f t="shared" si="8"/>
      </c>
      <c r="BT66">
        <f t="shared" si="8"/>
      </c>
      <c r="BU66">
        <f t="shared" si="8"/>
      </c>
      <c r="BV66">
        <f t="shared" si="8"/>
      </c>
      <c r="BW66">
        <f t="shared" si="8"/>
      </c>
      <c r="BX66">
        <f t="shared" si="8"/>
      </c>
      <c r="BY66">
        <f t="shared" si="8"/>
      </c>
      <c r="BZ66">
        <f t="shared" si="8"/>
      </c>
      <c r="CA66">
        <f t="shared" si="8"/>
      </c>
      <c r="CB66">
        <f t="shared" si="8"/>
      </c>
      <c r="CC66">
        <f t="shared" si="8"/>
      </c>
      <c r="CD66">
        <f t="shared" si="8"/>
      </c>
      <c r="CE66">
        <f t="shared" si="8"/>
      </c>
      <c r="CF66">
        <f t="shared" si="8"/>
      </c>
      <c r="CG66">
        <f t="shared" si="8"/>
      </c>
      <c r="CH66">
        <f t="shared" si="8"/>
      </c>
      <c r="CI66">
        <f t="shared" si="8"/>
      </c>
      <c r="CJ66">
        <f t="shared" si="8"/>
      </c>
      <c r="CK66">
        <f t="shared" si="8"/>
      </c>
      <c r="CL66">
        <f t="shared" si="8"/>
      </c>
      <c r="CM66">
        <f t="shared" si="8"/>
      </c>
      <c r="CN66">
        <f t="shared" si="8"/>
      </c>
      <c r="CO66">
        <f t="shared" si="8"/>
      </c>
      <c r="CP66">
        <f t="shared" si="8"/>
      </c>
      <c r="CQ66">
        <f t="shared" si="8"/>
      </c>
      <c r="CR66">
        <f t="shared" si="8"/>
      </c>
      <c r="CS66">
        <f t="shared" si="8"/>
      </c>
      <c r="CT66">
        <f t="shared" si="8"/>
      </c>
      <c r="CU66">
        <f t="shared" si="8"/>
      </c>
      <c r="CV66">
        <f t="shared" si="8"/>
      </c>
      <c r="CW66">
        <f t="shared" si="8"/>
      </c>
      <c r="CX66">
        <f t="shared" si="8"/>
      </c>
      <c r="CY66">
        <f t="shared" si="8"/>
      </c>
      <c r="CZ66">
        <f t="shared" si="8"/>
      </c>
      <c r="DA66">
        <f t="shared" si="8"/>
      </c>
      <c r="DB66">
        <f t="shared" si="8"/>
      </c>
      <c r="DC66">
        <f t="shared" si="8"/>
      </c>
      <c r="DD66">
        <f t="shared" si="8"/>
      </c>
      <c r="DE66">
        <f t="shared" si="8"/>
      </c>
      <c r="DF66">
        <f t="shared" si="8"/>
      </c>
      <c r="DG66">
        <f t="shared" si="8"/>
      </c>
      <c r="DH66">
        <f t="shared" si="8"/>
      </c>
      <c r="DI66">
        <f t="shared" si="8"/>
      </c>
      <c r="DJ66">
        <f t="shared" si="8"/>
      </c>
      <c r="DK66">
        <f t="shared" si="8"/>
      </c>
      <c r="DL66">
        <f t="shared" si="8"/>
      </c>
      <c r="DM66">
        <f t="shared" si="8"/>
      </c>
      <c r="DN66">
        <f t="shared" si="8"/>
      </c>
      <c r="DO66">
        <f t="shared" si="8"/>
      </c>
      <c r="DP66">
        <f t="shared" si="8"/>
      </c>
      <c r="DQ66">
        <f t="shared" si="8"/>
      </c>
      <c r="DR66">
        <f t="shared" si="8"/>
      </c>
      <c r="DS66">
        <f t="shared" si="8"/>
      </c>
      <c r="DT66">
        <f t="shared" si="8"/>
      </c>
      <c r="DU66">
        <f t="shared" si="8"/>
      </c>
      <c r="DV66">
        <f t="shared" si="8"/>
      </c>
      <c r="DW66">
        <f t="shared" si="8"/>
      </c>
      <c r="DX66">
        <f t="shared" si="8"/>
      </c>
      <c r="DY66">
        <f t="shared" si="8"/>
      </c>
      <c r="DZ66">
        <f t="shared" si="8"/>
      </c>
      <c r="EA66">
        <f t="shared" si="8"/>
      </c>
      <c r="EB66">
        <f t="shared" si="8"/>
      </c>
      <c r="EC66">
        <f t="shared" si="8"/>
      </c>
      <c r="ED66">
        <f t="shared" si="8"/>
      </c>
      <c r="EE66">
        <f t="shared" si="8"/>
      </c>
      <c r="EF66">
        <f t="shared" si="8"/>
      </c>
      <c r="EG66">
        <f t="shared" si="8"/>
      </c>
      <c r="EH66">
        <f t="shared" si="8"/>
      </c>
      <c r="EI66">
        <f t="shared" si="8"/>
      </c>
      <c r="EJ66">
        <f t="shared" si="8"/>
      </c>
      <c r="EK66">
        <f t="shared" si="8"/>
      </c>
      <c r="EL66">
        <f t="shared" si="8"/>
      </c>
      <c r="EM66">
        <f t="shared" si="8"/>
      </c>
      <c r="EN66">
        <f t="shared" si="8"/>
      </c>
      <c r="EO66">
        <f t="shared" si="8"/>
      </c>
      <c r="EP66">
        <f t="shared" si="8"/>
      </c>
      <c r="EQ66">
        <f t="shared" si="8"/>
      </c>
      <c r="ER66">
        <f t="shared" si="8"/>
      </c>
      <c r="ES66">
        <f t="shared" si="8"/>
      </c>
      <c r="ET66">
        <f t="shared" si="8"/>
      </c>
      <c r="EU66">
        <f t="shared" si="8"/>
      </c>
      <c r="EV66">
        <f t="shared" si="8"/>
      </c>
      <c r="EW66">
        <f t="shared" si="8"/>
      </c>
      <c r="EX66">
        <f t="shared" si="8"/>
      </c>
      <c r="EY66">
        <f t="shared" si="8"/>
      </c>
      <c r="EZ66">
        <f t="shared" si="8"/>
      </c>
      <c r="FA66" t="str">
        <f t="shared" si="12"/>
        <v>-</v>
      </c>
      <c r="FB66">
        <f t="shared" si="13"/>
      </c>
      <c r="FC66" cm="1">
        <f t="array" ref="FC66">_xlfn.LET(_xlpm.unit_type,$G66,_xlpm.market_rent_from_rent_roll,$E66,_xlpm.unit_type_list,RentRoll_InputArea_DesignatedUnitType,_xlpm.rent_by_unit_type,RentRoll_InputArea_MarketRent,_xlpm.use_rent_roll_market_rent,LEFT(RR_VacantUnitMktRentSource,9)="Rent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66">
        <f t="shared" si="14"/>
        <v>1231</v>
      </c>
      <c r="FE66">
        <f t="shared" si="15"/>
        <v>1231</v>
      </c>
      <c r="FF66">
        <f t="shared" si="16"/>
        <v>1231</v>
      </c>
      <c r="FH66">
        <f t="shared" si="17"/>
      </c>
      <c r="FI66">
        <f t="shared" si="18"/>
      </c>
      <c r="FK66" cm="1">
        <f t="array" ref="FK66">IF(AND(LEN($D66)&gt;0,ISNA(MATCH(TRUE,EXACT($G66,RentRoll_InputArea_DesignatedUnitType),0))),1,0)</f>
        <v>0</v>
      </c>
      <c r="FL66">
        <f t="shared" si="19"/>
        <v>43</v>
      </c>
      <c r="IO66" cm="1">
        <f t="array" ref="IO66">IF(LEN($G66)=0,"Rent Roll is incomplete",_xlfn.XLOOKUP(TRUE,EXACT(RentRoll_InputArea_DesignatedUnitType,$G66),RentRoll_InputArea_Beds,"Not Found"))</f>
        <v>0</v>
      </c>
      <c r="IQ66" t="str">
        <f t="shared" si="20"/>
        <v>0 Bedroom Unit (Efficiency/Studio)</v>
      </c>
      <c r="IR66">
        <f t="shared" si="21"/>
        <v>1231</v>
      </c>
      <c r="IW66" t="str">
        <f t="shared" si="22"/>
        <v>4-410</v>
      </c>
      <c r="IZ66">
        <f t="shared" si="23"/>
        <v>0</v>
      </c>
      <c r="JA66">
        <f t="shared" si="24"/>
        <v>1231</v>
      </c>
      <c r="JH66">
        <f t="shared" si="25"/>
        <v>1217</v>
      </c>
      <c r="JJ66">
        <f t="shared" si="26"/>
      </c>
      <c r="JQ66" t="str">
        <f t="shared" si="27"/>
        <v>Occupied</v>
      </c>
      <c r="JR66" cm="1">
        <f t="array" ref="JR66">_xlfn.XLOOKUP(TRUE,EXACT(RentRoll_InputArea_DesignatedUnitType,$G66),RentRoll_InputArea_SquareFootage,"Not Found")</f>
        <v>800</v>
      </c>
      <c r="JS66" t="str">
        <f t="shared" si="28"/>
        <v>Apartment</v>
      </c>
      <c r="JT66">
        <f t="shared" si="29"/>
      </c>
      <c r="JY66">
        <f t="shared" si="9"/>
        <v>43575</v>
      </c>
      <c r="JZ66">
        <f t="shared" si="9"/>
        <v>43951</v>
      </c>
    </row>
    <row r="67" ht="15" customHeight="1">
      <c r="A67">
        <f t="shared" si="10"/>
        <v>44</v>
      </c>
      <c r="D67" t="s">
        <v>2830</v>
      </c>
      <c r="E67">
        <v>1159</v>
      </c>
      <c r="F67" t="s">
        <v>2831</v>
      </c>
      <c r="G67" t="s">
        <v>2530</v>
      </c>
      <c r="H67">
        <v>1165</v>
      </c>
      <c r="I67" cm="1">
        <f t="array" ref="I67">_xlfn.LET(_xlpm.has_subsidy,$N67&gt;0,_xlpm.is_chap9_sbl,$FF$20,_xlpm.contract_rent,$H67,_xlpm.unit_type_mkt_rent,_xlfn.XLOOKUP(TRUE,EXACT($G67,RentRoll_InputArea_DesignatedUnitType),RentRoll_InputArea_MarketRent,"Not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7">
        <f t="shared" si="11"/>
        <v>1165</v>
      </c>
      <c r="O67" s="1">
        <v>43470</v>
      </c>
      <c r="P67" s="1">
        <v>43708</v>
      </c>
      <c r="Q67">
        <f t="shared" si="8"/>
      </c>
      <c r="R67">
        <f t="shared" si="8"/>
        <v>1165</v>
      </c>
      <c r="S67">
        <f t="shared" si="8"/>
      </c>
      <c r="T67">
        <f t="shared" si="8"/>
      </c>
      <c r="U67">
        <f t="shared" si="8"/>
      </c>
      <c r="V67">
        <f t="shared" si="8"/>
      </c>
      <c r="W67">
        <f t="shared" si="8"/>
      </c>
      <c r="X67">
        <f t="shared" si="8"/>
      </c>
      <c r="Y67">
        <f t="shared" si="8"/>
      </c>
      <c r="Z67">
        <f t="shared" si="8"/>
      </c>
      <c r="AA67">
        <f t="shared" si="8"/>
      </c>
      <c r="AB67">
        <f t="shared" si="8"/>
      </c>
      <c r="AC67">
        <f t="shared" si="8"/>
      </c>
      <c r="AD67">
        <f t="shared" si="8"/>
      </c>
      <c r="AE67">
        <f t="shared" si="8"/>
      </c>
      <c r="AF67">
        <f t="shared" si="8"/>
      </c>
      <c r="AG67">
        <f t="shared" si="8"/>
      </c>
      <c r="AH67">
        <f t="shared" si="8"/>
      </c>
      <c r="AI67">
        <f t="shared" si="8"/>
      </c>
      <c r="AJ67">
        <f t="shared" si="8"/>
      </c>
      <c r="AK67">
        <f t="shared" si="8"/>
      </c>
      <c r="AL67">
        <f t="shared" si="8"/>
      </c>
      <c r="AM67">
        <f t="shared" si="8"/>
      </c>
      <c r="AN67">
        <f t="shared" si="8"/>
      </c>
      <c r="AO67">
        <f t="shared" si="8"/>
      </c>
      <c r="AP67">
        <f t="shared" si="8"/>
      </c>
      <c r="AQ67">
        <f t="shared" si="8"/>
      </c>
      <c r="AR67">
        <f t="shared" si="8"/>
      </c>
      <c r="AS67">
        <f t="shared" si="8"/>
      </c>
      <c r="AT67">
        <f t="shared" si="8"/>
      </c>
      <c r="AU67">
        <f t="shared" si="8"/>
      </c>
      <c r="AV67">
        <f t="shared" si="8"/>
      </c>
      <c r="AW67">
        <f t="shared" si="8"/>
      </c>
      <c r="AX67">
        <f t="shared" si="8"/>
      </c>
      <c r="AY67">
        <f t="shared" si="8"/>
      </c>
      <c r="AZ67">
        <f t="shared" si="8"/>
      </c>
      <c r="BA67">
        <f t="shared" si="8"/>
      </c>
      <c r="BB67">
        <f t="shared" si="8"/>
      </c>
      <c r="BC67">
        <f t="shared" si="8"/>
      </c>
      <c r="BD67">
        <f t="shared" si="8"/>
      </c>
      <c r="BE67">
        <f t="shared" si="8"/>
      </c>
      <c r="BF67">
        <f t="shared" si="8"/>
      </c>
      <c r="BG67">
        <f t="shared" si="8"/>
      </c>
      <c r="BH67">
        <f t="shared" si="8"/>
      </c>
      <c r="BI67">
        <f t="shared" si="8"/>
      </c>
      <c r="BJ67">
        <f t="shared" si="8"/>
      </c>
      <c r="BK67">
        <f t="shared" si="8"/>
      </c>
      <c r="BL67">
        <f t="shared" si="8"/>
      </c>
      <c r="BM67">
        <f t="shared" si="8"/>
      </c>
      <c r="BN67">
        <f t="shared" si="8"/>
      </c>
      <c r="BO67">
        <f t="shared" si="8"/>
      </c>
      <c r="BP67">
        <f t="shared" si="8"/>
      </c>
      <c r="BQ67">
        <f t="shared" si="8"/>
      </c>
      <c r="BR67">
        <f t="shared" si="8"/>
      </c>
      <c r="BS67">
        <f t="shared" si="8"/>
      </c>
      <c r="BT67">
        <f t="shared" si="8"/>
      </c>
      <c r="BU67">
        <f t="shared" si="8"/>
      </c>
      <c r="BV67">
        <f t="shared" si="8"/>
      </c>
      <c r="BW67">
        <f t="shared" si="8"/>
      </c>
      <c r="BX67">
        <f t="shared" si="8"/>
      </c>
      <c r="BY67">
        <f t="shared" si="8"/>
      </c>
      <c r="BZ67">
        <f t="shared" si="8"/>
      </c>
      <c r="CA67">
        <f t="shared" si="8"/>
      </c>
      <c r="CB67">
        <f t="shared" si="8"/>
      </c>
      <c r="CC67">
        <f t="shared" si="8"/>
      </c>
      <c r="CD67">
        <f t="shared" si="8"/>
      </c>
      <c r="CE67">
        <f t="shared" si="8"/>
      </c>
      <c r="CF67">
        <f t="shared" si="8"/>
      </c>
      <c r="CG67">
        <f t="shared" si="8"/>
      </c>
      <c r="CH67">
        <f t="shared" si="8"/>
      </c>
      <c r="CI67">
        <f t="shared" si="8"/>
      </c>
      <c r="CJ67">
        <f t="shared" si="8"/>
      </c>
      <c r="CK67">
        <f t="shared" si="8"/>
      </c>
      <c r="CL67">
        <f t="shared" si="8"/>
      </c>
      <c r="CM67">
        <f t="shared" si="8"/>
      </c>
      <c r="CN67">
        <f t="shared" si="8"/>
      </c>
      <c r="CO67">
        <f t="shared" si="8"/>
      </c>
      <c r="CP67">
        <f t="shared" si="8"/>
      </c>
      <c r="CQ67">
        <f t="shared" si="8"/>
      </c>
      <c r="CR67">
        <f t="shared" si="8"/>
      </c>
      <c r="CS67">
        <f t="shared" si="8"/>
      </c>
      <c r="CT67">
        <f t="shared" si="8"/>
      </c>
      <c r="CU67">
        <f t="shared" si="8"/>
      </c>
      <c r="CV67">
        <f t="shared" si="8"/>
      </c>
      <c r="CW67">
        <f t="shared" si="8"/>
      </c>
      <c r="CX67">
        <f t="shared" si="8"/>
      </c>
      <c r="CY67">
        <f t="shared" si="8"/>
      </c>
      <c r="CZ67">
        <f t="shared" si="8"/>
      </c>
      <c r="DA67">
        <f t="shared" si="8"/>
      </c>
      <c r="DB67">
        <f t="shared" si="8"/>
      </c>
      <c r="DC67">
        <f t="shared" si="8"/>
      </c>
      <c r="DD67">
        <f t="shared" si="8"/>
      </c>
      <c r="DE67">
        <f t="shared" si="8"/>
      </c>
      <c r="DF67">
        <f t="shared" si="8"/>
      </c>
      <c r="DG67">
        <f t="shared" si="8"/>
      </c>
      <c r="DH67">
        <f t="shared" si="8"/>
      </c>
      <c r="DI67">
        <f t="shared" si="8"/>
      </c>
      <c r="DJ67">
        <f t="shared" si="8"/>
      </c>
      <c r="DK67">
        <f t="shared" si="8"/>
      </c>
      <c r="DL67">
        <f t="shared" si="8"/>
      </c>
      <c r="DM67">
        <f t="shared" si="8"/>
      </c>
      <c r="DN67">
        <f t="shared" si="8"/>
      </c>
      <c r="DO67">
        <f t="shared" si="8"/>
      </c>
      <c r="DP67">
        <f t="shared" si="8"/>
      </c>
      <c r="DQ67">
        <f t="shared" si="8"/>
      </c>
      <c r="DR67">
        <f t="shared" si="8"/>
      </c>
      <c r="DS67">
        <f t="shared" si="8"/>
      </c>
      <c r="DT67">
        <f t="shared" si="8"/>
      </c>
      <c r="DU67">
        <f t="shared" si="8"/>
      </c>
      <c r="DV67">
        <f t="shared" si="8"/>
      </c>
      <c r="DW67">
        <f t="shared" si="8"/>
      </c>
      <c r="DX67">
        <f t="shared" si="8"/>
      </c>
      <c r="DY67">
        <f t="shared" si="8"/>
      </c>
      <c r="DZ67">
        <f t="shared" si="8"/>
      </c>
      <c r="EA67">
        <f t="shared" si="8"/>
      </c>
      <c r="EB67">
        <f t="shared" si="8"/>
      </c>
      <c r="EC67">
        <f t="shared" si="8"/>
      </c>
      <c r="ED67">
        <f t="shared" si="8"/>
      </c>
      <c r="EE67">
        <f t="shared" si="8"/>
      </c>
      <c r="EF67">
        <f t="shared" si="8"/>
      </c>
      <c r="EG67">
        <f t="shared" si="8"/>
      </c>
      <c r="EH67">
        <f t="shared" si="8"/>
      </c>
      <c r="EI67">
        <f t="shared" si="8"/>
      </c>
      <c r="EJ67">
        <f t="shared" si="8"/>
      </c>
      <c r="EK67">
        <f t="shared" si="8"/>
      </c>
      <c r="EL67">
        <f t="shared" si="8"/>
      </c>
      <c r="EM67">
        <f t="shared" si="8"/>
      </c>
      <c r="EN67">
        <f t="shared" si="8"/>
      </c>
      <c r="EO67">
        <f t="shared" si="8"/>
      </c>
      <c r="EP67">
        <f t="shared" si="8"/>
      </c>
      <c r="EQ67">
        <f t="shared" si="8"/>
      </c>
      <c r="ER67">
        <f t="shared" si="8"/>
      </c>
      <c r="ES67">
        <f t="shared" si="8"/>
      </c>
      <c r="ET67">
        <f t="shared" si="8"/>
      </c>
      <c r="EU67">
        <f t="shared" si="8"/>
      </c>
      <c r="EV67">
        <f t="shared" si="8"/>
      </c>
      <c r="EW67">
        <f t="shared" si="8"/>
      </c>
      <c r="EX67">
        <f t="shared" si="8"/>
      </c>
      <c r="EY67">
        <f t="shared" si="8"/>
      </c>
      <c r="EZ67">
        <f t="shared" si="8"/>
      </c>
      <c r="FA67" t="str">
        <f t="shared" si="12"/>
        <v>-</v>
      </c>
      <c r="FB67">
        <f t="shared" si="13"/>
      </c>
      <c r="FC67" cm="1">
        <f t="array" ref="FC67">_xlfn.LET(_xlpm.unit_type,$G67,_xlpm.market_rent_from_rent_roll,$E67,_xlpm.unit_type_list,RentRoll_InputArea_DesignatedUnitType,_xlpm.rent_by_unit_type,RentRoll_InputArea_MarketRent,_xlpm.use_rent_roll_market_rent,LEFT(RR_VacantUnitMktRentSource,9)="Rent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67">
        <f t="shared" si="14"/>
        <v>1165</v>
      </c>
      <c r="FE67">
        <f t="shared" si="15"/>
        <v>1165</v>
      </c>
      <c r="FF67">
        <f t="shared" si="16"/>
        <v>1165</v>
      </c>
      <c r="FH67">
        <f t="shared" si="17"/>
      </c>
      <c r="FI67">
        <f t="shared" si="18"/>
      </c>
      <c r="FK67" cm="1">
        <f t="array" ref="FK67">IF(AND(LEN($D67)&gt;0,ISNA(MATCH(TRUE,EXACT($G67,RentRoll_InputArea_DesignatedUnitType),0))),1,0)</f>
        <v>0</v>
      </c>
      <c r="FL67">
        <f t="shared" si="19"/>
        <v>44</v>
      </c>
      <c r="IO67" cm="1">
        <f t="array" ref="IO67">IF(LEN($G67)=0,"Rent Roll is incomplete",_xlfn.XLOOKUP(TRUE,EXACT(RentRoll_InputArea_DesignatedUnitType,$G67),RentRoll_InputArea_Beds,"Not Found"))</f>
        <v>0</v>
      </c>
      <c r="IQ67" t="str">
        <f t="shared" si="20"/>
        <v>0 Bedroom Unit (Efficiency/Studio)</v>
      </c>
      <c r="IR67">
        <f t="shared" si="21"/>
        <v>1165</v>
      </c>
      <c r="IW67" t="str">
        <f t="shared" si="22"/>
        <v>4-411</v>
      </c>
      <c r="IZ67">
        <f t="shared" si="23"/>
        <v>0</v>
      </c>
      <c r="JA67">
        <f t="shared" si="24"/>
        <v>1165</v>
      </c>
      <c r="JH67">
        <f t="shared" si="25"/>
        <v>1217</v>
      </c>
      <c r="JJ67">
        <f t="shared" si="26"/>
      </c>
      <c r="JQ67" t="str">
        <f t="shared" si="27"/>
        <v>Occupied</v>
      </c>
      <c r="JR67" cm="1">
        <f t="array" ref="JR67">_xlfn.XLOOKUP(TRUE,EXACT(RentRoll_InputArea_DesignatedUnitType,$G67),RentRoll_InputArea_SquareFootage,"Not Found")</f>
        <v>800</v>
      </c>
      <c r="JS67" t="str">
        <f t="shared" si="28"/>
        <v>Apartment</v>
      </c>
      <c r="JT67">
        <f t="shared" si="29"/>
      </c>
      <c r="JY67">
        <f t="shared" si="9"/>
        <v>43470</v>
      </c>
      <c r="JZ67">
        <f t="shared" si="9"/>
        <v>43708</v>
      </c>
    </row>
    <row r="68" ht="15" customHeight="1">
      <c r="A68">
        <f t="shared" si="10"/>
        <v>45</v>
      </c>
      <c r="D68" t="s">
        <v>2832</v>
      </c>
      <c r="E68">
        <v>1196</v>
      </c>
      <c r="F68" t="s">
        <v>2833</v>
      </c>
      <c r="G68" t="s">
        <v>2530</v>
      </c>
      <c r="H68">
        <v>1113</v>
      </c>
      <c r="I68" cm="1">
        <f t="array" ref="I68">_xlfn.LET(_xlpm.has_subsidy,$N68&gt;0,_xlpm.is_chap9_sbl,$FF$20,_xlpm.contract_rent,$H68,_xlpm.unit_type_mkt_rent,_xlfn.XLOOKUP(TRUE,EXACT($G68,RentRoll_InputArea_DesignatedUnitType),RentRoll_InputArea_MarketRent,"Not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8">
        <f t="shared" si="11"/>
        <v>1113</v>
      </c>
      <c r="O68" s="1">
        <v>43497</v>
      </c>
      <c r="P68" s="1">
        <v>43708</v>
      </c>
      <c r="Q68">
        <f t="shared" si="8"/>
      </c>
      <c r="R68">
        <f t="shared" si="8"/>
        <v>1113</v>
      </c>
      <c r="S68">
        <f t="shared" si="8"/>
      </c>
      <c r="T68">
        <f t="shared" si="8"/>
      </c>
      <c r="U68">
        <f t="shared" si="8"/>
      </c>
      <c r="V68">
        <f t="shared" si="8"/>
      </c>
      <c r="W68">
        <f t="shared" si="8"/>
      </c>
      <c r="X68">
        <f t="shared" si="8"/>
      </c>
      <c r="Y68">
        <f t="shared" si="8"/>
      </c>
      <c r="Z68">
        <f t="shared" si="8"/>
      </c>
      <c r="AA68">
        <f t="shared" si="8"/>
      </c>
      <c r="AB68">
        <f t="shared" si="8"/>
      </c>
      <c r="AC68">
        <f t="shared" si="8"/>
      </c>
      <c r="AD68">
        <f t="shared" si="8"/>
      </c>
      <c r="AE68">
        <f t="shared" si="8"/>
      </c>
      <c r="AF68">
        <f t="shared" si="8"/>
      </c>
      <c r="AG68">
        <f t="shared" si="8"/>
      </c>
      <c r="AH68">
        <f t="shared" si="8"/>
      </c>
      <c r="AI68">
        <f t="shared" si="8"/>
      </c>
      <c r="AJ68">
        <f t="shared" si="8"/>
      </c>
      <c r="AK68">
        <f t="shared" si="8"/>
      </c>
      <c r="AL68">
        <f t="shared" si="8"/>
      </c>
      <c r="AM68">
        <f t="shared" si="8"/>
      </c>
      <c r="AN68">
        <f t="shared" si="8"/>
      </c>
      <c r="AO68">
        <f t="shared" si="8"/>
      </c>
      <c r="AP68">
        <f t="shared" si="8"/>
      </c>
      <c r="AQ68">
        <f t="shared" si="8"/>
      </c>
      <c r="AR68">
        <f t="shared" si="8"/>
      </c>
      <c r="AS68">
        <f t="shared" si="8"/>
      </c>
      <c r="AT68">
        <f t="shared" si="8"/>
      </c>
      <c r="AU68">
        <f t="shared" si="8"/>
      </c>
      <c r="AV68">
        <f t="shared" si="8"/>
      </c>
      <c r="AW68">
        <f t="shared" si="8"/>
      </c>
      <c r="AX68">
        <f t="shared" si="8"/>
      </c>
      <c r="AY68">
        <f t="shared" si="8"/>
      </c>
      <c r="AZ68">
        <f t="shared" si="8"/>
      </c>
      <c r="BA68">
        <f t="shared" si="8"/>
      </c>
      <c r="BB68">
        <f t="shared" si="8"/>
      </c>
      <c r="BC68">
        <f t="shared" si="8"/>
      </c>
      <c r="BD68">
        <f t="shared" si="8"/>
      </c>
      <c r="BE68">
        <f t="shared" si="8"/>
      </c>
      <c r="BF68">
        <f t="shared" si="8"/>
      </c>
      <c r="BG68">
        <f t="shared" si="8"/>
      </c>
      <c r="BH68">
        <f t="shared" si="8"/>
      </c>
      <c r="BI68">
        <f t="shared" si="8"/>
      </c>
      <c r="BJ68">
        <f t="shared" si="8"/>
      </c>
      <c r="BK68">
        <f t="shared" si="8"/>
      </c>
      <c r="BL68">
        <f t="shared" si="8"/>
      </c>
      <c r="BM68">
        <f t="shared" si="8"/>
      </c>
      <c r="BN68">
        <f t="shared" si="8"/>
      </c>
      <c r="BO68">
        <f t="shared" si="8"/>
      </c>
      <c r="BP68">
        <f t="shared" si="8"/>
      </c>
      <c r="BQ68">
        <f t="shared" si="8"/>
      </c>
      <c r="BR68">
        <f t="shared" si="8"/>
      </c>
      <c r="BS68">
        <f t="shared" si="8"/>
      </c>
      <c r="BT68">
        <f t="shared" si="8"/>
      </c>
      <c r="BU68">
        <f t="shared" si="8"/>
      </c>
      <c r="BV68">
        <f t="shared" si="8"/>
      </c>
      <c r="BW68">
        <f t="shared" si="8"/>
      </c>
      <c r="BX68">
        <f t="shared" si="8"/>
      </c>
      <c r="BY68">
        <f t="shared" si="8"/>
      </c>
      <c r="BZ68">
        <f t="shared" si="8"/>
      </c>
      <c r="CA68">
        <f t="shared" si="8"/>
      </c>
      <c r="CB68">
        <f t="shared" si="8"/>
      </c>
      <c r="CC68">
        <f t="shared" si="8"/>
      </c>
      <c r="CD68">
        <f t="shared" si="8"/>
      </c>
      <c r="CE68">
        <f t="shared" si="8"/>
      </c>
      <c r="CF68">
        <f t="shared" si="8"/>
      </c>
      <c r="CG68">
        <f t="shared" si="8"/>
      </c>
      <c r="CH68">
        <f t="shared" si="8"/>
      </c>
      <c r="CI68">
        <f t="shared" si="8"/>
      </c>
      <c r="CJ68">
        <f t="shared" si="8"/>
      </c>
      <c r="CK68">
        <f t="shared" si="8"/>
      </c>
      <c r="CL68">
        <f t="shared" si="8"/>
      </c>
      <c r="CM68">
        <f t="shared" si="8"/>
      </c>
      <c r="CN68">
        <f t="shared" si="8"/>
      </c>
      <c r="CO68">
        <f t="shared" si="8"/>
      </c>
      <c r="CP68">
        <f t="shared" si="8"/>
      </c>
      <c r="CQ68">
        <f t="shared" si="8"/>
      </c>
      <c r="CR68">
        <f t="shared" si="8"/>
      </c>
      <c r="CS68">
        <f t="shared" si="8"/>
      </c>
      <c r="CT68">
        <f t="shared" si="8"/>
      </c>
      <c r="CU68">
        <f t="shared" si="8"/>
      </c>
      <c r="CV68">
        <f t="shared" si="8"/>
      </c>
      <c r="CW68">
        <f t="shared" si="8"/>
      </c>
      <c r="CX68">
        <f t="shared" si="8"/>
      </c>
      <c r="CY68">
        <f t="shared" si="8"/>
      </c>
      <c r="CZ68">
        <f t="shared" si="8"/>
      </c>
      <c r="DA68">
        <f t="shared" si="8"/>
      </c>
      <c r="DB68">
        <f t="shared" si="8"/>
      </c>
      <c r="DC68">
        <f t="shared" si="8"/>
      </c>
      <c r="DD68">
        <f t="shared" si="8"/>
      </c>
      <c r="DE68">
        <f t="shared" si="8"/>
      </c>
      <c r="DF68">
        <f t="shared" si="8"/>
      </c>
      <c r="DG68">
        <f t="shared" si="8"/>
      </c>
      <c r="DH68">
        <f t="shared" si="8"/>
      </c>
      <c r="DI68">
        <f t="shared" si="8"/>
      </c>
      <c r="DJ68">
        <f t="shared" si="8"/>
      </c>
      <c r="DK68">
        <f t="shared" si="8"/>
      </c>
      <c r="DL68">
        <f t="shared" si="8"/>
      </c>
      <c r="DM68">
        <f t="shared" si="8"/>
      </c>
      <c r="DN68">
        <f t="shared" si="8"/>
      </c>
      <c r="DO68">
        <f t="shared" si="8"/>
      </c>
      <c r="DP68">
        <f t="shared" si="8"/>
      </c>
      <c r="DQ68">
        <f t="shared" si="8"/>
      </c>
      <c r="DR68">
        <f t="shared" si="8"/>
      </c>
      <c r="DS68">
        <f t="shared" si="8"/>
      </c>
      <c r="DT68">
        <f t="shared" si="8"/>
      </c>
      <c r="DU68">
        <f t="shared" si="8"/>
      </c>
      <c r="DV68">
        <f t="shared" si="8"/>
      </c>
      <c r="DW68">
        <f t="shared" si="8"/>
      </c>
      <c r="DX68">
        <f t="shared" si="8"/>
      </c>
      <c r="DY68">
        <f t="shared" si="8"/>
      </c>
      <c r="DZ68">
        <f t="shared" si="8"/>
      </c>
      <c r="EA68">
        <f t="shared" si="8"/>
      </c>
      <c r="EB68">
        <f t="shared" si="8"/>
      </c>
      <c r="EC68">
        <f t="shared" si="8"/>
      </c>
      <c r="ED68">
        <f t="shared" si="8"/>
      </c>
      <c r="EE68">
        <f t="shared" si="8"/>
      </c>
      <c r="EF68">
        <f t="shared" si="8"/>
      </c>
      <c r="EG68">
        <f t="shared" si="8"/>
      </c>
      <c r="EH68">
        <f t="shared" si="8"/>
      </c>
      <c r="EI68">
        <f t="shared" si="8"/>
      </c>
      <c r="EJ68">
        <f t="shared" si="8"/>
      </c>
      <c r="EK68">
        <f t="shared" si="8"/>
      </c>
      <c r="EL68">
        <f t="shared" si="8"/>
      </c>
      <c r="EM68">
        <f t="shared" si="8"/>
      </c>
      <c r="EN68">
        <f t="shared" si="8"/>
      </c>
      <c r="EO68">
        <f t="shared" si="8"/>
      </c>
      <c r="EP68">
        <f t="shared" si="8"/>
      </c>
      <c r="EQ68">
        <f t="shared" si="8"/>
      </c>
      <c r="ER68">
        <f t="shared" si="8"/>
      </c>
      <c r="ES68">
        <f t="shared" si="8"/>
      </c>
      <c r="ET68">
        <f t="shared" si="8"/>
      </c>
      <c r="EU68">
        <f t="shared" si="8"/>
      </c>
      <c r="EV68">
        <f t="shared" si="8"/>
      </c>
      <c r="EW68">
        <f t="shared" si="8"/>
      </c>
      <c r="EX68">
        <f t="shared" si="8"/>
      </c>
      <c r="EY68">
        <f t="shared" si="8"/>
      </c>
      <c r="EZ68">
        <f t="shared" si="8"/>
      </c>
      <c r="FA68" t="str">
        <f t="shared" si="12"/>
        <v>-</v>
      </c>
      <c r="FB68">
        <f t="shared" si="13"/>
      </c>
      <c r="FC68" cm="1">
        <f t="array" ref="FC68">_xlfn.LET(_xlpm.unit_type,$G68,_xlpm.market_rent_from_rent_roll,$E68,_xlpm.unit_type_list,RentRoll_InputArea_DesignatedUnitType,_xlpm.rent_by_unit_type,RentRoll_InputArea_MarketRent,_xlpm.use_rent_roll_market_rent,LEFT(RR_VacantUnitMktRentSource,9)="Rent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68">
        <f t="shared" si="14"/>
        <v>1113</v>
      </c>
      <c r="FE68">
        <f t="shared" si="15"/>
        <v>1113</v>
      </c>
      <c r="FF68">
        <f t="shared" si="16"/>
        <v>1113</v>
      </c>
      <c r="FH68">
        <f t="shared" si="17"/>
      </c>
      <c r="FI68">
        <f t="shared" si="18"/>
      </c>
      <c r="FK68" cm="1">
        <f t="array" ref="FK68">IF(AND(LEN($D68)&gt;0,ISNA(MATCH(TRUE,EXACT($G68,RentRoll_InputArea_DesignatedUnitType),0))),1,0)</f>
        <v>0</v>
      </c>
      <c r="FL68">
        <f t="shared" si="19"/>
        <v>45</v>
      </c>
      <c r="IO68" cm="1">
        <f t="array" ref="IO68">IF(LEN($G68)=0,"Rent Roll is incomplete",_xlfn.XLOOKUP(TRUE,EXACT(RentRoll_InputArea_DesignatedUnitType,$G68),RentRoll_InputArea_Beds,"Not Found"))</f>
        <v>0</v>
      </c>
      <c r="IQ68" t="str">
        <f t="shared" si="20"/>
        <v>0 Bedroom Unit (Efficiency/Studio)</v>
      </c>
      <c r="IR68">
        <f t="shared" si="21"/>
        <v>1113</v>
      </c>
      <c r="IW68" t="str">
        <f t="shared" si="22"/>
        <v>5-500</v>
      </c>
      <c r="IZ68">
        <f t="shared" si="23"/>
        <v>0</v>
      </c>
      <c r="JA68">
        <f t="shared" si="24"/>
        <v>1113</v>
      </c>
      <c r="JH68">
        <f t="shared" si="25"/>
        <v>1217</v>
      </c>
      <c r="JJ68">
        <f t="shared" si="26"/>
      </c>
      <c r="JQ68" t="str">
        <f t="shared" si="27"/>
        <v>Occupied</v>
      </c>
      <c r="JR68" cm="1">
        <f t="array" ref="JR68">_xlfn.XLOOKUP(TRUE,EXACT(RentRoll_InputArea_DesignatedUnitType,$G68),RentRoll_InputArea_SquareFootage,"Not Found")</f>
        <v>800</v>
      </c>
      <c r="JS68" t="str">
        <f t="shared" si="28"/>
        <v>Apartment</v>
      </c>
      <c r="JT68">
        <f t="shared" si="29"/>
      </c>
      <c r="JY68">
        <f t="shared" si="9"/>
        <v>43497</v>
      </c>
      <c r="JZ68">
        <f t="shared" si="9"/>
        <v>43708</v>
      </c>
    </row>
    <row r="69" ht="15" customHeight="1">
      <c r="A69">
        <f t="shared" si="10"/>
        <v>46</v>
      </c>
      <c r="D69" t="s">
        <v>2834</v>
      </c>
      <c r="E69">
        <v>1245</v>
      </c>
      <c r="F69" t="s">
        <v>2835</v>
      </c>
      <c r="G69" t="s">
        <v>2530</v>
      </c>
      <c r="H69">
        <v>1237</v>
      </c>
      <c r="I69" cm="1">
        <f t="array" ref="I69">_xlfn.LET(_xlpm.has_subsidy,$N69&gt;0,_xlpm.is_chap9_sbl,$FF$20,_xlpm.contract_rent,$H69,_xlpm.unit_type_mkt_rent,_xlfn.XLOOKUP(TRUE,EXACT($G69,RentRoll_InputArea_DesignatedUnitType),RentRoll_InputArea_MarketRent,"Not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69">
        <f t="shared" si="11"/>
        <v>1237</v>
      </c>
      <c r="O69" s="1">
        <v>43497</v>
      </c>
      <c r="P69" s="1">
        <v>43769</v>
      </c>
      <c r="Q69">
        <f t="shared" si="8"/>
      </c>
      <c r="R69">
        <f t="shared" si="8"/>
        <v>1237</v>
      </c>
      <c r="S69">
        <f t="shared" si="8"/>
      </c>
      <c r="T69">
        <f t="shared" si="8"/>
      </c>
      <c r="U69">
        <f t="shared" si="8"/>
      </c>
      <c r="V69">
        <f t="shared" si="8"/>
      </c>
      <c r="W69">
        <f t="shared" si="8"/>
      </c>
      <c r="X69">
        <f t="shared" si="8"/>
      </c>
      <c r="Y69">
        <f t="shared" si="8"/>
      </c>
      <c r="Z69">
        <f t="shared" si="8"/>
      </c>
      <c r="AA69">
        <f t="shared" si="8"/>
      </c>
      <c r="AB69">
        <f t="shared" si="8"/>
      </c>
      <c r="AC69">
        <f t="shared" si="8"/>
      </c>
      <c r="AD69">
        <f t="shared" si="8"/>
      </c>
      <c r="AE69">
        <f t="shared" si="8"/>
      </c>
      <c r="AF69">
        <f t="shared" si="8"/>
      </c>
      <c r="AG69">
        <f t="shared" si="8"/>
      </c>
      <c r="AH69">
        <f t="shared" si="8"/>
      </c>
      <c r="AI69">
        <f t="shared" si="8"/>
      </c>
      <c r="AJ69">
        <f t="shared" si="8"/>
      </c>
      <c r="AK69">
        <f t="shared" si="8"/>
      </c>
      <c r="AL69">
        <f t="shared" si="8"/>
      </c>
      <c r="AM69">
        <f t="shared" si="8"/>
      </c>
      <c r="AN69">
        <f t="shared" si="8"/>
      </c>
      <c r="AO69">
        <f t="shared" si="8"/>
      </c>
      <c r="AP69">
        <f t="shared" si="8"/>
      </c>
      <c r="AQ69">
        <f t="shared" si="8"/>
      </c>
      <c r="AR69">
        <f t="shared" si="8"/>
      </c>
      <c r="AS69">
        <f t="shared" si="8"/>
      </c>
      <c r="AT69">
        <f t="shared" si="8"/>
      </c>
      <c r="AU69">
        <f t="shared" si="8"/>
      </c>
      <c r="AV69">
        <f t="shared" si="8"/>
      </c>
      <c r="AW69">
        <f t="shared" si="8"/>
      </c>
      <c r="AX69">
        <f t="shared" si="8"/>
      </c>
      <c r="AY69">
        <f t="shared" si="8"/>
      </c>
      <c r="AZ69">
        <f t="shared" si="8"/>
      </c>
      <c r="BA69">
        <f t="shared" si="8"/>
      </c>
      <c r="BB69">
        <f t="shared" si="8"/>
      </c>
      <c r="BC69">
        <f t="shared" si="8"/>
      </c>
      <c r="BD69">
        <f t="shared" si="8"/>
      </c>
      <c r="BE69">
        <f t="shared" si="8"/>
      </c>
      <c r="BF69">
        <f t="shared" si="8"/>
      </c>
      <c r="BG69">
        <f t="shared" si="8"/>
      </c>
      <c r="BH69">
        <f t="shared" si="8"/>
      </c>
      <c r="BI69">
        <f t="shared" si="8"/>
      </c>
      <c r="BJ69">
        <f t="shared" si="8"/>
      </c>
      <c r="BK69">
        <f t="shared" si="8"/>
      </c>
      <c r="BL69">
        <f t="shared" si="8"/>
      </c>
      <c r="BM69">
        <f t="shared" si="8"/>
      </c>
      <c r="BN69">
        <f t="shared" si="8"/>
      </c>
      <c r="BO69">
        <f t="shared" si="8"/>
      </c>
      <c r="BP69">
        <f t="shared" si="8"/>
      </c>
      <c r="BQ69">
        <f t="shared" si="8"/>
      </c>
      <c r="BR69">
        <f t="shared" si="8"/>
      </c>
      <c r="BS69">
        <f t="shared" si="8"/>
      </c>
      <c r="BT69">
        <f t="shared" si="8"/>
      </c>
      <c r="BU69">
        <f t="shared" si="8"/>
      </c>
      <c r="BV69">
        <f t="shared" si="8"/>
      </c>
      <c r="BW69">
        <f t="shared" si="8"/>
      </c>
      <c r="BX69">
        <f t="shared" si="8"/>
      </c>
      <c r="BY69">
        <f t="shared" si="8"/>
      </c>
      <c r="BZ69">
        <f t="shared" si="8"/>
      </c>
      <c r="CA69">
        <f t="shared" si="8"/>
      </c>
      <c r="CB69">
        <f t="shared" si="8"/>
      </c>
      <c r="CC69">
        <f t="shared" si="8"/>
      </c>
      <c r="CD69">
        <f t="shared" si="8"/>
      </c>
      <c r="CE69">
        <f t="shared" si="8"/>
      </c>
      <c r="CF69">
        <f t="shared" si="8"/>
      </c>
      <c r="CG69">
        <f t="shared" si="8"/>
      </c>
      <c r="CH69">
        <f t="shared" si="8"/>
      </c>
      <c r="CI69">
        <f t="shared" si="8"/>
      </c>
      <c r="CJ69">
        <f t="shared" si="8"/>
      </c>
      <c r="CK69">
        <f t="shared" si="8"/>
      </c>
      <c r="CL69">
        <f t="shared" si="8"/>
      </c>
      <c r="CM69">
        <f t="shared" si="8"/>
      </c>
      <c r="CN69">
        <f t="shared" si="8"/>
      </c>
      <c r="CO69">
        <f t="shared" si="8"/>
      </c>
      <c r="CP69">
        <f t="shared" si="8"/>
      </c>
      <c r="CQ69">
        <f t="shared" si="8"/>
      </c>
      <c r="CR69">
        <f t="shared" si="8"/>
      </c>
      <c r="CS69">
        <f t="shared" si="8"/>
      </c>
      <c r="CT69">
        <f t="shared" si="8"/>
      </c>
      <c r="CU69">
        <f t="shared" si="8"/>
      </c>
      <c r="CV69">
        <f t="shared" si="8"/>
      </c>
      <c r="CW69">
        <f t="shared" si="8"/>
      </c>
      <c r="CX69">
        <f t="shared" si="8"/>
      </c>
      <c r="CY69">
        <f t="shared" si="8"/>
      </c>
      <c r="CZ69">
        <f t="shared" si="8"/>
      </c>
      <c r="DA69">
        <f t="shared" si="8"/>
      </c>
      <c r="DB69">
        <f t="shared" si="8"/>
      </c>
      <c r="DC69">
        <f t="shared" si="8"/>
      </c>
      <c r="DD69">
        <f t="shared" si="8"/>
      </c>
      <c r="DE69">
        <f t="shared" si="8"/>
      </c>
      <c r="DF69">
        <f t="shared" si="8"/>
      </c>
      <c r="DG69">
        <f t="shared" si="8"/>
      </c>
      <c r="DH69">
        <f t="shared" si="8"/>
      </c>
      <c r="DI69">
        <f t="shared" si="8"/>
      </c>
      <c r="DJ69">
        <f t="shared" si="8"/>
      </c>
      <c r="DK69">
        <f t="shared" si="8"/>
      </c>
      <c r="DL69">
        <f t="shared" si="8"/>
      </c>
      <c r="DM69">
        <f t="shared" si="8"/>
      </c>
      <c r="DN69">
        <f t="shared" si="8"/>
      </c>
      <c r="DO69">
        <f t="shared" si="8"/>
      </c>
      <c r="DP69">
        <f t="shared" si="8"/>
      </c>
      <c r="DQ69">
        <f t="shared" si="8"/>
      </c>
      <c r="DR69">
        <f t="shared" si="8"/>
      </c>
      <c r="DS69">
        <f t="shared" si="8"/>
      </c>
      <c r="DT69">
        <f t="shared" si="8"/>
      </c>
      <c r="DU69">
        <f t="shared" si="8"/>
      </c>
      <c r="DV69">
        <f t="shared" si="8"/>
      </c>
      <c r="DW69">
        <f t="shared" si="8"/>
      </c>
      <c r="DX69">
        <f t="shared" si="8"/>
      </c>
      <c r="DY69">
        <f t="shared" si="8"/>
      </c>
      <c r="DZ69">
        <f t="shared" si="8"/>
      </c>
      <c r="EA69">
        <f t="shared" si="8"/>
      </c>
      <c r="EB69">
        <f t="shared" si="8"/>
      </c>
      <c r="EC69">
        <f t="shared" si="8"/>
      </c>
      <c r="ED69">
        <f t="shared" si="8"/>
      </c>
      <c r="EE69">
        <f t="shared" si="8"/>
      </c>
      <c r="EF69">
        <f t="shared" si="8"/>
      </c>
      <c r="EG69">
        <f t="shared" si="8"/>
      </c>
      <c r="EH69">
        <f t="shared" si="8"/>
      </c>
      <c r="EI69">
        <f t="shared" si="8"/>
      </c>
      <c r="EJ69">
        <f t="shared" si="8"/>
      </c>
      <c r="EK69">
        <f t="shared" si="8"/>
      </c>
      <c r="EL69">
        <f t="shared" si="8"/>
      </c>
      <c r="EM69">
        <f t="shared" si="8"/>
      </c>
      <c r="EN69">
        <f t="shared" si="8"/>
      </c>
      <c r="EO69">
        <f t="shared" si="8"/>
      </c>
      <c r="EP69">
        <f t="shared" si="8"/>
      </c>
      <c r="EQ69">
        <f t="shared" si="8"/>
      </c>
      <c r="ER69">
        <f t="shared" si="8"/>
      </c>
      <c r="ES69">
        <f t="shared" si="8"/>
      </c>
      <c r="ET69">
        <f t="shared" si="8"/>
      </c>
      <c r="EU69">
        <f t="shared" si="8"/>
      </c>
      <c r="EV69">
        <f t="shared" si="8"/>
      </c>
      <c r="EW69">
        <f t="shared" si="8"/>
      </c>
      <c r="EX69">
        <f t="shared" si="8"/>
      </c>
      <c r="EY69">
        <f t="shared" si="8"/>
      </c>
      <c r="EZ69">
        <f t="shared" si="8"/>
      </c>
      <c r="FA69" t="str">
        <f t="shared" si="12"/>
        <v>-</v>
      </c>
      <c r="FB69">
        <f t="shared" si="13"/>
      </c>
      <c r="FC69" cm="1">
        <f t="array" ref="FC69">_xlfn.LET(_xlpm.unit_type,$G69,_xlpm.market_rent_from_rent_roll,$E69,_xlpm.unit_type_list,RentRoll_InputArea_DesignatedUnitType,_xlpm.rent_by_unit_type,RentRoll_InputArea_MarketRent,_xlpm.use_rent_roll_market_rent,LEFT(RR_VacantUnitMktRentSource,9)="Rent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69">
        <f t="shared" si="14"/>
        <v>1237</v>
      </c>
      <c r="FE69">
        <f t="shared" si="15"/>
        <v>1237</v>
      </c>
      <c r="FF69">
        <f t="shared" si="16"/>
        <v>1237</v>
      </c>
      <c r="FH69">
        <f t="shared" si="17"/>
      </c>
      <c r="FI69">
        <f t="shared" si="18"/>
      </c>
      <c r="FK69" cm="1">
        <f t="array" ref="FK69">IF(AND(LEN($D69)&gt;0,ISNA(MATCH(TRUE,EXACT($G69,RentRoll_InputArea_DesignatedUnitType),0))),1,0)</f>
        <v>0</v>
      </c>
      <c r="FL69">
        <f t="shared" si="19"/>
        <v>46</v>
      </c>
      <c r="IO69" cm="1">
        <f t="array" ref="IO69">IF(LEN($G69)=0,"Rent Roll is incomplete",_xlfn.XLOOKUP(TRUE,EXACT(RentRoll_InputArea_DesignatedUnitType,$G69),RentRoll_InputArea_Beds,"Not Found"))</f>
        <v>0</v>
      </c>
      <c r="IQ69" t="str">
        <f t="shared" si="20"/>
        <v>0 Bedroom Unit (Efficiency/Studio)</v>
      </c>
      <c r="IR69">
        <f t="shared" si="21"/>
        <v>1237</v>
      </c>
      <c r="IW69" t="str">
        <f t="shared" si="22"/>
        <v>5-501</v>
      </c>
      <c r="IZ69">
        <f t="shared" si="23"/>
        <v>0</v>
      </c>
      <c r="JA69">
        <f t="shared" si="24"/>
        <v>1237</v>
      </c>
      <c r="JH69">
        <f t="shared" si="25"/>
        <v>1217</v>
      </c>
      <c r="JJ69">
        <f t="shared" si="26"/>
      </c>
      <c r="JQ69" t="str">
        <f t="shared" si="27"/>
        <v>Occupied</v>
      </c>
      <c r="JR69" cm="1">
        <f t="array" ref="JR69">_xlfn.XLOOKUP(TRUE,EXACT(RentRoll_InputArea_DesignatedUnitType,$G69),RentRoll_InputArea_SquareFootage,"Not Found")</f>
        <v>800</v>
      </c>
      <c r="JS69" t="str">
        <f t="shared" si="28"/>
        <v>Apartment</v>
      </c>
      <c r="JT69">
        <f t="shared" si="29"/>
      </c>
      <c r="JY69">
        <f t="shared" si="9"/>
        <v>43497</v>
      </c>
      <c r="JZ69">
        <f t="shared" si="9"/>
        <v>43769</v>
      </c>
    </row>
    <row r="70" ht="15" customHeight="1">
      <c r="A70">
        <f t="shared" si="10"/>
        <v>47</v>
      </c>
      <c r="D70" t="s">
        <v>2836</v>
      </c>
      <c r="E70">
        <v>1159</v>
      </c>
      <c r="F70" t="s">
        <v>2837</v>
      </c>
      <c r="G70" t="s">
        <v>2530</v>
      </c>
      <c r="H70">
        <v>1268</v>
      </c>
      <c r="I70" cm="1">
        <f t="array" ref="I70">_xlfn.LET(_xlpm.has_subsidy,$N70&gt;0,_xlpm.is_chap9_sbl,$FF$20,_xlpm.contract_rent,$H70,_xlpm.unit_type_mkt_rent,_xlfn.XLOOKUP(TRUE,EXACT($G70,RentRoll_InputArea_DesignatedUnitType),RentRoll_InputArea_MarketRent,"Not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0">
        <f t="shared" si="11"/>
        <v>1268</v>
      </c>
      <c r="O70" s="1">
        <v>43556</v>
      </c>
      <c r="P70" s="1">
        <v>43769</v>
      </c>
      <c r="Q70">
        <f t="shared" si="8"/>
      </c>
      <c r="R70">
        <f t="shared" si="8"/>
        <v>1268</v>
      </c>
      <c r="S70">
        <f t="shared" si="8"/>
      </c>
      <c r="T70">
        <f t="shared" si="8"/>
      </c>
      <c r="U70">
        <f t="shared" si="8"/>
      </c>
      <c r="V70">
        <f t="shared" si="8"/>
      </c>
      <c r="W70">
        <f t="shared" si="8"/>
      </c>
      <c r="X70">
        <f t="shared" si="8"/>
      </c>
      <c r="Y70">
        <f t="shared" si="8"/>
      </c>
      <c r="Z70">
        <f t="shared" si="8"/>
      </c>
      <c r="AA70">
        <f t="shared" si="8"/>
      </c>
      <c r="AB70">
        <f t="shared" si="8"/>
      </c>
      <c r="AC70">
        <f t="shared" si="8"/>
      </c>
      <c r="AD70">
        <f t="shared" si="8"/>
      </c>
      <c r="AE70">
        <f t="shared" si="8"/>
      </c>
      <c r="AF70">
        <f t="shared" si="8"/>
      </c>
      <c r="AG70">
        <f t="shared" si="8"/>
      </c>
      <c r="AH70">
        <f t="shared" si="8"/>
      </c>
      <c r="AI70">
        <f t="shared" si="8"/>
      </c>
      <c r="AJ70">
        <f t="shared" si="8"/>
      </c>
      <c r="AK70">
        <f t="shared" si="8"/>
      </c>
      <c r="AL70">
        <f t="shared" si="8"/>
      </c>
      <c r="AM70">
        <f t="shared" si="8"/>
      </c>
      <c r="AN70">
        <f t="shared" si="8"/>
      </c>
      <c r="AO70">
        <f t="shared" si="8"/>
      </c>
      <c r="AP70">
        <f t="shared" si="8"/>
      </c>
      <c r="AQ70">
        <f t="shared" si="8"/>
      </c>
      <c r="AR70">
        <f t="shared" si="8"/>
      </c>
      <c r="AS70">
        <f t="shared" si="8"/>
      </c>
      <c r="AT70">
        <f t="shared" si="8"/>
      </c>
      <c r="AU70">
        <f t="shared" si="8"/>
      </c>
      <c r="AV70">
        <f t="shared" si="8"/>
      </c>
      <c r="AW70">
        <f t="shared" si="8"/>
      </c>
      <c r="AX70">
        <f t="shared" si="8"/>
      </c>
      <c r="AY70">
        <f t="shared" si="8"/>
      </c>
      <c r="AZ70">
        <f t="shared" si="8"/>
      </c>
      <c r="BA70">
        <f t="shared" si="8"/>
      </c>
      <c r="BB70">
        <f t="shared" si="8"/>
      </c>
      <c r="BC70">
        <f t="shared" si="8"/>
      </c>
      <c r="BD70">
        <f t="shared" si="8"/>
      </c>
      <c r="BE70">
        <f t="shared" si="8"/>
      </c>
      <c r="BF70">
        <f t="shared" si="8"/>
      </c>
      <c r="BG70">
        <f t="shared" si="8"/>
      </c>
      <c r="BH70">
        <f t="shared" si="8"/>
      </c>
      <c r="BI70">
        <f t="shared" si="8"/>
      </c>
      <c r="BJ70">
        <f t="shared" si="8"/>
      </c>
      <c r="BK70">
        <f t="shared" si="8"/>
      </c>
      <c r="BL70">
        <f t="shared" si="8"/>
      </c>
      <c r="BM70">
        <f t="shared" si="8"/>
      </c>
      <c r="BN70">
        <f t="shared" si="8"/>
      </c>
      <c r="BO70">
        <f t="shared" si="8"/>
      </c>
      <c r="BP70">
        <f t="shared" si="8"/>
      </c>
      <c r="BQ70">
        <f t="shared" si="8"/>
      </c>
      <c r="BR70">
        <f t="shared" si="8"/>
      </c>
      <c r="BS70">
        <f t="shared" si="8"/>
      </c>
      <c r="BT70">
        <f t="shared" si="8"/>
      </c>
      <c r="BU70">
        <f t="shared" si="8"/>
      </c>
      <c r="BV70">
        <f t="shared" si="8"/>
      </c>
      <c r="BW70">
        <f t="shared" si="8"/>
      </c>
      <c r="BX70">
        <f t="shared" si="8"/>
      </c>
      <c r="BY70">
        <f t="shared" si="8"/>
      </c>
      <c r="BZ70">
        <f t="shared" si="8"/>
      </c>
      <c r="CA70">
        <f t="shared" si="8"/>
      </c>
      <c r="CB70">
        <f t="shared" si="8"/>
      </c>
      <c r="CC70">
        <f t="shared" si="8"/>
      </c>
      <c r="CD70">
        <f t="shared" si="8"/>
      </c>
      <c r="CE70">
        <f t="shared" si="8"/>
      </c>
      <c r="CF70">
        <f t="shared" si="8"/>
      </c>
      <c r="CG70">
        <f t="shared" si="8"/>
      </c>
      <c r="CH70">
        <f t="shared" si="8"/>
      </c>
      <c r="CI70">
        <f t="shared" si="8"/>
      </c>
      <c r="CJ70">
        <f t="shared" si="8"/>
      </c>
      <c r="CK70">
        <f t="shared" si="8"/>
      </c>
      <c r="CL70">
        <f t="shared" si="8"/>
      </c>
      <c r="CM70">
        <f t="shared" si="8"/>
      </c>
      <c r="CN70">
        <f t="shared" si="8"/>
      </c>
      <c r="CO70">
        <f t="shared" si="8"/>
      </c>
      <c r="CP70">
        <f t="shared" si="8"/>
      </c>
      <c r="CQ70">
        <f t="shared" si="8"/>
      </c>
      <c r="CR70">
        <f t="shared" si="8"/>
      </c>
      <c r="CS70">
        <f t="shared" si="8"/>
      </c>
      <c r="CT70">
        <f t="shared" si="8"/>
      </c>
      <c r="CU70">
        <f t="shared" si="8"/>
      </c>
      <c r="CV70">
        <f t="shared" si="8"/>
      </c>
      <c r="CW70">
        <f t="shared" si="8"/>
      </c>
      <c r="CX70">
        <f t="shared" si="8"/>
      </c>
      <c r="CY70">
        <f t="shared" si="8"/>
      </c>
      <c r="CZ70">
        <f t="shared" si="8"/>
      </c>
      <c r="DA70">
        <f t="shared" si="8"/>
      </c>
      <c r="DB70">
        <f t="shared" si="8"/>
      </c>
      <c r="DC70">
        <f t="shared" si="8"/>
      </c>
      <c r="DD70">
        <f t="shared" si="8"/>
      </c>
      <c r="DE70">
        <f t="shared" si="8"/>
      </c>
      <c r="DF70">
        <f t="shared" si="8"/>
      </c>
      <c r="DG70">
        <f t="shared" si="8"/>
      </c>
      <c r="DH70">
        <f t="shared" si="8"/>
      </c>
      <c r="DI70">
        <f t="shared" si="8"/>
      </c>
      <c r="DJ70">
        <f t="shared" si="8"/>
      </c>
      <c r="DK70">
        <f t="shared" si="8"/>
      </c>
      <c r="DL70">
        <f t="shared" si="8"/>
      </c>
      <c r="DM70">
        <f t="shared" si="8"/>
      </c>
      <c r="DN70">
        <f t="shared" si="8"/>
      </c>
      <c r="DO70">
        <f t="shared" si="8"/>
      </c>
      <c r="DP70">
        <f t="shared" si="8"/>
      </c>
      <c r="DQ70">
        <f t="shared" si="8"/>
      </c>
      <c r="DR70">
        <f t="shared" si="8"/>
      </c>
      <c r="DS70">
        <f t="shared" si="8"/>
      </c>
      <c r="DT70">
        <f t="shared" si="8"/>
      </c>
      <c r="DU70">
        <f t="shared" si="8"/>
      </c>
      <c r="DV70">
        <f t="shared" si="8"/>
      </c>
      <c r="DW70">
        <f t="shared" si="8"/>
      </c>
      <c r="DX70">
        <f t="shared" si="8"/>
      </c>
      <c r="DY70">
        <f t="shared" si="8"/>
      </c>
      <c r="DZ70">
        <f t="shared" si="8"/>
      </c>
      <c r="EA70">
        <f t="shared" si="8"/>
      </c>
      <c r="EB70">
        <f t="shared" si="8"/>
      </c>
      <c r="EC70">
        <f t="shared" si="8"/>
      </c>
      <c r="ED70">
        <f t="shared" si="8"/>
      </c>
      <c r="EE70">
        <f t="shared" si="8"/>
      </c>
      <c r="EF70">
        <f t="shared" si="8"/>
      </c>
      <c r="EG70">
        <f t="shared" si="8"/>
      </c>
      <c r="EH70">
        <f t="shared" si="8"/>
      </c>
      <c r="EI70">
        <f t="shared" si="8"/>
      </c>
      <c r="EJ70">
        <f t="shared" si="8"/>
      </c>
      <c r="EK70">
        <f t="shared" si="8"/>
      </c>
      <c r="EL70">
        <f t="shared" si="8"/>
      </c>
      <c r="EM70">
        <f t="shared" si="8"/>
      </c>
      <c r="EN70">
        <f t="shared" si="8"/>
      </c>
      <c r="EO70">
        <f t="shared" si="8"/>
      </c>
      <c r="EP70">
        <f t="shared" si="8"/>
      </c>
      <c r="EQ70">
        <f t="shared" si="8"/>
      </c>
      <c r="ER70">
        <f t="shared" si="8"/>
      </c>
      <c r="ES70">
        <f t="shared" si="8"/>
      </c>
      <c r="ET70">
        <f t="shared" si="8"/>
      </c>
      <c r="EU70">
        <f t="shared" si="8"/>
      </c>
      <c r="EV70">
        <f t="shared" si="8"/>
      </c>
      <c r="EW70">
        <f t="shared" si="8"/>
      </c>
      <c r="EX70">
        <f t="shared" si="8"/>
      </c>
      <c r="EY70">
        <f t="shared" si="8"/>
      </c>
      <c r="EZ70">
        <f t="shared" si="8"/>
      </c>
      <c r="FA70" t="str">
        <f t="shared" si="12"/>
        <v>-</v>
      </c>
      <c r="FB70">
        <f t="shared" si="13"/>
      </c>
      <c r="FC70" cm="1">
        <f t="array" ref="FC70">_xlfn.LET(_xlpm.unit_type,$G70,_xlpm.market_rent_from_rent_roll,$E70,_xlpm.unit_type_list,RentRoll_InputArea_DesignatedUnitType,_xlpm.rent_by_unit_type,RentRoll_InputArea_MarketRent,_xlpm.use_rent_roll_market_rent,LEFT(RR_VacantUnitMktRentSource,9)="Rent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70">
        <f t="shared" si="14"/>
        <v>1268</v>
      </c>
      <c r="FE70">
        <f t="shared" si="15"/>
        <v>1268</v>
      </c>
      <c r="FF70">
        <f t="shared" si="16"/>
        <v>1268</v>
      </c>
      <c r="FH70">
        <f t="shared" si="17"/>
      </c>
      <c r="FI70">
        <f t="shared" si="18"/>
      </c>
      <c r="FK70" cm="1">
        <f t="array" ref="FK70">IF(AND(LEN($D70)&gt;0,ISNA(MATCH(TRUE,EXACT($G70,RentRoll_InputArea_DesignatedUnitType),0))),1,0)</f>
        <v>0</v>
      </c>
      <c r="FL70">
        <f t="shared" si="19"/>
        <v>47</v>
      </c>
      <c r="IO70" cm="1">
        <f t="array" ref="IO70">IF(LEN($G70)=0,"Rent Roll is incomplete",_xlfn.XLOOKUP(TRUE,EXACT(RentRoll_InputArea_DesignatedUnitType,$G70),RentRoll_InputArea_Beds,"Not Found"))</f>
        <v>0</v>
      </c>
      <c r="IQ70" t="str">
        <f t="shared" si="20"/>
        <v>0 Bedroom Unit (Efficiency/Studio)</v>
      </c>
      <c r="IR70">
        <f t="shared" si="21"/>
        <v>1268</v>
      </c>
      <c r="IW70" t="str">
        <f t="shared" si="22"/>
        <v>5-502</v>
      </c>
      <c r="IZ70">
        <f t="shared" si="23"/>
        <v>0</v>
      </c>
      <c r="JA70">
        <f t="shared" si="24"/>
        <v>1268</v>
      </c>
      <c r="JH70">
        <f t="shared" si="25"/>
        <v>1217</v>
      </c>
      <c r="JJ70">
        <f t="shared" si="26"/>
      </c>
      <c r="JQ70" t="str">
        <f t="shared" si="27"/>
        <v>Occupied</v>
      </c>
      <c r="JR70" cm="1">
        <f t="array" ref="JR70">_xlfn.XLOOKUP(TRUE,EXACT(RentRoll_InputArea_DesignatedUnitType,$G70),RentRoll_InputArea_SquareFootage,"Not Found")</f>
        <v>800</v>
      </c>
      <c r="JS70" t="str">
        <f t="shared" si="28"/>
        <v>Apartment</v>
      </c>
      <c r="JT70">
        <f t="shared" si="29"/>
      </c>
      <c r="JY70">
        <f t="shared" si="9"/>
        <v>43556</v>
      </c>
      <c r="JZ70">
        <f t="shared" si="9"/>
        <v>43769</v>
      </c>
    </row>
    <row r="71" ht="15" customHeight="1">
      <c r="A71">
        <f t="shared" si="10"/>
        <v>48</v>
      </c>
      <c r="D71" t="s">
        <v>2838</v>
      </c>
      <c r="E71">
        <v>1244</v>
      </c>
      <c r="F71" t="s">
        <v>2839</v>
      </c>
      <c r="G71" t="s">
        <v>2530</v>
      </c>
      <c r="H71">
        <v>1270</v>
      </c>
      <c r="I71" cm="1">
        <f t="array" ref="I71">_xlfn.LET(_xlpm.has_subsidy,$N71&gt;0,_xlpm.is_chap9_sbl,$FF$20,_xlpm.contract_rent,$H71,_xlpm.unit_type_mkt_rent,_xlfn.XLOOKUP(TRUE,EXACT($G71,RentRoll_InputArea_DesignatedUnitType),RentRoll_InputArea_MarketRent,"Not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1">
        <f t="shared" si="11"/>
        <v>1270</v>
      </c>
      <c r="O71" s="1">
        <v>43457</v>
      </c>
      <c r="P71" s="1">
        <v>43677</v>
      </c>
      <c r="Q71">
        <f t="shared" si="8"/>
      </c>
      <c r="R71">
        <f t="shared" si="8"/>
        <v>1270</v>
      </c>
      <c r="S71">
        <f t="shared" si="8"/>
      </c>
      <c r="T71">
        <f t="shared" si="8"/>
      </c>
      <c r="U71">
        <f t="shared" si="8"/>
      </c>
      <c r="V71">
        <f t="shared" si="8"/>
      </c>
      <c r="W71">
        <f t="shared" si="8"/>
      </c>
      <c r="X71">
        <f t="shared" si="8"/>
      </c>
      <c r="Y71">
        <f t="shared" si="8"/>
      </c>
      <c r="Z71">
        <f t="shared" si="8"/>
      </c>
      <c r="AA71">
        <f t="shared" si="8"/>
      </c>
      <c r="AB71">
        <f t="shared" si="8"/>
      </c>
      <c r="AC71">
        <f t="shared" si="8"/>
      </c>
      <c r="AD71">
        <f t="shared" si="8"/>
      </c>
      <c r="AE71">
        <f t="shared" si="8"/>
      </c>
      <c r="AF71">
        <f t="shared" si="8"/>
      </c>
      <c r="AG71">
        <f t="shared" si="8"/>
      </c>
      <c r="AH71">
        <f t="shared" si="8"/>
      </c>
      <c r="AI71">
        <f t="shared" si="8"/>
      </c>
      <c r="AJ71">
        <f t="shared" si="8"/>
      </c>
      <c r="AK71">
        <f t="shared" si="8"/>
      </c>
      <c r="AL71">
        <f t="shared" si="8"/>
      </c>
      <c r="AM71">
        <f t="shared" si="8"/>
      </c>
      <c r="AN71">
        <f t="shared" si="8"/>
      </c>
      <c r="AO71">
        <f t="shared" si="8"/>
      </c>
      <c r="AP71">
        <f t="shared" si="8"/>
      </c>
      <c r="AQ71">
        <f t="shared" si="8"/>
      </c>
      <c r="AR71">
        <f t="shared" si="8"/>
      </c>
      <c r="AS71">
        <f t="shared" si="8"/>
      </c>
      <c r="AT71">
        <f t="shared" si="8"/>
      </c>
      <c r="AU71">
        <f t="shared" si="8"/>
      </c>
      <c r="AV71">
        <f t="shared" si="8"/>
      </c>
      <c r="AW71">
        <f t="shared" si="8"/>
      </c>
      <c r="AX71">
        <f t="shared" si="8"/>
      </c>
      <c r="AY71">
        <f t="shared" si="8"/>
      </c>
      <c r="AZ71">
        <f t="shared" si="8"/>
      </c>
      <c r="BA71">
        <f t="shared" si="8"/>
      </c>
      <c r="BB71">
        <f t="shared" si="8"/>
      </c>
      <c r="BC71">
        <f t="shared" si="8"/>
      </c>
      <c r="BD71">
        <f t="shared" si="8"/>
      </c>
      <c r="BE71">
        <f t="shared" si="8"/>
      </c>
      <c r="BF71">
        <f t="shared" si="8"/>
      </c>
      <c r="BG71">
        <f t="shared" si="8"/>
      </c>
      <c r="BH71">
        <f t="shared" si="8"/>
      </c>
      <c r="BI71">
        <f t="shared" si="8"/>
      </c>
      <c r="BJ71">
        <f t="shared" si="8"/>
      </c>
      <c r="BK71">
        <f t="shared" si="8"/>
      </c>
      <c r="BL71">
        <f t="shared" si="8"/>
      </c>
      <c r="BM71">
        <f t="shared" si="8"/>
      </c>
      <c r="BN71">
        <f t="shared" si="8"/>
      </c>
      <c r="BO71">
        <f t="shared" si="8"/>
      </c>
      <c r="BP71">
        <f t="shared" si="8"/>
      </c>
      <c r="BQ71">
        <f t="shared" si="8"/>
      </c>
      <c r="BR71">
        <f t="shared" si="8"/>
      </c>
      <c r="BS71">
        <f t="shared" si="8"/>
      </c>
      <c r="BT71">
        <f t="shared" si="8"/>
      </c>
      <c r="BU71">
        <f t="shared" si="8"/>
      </c>
      <c r="BV71">
        <f t="shared" si="8"/>
      </c>
      <c r="BW71">
        <f t="shared" si="8"/>
      </c>
      <c r="BX71">
        <f t="shared" si="8"/>
      </c>
      <c r="BY71">
        <f t="shared" si="8"/>
      </c>
      <c r="BZ71">
        <f t="shared" si="8"/>
      </c>
      <c r="CA71">
        <f t="shared" si="8"/>
      </c>
      <c r="CB71">
        <f t="shared" si="8"/>
      </c>
      <c r="CC71">
        <f t="shared" si="8"/>
      </c>
      <c r="CD71">
        <f t="shared" si="8"/>
      </c>
      <c r="CE71">
        <f t="shared" si="8"/>
      </c>
      <c r="CF71">
        <f t="shared" si="8"/>
      </c>
      <c r="CG71">
        <f t="shared" si="8"/>
      </c>
      <c r="CH71">
        <f t="shared" si="8"/>
      </c>
      <c r="CI71">
        <f t="shared" si="8"/>
      </c>
      <c r="CJ71">
        <f t="shared" si="8"/>
      </c>
      <c r="CK71">
        <f t="shared" si="8"/>
      </c>
      <c r="CL71">
        <f t="shared" si="8"/>
      </c>
      <c r="CM71">
        <f t="shared" si="8"/>
      </c>
      <c r="CN71">
        <f t="shared" si="8"/>
      </c>
      <c r="CO71">
        <f t="shared" si="8"/>
      </c>
      <c r="CP71">
        <f t="shared" si="8"/>
      </c>
      <c r="CQ71">
        <f t="shared" si="8"/>
      </c>
      <c r="CR71">
        <f t="shared" si="8"/>
      </c>
      <c r="CS71">
        <f t="shared" si="8"/>
      </c>
      <c r="CT71">
        <f t="shared" si="8"/>
      </c>
      <c r="CU71">
        <f t="shared" si="8"/>
      </c>
      <c r="CV71">
        <f t="shared" si="8"/>
      </c>
      <c r="CW71">
        <f t="shared" si="8"/>
      </c>
      <c r="CX71">
        <f t="shared" si="8"/>
      </c>
      <c r="CY71">
        <f t="shared" si="8"/>
      </c>
      <c r="CZ71">
        <f t="shared" si="8"/>
      </c>
      <c r="DA71">
        <f t="shared" si="8"/>
      </c>
      <c r="DB71">
        <f t="shared" si="8"/>
      </c>
      <c r="DC71">
        <f t="shared" si="8"/>
      </c>
      <c r="DD71">
        <f t="shared" si="8"/>
      </c>
      <c r="DE71">
        <f t="shared" si="8"/>
      </c>
      <c r="DF71">
        <f t="shared" si="8"/>
      </c>
      <c r="DG71">
        <f t="shared" si="8"/>
      </c>
      <c r="DH71">
        <f t="shared" si="8"/>
      </c>
      <c r="DI71">
        <f t="shared" si="8"/>
      </c>
      <c r="DJ71">
        <f t="shared" si="8"/>
      </c>
      <c r="DK71">
        <f t="shared" si="8"/>
      </c>
      <c r="DL71">
        <f t="shared" si="8"/>
      </c>
      <c r="DM71">
        <f t="shared" si="8"/>
      </c>
      <c r="DN71">
        <f t="shared" si="8"/>
      </c>
      <c r="DO71">
        <f t="shared" si="8"/>
      </c>
      <c r="DP71">
        <f t="shared" si="8"/>
      </c>
      <c r="DQ71">
        <f t="shared" si="8"/>
      </c>
      <c r="DR71">
        <f t="shared" si="8"/>
      </c>
      <c r="DS71">
        <f t="shared" si="8"/>
      </c>
      <c r="DT71">
        <f t="shared" si="8"/>
      </c>
      <c r="DU71">
        <f t="shared" si="8"/>
      </c>
      <c r="DV71">
        <f t="shared" si="8"/>
      </c>
      <c r="DW71">
        <f t="shared" si="8"/>
      </c>
      <c r="DX71">
        <f t="shared" si="8"/>
      </c>
      <c r="DY71">
        <f t="shared" si="8"/>
      </c>
      <c r="DZ71">
        <f t="shared" si="8"/>
      </c>
      <c r="EA71">
        <f t="shared" si="8"/>
      </c>
      <c r="EB71">
        <f t="shared" si="8"/>
      </c>
      <c r="EC71">
        <f t="shared" si="8"/>
      </c>
      <c r="ED71">
        <f t="shared" si="8"/>
      </c>
      <c r="EE71">
        <f t="shared" si="8"/>
      </c>
      <c r="EF71">
        <f t="shared" si="8"/>
      </c>
      <c r="EG71">
        <f t="shared" si="8"/>
      </c>
      <c r="EH71">
        <f t="shared" si="8"/>
      </c>
      <c r="EI71">
        <f t="shared" si="8"/>
      </c>
      <c r="EJ71">
        <f t="shared" si="8"/>
      </c>
      <c r="EK71">
        <f t="shared" si="8"/>
      </c>
      <c r="EL71">
        <f t="shared" si="8"/>
      </c>
      <c r="EM71">
        <f t="shared" si="8"/>
      </c>
      <c r="EN71">
        <f t="shared" si="8"/>
      </c>
      <c r="EO71">
        <f t="shared" si="8"/>
      </c>
      <c r="EP71">
        <f t="shared" si="8"/>
      </c>
      <c r="EQ71">
        <f t="shared" si="8"/>
      </c>
      <c r="ER71">
        <f t="shared" si="8"/>
      </c>
      <c r="ES71">
        <f t="shared" si="8"/>
      </c>
      <c r="ET71">
        <f t="shared" si="8"/>
      </c>
      <c r="EU71">
        <f t="shared" si="8"/>
      </c>
      <c r="EV71">
        <f t="shared" si="8"/>
      </c>
      <c r="EW71">
        <f t="shared" si="8"/>
      </c>
      <c r="EX71">
        <f t="shared" si="8"/>
      </c>
      <c r="EY71">
        <f t="shared" si="8"/>
      </c>
      <c r="EZ71">
        <f t="shared" si="8"/>
      </c>
      <c r="FA71" t="str">
        <f t="shared" si="12"/>
        <v>-</v>
      </c>
      <c r="FB71">
        <f t="shared" si="13"/>
      </c>
      <c r="FC71" cm="1">
        <f t="array" ref="FC71">_xlfn.LET(_xlpm.unit_type,$G71,_xlpm.market_rent_from_rent_roll,$E71,_xlpm.unit_type_list,RentRoll_InputArea_DesignatedUnitType,_xlpm.rent_by_unit_type,RentRoll_InputArea_MarketRent,_xlpm.use_rent_roll_market_rent,LEFT(RR_VacantUnitMktRentSource,9)="Rent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71">
        <f t="shared" si="14"/>
        <v>1270</v>
      </c>
      <c r="FE71">
        <f t="shared" si="15"/>
        <v>1270</v>
      </c>
      <c r="FF71">
        <f t="shared" si="16"/>
        <v>1270</v>
      </c>
      <c r="FH71">
        <f t="shared" si="17"/>
      </c>
      <c r="FI71">
        <f t="shared" si="18"/>
      </c>
      <c r="FK71" cm="1">
        <f t="array" ref="FK71">IF(AND(LEN($D71)&gt;0,ISNA(MATCH(TRUE,EXACT($G71,RentRoll_InputArea_DesignatedUnitType),0))),1,0)</f>
        <v>0</v>
      </c>
      <c r="FL71">
        <f t="shared" si="19"/>
        <v>48</v>
      </c>
      <c r="IO71" cm="1">
        <f t="array" ref="IO71">IF(LEN($G71)=0,"Rent Roll is incomplete",_xlfn.XLOOKUP(TRUE,EXACT(RentRoll_InputArea_DesignatedUnitType,$G71),RentRoll_InputArea_Beds,"Not Found"))</f>
        <v>0</v>
      </c>
      <c r="IQ71" t="str">
        <f t="shared" si="20"/>
        <v>0 Bedroom Unit (Efficiency/Studio)</v>
      </c>
      <c r="IR71">
        <f t="shared" si="21"/>
        <v>1270</v>
      </c>
      <c r="IW71" t="str">
        <f t="shared" si="22"/>
        <v>5-503</v>
      </c>
      <c r="IZ71">
        <f t="shared" si="23"/>
        <v>0</v>
      </c>
      <c r="JA71">
        <f t="shared" si="24"/>
        <v>1270</v>
      </c>
      <c r="JH71">
        <f t="shared" si="25"/>
        <v>1217</v>
      </c>
      <c r="JJ71">
        <f t="shared" si="26"/>
      </c>
      <c r="JQ71" t="str">
        <f t="shared" si="27"/>
        <v>Occupied</v>
      </c>
      <c r="JR71" cm="1">
        <f t="array" ref="JR71">_xlfn.XLOOKUP(TRUE,EXACT(RentRoll_InputArea_DesignatedUnitType,$G71),RentRoll_InputArea_SquareFootage,"Not Found")</f>
        <v>800</v>
      </c>
      <c r="JS71" t="str">
        <f t="shared" si="28"/>
        <v>Apartment</v>
      </c>
      <c r="JT71">
        <f t="shared" si="29"/>
      </c>
      <c r="JY71">
        <f t="shared" si="9"/>
        <v>43457</v>
      </c>
      <c r="JZ71">
        <f t="shared" si="9"/>
        <v>43677</v>
      </c>
    </row>
    <row r="72" ht="15" customHeight="1">
      <c r="A72">
        <f t="shared" si="10"/>
        <v>49</v>
      </c>
      <c r="D72" t="s">
        <v>2840</v>
      </c>
      <c r="E72">
        <v>1582</v>
      </c>
      <c r="F72" t="s">
        <v>2841</v>
      </c>
      <c r="G72" t="s">
        <v>2532</v>
      </c>
      <c r="H72">
        <v>1607</v>
      </c>
      <c r="I72" cm="1">
        <f t="array" ref="I72">_xlfn.LET(_xlpm.has_subsidy,$N72&gt;0,_xlpm.is_chap9_sbl,$FF$20,_xlpm.contract_rent,$H72,_xlpm.unit_type_mkt_rent,_xlfn.XLOOKUP(TRUE,EXACT($G72,RentRoll_InputArea_DesignatedUnitType),RentRoll_InputArea_MarketRent,"Not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2">
        <f t="shared" si="11"/>
        <v>1607</v>
      </c>
      <c r="O72" s="1">
        <v>43337</v>
      </c>
      <c r="P72" s="1">
        <v>43616</v>
      </c>
      <c r="Q72">
        <f t="shared" si="8"/>
      </c>
      <c r="R72">
        <f t="shared" si="8"/>
      </c>
      <c r="S72">
        <f t="shared" si="8"/>
      </c>
      <c r="T72">
        <f t="shared" si="8"/>
        <v>1607</v>
      </c>
      <c r="U72">
        <f t="shared" si="8"/>
      </c>
      <c r="V72">
        <f t="shared" si="8"/>
      </c>
      <c r="W72">
        <f t="shared" si="8"/>
      </c>
      <c r="X72">
        <f t="shared" si="8"/>
      </c>
      <c r="Y72">
        <f t="shared" si="8"/>
      </c>
      <c r="Z72">
        <f t="shared" si="8"/>
      </c>
      <c r="AA72">
        <f t="shared" si="8"/>
      </c>
      <c r="AB72">
        <f t="shared" si="8"/>
      </c>
      <c r="AC72">
        <f t="shared" si="8"/>
      </c>
      <c r="AD72">
        <f t="shared" si="8"/>
      </c>
      <c r="AE72">
        <f t="shared" si="8"/>
      </c>
      <c r="AF72">
        <f t="shared" si="8"/>
      </c>
      <c r="AG72">
        <f t="shared" si="8"/>
      </c>
      <c r="AH72">
        <f t="shared" si="8"/>
      </c>
      <c r="AI72">
        <f t="shared" si="8"/>
      </c>
      <c r="AJ72">
        <f t="shared" si="8"/>
      </c>
      <c r="AK72">
        <f t="shared" si="8"/>
      </c>
      <c r="AL72">
        <f t="shared" si="8"/>
      </c>
      <c r="AM72">
        <f t="shared" si="8"/>
      </c>
      <c r="AN72">
        <f t="shared" si="8"/>
      </c>
      <c r="AO72">
        <f t="shared" si="8"/>
      </c>
      <c r="AP72">
        <f t="shared" si="8"/>
      </c>
      <c r="AQ72">
        <f t="shared" si="8"/>
      </c>
      <c r="AR72">
        <f t="shared" si="8"/>
      </c>
      <c r="AS72">
        <f t="shared" si="8"/>
      </c>
      <c r="AT72">
        <f t="shared" si="8"/>
      </c>
      <c r="AU72">
        <f t="shared" si="8"/>
      </c>
      <c r="AV72">
        <f t="shared" si="8"/>
      </c>
      <c r="AW72">
        <f t="shared" si="8"/>
      </c>
      <c r="AX72">
        <f t="shared" si="8"/>
      </c>
      <c r="AY72">
        <f t="shared" si="8"/>
      </c>
      <c r="AZ72">
        <f t="shared" si="8"/>
      </c>
      <c r="BA72">
        <f t="shared" si="8"/>
      </c>
      <c r="BB72">
        <f t="shared" si="8"/>
      </c>
      <c r="BC72">
        <f t="shared" si="8"/>
      </c>
      <c r="BD72">
        <f t="shared" si="8"/>
      </c>
      <c r="BE72">
        <f t="shared" si="8"/>
      </c>
      <c r="BF72">
        <f t="shared" si="8"/>
      </c>
      <c r="BG72">
        <f t="shared" si="8"/>
      </c>
      <c r="BH72">
        <f t="shared" si="8"/>
      </c>
      <c r="BI72">
        <f t="shared" si="8"/>
      </c>
      <c r="BJ72">
        <f t="shared" si="8"/>
      </c>
      <c r="BK72">
        <f t="shared" si="8"/>
      </c>
      <c r="BL72">
        <f t="shared" si="8"/>
      </c>
      <c r="BM72">
        <f t="shared" si="8"/>
      </c>
      <c r="BN72">
        <f t="shared" si="8"/>
      </c>
      <c r="BO72">
        <f t="shared" si="8"/>
      </c>
      <c r="BP72">
        <f t="shared" si="8"/>
      </c>
      <c r="BQ72">
        <f t="shared" si="8"/>
      </c>
      <c r="BR72">
        <f t="shared" si="8"/>
      </c>
      <c r="BS72">
        <f t="shared" si="8"/>
      </c>
      <c r="BT72">
        <f t="shared" si="8"/>
      </c>
      <c r="BU72">
        <f t="shared" si="8"/>
      </c>
      <c r="BV72">
        <f t="shared" si="8"/>
      </c>
      <c r="BW72">
        <f t="shared" si="8"/>
      </c>
      <c r="BX72">
        <f t="shared" si="8"/>
      </c>
      <c r="BY72">
        <f t="shared" si="8"/>
      </c>
      <c r="BZ72">
        <f t="shared" si="8"/>
      </c>
      <c r="CA72">
        <f t="shared" si="8"/>
      </c>
      <c r="CB72">
        <f t="shared" si="8"/>
      </c>
      <c r="CC72">
        <f t="shared" si="8"/>
      </c>
      <c r="CD72">
        <f t="shared" si="8"/>
      </c>
      <c r="CE72">
        <f t="shared" si="8"/>
      </c>
      <c r="CF72">
        <f t="shared" si="8"/>
      </c>
      <c r="CG72">
        <f t="shared" si="8"/>
      </c>
      <c r="CH72">
        <f t="shared" si="8"/>
      </c>
      <c r="CI72">
        <f t="shared" si="8"/>
      </c>
      <c r="CJ72">
        <f t="shared" si="8"/>
      </c>
      <c r="CK72">
        <f t="shared" si="8"/>
      </c>
      <c r="CL72">
        <f t="shared" si="8"/>
      </c>
      <c r="CM72">
        <f t="shared" si="8"/>
      </c>
      <c r="CN72">
        <f t="shared" si="8"/>
      </c>
      <c r="CO72">
        <f t="shared" si="8"/>
      </c>
      <c r="CP72">
        <f t="shared" si="8"/>
      </c>
      <c r="CQ72">
        <f t="shared" si="8"/>
      </c>
      <c r="CR72">
        <f t="shared" si="8"/>
      </c>
      <c r="CS72">
        <f t="shared" si="8"/>
      </c>
      <c r="CT72">
        <f t="shared" si="8"/>
      </c>
      <c r="CU72">
        <f t="shared" si="8"/>
      </c>
      <c r="CV72">
        <f t="shared" si="8"/>
      </c>
      <c r="CW72">
        <f t="shared" si="8"/>
      </c>
      <c r="CX72">
        <f t="shared" si="8"/>
      </c>
      <c r="CY72">
        <f t="shared" si="8"/>
      </c>
      <c r="CZ72">
        <f t="shared" si="8"/>
      </c>
      <c r="DA72">
        <f t="shared" si="8"/>
      </c>
      <c r="DB72">
        <f t="shared" si="8"/>
      </c>
      <c r="DC72">
        <f t="shared" si="8"/>
      </c>
      <c r="DD72">
        <f t="shared" si="8"/>
      </c>
      <c r="DE72">
        <f t="shared" si="8"/>
      </c>
      <c r="DF72">
        <f t="shared" si="8"/>
      </c>
      <c r="DG72">
        <f t="shared" si="8"/>
      </c>
      <c r="DH72">
        <f t="shared" si="8"/>
      </c>
      <c r="DI72">
        <f t="shared" si="8"/>
      </c>
      <c r="DJ72">
        <f t="shared" si="8"/>
      </c>
      <c r="DK72">
        <f t="shared" si="8"/>
      </c>
      <c r="DL72">
        <f t="shared" si="8"/>
      </c>
      <c r="DM72">
        <f t="shared" si="8"/>
      </c>
      <c r="DN72">
        <f t="shared" si="8"/>
      </c>
      <c r="DO72">
        <f t="shared" si="8"/>
      </c>
      <c r="DP72">
        <f t="shared" si="8"/>
      </c>
      <c r="DQ72">
        <f t="shared" si="8"/>
      </c>
      <c r="DR72">
        <f t="shared" si="8"/>
      </c>
      <c r="DS72">
        <f t="shared" si="8"/>
      </c>
      <c r="DT72">
        <f t="shared" si="8"/>
      </c>
      <c r="DU72">
        <f t="shared" si="8"/>
      </c>
      <c r="DV72">
        <f t="shared" si="8"/>
      </c>
      <c r="DW72">
        <f t="shared" si="8"/>
      </c>
      <c r="DX72">
        <f t="shared" si="8"/>
      </c>
      <c r="DY72">
        <f t="shared" si="8"/>
      </c>
      <c r="DZ72">
        <f t="shared" si="8"/>
      </c>
      <c r="EA72">
        <f t="shared" si="8"/>
      </c>
      <c r="EB72">
        <f t="shared" si="8"/>
      </c>
      <c r="EC72">
        <f t="shared" si="8"/>
      </c>
      <c r="ED72">
        <f t="shared" si="8"/>
      </c>
      <c r="EE72">
        <f t="shared" si="8"/>
      </c>
      <c r="EF72">
        <f t="shared" si="8"/>
      </c>
      <c r="EG72">
        <f t="shared" si="8"/>
      </c>
      <c r="EH72">
        <f t="shared" si="8"/>
      </c>
      <c r="EI72">
        <f t="shared" si="8"/>
      </c>
      <c r="EJ72">
        <f t="shared" si="8"/>
      </c>
      <c r="EK72">
        <f t="shared" si="8"/>
      </c>
      <c r="EL72">
        <f t="shared" si="8"/>
      </c>
      <c r="EM72">
        <f t="shared" si="8"/>
      </c>
      <c r="EN72">
        <f t="shared" si="8"/>
      </c>
      <c r="EO72">
        <f t="shared" si="8"/>
      </c>
      <c r="EP72">
        <f t="shared" si="8"/>
      </c>
      <c r="EQ72">
        <f t="shared" si="8"/>
      </c>
      <c r="ER72">
        <f t="shared" si="8"/>
      </c>
      <c r="ES72">
        <f t="shared" si="8"/>
      </c>
      <c r="ET72">
        <f t="shared" si="8"/>
      </c>
      <c r="EU72">
        <f t="shared" si="8"/>
      </c>
      <c r="EV72">
        <f t="shared" si="8"/>
      </c>
      <c r="EW72">
        <f t="shared" si="8"/>
      </c>
      <c r="EX72">
        <f t="shared" si="8"/>
      </c>
      <c r="EY72">
        <f t="shared" si="8"/>
      </c>
      <c r="EZ72">
        <f t="shared" si="8"/>
      </c>
      <c r="FA72" t="str">
        <f t="shared" si="12"/>
        <v>-</v>
      </c>
      <c r="FB72">
        <f t="shared" si="13"/>
      </c>
      <c r="FC72" cm="1">
        <f t="array" ref="FC72">_xlfn.LET(_xlpm.unit_type,$G72,_xlpm.market_rent_from_rent_roll,$E72,_xlpm.unit_type_list,RentRoll_InputArea_DesignatedUnitType,_xlpm.rent_by_unit_type,RentRoll_InputArea_MarketRent,_xlpm.use_rent_roll_market_rent,LEFT(RR_VacantUnitMktRentSource,9)="Rent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72">
        <f t="shared" si="14"/>
        <v>1607</v>
      </c>
      <c r="FE72">
        <f t="shared" si="15"/>
        <v>1607</v>
      </c>
      <c r="FF72">
        <f t="shared" si="16"/>
        <v>1607</v>
      </c>
      <c r="FH72">
        <f t="shared" si="17"/>
      </c>
      <c r="FI72">
        <f t="shared" si="18"/>
      </c>
      <c r="FK72" cm="1">
        <f t="array" ref="FK72">IF(AND(LEN($D72)&gt;0,ISNA(MATCH(TRUE,EXACT($G72,RentRoll_InputArea_DesignatedUnitType),0))),1,0)</f>
        <v>0</v>
      </c>
      <c r="FL72">
        <f t="shared" si="19"/>
        <v>49</v>
      </c>
      <c r="IO72" cm="1">
        <f t="array" ref="IO72">IF(LEN($G72)=0,"Rent Roll is incomplete",_xlfn.XLOOKUP(TRUE,EXACT(RentRoll_InputArea_DesignatedUnitType,$G72),RentRoll_InputArea_Beds,"Not Found"))</f>
        <v>0</v>
      </c>
      <c r="IQ72" t="str">
        <f t="shared" si="20"/>
        <v>0 Bedroom Unit (Efficiency/Studio)</v>
      </c>
      <c r="IR72">
        <f t="shared" si="21"/>
        <v>1607</v>
      </c>
      <c r="IW72" t="str">
        <f t="shared" si="22"/>
        <v>5-504</v>
      </c>
      <c r="IZ72">
        <f t="shared" si="23"/>
        <v>0</v>
      </c>
      <c r="JA72">
        <f t="shared" si="24"/>
        <v>1607</v>
      </c>
      <c r="JH72">
        <f t="shared" si="25"/>
        <v>1533</v>
      </c>
      <c r="JJ72">
        <f t="shared" si="26"/>
      </c>
      <c r="JQ72" t="str">
        <f t="shared" si="27"/>
        <v>Occupied</v>
      </c>
      <c r="JR72" cm="1">
        <f t="array" ref="JR72">_xlfn.XLOOKUP(TRUE,EXACT(RentRoll_InputArea_DesignatedUnitType,$G72),RentRoll_InputArea_SquareFootage,"Not Found")</f>
        <v>1050</v>
      </c>
      <c r="JS72" t="str">
        <f t="shared" si="28"/>
        <v>Apartment</v>
      </c>
      <c r="JT72">
        <f t="shared" si="29"/>
      </c>
      <c r="JY72">
        <f t="shared" si="9"/>
        <v>43337</v>
      </c>
      <c r="JZ72">
        <f t="shared" si="9"/>
        <v>43616</v>
      </c>
    </row>
    <row r="73" ht="15" customHeight="1">
      <c r="A73">
        <f t="shared" si="10"/>
        <v>50</v>
      </c>
      <c r="D73" t="s">
        <v>2842</v>
      </c>
      <c r="E73">
        <v>1590</v>
      </c>
      <c r="F73" t="s">
        <v>2843</v>
      </c>
      <c r="G73" t="s">
        <v>2532</v>
      </c>
      <c r="H73">
        <v>1618</v>
      </c>
      <c r="I73" cm="1">
        <f t="array" ref="I73">_xlfn.LET(_xlpm.has_subsidy,$N73&gt;0,_xlpm.is_chap9_sbl,$FF$20,_xlpm.contract_rent,$H73,_xlpm.unit_type_mkt_rent,_xlfn.XLOOKUP(TRUE,EXACT($G73,RentRoll_InputArea_DesignatedUnitType),RentRoll_InputArea_MarketRent,"Not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3">
        <f t="shared" si="11"/>
        <v>1618</v>
      </c>
      <c r="O73" s="1">
        <v>43586</v>
      </c>
      <c r="P73" s="1">
        <v>43951</v>
      </c>
      <c r="Q73">
        <f t="shared" si="8"/>
      </c>
      <c r="R73">
        <f t="shared" si="8"/>
      </c>
      <c r="S73">
        <f t="shared" si="8"/>
      </c>
      <c r="T73">
        <f t="shared" si="8"/>
        <v>1618</v>
      </c>
      <c r="U73">
        <f t="shared" si="8"/>
      </c>
      <c r="V73">
        <f t="shared" si="8"/>
      </c>
      <c r="W73">
        <f t="shared" si="8"/>
      </c>
      <c r="X73">
        <f t="shared" si="8"/>
      </c>
      <c r="Y73">
        <f t="shared" si="8"/>
      </c>
      <c r="Z73">
        <f t="shared" si="8"/>
      </c>
      <c r="AA73">
        <f t="shared" si="8"/>
      </c>
      <c r="AB73">
        <f t="shared" si="8"/>
      </c>
      <c r="AC73">
        <f t="shared" si="8"/>
      </c>
      <c r="AD73">
        <f t="shared" si="8"/>
      </c>
      <c r="AE73">
        <f t="shared" si="8"/>
      </c>
      <c r="AF73">
        <f t="shared" si="8"/>
      </c>
      <c r="AG73">
        <f t="shared" si="8"/>
      </c>
      <c r="AH73">
        <f t="shared" si="8"/>
      </c>
      <c r="AI73">
        <f t="shared" si="8"/>
      </c>
      <c r="AJ73">
        <f t="shared" si="8"/>
      </c>
      <c r="AK73">
        <f t="shared" si="8"/>
      </c>
      <c r="AL73">
        <f t="shared" si="8"/>
      </c>
      <c r="AM73">
        <f t="shared" si="8"/>
      </c>
      <c r="AN73">
        <f t="shared" si="8"/>
      </c>
      <c r="AO73">
        <f t="shared" si="8"/>
      </c>
      <c r="AP73">
        <f t="shared" si="8"/>
      </c>
      <c r="AQ73">
        <f t="shared" si="8"/>
      </c>
      <c r="AR73">
        <f t="shared" si="8"/>
      </c>
      <c r="AS73">
        <f t="shared" si="8"/>
      </c>
      <c r="AT73">
        <f t="shared" si="8"/>
      </c>
      <c r="AU73">
        <f t="shared" si="8"/>
      </c>
      <c r="AV73">
        <f t="shared" si="8"/>
      </c>
      <c r="AW73">
        <f t="shared" si="8"/>
      </c>
      <c r="AX73">
        <f t="shared" si="8"/>
      </c>
      <c r="AY73">
        <f t="shared" si="8"/>
      </c>
      <c r="AZ73">
        <f t="shared" si="8"/>
      </c>
      <c r="BA73">
        <f t="shared" si="8"/>
      </c>
      <c r="BB73">
        <f t="shared" si="8"/>
      </c>
      <c r="BC73">
        <f t="shared" si="8"/>
      </c>
      <c r="BD73">
        <f t="shared" si="8"/>
      </c>
      <c r="BE73">
        <f t="shared" si="8"/>
      </c>
      <c r="BF73">
        <f t="shared" si="8"/>
      </c>
      <c r="BG73">
        <f t="shared" si="8"/>
      </c>
      <c r="BH73">
        <f t="shared" si="8"/>
      </c>
      <c r="BI73">
        <f t="shared" si="8"/>
      </c>
      <c r="BJ73">
        <f t="shared" si="8"/>
      </c>
      <c r="BK73">
        <f t="shared" si="8"/>
      </c>
      <c r="BL73">
        <f t="shared" si="8"/>
      </c>
      <c r="BM73">
        <f t="shared" si="8"/>
      </c>
      <c r="BN73">
        <f t="shared" si="8"/>
      </c>
      <c r="BO73">
        <f t="shared" si="8"/>
      </c>
      <c r="BP73">
        <f t="shared" si="8"/>
      </c>
      <c r="BQ73">
        <f t="shared" si="8"/>
      </c>
      <c r="BR73">
        <f t="shared" si="8"/>
      </c>
      <c r="BS73">
        <f t="shared" si="8"/>
      </c>
      <c r="BT73">
        <f t="shared" si="8"/>
      </c>
      <c r="BU73">
        <f t="shared" si="8"/>
      </c>
      <c r="BV73">
        <f t="shared" si="8"/>
      </c>
      <c r="BW73">
        <f t="shared" si="8"/>
      </c>
      <c r="BX73">
        <f t="shared" si="8"/>
      </c>
      <c r="BY73">
        <f t="shared" si="8"/>
      </c>
      <c r="BZ73">
        <f t="shared" si="8"/>
      </c>
      <c r="CA73">
        <f t="shared" si="8"/>
      </c>
      <c r="CB73">
        <f t="shared" si="8"/>
      </c>
      <c r="CC73">
        <f t="shared" si="8"/>
      </c>
      <c r="CD73">
        <f t="shared" si="8"/>
      </c>
      <c r="CE73">
        <f t="shared" si="8"/>
      </c>
      <c r="CF73">
        <f t="shared" si="8"/>
      </c>
      <c r="CG73">
        <f t="shared" si="8"/>
      </c>
      <c r="CH73">
        <f t="shared" si="8"/>
      </c>
      <c r="CI73">
        <f t="shared" si="8"/>
      </c>
      <c r="CJ73">
        <f t="shared" si="8"/>
      </c>
      <c r="CK73">
        <f t="shared" si="8"/>
      </c>
      <c r="CL73">
        <f t="shared" si="8"/>
      </c>
      <c r="CM73">
        <f t="shared" si="8"/>
      </c>
      <c r="CN73">
        <f t="shared" si="8"/>
      </c>
      <c r="CO73">
        <f t="shared" si="8"/>
      </c>
      <c r="CP73">
        <f t="shared" si="8"/>
      </c>
      <c r="CQ73">
        <f t="shared" si="8"/>
      </c>
      <c r="CR73">
        <f t="shared" si="8"/>
      </c>
      <c r="CS73">
        <f t="shared" si="8"/>
      </c>
      <c r="CT73">
        <f t="shared" si="8"/>
      </c>
      <c r="CU73">
        <f t="shared" si="8"/>
      </c>
      <c r="CV73">
        <f t="shared" si="8"/>
      </c>
      <c r="CW73">
        <f t="shared" si="8"/>
      </c>
      <c r="CX73">
        <f t="shared" si="8"/>
      </c>
      <c r="CY73">
        <f t="shared" si="8"/>
      </c>
      <c r="CZ73">
        <f t="shared" si="8"/>
      </c>
      <c r="DA73">
        <f t="shared" si="8"/>
      </c>
      <c r="DB73">
        <f t="shared" si="8"/>
      </c>
      <c r="DC73">
        <f t="shared" si="8"/>
      </c>
      <c r="DD73">
        <f t="shared" si="8"/>
      </c>
      <c r="DE73">
        <f t="shared" si="8"/>
      </c>
      <c r="DF73">
        <f t="shared" si="8"/>
      </c>
      <c r="DG73">
        <f t="shared" si="8"/>
      </c>
      <c r="DH73">
        <f t="shared" si="8"/>
      </c>
      <c r="DI73">
        <f t="shared" si="8"/>
      </c>
      <c r="DJ73">
        <f t="shared" si="8"/>
      </c>
      <c r="DK73">
        <f t="shared" si="8"/>
      </c>
      <c r="DL73">
        <f t="shared" si="8"/>
      </c>
      <c r="DM73">
        <f t="shared" si="8"/>
      </c>
      <c r="DN73">
        <f t="shared" si="8"/>
      </c>
      <c r="DO73">
        <f t="shared" si="8"/>
      </c>
      <c r="DP73">
        <f t="shared" si="8"/>
      </c>
      <c r="DQ73">
        <f t="shared" si="8"/>
      </c>
      <c r="DR73">
        <f t="shared" si="8"/>
      </c>
      <c r="DS73">
        <f t="shared" si="8"/>
      </c>
      <c r="DT73">
        <f t="shared" si="8"/>
      </c>
      <c r="DU73">
        <f t="shared" si="8"/>
      </c>
      <c r="DV73">
        <f t="shared" si="8"/>
      </c>
      <c r="DW73">
        <f t="shared" si="8"/>
      </c>
      <c r="DX73">
        <f t="shared" si="8"/>
      </c>
      <c r="DY73">
        <f t="shared" si="8"/>
      </c>
      <c r="DZ73">
        <f t="shared" si="8"/>
      </c>
      <c r="EA73">
        <f t="shared" si="8"/>
      </c>
      <c r="EB73">
        <f t="shared" si="8"/>
      </c>
      <c r="EC73">
        <f t="shared" si="8"/>
      </c>
      <c r="ED73">
        <f t="shared" si="8"/>
      </c>
      <c r="EE73">
        <f t="shared" si="8"/>
      </c>
      <c r="EF73">
        <f t="shared" si="8"/>
      </c>
      <c r="EG73">
        <f t="shared" si="8"/>
      </c>
      <c r="EH73">
        <f t="shared" si="8"/>
      </c>
      <c r="EI73">
        <f t="shared" si="8"/>
      </c>
      <c r="EJ73">
        <f t="shared" si="8"/>
      </c>
      <c r="EK73">
        <f t="shared" si="8"/>
      </c>
      <c r="EL73">
        <f t="shared" si="8"/>
      </c>
      <c r="EM73">
        <f t="shared" si="8"/>
      </c>
      <c r="EN73">
        <f t="shared" si="8"/>
      </c>
      <c r="EO73">
        <f t="shared" si="8"/>
      </c>
      <c r="EP73">
        <f t="shared" si="8"/>
      </c>
      <c r="EQ73">
        <f t="shared" si="8"/>
      </c>
      <c r="ER73">
        <f t="shared" si="8"/>
      </c>
      <c r="ES73">
        <f t="shared" si="8"/>
      </c>
      <c r="ET73">
        <f t="shared" si="8"/>
      </c>
      <c r="EU73">
        <f t="shared" si="8"/>
      </c>
      <c r="EV73">
        <f t="shared" si="8"/>
      </c>
      <c r="EW73">
        <f t="shared" si="8"/>
      </c>
      <c r="EX73">
        <f t="shared" si="8"/>
      </c>
      <c r="EY73">
        <f t="shared" si="8"/>
      </c>
      <c r="EZ73">
        <f t="shared" si="8"/>
      </c>
      <c r="FA73" t="str">
        <f t="shared" si="12"/>
        <v>-</v>
      </c>
      <c r="FB73">
        <f t="shared" si="13"/>
      </c>
      <c r="FC73" cm="1">
        <f t="array" ref="FC73">_xlfn.LET(_xlpm.unit_type,$G73,_xlpm.market_rent_from_rent_roll,$E73,_xlpm.unit_type_list,RentRoll_InputArea_DesignatedUnitType,_xlpm.rent_by_unit_type,RentRoll_InputArea_MarketRent,_xlpm.use_rent_roll_market_rent,LEFT(RR_VacantUnitMktRentSource,9)="Rent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73">
        <f t="shared" si="14"/>
        <v>1618</v>
      </c>
      <c r="FE73">
        <f t="shared" si="15"/>
        <v>1618</v>
      </c>
      <c r="FF73">
        <f t="shared" si="16"/>
        <v>1618</v>
      </c>
      <c r="FH73">
        <f t="shared" si="17"/>
      </c>
      <c r="FI73">
        <f t="shared" si="18"/>
      </c>
      <c r="FK73" cm="1">
        <f t="array" ref="FK73">IF(AND(LEN($D73)&gt;0,ISNA(MATCH(TRUE,EXACT($G73,RentRoll_InputArea_DesignatedUnitType),0))),1,0)</f>
        <v>0</v>
      </c>
      <c r="FL73">
        <f t="shared" si="19"/>
        <v>50</v>
      </c>
      <c r="IO73" cm="1">
        <f t="array" ref="IO73">IF(LEN($G73)=0,"Rent Roll is incomplete",_xlfn.XLOOKUP(TRUE,EXACT(RentRoll_InputArea_DesignatedUnitType,$G73),RentRoll_InputArea_Beds,"Not Found"))</f>
        <v>0</v>
      </c>
      <c r="IQ73" t="str">
        <f t="shared" si="20"/>
        <v>0 Bedroom Unit (Efficiency/Studio)</v>
      </c>
      <c r="IR73">
        <f t="shared" si="21"/>
        <v>1618</v>
      </c>
      <c r="IW73" t="str">
        <f t="shared" si="22"/>
        <v>5-505</v>
      </c>
      <c r="IZ73">
        <f t="shared" si="23"/>
        <v>0</v>
      </c>
      <c r="JA73">
        <f t="shared" si="24"/>
        <v>1618</v>
      </c>
      <c r="JH73">
        <f t="shared" si="25"/>
        <v>1533</v>
      </c>
      <c r="JJ73">
        <f t="shared" si="26"/>
      </c>
      <c r="JQ73" t="str">
        <f t="shared" si="27"/>
        <v>Occupied</v>
      </c>
      <c r="JR73" cm="1">
        <f t="array" ref="JR73">_xlfn.XLOOKUP(TRUE,EXACT(RentRoll_InputArea_DesignatedUnitType,$G73),RentRoll_InputArea_SquareFootage,"Not Found")</f>
        <v>1050</v>
      </c>
      <c r="JS73" t="str">
        <f t="shared" si="28"/>
        <v>Apartment</v>
      </c>
      <c r="JT73">
        <f t="shared" si="29"/>
      </c>
      <c r="JY73">
        <f t="shared" si="9"/>
        <v>43586</v>
      </c>
      <c r="JZ73">
        <f t="shared" si="9"/>
        <v>43951</v>
      </c>
    </row>
    <row r="74" ht="15" customHeight="1">
      <c r="A74">
        <f t="shared" si="10"/>
        <v>51</v>
      </c>
      <c r="D74" t="s">
        <v>2844</v>
      </c>
      <c r="E74">
        <v>1518</v>
      </c>
      <c r="F74" t="s">
        <v>2845</v>
      </c>
      <c r="G74" t="s">
        <v>2532</v>
      </c>
      <c r="H74">
        <v>1481</v>
      </c>
      <c r="I74" cm="1">
        <f t="array" ref="I74">_xlfn.LET(_xlpm.has_subsidy,$N74&gt;0,_xlpm.is_chap9_sbl,$FF$20,_xlpm.contract_rent,$H74,_xlpm.unit_type_mkt_rent,_xlfn.XLOOKUP(TRUE,EXACT($G74,RentRoll_InputArea_DesignatedUnitType),RentRoll_InputArea_MarketRent,"Not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4">
        <f t="shared" si="11"/>
        <v>1481</v>
      </c>
      <c r="O74" s="1">
        <v>43440</v>
      </c>
      <c r="P74" s="1">
        <v>43738</v>
      </c>
      <c r="Q74">
        <f t="shared" si="8"/>
      </c>
      <c r="R74">
        <f t="shared" si="8"/>
      </c>
      <c r="S74">
        <f t="shared" si="8"/>
      </c>
      <c r="T74">
        <f t="shared" si="8"/>
        <v>1481</v>
      </c>
      <c r="U74">
        <f t="shared" si="8"/>
      </c>
      <c r="V74">
        <f t="shared" si="8"/>
      </c>
      <c r="W74">
        <f t="shared" si="8"/>
      </c>
      <c r="X74">
        <f t="shared" si="8"/>
      </c>
      <c r="Y74">
        <f t="shared" si="8"/>
      </c>
      <c r="Z74">
        <f t="shared" si="8"/>
      </c>
      <c r="AA74">
        <f t="shared" si="8"/>
      </c>
      <c r="AB74">
        <f t="shared" si="8"/>
      </c>
      <c r="AC74">
        <f t="shared" si="8"/>
      </c>
      <c r="AD74">
        <f t="shared" si="8"/>
      </c>
      <c r="AE74">
        <f t="shared" si="8"/>
      </c>
      <c r="AF74">
        <f t="shared" si="8"/>
      </c>
      <c r="AG74">
        <f t="shared" si="8"/>
      </c>
      <c r="AH74">
        <f t="shared" si="8"/>
      </c>
      <c r="AI74">
        <f t="shared" si="8"/>
      </c>
      <c r="AJ74">
        <f t="shared" si="8"/>
      </c>
      <c r="AK74">
        <f t="shared" si="8"/>
      </c>
      <c r="AL74">
        <f t="shared" si="8"/>
      </c>
      <c r="AM74">
        <f t="shared" si="8"/>
      </c>
      <c r="AN74">
        <f t="shared" si="8"/>
      </c>
      <c r="AO74">
        <f t="shared" si="8"/>
      </c>
      <c r="AP74">
        <f t="shared" si="8"/>
      </c>
      <c r="AQ74">
        <f t="shared" si="8"/>
      </c>
      <c r="AR74">
        <f t="shared" si="8"/>
      </c>
      <c r="AS74">
        <f t="shared" si="8"/>
      </c>
      <c r="AT74">
        <f t="shared" si="8"/>
      </c>
      <c r="AU74">
        <f t="shared" si="8"/>
      </c>
      <c r="AV74">
        <f t="shared" si="8"/>
      </c>
      <c r="AW74">
        <f t="shared" si="8"/>
      </c>
      <c r="AX74">
        <f t="shared" si="8"/>
      </c>
      <c r="AY74">
        <f t="shared" si="8"/>
      </c>
      <c r="AZ74">
        <f t="shared" si="8"/>
      </c>
      <c r="BA74">
        <f t="shared" si="8"/>
      </c>
      <c r="BB74">
        <f t="shared" si="8"/>
      </c>
      <c r="BC74">
        <f t="shared" si="8"/>
      </c>
      <c r="BD74">
        <f t="shared" si="8"/>
      </c>
      <c r="BE74">
        <f t="shared" si="8"/>
      </c>
      <c r="BF74">
        <f t="shared" si="8"/>
      </c>
      <c r="BG74">
        <f t="shared" si="8"/>
      </c>
      <c r="BH74">
        <f t="shared" si="8"/>
      </c>
      <c r="BI74">
        <f t="shared" si="8"/>
      </c>
      <c r="BJ74">
        <f t="shared" si="8"/>
      </c>
      <c r="BK74">
        <f t="shared" si="8"/>
      </c>
      <c r="BL74">
        <f t="shared" si="8"/>
      </c>
      <c r="BM74">
        <f t="shared" si="8"/>
      </c>
      <c r="BN74">
        <f t="shared" si="8"/>
      </c>
      <c r="BO74">
        <f t="shared" si="8"/>
      </c>
      <c r="BP74">
        <f t="shared" si="8"/>
      </c>
      <c r="BQ74">
        <f t="shared" si="8"/>
      </c>
      <c r="BR74">
        <f t="shared" si="8"/>
      </c>
      <c r="BS74">
        <f t="shared" si="8"/>
      </c>
      <c r="BT74">
        <f t="shared" si="8"/>
      </c>
      <c r="BU74">
        <f t="shared" si="8"/>
      </c>
      <c r="BV74">
        <f t="shared" si="8"/>
      </c>
      <c r="BW74">
        <f t="shared" si="8"/>
      </c>
      <c r="BX74">
        <f t="shared" si="8"/>
      </c>
      <c r="BY74">
        <f t="shared" si="8"/>
      </c>
      <c r="BZ74">
        <f t="shared" si="8"/>
      </c>
      <c r="CA74">
        <f t="shared" si="8"/>
      </c>
      <c r="CB74">
        <f t="shared" si="8"/>
      </c>
      <c r="CC74">
        <f t="shared" si="8"/>
      </c>
      <c r="CD74">
        <f t="shared" si="8"/>
      </c>
      <c r="CE74">
        <f t="shared" si="8"/>
      </c>
      <c r="CF74">
        <f t="shared" si="8"/>
      </c>
      <c r="CG74">
        <f t="shared" si="8"/>
      </c>
      <c r="CH74">
        <f t="shared" si="8"/>
      </c>
      <c r="CI74">
        <f t="shared" si="8"/>
      </c>
      <c r="CJ74">
        <f t="shared" si="8"/>
      </c>
      <c r="CK74">
        <f t="shared" si="8"/>
      </c>
      <c r="CL74">
        <f t="shared" si="8"/>
      </c>
      <c r="CM74">
        <f t="shared" si="8"/>
      </c>
      <c r="CN74">
        <f t="shared" si="8"/>
      </c>
      <c r="CO74">
        <f t="shared" si="8"/>
      </c>
      <c r="CP74">
        <f t="shared" si="8"/>
      </c>
      <c r="CQ74">
        <f t="shared" si="8"/>
      </c>
      <c r="CR74">
        <f t="shared" si="8"/>
      </c>
      <c r="CS74">
        <f t="shared" si="8"/>
      </c>
      <c r="CT74">
        <f t="shared" si="8"/>
      </c>
      <c r="CU74">
        <f t="shared" si="8"/>
      </c>
      <c r="CV74">
        <f t="shared" si="8"/>
      </c>
      <c r="CW74">
        <f t="shared" si="8"/>
      </c>
      <c r="CX74">
        <f t="shared" si="8"/>
      </c>
      <c r="CY74">
        <f t="shared" si="8"/>
      </c>
      <c r="CZ74">
        <f t="shared" si="8"/>
      </c>
      <c r="DA74">
        <f t="shared" si="8"/>
      </c>
      <c r="DB74">
        <f t="shared" si="8"/>
      </c>
      <c r="DC74">
        <f t="shared" si="8"/>
      </c>
      <c r="DD74">
        <f t="shared" si="8"/>
      </c>
      <c r="DE74">
        <f t="shared" si="8"/>
      </c>
      <c r="DF74">
        <f t="shared" si="8"/>
      </c>
      <c r="DG74">
        <f t="shared" si="8"/>
      </c>
      <c r="DH74">
        <f t="shared" si="8"/>
      </c>
      <c r="DI74">
        <f t="shared" si="8"/>
      </c>
      <c r="DJ74">
        <f t="shared" si="8"/>
      </c>
      <c r="DK74">
        <f t="shared" si="8"/>
      </c>
      <c r="DL74">
        <f t="shared" si="8"/>
      </c>
      <c r="DM74">
        <f t="shared" si="8"/>
      </c>
      <c r="DN74">
        <f t="shared" si="8"/>
      </c>
      <c r="DO74">
        <f t="shared" si="8"/>
      </c>
      <c r="DP74">
        <f t="shared" si="8"/>
      </c>
      <c r="DQ74">
        <f t="shared" si="8"/>
      </c>
      <c r="DR74">
        <f t="shared" si="8"/>
      </c>
      <c r="DS74">
        <f t="shared" si="8"/>
      </c>
      <c r="DT74">
        <f t="shared" si="8"/>
      </c>
      <c r="DU74">
        <f t="shared" si="8"/>
      </c>
      <c r="DV74">
        <f t="shared" si="8"/>
      </c>
      <c r="DW74">
        <f t="shared" si="8"/>
      </c>
      <c r="DX74">
        <f t="shared" si="8"/>
      </c>
      <c r="DY74">
        <f t="shared" si="8"/>
      </c>
      <c r="DZ74">
        <f t="shared" si="8"/>
      </c>
      <c r="EA74">
        <f t="shared" si="8"/>
      </c>
      <c r="EB74">
        <f t="shared" si="8"/>
      </c>
      <c r="EC74">
        <f t="shared" si="8"/>
      </c>
      <c r="ED74">
        <f t="shared" si="8"/>
      </c>
      <c r="EE74">
        <f t="shared" si="8"/>
      </c>
      <c r="EF74">
        <f t="shared" si="8"/>
      </c>
      <c r="EG74">
        <f t="shared" si="8"/>
      </c>
      <c r="EH74">
        <f t="shared" si="8"/>
      </c>
      <c r="EI74">
        <f t="shared" si="8"/>
      </c>
      <c r="EJ74">
        <f t="shared" si="8"/>
      </c>
      <c r="EK74">
        <f t="shared" si="8"/>
      </c>
      <c r="EL74">
        <f t="shared" si="8"/>
      </c>
      <c r="EM74">
        <f t="shared" si="8"/>
      </c>
      <c r="EN74">
        <f t="shared" si="8"/>
      </c>
      <c r="EO74">
        <f t="shared" si="8"/>
      </c>
      <c r="EP74">
        <f t="shared" si="8"/>
      </c>
      <c r="EQ74">
        <f t="shared" si="8"/>
      </c>
      <c r="ER74">
        <f t="shared" si="8"/>
      </c>
      <c r="ES74">
        <f t="shared" si="8"/>
      </c>
      <c r="ET74">
        <f t="shared" si="8"/>
      </c>
      <c r="EU74">
        <f t="shared" si="8"/>
      </c>
      <c r="EV74">
        <f t="shared" si="8"/>
      </c>
      <c r="EW74">
        <f t="shared" si="8"/>
      </c>
      <c r="EX74">
        <f t="shared" si="8"/>
      </c>
      <c r="EY74">
        <f t="shared" si="8"/>
      </c>
      <c r="EZ74">
        <f t="shared" si="8"/>
      </c>
      <c r="FA74" t="str">
        <f t="shared" si="12"/>
        <v>-</v>
      </c>
      <c r="FB74">
        <f t="shared" si="13"/>
      </c>
      <c r="FC74" cm="1">
        <f t="array" ref="FC74">_xlfn.LET(_xlpm.unit_type,$G74,_xlpm.market_rent_from_rent_roll,$E74,_xlpm.unit_type_list,RentRoll_InputArea_DesignatedUnitType,_xlpm.rent_by_unit_type,RentRoll_InputArea_MarketRent,_xlpm.use_rent_roll_market_rent,LEFT(RR_VacantUnitMktRentSource,9)="Rent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74">
        <f t="shared" si="14"/>
        <v>1481</v>
      </c>
      <c r="FE74">
        <f t="shared" si="15"/>
        <v>1481</v>
      </c>
      <c r="FF74">
        <f t="shared" si="16"/>
        <v>1481</v>
      </c>
      <c r="FH74">
        <f t="shared" si="17"/>
      </c>
      <c r="FI74">
        <f t="shared" si="18"/>
      </c>
      <c r="FK74" cm="1">
        <f t="array" ref="FK74">IF(AND(LEN($D74)&gt;0,ISNA(MATCH(TRUE,EXACT($G74,RentRoll_InputArea_DesignatedUnitType),0))),1,0)</f>
        <v>0</v>
      </c>
      <c r="FL74">
        <f t="shared" si="19"/>
        <v>51</v>
      </c>
      <c r="IO74" cm="1">
        <f t="array" ref="IO74">IF(LEN($G74)=0,"Rent Roll is incomplete",_xlfn.XLOOKUP(TRUE,EXACT(RentRoll_InputArea_DesignatedUnitType,$G74),RentRoll_InputArea_Beds,"Not Found"))</f>
        <v>0</v>
      </c>
      <c r="IQ74" t="str">
        <f t="shared" si="20"/>
        <v>0 Bedroom Unit (Efficiency/Studio)</v>
      </c>
      <c r="IR74">
        <f t="shared" si="21"/>
        <v>1481</v>
      </c>
      <c r="IW74" t="str">
        <f t="shared" si="22"/>
        <v>5-506</v>
      </c>
      <c r="IZ74">
        <f t="shared" si="23"/>
        <v>0</v>
      </c>
      <c r="JA74">
        <f t="shared" si="24"/>
        <v>1481</v>
      </c>
      <c r="JH74">
        <f t="shared" si="25"/>
        <v>1533</v>
      </c>
      <c r="JJ74">
        <f t="shared" si="26"/>
      </c>
      <c r="JQ74" t="str">
        <f t="shared" si="27"/>
        <v>Occupied</v>
      </c>
      <c r="JR74" cm="1">
        <f t="array" ref="JR74">_xlfn.XLOOKUP(TRUE,EXACT(RentRoll_InputArea_DesignatedUnitType,$G74),RentRoll_InputArea_SquareFootage,"Not Found")</f>
        <v>1050</v>
      </c>
      <c r="JS74" t="str">
        <f t="shared" si="28"/>
        <v>Apartment</v>
      </c>
      <c r="JT74">
        <f t="shared" si="29"/>
      </c>
      <c r="JY74">
        <f t="shared" si="9"/>
        <v>43440</v>
      </c>
      <c r="JZ74">
        <f t="shared" si="9"/>
        <v>43738</v>
      </c>
    </row>
    <row r="75" ht="15" customHeight="1">
      <c r="A75">
        <f t="shared" si="10"/>
        <v>52</v>
      </c>
      <c r="D75" t="s">
        <v>2846</v>
      </c>
      <c r="E75">
        <v>1570</v>
      </c>
      <c r="F75" t="s">
        <v>2847</v>
      </c>
      <c r="G75" t="s">
        <v>2532</v>
      </c>
      <c r="H75">
        <v>1513</v>
      </c>
      <c r="I75" cm="1">
        <f t="array" ref="I75">_xlfn.LET(_xlpm.has_subsidy,$N75&gt;0,_xlpm.is_chap9_sbl,$FF$20,_xlpm.contract_rent,$H75,_xlpm.unit_type_mkt_rent,_xlfn.XLOOKUP(TRUE,EXACT($G75,RentRoll_InputArea_DesignatedUnitType),RentRoll_InputArea_MarketRent,"Not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5">
        <f t="shared" si="11"/>
        <v>1513</v>
      </c>
      <c r="O75" s="1">
        <v>43317</v>
      </c>
      <c r="P75" s="1">
        <v>43616</v>
      </c>
      <c r="Q75">
        <f t="shared" si="8"/>
      </c>
      <c r="R75">
        <f t="shared" si="8"/>
      </c>
      <c r="S75">
        <f t="shared" si="8"/>
      </c>
      <c r="T75">
        <f t="shared" si="8"/>
        <v>1513</v>
      </c>
      <c r="U75">
        <f t="shared" si="8"/>
      </c>
      <c r="V75">
        <f t="shared" si="8"/>
      </c>
      <c r="W75">
        <f t="shared" si="8"/>
      </c>
      <c r="X75">
        <f t="shared" si="8"/>
      </c>
      <c r="Y75">
        <f t="shared" si="8"/>
      </c>
      <c r="Z75">
        <f t="shared" si="8"/>
      </c>
      <c r="AA75">
        <f t="shared" si="8"/>
      </c>
      <c r="AB75">
        <f t="shared" si="8"/>
      </c>
      <c r="AC75">
        <f t="shared" si="8"/>
      </c>
      <c r="AD75">
        <f t="shared" si="8"/>
      </c>
      <c r="AE75">
        <f t="shared" si="8"/>
      </c>
      <c r="AF75">
        <f t="shared" si="8"/>
      </c>
      <c r="AG75">
        <f t="shared" si="8"/>
      </c>
      <c r="AH75">
        <f t="shared" si="8"/>
      </c>
      <c r="AI75">
        <f t="shared" si="8"/>
      </c>
      <c r="AJ75">
        <f t="shared" si="8"/>
      </c>
      <c r="AK75">
        <f t="shared" si="8"/>
      </c>
      <c r="AL75">
        <f t="shared" si="8"/>
      </c>
      <c r="AM75">
        <f t="shared" si="8"/>
      </c>
      <c r="AN75">
        <f t="shared" si="8"/>
      </c>
      <c r="AO75">
        <f t="shared" si="8"/>
      </c>
      <c r="AP75">
        <f t="shared" si="8"/>
      </c>
      <c r="AQ75">
        <f t="shared" si="8"/>
      </c>
      <c r="AR75">
        <f t="shared" si="8"/>
      </c>
      <c r="AS75">
        <f t="shared" si="8"/>
      </c>
      <c r="AT75">
        <f t="shared" si="8"/>
      </c>
      <c r="AU75">
        <f t="shared" si="8"/>
      </c>
      <c r="AV75">
        <f t="shared" si="8"/>
      </c>
      <c r="AW75">
        <f t="shared" si="8"/>
      </c>
      <c r="AX75">
        <f t="shared" si="8"/>
      </c>
      <c r="AY75">
        <f t="shared" si="8"/>
      </c>
      <c r="AZ75">
        <f t="shared" si="8"/>
      </c>
      <c r="BA75">
        <f t="shared" si="8"/>
      </c>
      <c r="BB75">
        <f t="shared" si="8"/>
      </c>
      <c r="BC75">
        <f t="shared" si="8"/>
      </c>
      <c r="BD75">
        <f t="shared" si="8"/>
      </c>
      <c r="BE75">
        <f t="shared" si="8"/>
      </c>
      <c r="BF75">
        <f t="shared" si="8"/>
      </c>
      <c r="BG75">
        <f t="shared" si="8"/>
      </c>
      <c r="BH75">
        <f t="shared" si="8"/>
      </c>
      <c r="BI75">
        <f t="shared" si="8"/>
      </c>
      <c r="BJ75">
        <f t="shared" si="8"/>
      </c>
      <c r="BK75">
        <f t="shared" si="8"/>
      </c>
      <c r="BL75">
        <f t="shared" si="8"/>
      </c>
      <c r="BM75">
        <f t="shared" si="8"/>
      </c>
      <c r="BN75">
        <f t="shared" si="8"/>
      </c>
      <c r="BO75">
        <f t="shared" si="8"/>
      </c>
      <c r="BP75">
        <f t="shared" si="8"/>
      </c>
      <c r="BQ75">
        <f t="shared" si="8"/>
      </c>
      <c r="BR75">
        <f t="shared" si="8"/>
      </c>
      <c r="BS75">
        <f t="shared" si="8"/>
      </c>
      <c r="BT75">
        <f t="shared" si="8"/>
      </c>
      <c r="BU75">
        <f t="shared" si="8"/>
      </c>
      <c r="BV75">
        <f t="shared" si="8"/>
      </c>
      <c r="BW75">
        <f t="shared" si="8"/>
      </c>
      <c r="BX75">
        <f t="shared" si="8"/>
      </c>
      <c r="BY75">
        <f t="shared" si="8"/>
      </c>
      <c r="BZ75">
        <f t="shared" si="8"/>
      </c>
      <c r="CA75">
        <f t="shared" si="8"/>
      </c>
      <c r="CB75">
        <f t="shared" si="8"/>
      </c>
      <c r="CC75">
        <f t="shared" si="8"/>
      </c>
      <c r="CD75">
        <f t="shared" si="8"/>
      </c>
      <c r="CE75">
        <f t="shared" si="8"/>
      </c>
      <c r="CF75">
        <f t="shared" si="8"/>
      </c>
      <c r="CG75">
        <f t="shared" si="8"/>
      </c>
      <c r="CH75">
        <f t="shared" si="8"/>
      </c>
      <c r="CI75">
        <f t="shared" si="8"/>
      </c>
      <c r="CJ75">
        <f t="shared" si="8"/>
      </c>
      <c r="CK75">
        <f t="shared" si="8"/>
      </c>
      <c r="CL75">
        <f t="shared" si="8"/>
      </c>
      <c r="CM75">
        <f t="shared" si="8"/>
      </c>
      <c r="CN75">
        <f t="shared" si="8"/>
      </c>
      <c r="CO75">
        <f t="shared" si="8"/>
      </c>
      <c r="CP75">
        <f t="shared" si="8"/>
      </c>
      <c r="CQ75">
        <f t="shared" si="8"/>
      </c>
      <c r="CR75">
        <f t="shared" si="8"/>
      </c>
      <c r="CS75">
        <f t="shared" si="8"/>
      </c>
      <c r="CT75">
        <f t="shared" si="8"/>
      </c>
      <c r="CU75">
        <f t="shared" si="8"/>
      </c>
      <c r="CV75">
        <f t="shared" si="8"/>
      </c>
      <c r="CW75">
        <f t="shared" si="8"/>
      </c>
      <c r="CX75">
        <f t="shared" si="8"/>
      </c>
      <c r="CY75">
        <f t="shared" si="8"/>
      </c>
      <c r="CZ75">
        <f t="shared" si="8"/>
      </c>
      <c r="DA75">
        <f t="shared" si="8"/>
      </c>
      <c r="DB75">
        <f t="shared" si="8"/>
      </c>
      <c r="DC75">
        <f t="shared" si="8"/>
      </c>
      <c r="DD75">
        <f t="shared" si="8"/>
      </c>
      <c r="DE75">
        <f t="shared" si="8"/>
      </c>
      <c r="DF75">
        <f t="shared" si="8"/>
      </c>
      <c r="DG75">
        <f t="shared" si="8"/>
      </c>
      <c r="DH75">
        <f t="shared" si="8"/>
      </c>
      <c r="DI75">
        <f t="shared" si="8"/>
      </c>
      <c r="DJ75">
        <f t="shared" si="8"/>
      </c>
      <c r="DK75">
        <f t="shared" si="8"/>
      </c>
      <c r="DL75">
        <f t="shared" si="8"/>
      </c>
      <c r="DM75">
        <f t="shared" si="8"/>
      </c>
      <c r="DN75">
        <f t="shared" si="8"/>
      </c>
      <c r="DO75">
        <f t="shared" si="8"/>
      </c>
      <c r="DP75">
        <f t="shared" si="8"/>
      </c>
      <c r="DQ75">
        <f t="shared" si="8"/>
      </c>
      <c r="DR75">
        <f t="shared" si="8"/>
      </c>
      <c r="DS75">
        <f t="shared" si="8"/>
      </c>
      <c r="DT75">
        <f t="shared" si="8"/>
      </c>
      <c r="DU75">
        <f t="shared" si="8"/>
      </c>
      <c r="DV75">
        <f t="shared" si="8"/>
      </c>
      <c r="DW75">
        <f t="shared" si="8"/>
      </c>
      <c r="DX75">
        <f t="shared" si="8"/>
      </c>
      <c r="DY75">
        <f t="shared" si="8"/>
      </c>
      <c r="DZ75">
        <f t="shared" si="8"/>
      </c>
      <c r="EA75">
        <f t="shared" si="8"/>
      </c>
      <c r="EB75">
        <f t="shared" si="8"/>
      </c>
      <c r="EC75">
        <f t="shared" si="8"/>
      </c>
      <c r="ED75">
        <f t="shared" si="8"/>
      </c>
      <c r="EE75">
        <f t="shared" si="8"/>
      </c>
      <c r="EF75">
        <f t="shared" si="8"/>
      </c>
      <c r="EG75">
        <f t="shared" si="8"/>
      </c>
      <c r="EH75">
        <f t="shared" si="8"/>
      </c>
      <c r="EI75">
        <f t="shared" si="8"/>
      </c>
      <c r="EJ75">
        <f t="shared" si="8"/>
      </c>
      <c r="EK75">
        <f t="shared" si="8"/>
      </c>
      <c r="EL75">
        <f t="shared" si="8"/>
      </c>
      <c r="EM75">
        <f t="shared" si="8"/>
      </c>
      <c r="EN75">
        <f t="shared" si="8"/>
      </c>
      <c r="EO75">
        <f t="shared" si="8"/>
      </c>
      <c r="EP75">
        <f t="shared" si="8"/>
      </c>
      <c r="EQ75">
        <f t="shared" si="8"/>
      </c>
      <c r="ER75">
        <f t="shared" si="8"/>
      </c>
      <c r="ES75">
        <f t="shared" si="8"/>
      </c>
      <c r="ET75">
        <f t="shared" si="8"/>
      </c>
      <c r="EU75">
        <f t="shared" si="8"/>
      </c>
      <c r="EV75">
        <f t="shared" si="8"/>
      </c>
      <c r="EW75">
        <f t="shared" si="8"/>
      </c>
      <c r="EX75">
        <f t="shared" si="8"/>
      </c>
      <c r="EY75">
        <f t="shared" si="8"/>
      </c>
      <c r="EZ75">
        <f t="shared" si="8"/>
      </c>
      <c r="FA75" t="str">
        <f t="shared" si="12"/>
        <v>-</v>
      </c>
      <c r="FB75">
        <f t="shared" si="13"/>
      </c>
      <c r="FC75" cm="1">
        <f t="array" ref="FC75">_xlfn.LET(_xlpm.unit_type,$G75,_xlpm.market_rent_from_rent_roll,$E75,_xlpm.unit_type_list,RentRoll_InputArea_DesignatedUnitType,_xlpm.rent_by_unit_type,RentRoll_InputArea_MarketRent,_xlpm.use_rent_roll_market_rent,LEFT(RR_VacantUnitMktRentSource,9)="Rent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75">
        <f t="shared" si="14"/>
        <v>1513</v>
      </c>
      <c r="FE75">
        <f t="shared" si="15"/>
        <v>1513</v>
      </c>
      <c r="FF75">
        <f t="shared" si="16"/>
        <v>1513</v>
      </c>
      <c r="FH75">
        <f t="shared" si="17"/>
      </c>
      <c r="FI75">
        <f t="shared" si="18"/>
      </c>
      <c r="FK75" cm="1">
        <f t="array" ref="FK75">IF(AND(LEN($D75)&gt;0,ISNA(MATCH(TRUE,EXACT($G75,RentRoll_InputArea_DesignatedUnitType),0))),1,0)</f>
        <v>0</v>
      </c>
      <c r="FL75">
        <f t="shared" si="19"/>
        <v>52</v>
      </c>
      <c r="IO75" cm="1">
        <f t="array" ref="IO75">IF(LEN($G75)=0,"Rent Roll is incomplete",_xlfn.XLOOKUP(TRUE,EXACT(RentRoll_InputArea_DesignatedUnitType,$G75),RentRoll_InputArea_Beds,"Not Found"))</f>
        <v>0</v>
      </c>
      <c r="IQ75" t="str">
        <f t="shared" si="20"/>
        <v>0 Bedroom Unit (Efficiency/Studio)</v>
      </c>
      <c r="IR75">
        <f t="shared" si="21"/>
        <v>1513</v>
      </c>
      <c r="IW75" t="str">
        <f t="shared" si="22"/>
        <v>5-507</v>
      </c>
      <c r="IZ75">
        <f t="shared" si="23"/>
        <v>0</v>
      </c>
      <c r="JA75">
        <f t="shared" si="24"/>
        <v>1513</v>
      </c>
      <c r="JH75">
        <f t="shared" si="25"/>
        <v>1533</v>
      </c>
      <c r="JJ75">
        <f t="shared" si="26"/>
      </c>
      <c r="JQ75" t="str">
        <f t="shared" si="27"/>
        <v>Occupied</v>
      </c>
      <c r="JR75" cm="1">
        <f t="array" ref="JR75">_xlfn.XLOOKUP(TRUE,EXACT(RentRoll_InputArea_DesignatedUnitType,$G75),RentRoll_InputArea_SquareFootage,"Not Found")</f>
        <v>1050</v>
      </c>
      <c r="JS75" t="str">
        <f t="shared" si="28"/>
        <v>Apartment</v>
      </c>
      <c r="JT75">
        <f t="shared" si="29"/>
      </c>
      <c r="JY75">
        <f t="shared" si="9"/>
        <v>43317</v>
      </c>
      <c r="JZ75">
        <f t="shared" si="9"/>
        <v>43616</v>
      </c>
    </row>
    <row r="76" ht="15" customHeight="1">
      <c r="A76">
        <f t="shared" si="10"/>
        <v>53</v>
      </c>
      <c r="D76" t="s">
        <v>2848</v>
      </c>
      <c r="E76">
        <v>1200</v>
      </c>
      <c r="F76" t="s">
        <v>2849</v>
      </c>
      <c r="G76" t="s">
        <v>2530</v>
      </c>
      <c r="H76">
        <v>1231</v>
      </c>
      <c r="I76" cm="1">
        <f t="array" ref="I76">_xlfn.LET(_xlpm.has_subsidy,$N76&gt;0,_xlpm.is_chap9_sbl,$FF$20,_xlpm.contract_rent,$H76,_xlpm.unit_type_mkt_rent,_xlfn.XLOOKUP(TRUE,EXACT($G76,RentRoll_InputArea_DesignatedUnitType),RentRoll_InputArea_MarketRent,"Not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6">
        <f t="shared" si="11"/>
        <v>1231</v>
      </c>
      <c r="O76" s="1">
        <v>43540</v>
      </c>
      <c r="P76" s="1">
        <v>43921</v>
      </c>
      <c r="Q76">
        <f t="shared" si="8"/>
      </c>
      <c r="R76">
        <f t="shared" si="8"/>
        <v>1231</v>
      </c>
      <c r="S76">
        <f t="shared" si="8"/>
      </c>
      <c r="T76">
        <f t="shared" si="8"/>
      </c>
      <c r="U76">
        <f t="shared" si="8"/>
      </c>
      <c r="V76">
        <f t="shared" si="8"/>
      </c>
      <c r="W76">
        <f t="shared" si="8"/>
      </c>
      <c r="X76">
        <f t="shared" si="8"/>
      </c>
      <c r="Y76">
        <f t="shared" si="8"/>
      </c>
      <c r="Z76">
        <f t="shared" si="8"/>
      </c>
      <c r="AA76">
        <f t="shared" si="8"/>
      </c>
      <c r="AB76">
        <f t="shared" si="8"/>
      </c>
      <c r="AC76">
        <f t="shared" si="8"/>
      </c>
      <c r="AD76">
        <f t="shared" si="8"/>
      </c>
      <c r="AE76">
        <f t="shared" si="8"/>
      </c>
      <c r="AF76">
        <f t="shared" si="8"/>
      </c>
      <c r="AG76">
        <f t="shared" si="8"/>
      </c>
      <c r="AH76">
        <f t="shared" si="8"/>
      </c>
      <c r="AI76">
        <f t="shared" si="8"/>
      </c>
      <c r="AJ76">
        <f t="shared" si="8"/>
      </c>
      <c r="AK76">
        <f t="shared" si="8"/>
      </c>
      <c r="AL76">
        <f t="shared" si="8"/>
      </c>
      <c r="AM76">
        <f t="shared" si="8"/>
      </c>
      <c r="AN76">
        <f t="shared" si="8"/>
      </c>
      <c r="AO76">
        <f t="shared" si="8"/>
      </c>
      <c r="AP76">
        <f t="shared" si="8"/>
      </c>
      <c r="AQ76">
        <f t="shared" si="8"/>
      </c>
      <c r="AR76">
        <f t="shared" si="8"/>
      </c>
      <c r="AS76">
        <f t="shared" si="8"/>
      </c>
      <c r="AT76">
        <f t="shared" si="8"/>
      </c>
      <c r="AU76">
        <f t="shared" si="8"/>
      </c>
      <c r="AV76">
        <f t="shared" si="8"/>
      </c>
      <c r="AW76">
        <f t="shared" si="8"/>
      </c>
      <c r="AX76">
        <f t="shared" si="8"/>
      </c>
      <c r="AY76">
        <f t="shared" si="8"/>
      </c>
      <c r="AZ76">
        <f t="shared" si="8"/>
      </c>
      <c r="BA76">
        <f t="shared" si="8"/>
      </c>
      <c r="BB76">
        <f t="shared" si="8"/>
      </c>
      <c r="BC76">
        <f t="shared" si="8"/>
      </c>
      <c r="BD76">
        <f t="shared" si="8"/>
      </c>
      <c r="BE76">
        <f t="shared" si="8"/>
      </c>
      <c r="BF76">
        <f t="shared" si="8"/>
      </c>
      <c r="BG76">
        <f t="shared" si="8"/>
      </c>
      <c r="BH76">
        <f t="shared" si="8"/>
      </c>
      <c r="BI76">
        <f t="shared" si="8"/>
      </c>
      <c r="BJ76">
        <f t="shared" si="8"/>
      </c>
      <c r="BK76">
        <f t="shared" si="8"/>
      </c>
      <c r="BL76">
        <f t="shared" si="8"/>
      </c>
      <c r="BM76">
        <f t="shared" si="8"/>
      </c>
      <c r="BN76">
        <f t="shared" si="8"/>
      </c>
      <c r="BO76">
        <f t="shared" si="8"/>
      </c>
      <c r="BP76">
        <f t="shared" si="8"/>
      </c>
      <c r="BQ76">
        <f t="shared" si="8"/>
      </c>
      <c r="BR76">
        <f t="shared" si="8"/>
      </c>
      <c r="BS76">
        <f t="shared" si="8"/>
      </c>
      <c r="BT76">
        <f t="shared" si="8"/>
      </c>
      <c r="BU76">
        <f t="shared" si="8"/>
      </c>
      <c r="BV76">
        <f t="shared" si="8"/>
      </c>
      <c r="BW76">
        <f t="shared" si="8"/>
      </c>
      <c r="BX76">
        <f t="shared" si="8"/>
      </c>
      <c r="BY76">
        <f t="shared" si="8"/>
      </c>
      <c r="BZ76">
        <f t="shared" si="8"/>
      </c>
      <c r="CA76">
        <f t="shared" si="8"/>
      </c>
      <c r="CB76">
        <f t="shared" si="8"/>
      </c>
      <c r="CC76">
        <f t="shared" si="8"/>
      </c>
      <c r="CD76">
        <f t="shared" si="8"/>
      </c>
      <c r="CE76">
        <f t="shared" si="8"/>
      </c>
      <c r="CF76">
        <f t="shared" si="8"/>
      </c>
      <c r="CG76">
        <f t="shared" si="8"/>
      </c>
      <c r="CH76">
        <f t="shared" si="8"/>
      </c>
      <c r="CI76">
        <f t="shared" si="8"/>
      </c>
      <c r="CJ76">
        <f t="shared" si="8"/>
      </c>
      <c r="CK76">
        <f t="shared" si="8"/>
      </c>
      <c r="CL76">
        <f t="shared" si="8"/>
      </c>
      <c r="CM76">
        <f t="shared" si="8"/>
      </c>
      <c r="CN76">
        <f t="shared" si="8"/>
      </c>
      <c r="CO76">
        <f t="shared" si="8"/>
      </c>
      <c r="CP76">
        <f t="shared" si="8"/>
      </c>
      <c r="CQ76">
        <f t="shared" si="8"/>
      </c>
      <c r="CR76">
        <f t="shared" si="8"/>
      </c>
      <c r="CS76">
        <f t="shared" si="8"/>
      </c>
      <c r="CT76">
        <f t="shared" si="8"/>
      </c>
      <c r="CU76">
        <f t="shared" si="8"/>
      </c>
      <c r="CV76">
        <f t="shared" si="8"/>
      </c>
      <c r="CW76">
        <f t="shared" si="8"/>
      </c>
      <c r="CX76">
        <f t="shared" si="8"/>
      </c>
      <c r="CY76">
        <f t="shared" si="8"/>
      </c>
      <c r="CZ76">
        <f t="shared" si="8"/>
      </c>
      <c r="DA76">
        <f t="shared" si="8"/>
      </c>
      <c r="DB76">
        <f t="shared" si="8"/>
      </c>
      <c r="DC76">
        <f t="shared" si="8"/>
      </c>
      <c r="DD76">
        <f t="shared" si="8"/>
      </c>
      <c r="DE76">
        <f t="shared" si="8"/>
      </c>
      <c r="DF76">
        <f t="shared" si="8"/>
      </c>
      <c r="DG76">
        <f t="shared" si="8"/>
      </c>
      <c r="DH76">
        <f t="shared" si="8"/>
      </c>
      <c r="DI76">
        <f t="shared" si="8"/>
      </c>
      <c r="DJ76">
        <f t="shared" si="8"/>
      </c>
      <c r="DK76">
        <f t="shared" si="8"/>
      </c>
      <c r="DL76">
        <f t="shared" si="8"/>
      </c>
      <c r="DM76">
        <f t="shared" si="8"/>
      </c>
      <c r="DN76">
        <f t="shared" si="8"/>
      </c>
      <c r="DO76">
        <f t="shared" si="8"/>
      </c>
      <c r="DP76">
        <f t="shared" si="8"/>
      </c>
      <c r="DQ76">
        <f t="shared" si="8"/>
      </c>
      <c r="DR76">
        <f t="shared" si="8"/>
      </c>
      <c r="DS76">
        <f t="shared" si="8"/>
      </c>
      <c r="DT76">
        <f t="shared" si="8"/>
      </c>
      <c r="DU76">
        <f t="shared" si="8"/>
      </c>
      <c r="DV76">
        <f t="shared" si="8"/>
      </c>
      <c r="DW76">
        <f t="shared" si="8"/>
      </c>
      <c r="DX76">
        <f t="shared" si="8"/>
      </c>
      <c r="DY76">
        <f t="shared" si="8"/>
      </c>
      <c r="DZ76">
        <f t="shared" si="8"/>
      </c>
      <c r="EA76">
        <f t="shared" si="8"/>
      </c>
      <c r="EB76">
        <f t="shared" si="8"/>
      </c>
      <c r="EC76">
        <f t="shared" si="8"/>
      </c>
      <c r="ED76">
        <f t="shared" si="8"/>
      </c>
      <c r="EE76">
        <f t="shared" si="8"/>
      </c>
      <c r="EF76">
        <f t="shared" si="8"/>
      </c>
      <c r="EG76">
        <f t="shared" si="8"/>
      </c>
      <c r="EH76">
        <f t="shared" si="8"/>
      </c>
      <c r="EI76">
        <f t="shared" si="8"/>
      </c>
      <c r="EJ76">
        <f t="shared" si="8"/>
      </c>
      <c r="EK76">
        <f t="shared" si="8"/>
      </c>
      <c r="EL76">
        <f t="shared" si="8"/>
      </c>
      <c r="EM76">
        <f t="shared" si="8"/>
      </c>
      <c r="EN76">
        <f t="shared" si="8"/>
      </c>
      <c r="EO76">
        <f t="shared" si="8"/>
      </c>
      <c r="EP76">
        <f t="shared" si="8"/>
      </c>
      <c r="EQ76">
        <f t="shared" si="8"/>
      </c>
      <c r="ER76">
        <f t="shared" si="8"/>
      </c>
      <c r="ES76">
        <f t="shared" si="8"/>
      </c>
      <c r="ET76">
        <f t="shared" si="8"/>
      </c>
      <c r="EU76">
        <f t="shared" si="8"/>
      </c>
      <c r="EV76">
        <f t="shared" si="8"/>
      </c>
      <c r="EW76">
        <f t="shared" si="8"/>
      </c>
      <c r="EX76">
        <f t="shared" si="8"/>
      </c>
      <c r="EY76">
        <f t="shared" si="8"/>
      </c>
      <c r="EZ76">
        <f t="shared" si="8"/>
      </c>
      <c r="FA76" t="str">
        <f t="shared" si="12"/>
        <v>-</v>
      </c>
      <c r="FB76">
        <f t="shared" si="13"/>
      </c>
      <c r="FC76" cm="1">
        <f t="array" ref="FC76">_xlfn.LET(_xlpm.unit_type,$G76,_xlpm.market_rent_from_rent_roll,$E76,_xlpm.unit_type_list,RentRoll_InputArea_DesignatedUnitType,_xlpm.rent_by_unit_type,RentRoll_InputArea_MarketRent,_xlpm.use_rent_roll_market_rent,LEFT(RR_VacantUnitMktRentSource,9)="Rent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76">
        <f t="shared" si="14"/>
        <v>1231</v>
      </c>
      <c r="FE76">
        <f t="shared" si="15"/>
        <v>1231</v>
      </c>
      <c r="FF76">
        <f t="shared" si="16"/>
        <v>1231</v>
      </c>
      <c r="FH76">
        <f t="shared" si="17"/>
      </c>
      <c r="FI76">
        <f t="shared" si="18"/>
      </c>
      <c r="FK76" cm="1">
        <f t="array" ref="FK76">IF(AND(LEN($D76)&gt;0,ISNA(MATCH(TRUE,EXACT($G76,RentRoll_InputArea_DesignatedUnitType),0))),1,0)</f>
        <v>0</v>
      </c>
      <c r="FL76">
        <f t="shared" si="19"/>
        <v>53</v>
      </c>
      <c r="IO76" cm="1">
        <f t="array" ref="IO76">IF(LEN($G76)=0,"Rent Roll is incomplete",_xlfn.XLOOKUP(TRUE,EXACT(RentRoll_InputArea_DesignatedUnitType,$G76),RentRoll_InputArea_Beds,"Not Found"))</f>
        <v>0</v>
      </c>
      <c r="IQ76" t="str">
        <f t="shared" si="20"/>
        <v>0 Bedroom Unit (Efficiency/Studio)</v>
      </c>
      <c r="IR76">
        <f t="shared" si="21"/>
        <v>1231</v>
      </c>
      <c r="IW76" t="str">
        <f t="shared" si="22"/>
        <v>5-508</v>
      </c>
      <c r="IZ76">
        <f t="shared" si="23"/>
        <v>0</v>
      </c>
      <c r="JA76">
        <f t="shared" si="24"/>
        <v>1231</v>
      </c>
      <c r="JH76">
        <f t="shared" si="25"/>
        <v>1217</v>
      </c>
      <c r="JJ76">
        <f t="shared" si="26"/>
      </c>
      <c r="JQ76" t="str">
        <f t="shared" si="27"/>
        <v>Occupied</v>
      </c>
      <c r="JR76" cm="1">
        <f t="array" ref="JR76">_xlfn.XLOOKUP(TRUE,EXACT(RentRoll_InputArea_DesignatedUnitType,$G76),RentRoll_InputArea_SquareFootage,"Not Found")</f>
        <v>800</v>
      </c>
      <c r="JS76" t="str">
        <f t="shared" si="28"/>
        <v>Apartment</v>
      </c>
      <c r="JT76">
        <f t="shared" si="29"/>
      </c>
      <c r="JY76">
        <f t="shared" si="9"/>
        <v>43540</v>
      </c>
      <c r="JZ76">
        <f t="shared" si="9"/>
        <v>43921</v>
      </c>
    </row>
    <row r="77" ht="15" customHeight="1">
      <c r="A77">
        <f t="shared" si="10"/>
        <v>54</v>
      </c>
      <c r="D77" t="s">
        <v>2850</v>
      </c>
      <c r="E77">
        <v>1241</v>
      </c>
      <c r="F77" t="s">
        <v>2851</v>
      </c>
      <c r="G77" t="s">
        <v>2530</v>
      </c>
      <c r="H77">
        <v>1214</v>
      </c>
      <c r="I77" cm="1">
        <f t="array" ref="I77">_xlfn.LET(_xlpm.has_subsidy,$N77&gt;0,_xlpm.is_chap9_sbl,$FF$20,_xlpm.contract_rent,$H77,_xlpm.unit_type_mkt_rent,_xlfn.XLOOKUP(TRUE,EXACT($G77,RentRoll_InputArea_DesignatedUnitType),RentRoll_InputArea_MarketRent,"Not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7">
        <f t="shared" si="11"/>
        <v>1214</v>
      </c>
      <c r="O77" s="1">
        <v>43561</v>
      </c>
      <c r="P77" s="1">
        <v>43921</v>
      </c>
      <c r="Q77">
        <f t="shared" si="8"/>
      </c>
      <c r="R77">
        <f t="shared" si="8"/>
        <v>1214</v>
      </c>
      <c r="S77">
        <f t="shared" si="8"/>
      </c>
      <c r="T77">
        <f t="shared" si="8"/>
      </c>
      <c r="U77">
        <f t="shared" si="8"/>
      </c>
      <c r="V77">
        <f t="shared" si="8"/>
      </c>
      <c r="W77">
        <f t="shared" si="8"/>
      </c>
      <c r="X77">
        <f t="shared" si="8"/>
      </c>
      <c r="Y77">
        <f t="shared" si="8"/>
      </c>
      <c r="Z77">
        <f t="shared" si="8"/>
      </c>
      <c r="AA77">
        <f t="shared" si="8"/>
      </c>
      <c r="AB77">
        <f t="shared" si="8"/>
      </c>
      <c r="AC77">
        <f t="shared" si="8"/>
      </c>
      <c r="AD77">
        <f t="shared" si="8"/>
      </c>
      <c r="AE77">
        <f t="shared" si="8"/>
      </c>
      <c r="AF77">
        <f t="shared" si="8"/>
      </c>
      <c r="AG77">
        <f t="shared" si="8"/>
      </c>
      <c r="AH77">
        <f t="shared" si="8"/>
      </c>
      <c r="AI77">
        <f t="shared" si="8"/>
      </c>
      <c r="AJ77">
        <f t="shared" si="8"/>
      </c>
      <c r="AK77">
        <f t="shared" si="8"/>
      </c>
      <c r="AL77">
        <f t="shared" si="8"/>
      </c>
      <c r="AM77">
        <f t="shared" si="8"/>
      </c>
      <c r="AN77">
        <f t="shared" si="8"/>
      </c>
      <c r="AO77">
        <f t="shared" si="8"/>
      </c>
      <c r="AP77">
        <f t="shared" si="8"/>
      </c>
      <c r="AQ77">
        <f t="shared" si="8"/>
      </c>
      <c r="AR77">
        <f t="shared" si="8"/>
      </c>
      <c r="AS77">
        <f t="shared" si="8"/>
      </c>
      <c r="AT77">
        <f t="shared" si="8"/>
      </c>
      <c r="AU77">
        <f t="shared" si="8"/>
      </c>
      <c r="AV77">
        <f t="shared" si="8"/>
      </c>
      <c r="AW77">
        <f t="shared" si="8"/>
      </c>
      <c r="AX77">
        <f t="shared" si="8"/>
      </c>
      <c r="AY77">
        <f t="shared" si="8"/>
      </c>
      <c r="AZ77">
        <f t="shared" si="8"/>
      </c>
      <c r="BA77">
        <f t="shared" si="8"/>
      </c>
      <c r="BB77">
        <f t="shared" si="8"/>
      </c>
      <c r="BC77">
        <f t="shared" si="8"/>
      </c>
      <c r="BD77">
        <f t="shared" si="8"/>
      </c>
      <c r="BE77">
        <f t="shared" si="8"/>
      </c>
      <c r="BF77">
        <f t="shared" si="8"/>
      </c>
      <c r="BG77">
        <f t="shared" si="8"/>
      </c>
      <c r="BH77">
        <f t="shared" si="8"/>
      </c>
      <c r="BI77">
        <f t="shared" si="8"/>
      </c>
      <c r="BJ77">
        <f t="shared" si="8"/>
      </c>
      <c r="BK77">
        <f t="shared" si="8"/>
      </c>
      <c r="BL77">
        <f t="shared" si="8"/>
      </c>
      <c r="BM77">
        <f t="shared" si="8"/>
      </c>
      <c r="BN77">
        <f t="shared" si="8"/>
      </c>
      <c r="BO77">
        <f t="shared" si="8"/>
      </c>
      <c r="BP77">
        <f t="shared" si="8"/>
      </c>
      <c r="BQ77">
        <f t="shared" si="8"/>
      </c>
      <c r="BR77">
        <f t="shared" si="8"/>
      </c>
      <c r="BS77">
        <f t="shared" si="8"/>
      </c>
      <c r="BT77">
        <f t="shared" si="8"/>
      </c>
      <c r="BU77">
        <f t="shared" si="8"/>
      </c>
      <c r="BV77">
        <f t="shared" si="8"/>
      </c>
      <c r="BW77">
        <f t="shared" si="8"/>
      </c>
      <c r="BX77">
        <f t="shared" si="8"/>
      </c>
      <c r="BY77">
        <f t="shared" si="8"/>
      </c>
      <c r="BZ77">
        <f t="shared" si="8"/>
      </c>
      <c r="CA77">
        <f t="shared" si="8"/>
      </c>
      <c r="CB77">
        <f t="shared" si="8"/>
      </c>
      <c r="CC77">
        <f t="shared" si="8"/>
      </c>
      <c r="CD77">
        <f t="shared" si="8"/>
      </c>
      <c r="CE77">
        <f t="shared" si="8"/>
      </c>
      <c r="CF77">
        <f t="shared" si="8"/>
      </c>
      <c r="CG77">
        <f t="shared" si="8"/>
      </c>
      <c r="CH77">
        <f t="shared" si="8"/>
      </c>
      <c r="CI77">
        <f t="shared" si="8"/>
      </c>
      <c r="CJ77">
        <f t="shared" si="8"/>
      </c>
      <c r="CK77">
        <f t="shared" si="8"/>
      </c>
      <c r="CL77">
        <f t="shared" si="8"/>
      </c>
      <c r="CM77">
        <f t="shared" si="8"/>
      </c>
      <c r="CN77">
        <f t="shared" si="8"/>
      </c>
      <c r="CO77">
        <f t="shared" si="8"/>
      </c>
      <c r="CP77">
        <f t="shared" si="8"/>
      </c>
      <c r="CQ77">
        <f t="shared" si="8"/>
      </c>
      <c r="CR77">
        <f t="shared" si="8"/>
      </c>
      <c r="CS77">
        <f t="shared" si="8"/>
      </c>
      <c r="CT77">
        <f t="shared" si="8"/>
      </c>
      <c r="CU77">
        <f t="shared" si="8"/>
      </c>
      <c r="CV77">
        <f t="shared" si="8"/>
      </c>
      <c r="CW77">
        <f t="shared" si="8"/>
      </c>
      <c r="CX77">
        <f t="shared" si="8"/>
      </c>
      <c r="CY77">
        <f t="shared" si="8"/>
      </c>
      <c r="CZ77">
        <f t="shared" si="8"/>
      </c>
      <c r="DA77">
        <f t="shared" si="8"/>
      </c>
      <c r="DB77">
        <f t="shared" si="8"/>
      </c>
      <c r="DC77">
        <f t="shared" si="8"/>
      </c>
      <c r="DD77">
        <f t="shared" si="8"/>
      </c>
      <c r="DE77">
        <f t="shared" si="8"/>
      </c>
      <c r="DF77">
        <f t="shared" si="8"/>
      </c>
      <c r="DG77">
        <f t="shared" si="8"/>
      </c>
      <c r="DH77">
        <f t="shared" si="8"/>
      </c>
      <c r="DI77">
        <f t="shared" si="8"/>
      </c>
      <c r="DJ77">
        <f t="shared" si="8"/>
      </c>
      <c r="DK77">
        <f t="shared" si="8"/>
      </c>
      <c r="DL77">
        <f t="shared" si="8"/>
      </c>
      <c r="DM77">
        <f t="shared" si="8"/>
      </c>
      <c r="DN77">
        <f t="shared" si="8"/>
      </c>
      <c r="DO77">
        <f t="shared" si="8"/>
      </c>
      <c r="DP77">
        <f t="shared" si="8"/>
      </c>
      <c r="DQ77">
        <f t="shared" si="8"/>
      </c>
      <c r="DR77">
        <f t="shared" si="8"/>
      </c>
      <c r="DS77">
        <f t="shared" si="8"/>
      </c>
      <c r="DT77">
        <f t="shared" si="8"/>
      </c>
      <c r="DU77">
        <f t="shared" si="8"/>
      </c>
      <c r="DV77">
        <f t="shared" si="8"/>
      </c>
      <c r="DW77">
        <f t="shared" si="8"/>
      </c>
      <c r="DX77">
        <f t="shared" si="8"/>
      </c>
      <c r="DY77">
        <f t="shared" si="8"/>
      </c>
      <c r="DZ77">
        <f t="shared" si="8"/>
      </c>
      <c r="EA77">
        <f t="shared" si="8"/>
      </c>
      <c r="EB77">
        <f t="shared" si="8"/>
      </c>
      <c r="EC77">
        <f t="shared" si="8"/>
      </c>
      <c r="ED77">
        <f t="shared" si="8"/>
      </c>
      <c r="EE77">
        <f t="shared" si="8"/>
      </c>
      <c r="EF77">
        <f t="shared" si="8"/>
      </c>
      <c r="EG77">
        <f t="shared" si="8"/>
      </c>
      <c r="EH77">
        <f t="shared" si="8"/>
      </c>
      <c r="EI77">
        <f t="shared" si="8"/>
      </c>
      <c r="EJ77">
        <f t="shared" si="8"/>
      </c>
      <c r="EK77">
        <f t="shared" si="8"/>
      </c>
      <c r="EL77">
        <f t="shared" si="8"/>
      </c>
      <c r="EM77">
        <f t="shared" si="8"/>
      </c>
      <c r="EN77">
        <f t="shared" si="8"/>
      </c>
      <c r="EO77">
        <f t="shared" si="8"/>
      </c>
      <c r="EP77">
        <f t="shared" si="8"/>
      </c>
      <c r="EQ77">
        <f t="shared" si="8"/>
      </c>
      <c r="ER77">
        <f t="shared" si="8"/>
      </c>
      <c r="ES77">
        <f t="shared" si="8"/>
      </c>
      <c r="ET77">
        <f t="shared" si="8"/>
      </c>
      <c r="EU77">
        <f t="shared" si="8"/>
      </c>
      <c r="EV77">
        <f t="shared" si="8"/>
      </c>
      <c r="EW77">
        <f t="shared" si="8"/>
      </c>
      <c r="EX77">
        <f t="shared" si="8"/>
      </c>
      <c r="EY77">
        <f t="shared" si="8"/>
      </c>
      <c r="EZ77">
        <f t="shared" si="8"/>
      </c>
      <c r="FA77" t="str">
        <f t="shared" si="12"/>
        <v>-</v>
      </c>
      <c r="FB77">
        <f t="shared" si="13"/>
      </c>
      <c r="FC77" cm="1">
        <f t="array" ref="FC77">_xlfn.LET(_xlpm.unit_type,$G77,_xlpm.market_rent_from_rent_roll,$E77,_xlpm.unit_type_list,RentRoll_InputArea_DesignatedUnitType,_xlpm.rent_by_unit_type,RentRoll_InputArea_MarketRent,_xlpm.use_rent_roll_market_rent,LEFT(RR_VacantUnitMktRentSource,9)="Rent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77">
        <f t="shared" si="14"/>
        <v>1214</v>
      </c>
      <c r="FE77">
        <f t="shared" si="15"/>
        <v>1214</v>
      </c>
      <c r="FF77">
        <f t="shared" si="16"/>
        <v>1214</v>
      </c>
      <c r="FH77">
        <f t="shared" si="17"/>
      </c>
      <c r="FI77">
        <f t="shared" si="18"/>
      </c>
      <c r="FK77" cm="1">
        <f t="array" ref="FK77">IF(AND(LEN($D77)&gt;0,ISNA(MATCH(TRUE,EXACT($G77,RentRoll_InputArea_DesignatedUnitType),0))),1,0)</f>
        <v>0</v>
      </c>
      <c r="FL77">
        <f t="shared" si="19"/>
        <v>54</v>
      </c>
      <c r="IO77" cm="1">
        <f t="array" ref="IO77">IF(LEN($G77)=0,"Rent Roll is incomplete",_xlfn.XLOOKUP(TRUE,EXACT(RentRoll_InputArea_DesignatedUnitType,$G77),RentRoll_InputArea_Beds,"Not Found"))</f>
        <v>0</v>
      </c>
      <c r="IQ77" t="str">
        <f t="shared" si="20"/>
        <v>0 Bedroom Unit (Efficiency/Studio)</v>
      </c>
      <c r="IR77">
        <f t="shared" si="21"/>
        <v>1214</v>
      </c>
      <c r="IW77" t="str">
        <f t="shared" si="22"/>
        <v>5-509</v>
      </c>
      <c r="IZ77">
        <f t="shared" si="23"/>
        <v>0</v>
      </c>
      <c r="JA77">
        <f t="shared" si="24"/>
        <v>1214</v>
      </c>
      <c r="JH77">
        <f t="shared" si="25"/>
        <v>1217</v>
      </c>
      <c r="JJ77">
        <f t="shared" si="26"/>
      </c>
      <c r="JQ77" t="str">
        <f t="shared" si="27"/>
        <v>Occupied</v>
      </c>
      <c r="JR77" cm="1">
        <f t="array" ref="JR77">_xlfn.XLOOKUP(TRUE,EXACT(RentRoll_InputArea_DesignatedUnitType,$G77),RentRoll_InputArea_SquareFootage,"Not Found")</f>
        <v>800</v>
      </c>
      <c r="JS77" t="str">
        <f t="shared" si="28"/>
        <v>Apartment</v>
      </c>
      <c r="JT77">
        <f t="shared" si="29"/>
      </c>
      <c r="JY77">
        <f t="shared" si="9"/>
        <v>43561</v>
      </c>
      <c r="JZ77">
        <f t="shared" si="9"/>
        <v>43921</v>
      </c>
    </row>
    <row r="78" ht="15" customHeight="1">
      <c r="A78">
        <f t="shared" si="10"/>
        <v>55</v>
      </c>
      <c r="D78" t="s">
        <v>2852</v>
      </c>
      <c r="E78">
        <v>1195</v>
      </c>
      <c r="F78" t="s">
        <v>2853</v>
      </c>
      <c r="G78" t="s">
        <v>2530</v>
      </c>
      <c r="H78">
        <v>1200</v>
      </c>
      <c r="I78" cm="1">
        <f t="array" ref="I78">_xlfn.LET(_xlpm.has_subsidy,$N78&gt;0,_xlpm.is_chap9_sbl,$FF$20,_xlpm.contract_rent,$H78,_xlpm.unit_type_mkt_rent,_xlfn.XLOOKUP(TRUE,EXACT($G78,RentRoll_InputArea_DesignatedUnitType),RentRoll_InputArea_MarketRent,"Not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8">
        <f t="shared" si="11"/>
        <v>1200</v>
      </c>
      <c r="O78" s="1">
        <v>43422</v>
      </c>
      <c r="P78" s="1">
        <v>43708</v>
      </c>
      <c r="Q78">
        <f t="shared" si="8"/>
      </c>
      <c r="R78">
        <f t="shared" si="8"/>
        <v>1200</v>
      </c>
      <c r="S78">
        <f t="shared" si="8"/>
      </c>
      <c r="T78">
        <f t="shared" si="8"/>
      </c>
      <c r="U78">
        <f t="shared" si="8"/>
      </c>
      <c r="V78">
        <f t="shared" si="8"/>
      </c>
      <c r="W78">
        <f t="shared" si="8"/>
      </c>
      <c r="X78">
        <f t="shared" si="8"/>
      </c>
      <c r="Y78">
        <f t="shared" si="8"/>
      </c>
      <c r="Z78">
        <f t="shared" si="8"/>
      </c>
      <c r="AA78">
        <f t="shared" si="8"/>
      </c>
      <c r="AB78">
        <f t="shared" si="8"/>
      </c>
      <c r="AC78">
        <f t="shared" si="8"/>
      </c>
      <c r="AD78">
        <f t="shared" si="8"/>
      </c>
      <c r="AE78">
        <f t="shared" si="8"/>
      </c>
      <c r="AF78">
        <f t="shared" si="8"/>
      </c>
      <c r="AG78">
        <f t="shared" si="8"/>
      </c>
      <c r="AH78">
        <f t="shared" si="8"/>
      </c>
      <c r="AI78">
        <f t="shared" si="8"/>
      </c>
      <c r="AJ78">
        <f t="shared" si="8"/>
      </c>
      <c r="AK78">
        <f t="shared" si="8"/>
      </c>
      <c r="AL78">
        <f t="shared" si="8"/>
      </c>
      <c r="AM78">
        <f t="shared" si="8"/>
      </c>
      <c r="AN78">
        <f t="shared" si="8"/>
      </c>
      <c r="AO78">
        <f t="shared" si="8"/>
      </c>
      <c r="AP78">
        <f t="shared" si="8"/>
      </c>
      <c r="AQ78">
        <f t="shared" si="8"/>
      </c>
      <c r="AR78">
        <f t="shared" si="8"/>
      </c>
      <c r="AS78">
        <f t="shared" si="8"/>
      </c>
      <c r="AT78">
        <f t="shared" si="8"/>
      </c>
      <c r="AU78">
        <f t="shared" si="8"/>
      </c>
      <c r="AV78">
        <f t="shared" si="8"/>
      </c>
      <c r="AW78">
        <f t="shared" si="8"/>
      </c>
      <c r="AX78">
        <f t="shared" si="8"/>
      </c>
      <c r="AY78">
        <f t="shared" si="8"/>
      </c>
      <c r="AZ78">
        <f t="shared" si="8"/>
      </c>
      <c r="BA78">
        <f t="shared" si="8"/>
      </c>
      <c r="BB78">
        <f t="shared" si="8"/>
      </c>
      <c r="BC78">
        <f t="shared" si="8"/>
      </c>
      <c r="BD78">
        <f t="shared" si="8"/>
      </c>
      <c r="BE78">
        <f t="shared" si="8"/>
      </c>
      <c r="BF78">
        <f t="shared" si="8"/>
      </c>
      <c r="BG78">
        <f t="shared" si="8"/>
      </c>
      <c r="BH78">
        <f t="shared" si="8"/>
      </c>
      <c r="BI78">
        <f t="shared" si="8"/>
      </c>
      <c r="BJ78">
        <f t="shared" si="8"/>
      </c>
      <c r="BK78">
        <f t="shared" si="8"/>
      </c>
      <c r="BL78">
        <f t="shared" si="8"/>
      </c>
      <c r="BM78">
        <f t="shared" si="8"/>
      </c>
      <c r="BN78">
        <f t="shared" si="8"/>
      </c>
      <c r="BO78">
        <f t="shared" si="8"/>
      </c>
      <c r="BP78">
        <f t="shared" si="8"/>
      </c>
      <c r="BQ78">
        <f t="shared" si="8"/>
      </c>
      <c r="BR78">
        <f t="shared" si="8"/>
      </c>
      <c r="BS78">
        <f t="shared" si="8"/>
      </c>
      <c r="BT78">
        <f t="shared" si="8"/>
      </c>
      <c r="BU78">
        <f t="shared" si="8"/>
      </c>
      <c r="BV78">
        <f t="shared" si="8"/>
      </c>
      <c r="BW78">
        <f t="shared" si="8"/>
      </c>
      <c r="BX78">
        <f t="shared" si="8"/>
      </c>
      <c r="BY78">
        <f t="shared" si="8"/>
      </c>
      <c r="BZ78">
        <f t="shared" si="8"/>
      </c>
      <c r="CA78">
        <f t="shared" si="8"/>
      </c>
      <c r="CB78">
        <f t="shared" si="8"/>
      </c>
      <c r="CC78">
        <f t="shared" si="8"/>
      </c>
      <c r="CD78">
        <f t="shared" si="8"/>
      </c>
      <c r="CE78">
        <f t="shared" si="8"/>
      </c>
      <c r="CF78">
        <f t="shared" si="8"/>
      </c>
      <c r="CG78">
        <f t="shared" si="8"/>
      </c>
      <c r="CH78">
        <f t="shared" si="8"/>
      </c>
      <c r="CI78">
        <f t="shared" si="8"/>
      </c>
      <c r="CJ78">
        <f t="shared" si="8"/>
      </c>
      <c r="CK78">
        <f t="shared" si="8"/>
      </c>
      <c r="CL78">
        <f t="shared" si="8"/>
      </c>
      <c r="CM78">
        <f t="shared" si="8"/>
      </c>
      <c r="CN78">
        <f t="shared" si="8"/>
      </c>
      <c r="CO78">
        <f t="shared" si="8"/>
      </c>
      <c r="CP78">
        <f t="shared" si="8"/>
      </c>
      <c r="CQ78">
        <f t="shared" si="8"/>
      </c>
      <c r="CR78">
        <f t="shared" si="8"/>
      </c>
      <c r="CS78">
        <f t="shared" si="8"/>
      </c>
      <c r="CT78">
        <f t="shared" si="8"/>
      </c>
      <c r="CU78">
        <f t="shared" si="8"/>
      </c>
      <c r="CV78">
        <f t="shared" si="8"/>
      </c>
      <c r="CW78">
        <f t="shared" si="8"/>
      </c>
      <c r="CX78">
        <f t="shared" si="8"/>
      </c>
      <c r="CY78">
        <f t="shared" si="8"/>
      </c>
      <c r="CZ78">
        <f t="shared" si="8"/>
      </c>
      <c r="DA78">
        <f t="shared" si="8"/>
      </c>
      <c r="DB78">
        <f t="shared" si="8"/>
      </c>
      <c r="DC78">
        <f t="shared" si="8"/>
      </c>
      <c r="DD78">
        <f t="shared" si="8"/>
      </c>
      <c r="DE78">
        <f t="shared" si="8"/>
      </c>
      <c r="DF78">
        <f t="shared" si="8"/>
      </c>
      <c r="DG78">
        <f t="shared" si="8"/>
      </c>
      <c r="DH78">
        <f t="shared" si="8"/>
      </c>
      <c r="DI78">
        <f t="shared" si="8"/>
      </c>
      <c r="DJ78">
        <f t="shared" si="8"/>
      </c>
      <c r="DK78">
        <f t="shared" si="8"/>
      </c>
      <c r="DL78">
        <f t="shared" si="8"/>
      </c>
      <c r="DM78">
        <f t="shared" si="8"/>
      </c>
      <c r="DN78">
        <f t="shared" si="8"/>
      </c>
      <c r="DO78">
        <f t="shared" si="8"/>
      </c>
      <c r="DP78">
        <f t="shared" si="8"/>
      </c>
      <c r="DQ78">
        <f t="shared" si="8"/>
      </c>
      <c r="DR78">
        <f t="shared" si="8"/>
      </c>
      <c r="DS78">
        <f t="shared" si="8"/>
      </c>
      <c r="DT78">
        <f t="shared" si="8"/>
      </c>
      <c r="DU78">
        <f t="shared" si="8"/>
      </c>
      <c r="DV78">
        <f t="shared" si="8"/>
      </c>
      <c r="DW78">
        <f t="shared" si="8"/>
      </c>
      <c r="DX78">
        <f t="shared" si="8"/>
      </c>
      <c r="DY78">
        <f t="shared" si="8"/>
      </c>
      <c r="DZ78">
        <f t="shared" si="8"/>
      </c>
      <c r="EA78">
        <f t="shared" si="8"/>
      </c>
      <c r="EB78">
        <f t="shared" si="8"/>
      </c>
      <c r="EC78">
        <f t="shared" si="8"/>
      </c>
      <c r="ED78">
        <f t="shared" si="8"/>
      </c>
      <c r="EE78">
        <f t="shared" si="8"/>
      </c>
      <c r="EF78">
        <f t="shared" si="8"/>
      </c>
      <c r="EG78">
        <f t="shared" si="8"/>
      </c>
      <c r="EH78">
        <f t="shared" si="8"/>
      </c>
      <c r="EI78">
        <f t="shared" si="8"/>
      </c>
      <c r="EJ78">
        <f t="shared" si="8"/>
      </c>
      <c r="EK78">
        <f t="shared" si="8"/>
      </c>
      <c r="EL78">
        <f t="shared" si="8"/>
      </c>
      <c r="EM78">
        <f t="shared" si="8"/>
      </c>
      <c r="EN78">
        <f t="shared" si="8"/>
      </c>
      <c r="EO78">
        <f t="shared" si="8"/>
      </c>
      <c r="EP78">
        <f t="shared" si="8"/>
      </c>
      <c r="EQ78">
        <f t="shared" si="8"/>
      </c>
      <c r="ER78">
        <f t="shared" si="8"/>
      </c>
      <c r="ES78">
        <f t="shared" si="8"/>
      </c>
      <c r="ET78">
        <f t="shared" si="8"/>
      </c>
      <c r="EU78">
        <f t="shared" si="8"/>
      </c>
      <c r="EV78">
        <f t="shared" si="8"/>
      </c>
      <c r="EW78">
        <f t="shared" si="8"/>
      </c>
      <c r="EX78">
        <f t="shared" si="8"/>
      </c>
      <c r="EY78">
        <f t="shared" si="8"/>
      </c>
      <c r="EZ78">
        <f t="shared" si="8"/>
      </c>
      <c r="FA78" t="str">
        <f t="shared" si="12"/>
        <v>-</v>
      </c>
      <c r="FB78">
        <f t="shared" si="13"/>
      </c>
      <c r="FC78" cm="1">
        <f t="array" ref="FC78">_xlfn.LET(_xlpm.unit_type,$G78,_xlpm.market_rent_from_rent_roll,$E78,_xlpm.unit_type_list,RentRoll_InputArea_DesignatedUnitType,_xlpm.rent_by_unit_type,RentRoll_InputArea_MarketRent,_xlpm.use_rent_roll_market_rent,LEFT(RR_VacantUnitMktRentSource,9)="Rent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78">
        <f t="shared" si="14"/>
        <v>1200</v>
      </c>
      <c r="FE78">
        <f t="shared" si="15"/>
        <v>1200</v>
      </c>
      <c r="FF78">
        <f t="shared" si="16"/>
        <v>1200</v>
      </c>
      <c r="FH78">
        <f t="shared" si="17"/>
      </c>
      <c r="FI78">
        <f t="shared" si="18"/>
      </c>
      <c r="FK78" cm="1">
        <f t="array" ref="FK78">IF(AND(LEN($D78)&gt;0,ISNA(MATCH(TRUE,EXACT($G78,RentRoll_InputArea_DesignatedUnitType),0))),1,0)</f>
        <v>0</v>
      </c>
      <c r="FL78">
        <f t="shared" si="19"/>
        <v>55</v>
      </c>
      <c r="IO78" cm="1">
        <f t="array" ref="IO78">IF(LEN($G78)=0,"Rent Roll is incomplete",_xlfn.XLOOKUP(TRUE,EXACT(RentRoll_InputArea_DesignatedUnitType,$G78),RentRoll_InputArea_Beds,"Not Found"))</f>
        <v>0</v>
      </c>
      <c r="IQ78" t="str">
        <f t="shared" si="20"/>
        <v>0 Bedroom Unit (Efficiency/Studio)</v>
      </c>
      <c r="IR78">
        <f t="shared" si="21"/>
        <v>1200</v>
      </c>
      <c r="IW78" t="str">
        <f t="shared" si="22"/>
        <v>5-510</v>
      </c>
      <c r="IZ78">
        <f t="shared" si="23"/>
        <v>0</v>
      </c>
      <c r="JA78">
        <f t="shared" si="24"/>
        <v>1200</v>
      </c>
      <c r="JH78">
        <f t="shared" si="25"/>
        <v>1217</v>
      </c>
      <c r="JJ78">
        <f t="shared" si="26"/>
      </c>
      <c r="JQ78" t="str">
        <f t="shared" si="27"/>
        <v>Occupied</v>
      </c>
      <c r="JR78" cm="1">
        <f t="array" ref="JR78">_xlfn.XLOOKUP(TRUE,EXACT(RentRoll_InputArea_DesignatedUnitType,$G78),RentRoll_InputArea_SquareFootage,"Not Found")</f>
        <v>800</v>
      </c>
      <c r="JS78" t="str">
        <f t="shared" si="28"/>
        <v>Apartment</v>
      </c>
      <c r="JT78">
        <f t="shared" si="29"/>
      </c>
      <c r="JY78">
        <f t="shared" si="9"/>
        <v>43422</v>
      </c>
      <c r="JZ78">
        <f t="shared" si="9"/>
        <v>43708</v>
      </c>
    </row>
    <row r="79" ht="15" customHeight="1">
      <c r="A79">
        <f t="shared" si="10"/>
        <v>56</v>
      </c>
      <c r="D79" t="s">
        <v>2854</v>
      </c>
      <c r="E79">
        <v>1169</v>
      </c>
      <c r="F79" t="s">
        <v>2855</v>
      </c>
      <c r="G79" t="s">
        <v>2530</v>
      </c>
      <c r="H79">
        <v>1217</v>
      </c>
      <c r="I79" cm="1">
        <f t="array" ref="I79">_xlfn.LET(_xlpm.has_subsidy,$N79&gt;0,_xlpm.is_chap9_sbl,$FF$20,_xlpm.contract_rent,$H79,_xlpm.unit_type_mkt_rent,_xlfn.XLOOKUP(TRUE,EXACT($G79,RentRoll_InputArea_DesignatedUnitType),RentRoll_InputArea_MarketRent,"Not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79">
        <f t="shared" si="11"/>
        <v>1217</v>
      </c>
      <c r="O79" s="1">
        <v>43316</v>
      </c>
      <c r="P79" s="1">
        <v>43616</v>
      </c>
      <c r="Q79">
        <f t="shared" si="8"/>
      </c>
      <c r="R79">
        <f t="shared" si="8"/>
        <v>1217</v>
      </c>
      <c r="S79">
        <f t="shared" si="8"/>
      </c>
      <c r="T79">
        <f t="shared" si="8"/>
      </c>
      <c r="U79">
        <f t="shared" si="8"/>
      </c>
      <c r="V79">
        <f t="shared" si="8"/>
      </c>
      <c r="W79">
        <f t="shared" si="8"/>
      </c>
      <c r="X79">
        <f t="shared" si="8"/>
      </c>
      <c r="Y79">
        <f t="shared" si="8"/>
      </c>
      <c r="Z79">
        <f t="shared" si="8"/>
      </c>
      <c r="AA79">
        <f t="shared" si="8"/>
      </c>
      <c r="AB79">
        <f t="shared" si="8"/>
      </c>
      <c r="AC79">
        <f t="shared" si="8"/>
      </c>
      <c r="AD79">
        <f t="shared" si="8"/>
      </c>
      <c r="AE79">
        <f t="shared" si="8"/>
      </c>
      <c r="AF79">
        <f t="shared" si="8"/>
      </c>
      <c r="AG79">
        <f t="shared" si="8"/>
      </c>
      <c r="AH79">
        <f t="shared" si="8"/>
      </c>
      <c r="AI79">
        <f t="shared" si="8"/>
      </c>
      <c r="AJ79">
        <f t="shared" si="8"/>
      </c>
      <c r="AK79">
        <f t="shared" si="8"/>
      </c>
      <c r="AL79">
        <f t="shared" si="8"/>
      </c>
      <c r="AM79">
        <f t="shared" si="8"/>
      </c>
      <c r="AN79">
        <f t="shared" si="8"/>
      </c>
      <c r="AO79">
        <f t="shared" si="8"/>
      </c>
      <c r="AP79">
        <f t="shared" si="8"/>
      </c>
      <c r="AQ79">
        <f t="shared" si="8"/>
      </c>
      <c r="AR79">
        <f t="shared" si="8"/>
      </c>
      <c r="AS79">
        <f t="shared" si="8"/>
      </c>
      <c r="AT79">
        <f t="shared" si="8"/>
      </c>
      <c r="AU79">
        <f t="shared" si="8"/>
      </c>
      <c r="AV79">
        <f t="shared" si="8"/>
      </c>
      <c r="AW79">
        <f t="shared" si="8"/>
      </c>
      <c r="AX79">
        <f t="shared" si="8"/>
      </c>
      <c r="AY79">
        <f t="shared" si="8"/>
      </c>
      <c r="AZ79">
        <f t="shared" si="8"/>
      </c>
      <c r="BA79">
        <f t="shared" si="8"/>
      </c>
      <c r="BB79">
        <f t="shared" si="8"/>
      </c>
      <c r="BC79">
        <f t="shared" si="8"/>
      </c>
      <c r="BD79">
        <f t="shared" si="8"/>
      </c>
      <c r="BE79">
        <f t="shared" si="8"/>
      </c>
      <c r="BF79">
        <f t="shared" si="8"/>
      </c>
      <c r="BG79">
        <f t="shared" si="8"/>
      </c>
      <c r="BH79">
        <f t="shared" si="8"/>
      </c>
      <c r="BI79">
        <f t="shared" si="8"/>
      </c>
      <c r="BJ79">
        <f t="shared" si="8"/>
      </c>
      <c r="BK79">
        <f t="shared" si="8"/>
      </c>
      <c r="BL79">
        <f t="shared" si="8"/>
      </c>
      <c r="BM79">
        <f t="shared" si="8"/>
      </c>
      <c r="BN79">
        <f t="shared" si="8"/>
      </c>
      <c r="BO79">
        <f t="shared" si="8"/>
      </c>
      <c r="BP79">
        <f t="shared" si="8"/>
      </c>
      <c r="BQ79">
        <f t="shared" si="8"/>
      </c>
      <c r="BR79">
        <f t="shared" si="8"/>
      </c>
      <c r="BS79">
        <f t="shared" si="8"/>
      </c>
      <c r="BT79">
        <f t="shared" si="8"/>
      </c>
      <c r="BU79">
        <f t="shared" si="8"/>
      </c>
      <c r="BV79">
        <f t="shared" si="8"/>
      </c>
      <c r="BW79">
        <f t="shared" si="8"/>
      </c>
      <c r="BX79">
        <f t="shared" si="8"/>
      </c>
      <c r="BY79">
        <f t="shared" si="8"/>
      </c>
      <c r="BZ79">
        <f t="shared" si="8"/>
      </c>
      <c r="CA79">
        <f t="shared" si="8"/>
      </c>
      <c r="CB79">
        <f t="shared" si="8"/>
      </c>
      <c r="CC79">
        <f t="shared" si="8"/>
      </c>
      <c r="CD79">
        <f t="shared" si="8"/>
      </c>
      <c r="CE79">
        <f t="shared" si="8"/>
      </c>
      <c r="CF79">
        <f t="shared" si="8"/>
      </c>
      <c r="CG79">
        <f t="shared" si="8"/>
      </c>
      <c r="CH79">
        <f t="shared" si="8"/>
      </c>
      <c r="CI79">
        <f t="shared" si="8"/>
      </c>
      <c r="CJ79">
        <f t="shared" si="8"/>
      </c>
      <c r="CK79">
        <f t="shared" si="8"/>
      </c>
      <c r="CL79">
        <f t="shared" si="8"/>
      </c>
      <c r="CM79">
        <f t="shared" si="8"/>
      </c>
      <c r="CN79">
        <f t="shared" si="8"/>
      </c>
      <c r="CO79">
        <f t="shared" si="8"/>
      </c>
      <c r="CP79">
        <f t="shared" si="8"/>
      </c>
      <c r="CQ79">
        <f t="shared" si="8"/>
      </c>
      <c r="CR79">
        <f t="shared" si="8"/>
      </c>
      <c r="CS79">
        <f t="shared" si="8"/>
      </c>
      <c r="CT79">
        <f t="shared" si="8"/>
      </c>
      <c r="CU79">
        <f t="shared" si="8"/>
      </c>
      <c r="CV79">
        <f t="shared" si="8"/>
      </c>
      <c r="CW79">
        <f t="shared" si="8"/>
      </c>
      <c r="CX79">
        <f t="shared" si="8"/>
      </c>
      <c r="CY79">
        <f t="shared" si="8"/>
      </c>
      <c r="CZ79">
        <f t="shared" si="8"/>
      </c>
      <c r="DA79">
        <f t="shared" si="8"/>
      </c>
      <c r="DB79">
        <f t="shared" si="8"/>
      </c>
      <c r="DC79">
        <f t="shared" si="8"/>
      </c>
      <c r="DD79">
        <f t="shared" si="8"/>
      </c>
      <c r="DE79">
        <f t="shared" si="8"/>
      </c>
      <c r="DF79">
        <f t="shared" si="8"/>
      </c>
      <c r="DG79">
        <f t="shared" si="8"/>
      </c>
      <c r="DH79">
        <f t="shared" si="8"/>
      </c>
      <c r="DI79">
        <f t="shared" si="8"/>
      </c>
      <c r="DJ79">
        <f t="shared" si="8"/>
      </c>
      <c r="DK79">
        <f t="shared" si="8"/>
      </c>
      <c r="DL79">
        <f t="shared" si="8"/>
      </c>
      <c r="DM79">
        <f t="shared" si="8"/>
      </c>
      <c r="DN79">
        <f t="shared" si="8"/>
      </c>
      <c r="DO79">
        <f t="shared" si="8"/>
      </c>
      <c r="DP79">
        <f t="shared" si="8"/>
      </c>
      <c r="DQ79">
        <f t="shared" si="8"/>
      </c>
      <c r="DR79">
        <f t="shared" si="8"/>
      </c>
      <c r="DS79">
        <f t="shared" si="8"/>
      </c>
      <c r="DT79">
        <f t="shared" si="8"/>
      </c>
      <c r="DU79">
        <f t="shared" si="8"/>
      </c>
      <c r="DV79">
        <f t="shared" si="8"/>
      </c>
      <c r="DW79">
        <f t="shared" si="8"/>
      </c>
      <c r="DX79">
        <f t="shared" si="8"/>
      </c>
      <c r="DY79">
        <f t="shared" si="8"/>
      </c>
      <c r="DZ79">
        <f t="shared" si="8"/>
      </c>
      <c r="EA79">
        <f t="shared" si="8"/>
      </c>
      <c r="EB79">
        <f t="shared" si="8"/>
      </c>
      <c r="EC79">
        <f t="shared" si="8"/>
      </c>
      <c r="ED79">
        <f t="shared" si="8"/>
      </c>
      <c r="EE79">
        <f t="shared" si="8"/>
      </c>
      <c r="EF79">
        <f t="shared" si="8"/>
      </c>
      <c r="EG79">
        <f t="shared" si="8"/>
      </c>
      <c r="EH79">
        <f t="shared" si="8"/>
      </c>
      <c r="EI79">
        <f t="shared" si="8"/>
      </c>
      <c r="EJ79">
        <f t="shared" si="8"/>
      </c>
      <c r="EK79">
        <f t="shared" si="8"/>
      </c>
      <c r="EL79">
        <f t="shared" si="8"/>
      </c>
      <c r="EM79">
        <f t="shared" si="8"/>
      </c>
      <c r="EN79">
        <f t="shared" si="8"/>
      </c>
      <c r="EO79">
        <f t="shared" si="8"/>
      </c>
      <c r="EP79">
        <f t="shared" si="8"/>
      </c>
      <c r="EQ79">
        <f t="shared" si="8"/>
      </c>
      <c r="ER79">
        <f t="shared" si="8"/>
      </c>
      <c r="ES79">
        <f t="shared" si="8"/>
      </c>
      <c r="ET79">
        <f t="shared" si="8"/>
      </c>
      <c r="EU79">
        <f t="shared" si="8"/>
      </c>
      <c r="EV79">
        <f t="shared" si="8"/>
      </c>
      <c r="EW79">
        <f t="shared" si="8"/>
      </c>
      <c r="EX79">
        <f t="shared" si="8"/>
      </c>
      <c r="EY79">
        <f t="shared" si="8"/>
      </c>
      <c r="EZ79">
        <f t="shared" si="8"/>
      </c>
      <c r="FA79" t="str">
        <f t="shared" si="12"/>
        <v>-</v>
      </c>
      <c r="FB79">
        <f t="shared" si="13"/>
      </c>
      <c r="FC79" cm="1">
        <f t="array" ref="FC79">_xlfn.LET(_xlpm.unit_type,$G79,_xlpm.market_rent_from_rent_roll,$E79,_xlpm.unit_type_list,RentRoll_InputArea_DesignatedUnitType,_xlpm.rent_by_unit_type,RentRoll_InputArea_MarketRent,_xlpm.use_rent_roll_market_rent,LEFT(RR_VacantUnitMktRentSource,9)="Rent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79">
        <f t="shared" si="14"/>
        <v>1217</v>
      </c>
      <c r="FE79">
        <f t="shared" si="15"/>
        <v>1217</v>
      </c>
      <c r="FF79">
        <f t="shared" si="16"/>
        <v>1217</v>
      </c>
      <c r="FH79">
        <f t="shared" si="17"/>
      </c>
      <c r="FI79">
        <f t="shared" si="18"/>
      </c>
      <c r="FK79" cm="1">
        <f t="array" ref="FK79">IF(AND(LEN($D79)&gt;0,ISNA(MATCH(TRUE,EXACT($G79,RentRoll_InputArea_DesignatedUnitType),0))),1,0)</f>
        <v>0</v>
      </c>
      <c r="FL79">
        <f t="shared" si="19"/>
        <v>56</v>
      </c>
      <c r="IO79" cm="1">
        <f t="array" ref="IO79">IF(LEN($G79)=0,"Rent Roll is incomplete",_xlfn.XLOOKUP(TRUE,EXACT(RentRoll_InputArea_DesignatedUnitType,$G79),RentRoll_InputArea_Beds,"Not Found"))</f>
        <v>0</v>
      </c>
      <c r="IQ79" t="str">
        <f t="shared" si="20"/>
        <v>0 Bedroom Unit (Efficiency/Studio)</v>
      </c>
      <c r="IR79">
        <f t="shared" si="21"/>
        <v>1217</v>
      </c>
      <c r="IW79" t="str">
        <f t="shared" si="22"/>
        <v>5-511</v>
      </c>
      <c r="IZ79">
        <f t="shared" si="23"/>
        <v>0</v>
      </c>
      <c r="JA79">
        <f t="shared" si="24"/>
        <v>1217</v>
      </c>
      <c r="JH79">
        <f t="shared" si="25"/>
        <v>1217</v>
      </c>
      <c r="JJ79">
        <f t="shared" si="26"/>
      </c>
      <c r="JQ79" t="str">
        <f t="shared" si="27"/>
        <v>Occupied</v>
      </c>
      <c r="JR79" cm="1">
        <f t="array" ref="JR79">_xlfn.XLOOKUP(TRUE,EXACT(RentRoll_InputArea_DesignatedUnitType,$G79),RentRoll_InputArea_SquareFootage,"Not Found")</f>
        <v>800</v>
      </c>
      <c r="JS79" t="str">
        <f t="shared" si="28"/>
        <v>Apartment</v>
      </c>
      <c r="JT79">
        <f t="shared" si="29"/>
      </c>
      <c r="JY79">
        <f t="shared" si="9"/>
        <v>43316</v>
      </c>
      <c r="JZ79">
        <f t="shared" si="9"/>
        <v>43616</v>
      </c>
    </row>
    <row r="80" ht="15" customHeight="1">
      <c r="A80">
        <f t="shared" si="10"/>
        <v>57</v>
      </c>
      <c r="D80" t="s">
        <v>2856</v>
      </c>
      <c r="E80">
        <v>1582</v>
      </c>
      <c r="F80" t="s">
        <v>2857</v>
      </c>
      <c r="G80" t="s">
        <v>2532</v>
      </c>
      <c r="H80">
        <v>1483</v>
      </c>
      <c r="I80" cm="1">
        <f t="array" ref="I80">_xlfn.LET(_xlpm.has_subsidy,$N80&gt;0,_xlpm.is_chap9_sbl,$FF$20,_xlpm.contract_rent,$H80,_xlpm.unit_type_mkt_rent,_xlfn.XLOOKUP(TRUE,EXACT($G80,RentRoll_InputArea_DesignatedUnitType),RentRoll_InputArea_MarketRent,"Not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0">
        <f t="shared" si="11"/>
        <v>1483</v>
      </c>
      <c r="O80" s="1">
        <v>43437</v>
      </c>
      <c r="P80" s="1">
        <v>43708</v>
      </c>
      <c r="Q80">
        <f t="shared" si="8"/>
      </c>
      <c r="R80">
        <f t="shared" si="8"/>
      </c>
      <c r="S80">
        <f t="shared" si="8"/>
      </c>
      <c r="T80">
        <f t="shared" si="8"/>
        <v>1483</v>
      </c>
      <c r="U80">
        <f t="shared" si="8"/>
      </c>
      <c r="V80">
        <f t="shared" si="8"/>
      </c>
      <c r="W80">
        <f t="shared" si="8"/>
      </c>
      <c r="X80">
        <f t="shared" si="8"/>
      </c>
      <c r="Y80">
        <f t="shared" si="8"/>
      </c>
      <c r="Z80">
        <f t="shared" si="8"/>
      </c>
      <c r="AA80">
        <f t="shared" si="8"/>
      </c>
      <c r="AB80">
        <f t="shared" si="8"/>
      </c>
      <c r="AC80">
        <f t="shared" si="8"/>
      </c>
      <c r="AD80">
        <f t="shared" si="8"/>
      </c>
      <c r="AE80">
        <f t="shared" si="8"/>
      </c>
      <c r="AF80">
        <f t="shared" si="8"/>
      </c>
      <c r="AG80">
        <f t="shared" si="8"/>
      </c>
      <c r="AH80">
        <f t="shared" si="8"/>
      </c>
      <c r="AI80">
        <f t="shared" si="8"/>
      </c>
      <c r="AJ80">
        <f t="shared" si="8"/>
      </c>
      <c r="AK80">
        <f t="shared" si="8"/>
      </c>
      <c r="AL80">
        <f t="shared" si="8"/>
      </c>
      <c r="AM80">
        <f t="shared" si="8"/>
      </c>
      <c r="AN80">
        <f t="shared" si="8"/>
      </c>
      <c r="AO80">
        <f t="shared" si="8"/>
      </c>
      <c r="AP80">
        <f t="shared" si="8"/>
      </c>
      <c r="AQ80">
        <f t="shared" si="8"/>
      </c>
      <c r="AR80">
        <f t="shared" si="8"/>
      </c>
      <c r="AS80">
        <f t="shared" si="8"/>
      </c>
      <c r="AT80">
        <f t="shared" si="8"/>
      </c>
      <c r="AU80">
        <f t="shared" si="8"/>
      </c>
      <c r="AV80">
        <f t="shared" si="8"/>
      </c>
      <c r="AW80">
        <f t="shared" si="8"/>
      </c>
      <c r="AX80">
        <f t="shared" si="8"/>
      </c>
      <c r="AY80">
        <f t="shared" si="8"/>
      </c>
      <c r="AZ80">
        <f t="shared" si="8"/>
      </c>
      <c r="BA80">
        <f t="shared" si="8"/>
      </c>
      <c r="BB80">
        <f t="shared" si="8"/>
      </c>
      <c r="BC80">
        <f t="shared" si="8"/>
      </c>
      <c r="BD80">
        <f t="shared" si="8"/>
      </c>
      <c r="BE80">
        <f t="shared" si="8"/>
      </c>
      <c r="BF80">
        <f t="shared" si="8"/>
      </c>
      <c r="BG80">
        <f t="shared" si="8"/>
      </c>
      <c r="BH80">
        <f t="shared" si="8"/>
      </c>
      <c r="BI80">
        <f t="shared" si="8"/>
      </c>
      <c r="BJ80">
        <f t="shared" si="8"/>
      </c>
      <c r="BK80">
        <f t="shared" si="8"/>
      </c>
      <c r="BL80">
        <f t="shared" si="8"/>
      </c>
      <c r="BM80">
        <f t="shared" si="8"/>
      </c>
      <c r="BN80">
        <f t="shared" si="8"/>
      </c>
      <c r="BO80">
        <f t="shared" si="8"/>
      </c>
      <c r="BP80">
        <f t="shared" si="8"/>
      </c>
      <c r="BQ80">
        <f t="shared" si="8"/>
      </c>
      <c r="BR80">
        <f t="shared" si="8"/>
      </c>
      <c r="BS80">
        <f t="shared" si="8"/>
      </c>
      <c r="BT80">
        <f t="shared" si="8"/>
      </c>
      <c r="BU80">
        <f t="shared" si="8"/>
      </c>
      <c r="BV80">
        <f t="shared" si="8"/>
      </c>
      <c r="BW80">
        <f t="shared" si="8"/>
      </c>
      <c r="BX80">
        <f t="shared" si="8"/>
      </c>
      <c r="BY80">
        <f t="shared" si="8"/>
      </c>
      <c r="BZ80">
        <f t="shared" si="8"/>
      </c>
      <c r="CA80">
        <f t="shared" si="8"/>
      </c>
      <c r="CB80">
        <f t="shared" si="8"/>
      </c>
      <c r="CC80">
        <f t="shared" si="8"/>
      </c>
      <c r="CD80">
        <f t="shared" si="8"/>
      </c>
      <c r="CE80">
        <f t="shared" si="8"/>
      </c>
      <c r="CF80">
        <f t="shared" si="8"/>
      </c>
      <c r="CG80">
        <f t="shared" si="8"/>
      </c>
      <c r="CH80">
        <f t="shared" si="8"/>
      </c>
      <c r="CI80">
        <f t="shared" si="8"/>
      </c>
      <c r="CJ80">
        <f t="shared" si="8"/>
      </c>
      <c r="CK80">
        <f t="shared" si="8"/>
      </c>
      <c r="CL80">
        <f t="shared" si="8"/>
      </c>
      <c r="CM80">
        <f t="shared" si="8"/>
      </c>
      <c r="CN80">
        <f t="shared" si="8"/>
      </c>
      <c r="CO80">
        <f t="shared" si="8"/>
      </c>
      <c r="CP80">
        <f t="shared" si="8"/>
      </c>
      <c r="CQ80">
        <f t="shared" si="8"/>
      </c>
      <c r="CR80">
        <f t="shared" si="8"/>
      </c>
      <c r="CS80">
        <f t="shared" si="8"/>
      </c>
      <c r="CT80">
        <f t="shared" si="8"/>
      </c>
      <c r="CU80">
        <f t="shared" si="8"/>
      </c>
      <c r="CV80">
        <f t="shared" si="8"/>
      </c>
      <c r="CW80">
        <f t="shared" si="8"/>
      </c>
      <c r="CX80">
        <f t="shared" si="8"/>
      </c>
      <c r="CY80">
        <f t="shared" si="8"/>
      </c>
      <c r="CZ80">
        <f t="shared" si="8"/>
      </c>
      <c r="DA80">
        <f t="shared" si="8"/>
      </c>
      <c r="DB80">
        <f t="shared" si="8"/>
      </c>
      <c r="DC80">
        <f t="shared" si="8"/>
      </c>
      <c r="DD80">
        <f t="shared" si="8"/>
      </c>
      <c r="DE80">
        <f t="shared" si="8"/>
      </c>
      <c r="DF80">
        <f t="shared" si="8"/>
      </c>
      <c r="DG80">
        <f t="shared" si="8"/>
      </c>
      <c r="DH80">
        <f t="shared" si="8"/>
      </c>
      <c r="DI80">
        <f t="shared" si="8"/>
      </c>
      <c r="DJ80">
        <f t="shared" si="8"/>
      </c>
      <c r="DK80">
        <f t="shared" si="8"/>
      </c>
      <c r="DL80">
        <f t="shared" si="8"/>
      </c>
      <c r="DM80">
        <f t="shared" si="8"/>
      </c>
      <c r="DN80">
        <f t="shared" si="8"/>
      </c>
      <c r="DO80">
        <f t="shared" si="8"/>
      </c>
      <c r="DP80">
        <f t="shared" si="8"/>
      </c>
      <c r="DQ80">
        <f t="shared" si="8"/>
      </c>
      <c r="DR80">
        <f t="shared" si="8"/>
      </c>
      <c r="DS80">
        <f t="shared" si="8"/>
      </c>
      <c r="DT80">
        <f t="shared" si="8"/>
      </c>
      <c r="DU80">
        <f t="shared" si="8"/>
      </c>
      <c r="DV80">
        <f t="shared" si="8"/>
      </c>
      <c r="DW80">
        <f t="shared" si="8"/>
      </c>
      <c r="DX80">
        <f t="shared" si="8"/>
      </c>
      <c r="DY80">
        <f t="shared" si="8"/>
      </c>
      <c r="DZ80">
        <f t="shared" si="8"/>
      </c>
      <c r="EA80">
        <f t="shared" si="8"/>
      </c>
      <c r="EB80">
        <f t="shared" si="8"/>
      </c>
      <c r="EC80">
        <f t="shared" si="8"/>
      </c>
      <c r="ED80">
        <f t="shared" si="8"/>
      </c>
      <c r="EE80">
        <f t="shared" si="8"/>
      </c>
      <c r="EF80">
        <f t="shared" si="8"/>
      </c>
      <c r="EG80">
        <f t="shared" si="8"/>
      </c>
      <c r="EH80">
        <f t="shared" si="8"/>
      </c>
      <c r="EI80">
        <f t="shared" si="8"/>
      </c>
      <c r="EJ80">
        <f t="shared" si="8"/>
      </c>
      <c r="EK80">
        <f t="shared" si="8"/>
      </c>
      <c r="EL80">
        <f t="shared" si="8"/>
      </c>
      <c r="EM80">
        <f t="shared" si="8"/>
      </c>
      <c r="EN80">
        <f t="shared" si="8"/>
      </c>
      <c r="EO80">
        <f t="shared" si="8"/>
      </c>
      <c r="EP80">
        <f t="shared" si="8"/>
      </c>
      <c r="EQ80">
        <f t="shared" si="8"/>
      </c>
      <c r="ER80">
        <f t="shared" si="8"/>
      </c>
      <c r="ES80">
        <f t="shared" si="8"/>
      </c>
      <c r="ET80">
        <f t="shared" si="8"/>
      </c>
      <c r="EU80">
        <f t="shared" si="8"/>
      </c>
      <c r="EV80">
        <f t="shared" si="8"/>
      </c>
      <c r="EW80">
        <f t="shared" si="8"/>
      </c>
      <c r="EX80">
        <f t="shared" si="8"/>
      </c>
      <c r="EY80">
        <f t="shared" si="8"/>
      </c>
      <c r="EZ80">
        <f t="shared" si="8"/>
      </c>
      <c r="FA80" t="str">
        <f t="shared" si="12"/>
        <v>-</v>
      </c>
      <c r="FB80">
        <f t="shared" si="13"/>
      </c>
      <c r="FC80" cm="1">
        <f t="array" ref="FC80">_xlfn.LET(_xlpm.unit_type,$G80,_xlpm.market_rent_from_rent_roll,$E80,_xlpm.unit_type_list,RentRoll_InputArea_DesignatedUnitType,_xlpm.rent_by_unit_type,RentRoll_InputArea_MarketRent,_xlpm.use_rent_roll_market_rent,LEFT(RR_VacantUnitMktRentSource,9)="Rent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80">
        <f t="shared" si="14"/>
        <v>1483</v>
      </c>
      <c r="FE80">
        <f t="shared" si="15"/>
        <v>1483</v>
      </c>
      <c r="FF80">
        <f t="shared" si="16"/>
        <v>1483</v>
      </c>
      <c r="FH80">
        <f t="shared" si="17"/>
      </c>
      <c r="FI80">
        <f t="shared" si="18"/>
      </c>
      <c r="FK80" cm="1">
        <f t="array" ref="FK80">IF(AND(LEN($D80)&gt;0,ISNA(MATCH(TRUE,EXACT($G80,RentRoll_InputArea_DesignatedUnitType),0))),1,0)</f>
        <v>0</v>
      </c>
      <c r="FL80">
        <f t="shared" si="19"/>
        <v>57</v>
      </c>
      <c r="IO80" cm="1">
        <f t="array" ref="IO80">IF(LEN($G80)=0,"Rent Roll is incomplete",_xlfn.XLOOKUP(TRUE,EXACT(RentRoll_InputArea_DesignatedUnitType,$G80),RentRoll_InputArea_Beds,"Not Found"))</f>
        <v>0</v>
      </c>
      <c r="IQ80" t="str">
        <f t="shared" si="20"/>
        <v>0 Bedroom Unit (Efficiency/Studio)</v>
      </c>
      <c r="IR80">
        <f t="shared" si="21"/>
        <v>1483</v>
      </c>
      <c r="IW80" t="str">
        <f t="shared" si="22"/>
        <v>5-512</v>
      </c>
      <c r="IZ80">
        <f t="shared" si="23"/>
        <v>0</v>
      </c>
      <c r="JA80">
        <f t="shared" si="24"/>
        <v>1483</v>
      </c>
      <c r="JH80">
        <f t="shared" si="25"/>
        <v>1533</v>
      </c>
      <c r="JJ80">
        <f t="shared" si="26"/>
      </c>
      <c r="JQ80" t="str">
        <f t="shared" si="27"/>
        <v>Occupied</v>
      </c>
      <c r="JR80" cm="1">
        <f t="array" ref="JR80">_xlfn.XLOOKUP(TRUE,EXACT(RentRoll_InputArea_DesignatedUnitType,$G80),RentRoll_InputArea_SquareFootage,"Not Found")</f>
        <v>1050</v>
      </c>
      <c r="JS80" t="str">
        <f t="shared" si="28"/>
        <v>Apartment</v>
      </c>
      <c r="JT80">
        <f t="shared" si="29"/>
      </c>
      <c r="JY80">
        <f t="shared" si="9"/>
        <v>43437</v>
      </c>
      <c r="JZ80">
        <f t="shared" si="9"/>
        <v>43708</v>
      </c>
    </row>
    <row r="81" ht="15" customHeight="1">
      <c r="A81">
        <f t="shared" si="10"/>
        <v>58</v>
      </c>
      <c r="D81" t="s">
        <v>2858</v>
      </c>
      <c r="E81">
        <v>1614</v>
      </c>
      <c r="F81" t="s">
        <v>2859</v>
      </c>
      <c r="G81" t="s">
        <v>2532</v>
      </c>
      <c r="H81">
        <v>1585</v>
      </c>
      <c r="I81" cm="1">
        <f t="array" ref="I81">_xlfn.LET(_xlpm.has_subsidy,$N81&gt;0,_xlpm.is_chap9_sbl,$FF$20,_xlpm.contract_rent,$H81,_xlpm.unit_type_mkt_rent,_xlfn.XLOOKUP(TRUE,EXACT($G81,RentRoll_InputArea_DesignatedUnitType),RentRoll_InputArea_MarketRent,"Not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1">
        <f t="shared" si="11"/>
        <v>1585</v>
      </c>
      <c r="O81" s="1">
        <v>43528</v>
      </c>
      <c r="P81" s="1">
        <v>43921</v>
      </c>
      <c r="Q81">
        <f t="shared" si="8"/>
      </c>
      <c r="R81">
        <f t="shared" si="8"/>
      </c>
      <c r="S81">
        <f t="shared" si="8"/>
      </c>
      <c r="T81">
        <f t="shared" si="8"/>
        <v>1585</v>
      </c>
      <c r="U81">
        <f t="shared" si="8"/>
      </c>
      <c r="V81">
        <f t="shared" si="8"/>
      </c>
      <c r="W81">
        <f t="shared" si="8"/>
      </c>
      <c r="X81">
        <f t="shared" si="8"/>
      </c>
      <c r="Y81">
        <f t="shared" si="8"/>
      </c>
      <c r="Z81">
        <f t="shared" si="8"/>
      </c>
      <c r="AA81">
        <f t="shared" si="8"/>
      </c>
      <c r="AB81">
        <f t="shared" si="8"/>
      </c>
      <c r="AC81">
        <f t="shared" si="8"/>
      </c>
      <c r="AD81">
        <f t="shared" si="8"/>
      </c>
      <c r="AE81">
        <f t="shared" si="8"/>
      </c>
      <c r="AF81">
        <f t="shared" si="8"/>
      </c>
      <c r="AG81">
        <f t="shared" si="8"/>
      </c>
      <c r="AH81">
        <f t="shared" si="8"/>
      </c>
      <c r="AI81">
        <f t="shared" si="8"/>
      </c>
      <c r="AJ81">
        <f t="shared" si="8"/>
      </c>
      <c r="AK81">
        <f t="shared" si="8"/>
      </c>
      <c r="AL81">
        <f t="shared" si="8"/>
      </c>
      <c r="AM81">
        <f t="shared" si="8"/>
      </c>
      <c r="AN81">
        <f t="shared" si="8"/>
      </c>
      <c r="AO81">
        <f t="shared" si="8"/>
      </c>
      <c r="AP81">
        <f t="shared" si="8"/>
      </c>
      <c r="AQ81">
        <f t="shared" si="8"/>
      </c>
      <c r="AR81">
        <f t="shared" si="8"/>
      </c>
      <c r="AS81">
        <f t="shared" si="8"/>
      </c>
      <c r="AT81">
        <f t="shared" si="8"/>
      </c>
      <c r="AU81">
        <f t="shared" si="8"/>
      </c>
      <c r="AV81">
        <f t="shared" si="8"/>
      </c>
      <c r="AW81">
        <f t="shared" si="8"/>
      </c>
      <c r="AX81">
        <f t="shared" si="8"/>
      </c>
      <c r="AY81">
        <f t="shared" si="8"/>
      </c>
      <c r="AZ81">
        <f t="shared" si="8"/>
      </c>
      <c r="BA81">
        <f t="shared" si="8"/>
      </c>
      <c r="BB81">
        <f t="shared" si="8"/>
      </c>
      <c r="BC81">
        <f t="shared" si="8"/>
      </c>
      <c r="BD81">
        <f t="shared" si="8"/>
      </c>
      <c r="BE81">
        <f t="shared" si="8"/>
      </c>
      <c r="BF81">
        <f t="shared" si="8"/>
      </c>
      <c r="BG81">
        <f t="shared" si="8"/>
      </c>
      <c r="BH81">
        <f t="shared" si="8"/>
      </c>
      <c r="BI81">
        <f t="shared" si="8"/>
      </c>
      <c r="BJ81">
        <f t="shared" si="8"/>
      </c>
      <c r="BK81">
        <f t="shared" si="8"/>
      </c>
      <c r="BL81">
        <f t="shared" si="8"/>
      </c>
      <c r="BM81">
        <f t="shared" si="8"/>
      </c>
      <c r="BN81">
        <f t="shared" si="8"/>
      </c>
      <c r="BO81">
        <f t="shared" si="8"/>
      </c>
      <c r="BP81">
        <f t="shared" si="8"/>
      </c>
      <c r="BQ81">
        <f t="shared" si="8"/>
      </c>
      <c r="BR81">
        <f t="shared" si="8"/>
      </c>
      <c r="BS81">
        <f t="shared" si="8"/>
      </c>
      <c r="BT81">
        <f t="shared" si="8"/>
      </c>
      <c r="BU81">
        <f t="shared" si="8"/>
      </c>
      <c r="BV81">
        <f t="shared" si="8"/>
      </c>
      <c r="BW81">
        <f t="shared" si="8"/>
      </c>
      <c r="BX81">
        <f t="shared" si="8"/>
      </c>
      <c r="BY81">
        <f t="shared" si="8"/>
      </c>
      <c r="BZ81">
        <f t="shared" si="8"/>
      </c>
      <c r="CA81">
        <f t="shared" si="8"/>
      </c>
      <c r="CB81">
        <f t="shared" si="8"/>
      </c>
      <c r="CC81">
        <f t="shared" si="8"/>
      </c>
      <c r="CD81">
        <f t="shared" si="8"/>
      </c>
      <c r="CE81">
        <f t="shared" si="8"/>
      </c>
      <c r="CF81">
        <f t="shared" si="8"/>
      </c>
      <c r="CG81">
        <f t="shared" si="8"/>
      </c>
      <c r="CH81">
        <f t="shared" si="8"/>
      </c>
      <c r="CI81">
        <f t="shared" si="8"/>
      </c>
      <c r="CJ81">
        <f t="shared" si="8"/>
      </c>
      <c r="CK81">
        <f t="shared" si="8"/>
      </c>
      <c r="CL81">
        <f t="shared" si="8"/>
      </c>
      <c r="CM81">
        <f t="shared" si="8"/>
      </c>
      <c r="CN81">
        <f t="shared" si="8"/>
      </c>
      <c r="CO81">
        <f t="shared" si="8"/>
      </c>
      <c r="CP81">
        <f t="shared" si="8"/>
      </c>
      <c r="CQ81">
        <f t="shared" si="8"/>
      </c>
      <c r="CR81">
        <f t="shared" si="8"/>
      </c>
      <c r="CS81">
        <f t="shared" si="8"/>
      </c>
      <c r="CT81">
        <f t="shared" si="8"/>
      </c>
      <c r="CU81">
        <f t="shared" si="8"/>
      </c>
      <c r="CV81">
        <f t="shared" si="8"/>
      </c>
      <c r="CW81">
        <f t="shared" si="8"/>
      </c>
      <c r="CX81">
        <f t="shared" si="8"/>
      </c>
      <c r="CY81">
        <f t="shared" si="8"/>
      </c>
      <c r="CZ81">
        <f t="shared" si="8"/>
      </c>
      <c r="DA81">
        <f t="shared" si="8"/>
      </c>
      <c r="DB81">
        <f t="shared" si="8"/>
      </c>
      <c r="DC81">
        <f t="shared" si="8"/>
      </c>
      <c r="DD81">
        <f t="shared" si="8"/>
      </c>
      <c r="DE81">
        <f t="shared" si="8"/>
      </c>
      <c r="DF81">
        <f t="shared" si="8"/>
      </c>
      <c r="DG81">
        <f t="shared" si="8"/>
      </c>
      <c r="DH81">
        <f t="shared" si="8"/>
      </c>
      <c r="DI81">
        <f t="shared" si="8"/>
      </c>
      <c r="DJ81">
        <f t="shared" si="8"/>
      </c>
      <c r="DK81">
        <f t="shared" si="8"/>
      </c>
      <c r="DL81">
        <f t="shared" si="8"/>
      </c>
      <c r="DM81">
        <f t="shared" si="8"/>
      </c>
      <c r="DN81">
        <f t="shared" si="8"/>
      </c>
      <c r="DO81">
        <f t="shared" si="8"/>
      </c>
      <c r="DP81">
        <f t="shared" si="8"/>
      </c>
      <c r="DQ81">
        <f t="shared" si="8"/>
      </c>
      <c r="DR81">
        <f t="shared" si="8"/>
      </c>
      <c r="DS81">
        <f t="shared" si="8"/>
      </c>
      <c r="DT81">
        <f t="shared" si="8"/>
      </c>
      <c r="DU81">
        <f t="shared" si="8"/>
      </c>
      <c r="DV81">
        <f t="shared" si="8"/>
      </c>
      <c r="DW81">
        <f t="shared" si="8"/>
      </c>
      <c r="DX81">
        <f t="shared" si="8"/>
      </c>
      <c r="DY81">
        <f t="shared" si="8"/>
      </c>
      <c r="DZ81">
        <f t="shared" si="8"/>
      </c>
      <c r="EA81">
        <f t="shared" si="8"/>
      </c>
      <c r="EB81">
        <f t="shared" si="8"/>
      </c>
      <c r="EC81">
        <f t="shared" si="8"/>
      </c>
      <c r="ED81">
        <f t="shared" si="8"/>
      </c>
      <c r="EE81">
        <f t="shared" si="8"/>
      </c>
      <c r="EF81">
        <f t="shared" si="8"/>
      </c>
      <c r="EG81">
        <f t="shared" si="8"/>
      </c>
      <c r="EH81">
        <f t="shared" si="8"/>
      </c>
      <c r="EI81">
        <f t="shared" si="8"/>
      </c>
      <c r="EJ81">
        <f t="shared" si="8"/>
      </c>
      <c r="EK81">
        <f t="shared" si="8"/>
      </c>
      <c r="EL81">
        <f t="shared" si="8"/>
      </c>
      <c r="EM81">
        <f t="shared" si="8"/>
      </c>
      <c r="EN81">
        <f t="shared" si="8"/>
      </c>
      <c r="EO81">
        <f t="shared" si="8"/>
      </c>
      <c r="EP81">
        <f t="shared" si="8"/>
      </c>
      <c r="EQ81">
        <f t="shared" si="8"/>
      </c>
      <c r="ER81">
        <f t="shared" si="8"/>
      </c>
      <c r="ES81">
        <f t="shared" si="8"/>
      </c>
      <c r="ET81">
        <f t="shared" si="8"/>
      </c>
      <c r="EU81">
        <f t="shared" si="8"/>
      </c>
      <c r="EV81">
        <f t="shared" si="8"/>
      </c>
      <c r="EW81">
        <f t="shared" si="8"/>
      </c>
      <c r="EX81">
        <f t="shared" si="8"/>
      </c>
      <c r="EY81">
        <f t="shared" si="8"/>
      </c>
      <c r="EZ81">
        <f t="shared" si="8"/>
      </c>
      <c r="FA81" t="str">
        <f t="shared" si="12"/>
        <v>-</v>
      </c>
      <c r="FB81">
        <f t="shared" si="13"/>
      </c>
      <c r="FC81" cm="1">
        <f t="array" ref="FC81">_xlfn.LET(_xlpm.unit_type,$G81,_xlpm.market_rent_from_rent_roll,$E81,_xlpm.unit_type_list,RentRoll_InputArea_DesignatedUnitType,_xlpm.rent_by_unit_type,RentRoll_InputArea_MarketRent,_xlpm.use_rent_roll_market_rent,LEFT(RR_VacantUnitMktRentSource,9)="Rent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81">
        <f t="shared" si="14"/>
        <v>1585</v>
      </c>
      <c r="FE81">
        <f t="shared" si="15"/>
        <v>1585</v>
      </c>
      <c r="FF81">
        <f t="shared" si="16"/>
        <v>1585</v>
      </c>
      <c r="FH81">
        <f t="shared" si="17"/>
      </c>
      <c r="FI81">
        <f t="shared" si="18"/>
      </c>
      <c r="FK81" cm="1">
        <f t="array" ref="FK81">IF(AND(LEN($D81)&gt;0,ISNA(MATCH(TRUE,EXACT($G81,RentRoll_InputArea_DesignatedUnitType),0))),1,0)</f>
        <v>0</v>
      </c>
      <c r="FL81">
        <f t="shared" si="19"/>
        <v>58</v>
      </c>
      <c r="IO81" cm="1">
        <f t="array" ref="IO81">IF(LEN($G81)=0,"Rent Roll is incomplete",_xlfn.XLOOKUP(TRUE,EXACT(RentRoll_InputArea_DesignatedUnitType,$G81),RentRoll_InputArea_Beds,"Not Found"))</f>
        <v>0</v>
      </c>
      <c r="IQ81" t="str">
        <f t="shared" si="20"/>
        <v>0 Bedroom Unit (Efficiency/Studio)</v>
      </c>
      <c r="IR81">
        <f t="shared" si="21"/>
        <v>1585</v>
      </c>
      <c r="IW81" t="str">
        <f t="shared" si="22"/>
        <v>5-513</v>
      </c>
      <c r="IZ81">
        <f t="shared" si="23"/>
        <v>0</v>
      </c>
      <c r="JA81">
        <f t="shared" si="24"/>
        <v>1585</v>
      </c>
      <c r="JH81">
        <f t="shared" si="25"/>
        <v>1533</v>
      </c>
      <c r="JJ81">
        <f t="shared" si="26"/>
      </c>
      <c r="JQ81" t="str">
        <f t="shared" si="27"/>
        <v>Occupied</v>
      </c>
      <c r="JR81" cm="1">
        <f t="array" ref="JR81">_xlfn.XLOOKUP(TRUE,EXACT(RentRoll_InputArea_DesignatedUnitType,$G81),RentRoll_InputArea_SquareFootage,"Not Found")</f>
        <v>1050</v>
      </c>
      <c r="JS81" t="str">
        <f t="shared" si="28"/>
        <v>Apartment</v>
      </c>
      <c r="JT81">
        <f t="shared" si="29"/>
      </c>
      <c r="JY81">
        <f t="shared" si="9"/>
        <v>43528</v>
      </c>
      <c r="JZ81">
        <f t="shared" si="9"/>
        <v>43921</v>
      </c>
    </row>
    <row r="82" ht="15" customHeight="1">
      <c r="A82">
        <f t="shared" si="10"/>
        <v>59</v>
      </c>
      <c r="D82" t="s">
        <v>2860</v>
      </c>
      <c r="E82">
        <v>1195</v>
      </c>
      <c r="F82" t="s">
        <v>2861</v>
      </c>
      <c r="G82" t="s">
        <v>2529</v>
      </c>
      <c r="H82">
        <v>1101</v>
      </c>
      <c r="I82" cm="1">
        <f t="array" ref="I82">_xlfn.LET(_xlpm.has_subsidy,$N82&gt;0,_xlpm.is_chap9_sbl,$FF$20,_xlpm.contract_rent,$H82,_xlpm.unit_type_mkt_rent,_xlfn.XLOOKUP(TRUE,EXACT($G82,RentRoll_InputArea_DesignatedUnitType),RentRoll_InputArea_MarketRent,"Not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2">
        <f t="shared" si="11"/>
        <v>1101</v>
      </c>
      <c r="O82" s="1">
        <v>43586</v>
      </c>
      <c r="P82" s="1">
        <v>43951</v>
      </c>
      <c r="Q82">
        <f t="shared" si="8"/>
        <v>1101</v>
      </c>
      <c r="R82">
        <f t="shared" si="8"/>
      </c>
      <c r="S82">
        <f t="shared" si="8"/>
      </c>
      <c r="T82">
        <f t="shared" si="8"/>
      </c>
      <c r="U82">
        <f t="shared" si="8"/>
      </c>
      <c r="V82">
        <f t="shared" si="8"/>
      </c>
      <c r="W82">
        <f t="shared" si="8"/>
      </c>
      <c r="X82">
        <f t="shared" si="8"/>
      </c>
      <c r="Y82">
        <f t="shared" si="8"/>
      </c>
      <c r="Z82">
        <f t="shared" si="8"/>
      </c>
      <c r="AA82">
        <f t="shared" si="8"/>
      </c>
      <c r="AB82">
        <f t="shared" si="8"/>
      </c>
      <c r="AC82">
        <f t="shared" si="8"/>
      </c>
      <c r="AD82">
        <f t="shared" si="8"/>
      </c>
      <c r="AE82">
        <f t="shared" si="8"/>
      </c>
      <c r="AF82">
        <f t="shared" si="8"/>
      </c>
      <c r="AG82">
        <f t="shared" si="8"/>
      </c>
      <c r="AH82">
        <f t="shared" si="8"/>
      </c>
      <c r="AI82">
        <f t="shared" si="8"/>
      </c>
      <c r="AJ82">
        <f t="shared" si="8"/>
      </c>
      <c r="AK82">
        <f t="shared" si="8"/>
      </c>
      <c r="AL82">
        <f t="shared" si="8"/>
      </c>
      <c r="AM82">
        <f t="shared" si="8"/>
      </c>
      <c r="AN82">
        <f t="shared" si="8"/>
      </c>
      <c r="AO82">
        <f t="shared" si="8"/>
      </c>
      <c r="AP82">
        <f t="shared" si="8"/>
      </c>
      <c r="AQ82">
        <f t="shared" si="8"/>
      </c>
      <c r="AR82">
        <f t="shared" si="8"/>
      </c>
      <c r="AS82">
        <f t="shared" si="8"/>
      </c>
      <c r="AT82">
        <f t="shared" si="8"/>
      </c>
      <c r="AU82">
        <f t="shared" si="8"/>
      </c>
      <c r="AV82">
        <f t="shared" si="8"/>
      </c>
      <c r="AW82">
        <f t="shared" si="8"/>
      </c>
      <c r="AX82">
        <f t="shared" si="8"/>
      </c>
      <c r="AY82">
        <f t="shared" si="8"/>
      </c>
      <c r="AZ82">
        <f t="shared" si="8"/>
      </c>
      <c r="BA82">
        <f t="shared" si="8"/>
      </c>
      <c r="BB82">
        <f t="shared" si="8"/>
      </c>
      <c r="BC82">
        <f t="shared" si="8"/>
      </c>
      <c r="BD82">
        <f t="shared" si="8"/>
      </c>
      <c r="BE82">
        <f t="shared" si="8"/>
      </c>
      <c r="BF82">
        <f t="shared" si="8"/>
      </c>
      <c r="BG82">
        <f t="shared" si="8"/>
      </c>
      <c r="BH82">
        <f t="shared" si="8"/>
      </c>
      <c r="BI82">
        <f t="shared" si="8"/>
      </c>
      <c r="BJ82">
        <f t="shared" si="8"/>
      </c>
      <c r="BK82">
        <f t="shared" si="8"/>
      </c>
      <c r="BL82">
        <f t="shared" si="8"/>
      </c>
      <c r="BM82">
        <f t="shared" si="8"/>
      </c>
      <c r="BN82">
        <f t="shared" si="8"/>
      </c>
      <c r="BO82">
        <f t="shared" si="8"/>
      </c>
      <c r="BP82">
        <f t="shared" si="8"/>
      </c>
      <c r="BQ82">
        <f t="shared" si="8"/>
      </c>
      <c r="BR82">
        <f t="shared" si="8"/>
      </c>
      <c r="BS82">
        <f t="shared" si="8"/>
      </c>
      <c r="BT82">
        <f t="shared" si="8"/>
      </c>
      <c r="BU82">
        <f t="shared" si="8"/>
      </c>
      <c r="BV82">
        <f t="shared" si="8"/>
      </c>
      <c r="BW82">
        <f t="shared" si="8"/>
      </c>
      <c r="BX82">
        <f t="shared" si="8"/>
      </c>
      <c r="BY82">
        <f t="shared" si="8"/>
      </c>
      <c r="BZ82">
        <f t="shared" si="8"/>
      </c>
      <c r="CA82">
        <f t="shared" si="8"/>
      </c>
      <c r="CB82">
        <f t="shared" si="8"/>
      </c>
      <c r="CC82">
        <f t="shared" si="8"/>
      </c>
      <c r="CD82">
        <f t="shared" si="8"/>
      </c>
      <c r="CE82">
        <f t="shared" si="8"/>
      </c>
      <c r="CF82">
        <f t="shared" si="8"/>
      </c>
      <c r="CG82">
        <f t="shared" si="8"/>
      </c>
      <c r="CH82">
        <f t="shared" si="8"/>
      </c>
      <c r="CI82">
        <f t="shared" si="8"/>
      </c>
      <c r="CJ82">
        <f t="shared" si="8"/>
      </c>
      <c r="CK82">
        <f t="shared" si="8"/>
      </c>
      <c r="CL82">
        <f t="shared" si="8"/>
      </c>
      <c r="CM82">
        <f t="shared" si="8"/>
      </c>
      <c r="CN82">
        <f t="shared" si="8"/>
      </c>
      <c r="CO82">
        <f t="shared" si="8"/>
      </c>
      <c r="CP82">
        <f t="shared" si="8"/>
      </c>
      <c r="CQ82">
        <f t="shared" si="8"/>
      </c>
      <c r="CR82">
        <f t="shared" si="8"/>
      </c>
      <c r="CS82">
        <f t="shared" si="8"/>
      </c>
      <c r="CT82">
        <f t="shared" si="8"/>
      </c>
      <c r="CU82">
        <f t="shared" si="8"/>
      </c>
      <c r="CV82">
        <f t="shared" si="8"/>
      </c>
      <c r="CW82">
        <f t="shared" si="8"/>
      </c>
      <c r="CX82">
        <f t="shared" si="8"/>
      </c>
      <c r="CY82">
        <f t="shared" si="8"/>
      </c>
      <c r="CZ82">
        <f t="shared" si="8"/>
      </c>
      <c r="DA82">
        <f t="shared" si="8"/>
      </c>
      <c r="DB82">
        <f t="shared" si="8"/>
      </c>
      <c r="DC82">
        <f t="shared" si="8"/>
      </c>
      <c r="DD82">
        <f t="shared" si="8"/>
      </c>
      <c r="DE82">
        <f t="shared" si="8"/>
      </c>
      <c r="DF82">
        <f t="shared" si="8"/>
      </c>
      <c r="DG82">
        <f t="shared" si="8"/>
      </c>
      <c r="DH82">
        <f t="shared" si="8"/>
      </c>
      <c r="DI82">
        <f t="shared" si="8"/>
      </c>
      <c r="DJ82">
        <f t="shared" si="8"/>
      </c>
      <c r="DK82">
        <f t="shared" si="8"/>
      </c>
      <c r="DL82">
        <f t="shared" si="8"/>
      </c>
      <c r="DM82">
        <f t="shared" si="8"/>
      </c>
      <c r="DN82">
        <f t="shared" si="8"/>
      </c>
      <c r="DO82">
        <f t="shared" si="8"/>
      </c>
      <c r="DP82">
        <f t="shared" si="8"/>
      </c>
      <c r="DQ82">
        <f t="shared" si="8"/>
      </c>
      <c r="DR82">
        <f t="shared" si="8"/>
      </c>
      <c r="DS82">
        <f t="shared" si="8"/>
      </c>
      <c r="DT82">
        <f t="shared" si="8"/>
      </c>
      <c r="DU82">
        <f t="shared" si="8"/>
      </c>
      <c r="DV82">
        <f t="shared" si="8"/>
      </c>
      <c r="DW82">
        <f t="shared" si="8"/>
      </c>
      <c r="DX82">
        <f t="shared" si="8"/>
      </c>
      <c r="DY82">
        <f t="shared" si="8"/>
      </c>
      <c r="DZ82">
        <f t="shared" si="8"/>
      </c>
      <c r="EA82">
        <f t="shared" si="8"/>
      </c>
      <c r="EB82">
        <f t="shared" si="8"/>
      </c>
      <c r="EC82">
        <f t="shared" si="8"/>
      </c>
      <c r="ED82">
        <f t="shared" si="8"/>
      </c>
      <c r="EE82">
        <f t="shared" si="8"/>
      </c>
      <c r="EF82">
        <f t="shared" si="8"/>
      </c>
      <c r="EG82">
        <f t="shared" si="8"/>
      </c>
      <c r="EH82">
        <f t="shared" si="8"/>
      </c>
      <c r="EI82">
        <f t="shared" si="8"/>
      </c>
      <c r="EJ82">
        <f t="shared" si="8"/>
      </c>
      <c r="EK82">
        <f t="shared" si="8"/>
      </c>
      <c r="EL82">
        <f t="shared" si="8"/>
      </c>
      <c r="EM82">
        <f t="shared" si="8"/>
      </c>
      <c r="EN82">
        <f t="shared" si="8"/>
      </c>
      <c r="EO82">
        <f t="shared" si="8"/>
      </c>
      <c r="EP82">
        <f t="shared" si="8"/>
      </c>
      <c r="EQ82">
        <f t="shared" si="8"/>
      </c>
      <c r="ER82">
        <f t="shared" si="8"/>
      </c>
      <c r="ES82">
        <f t="shared" si="8"/>
      </c>
      <c r="ET82">
        <f t="shared" si="8"/>
      </c>
      <c r="EU82">
        <f t="shared" si="8"/>
      </c>
      <c r="EV82">
        <f t="shared" si="8"/>
      </c>
      <c r="EW82">
        <f t="shared" si="8"/>
      </c>
      <c r="EX82">
        <f t="shared" si="8"/>
      </c>
      <c r="EY82">
        <f t="shared" si="8"/>
      </c>
      <c r="EZ82">
        <f t="shared" si="8"/>
      </c>
      <c r="FA82" t="str">
        <f t="shared" si="12"/>
        <v>-</v>
      </c>
      <c r="FB82">
        <f t="shared" si="13"/>
      </c>
      <c r="FC82" cm="1">
        <f t="array" ref="FC82">_xlfn.LET(_xlpm.unit_type,$G82,_xlpm.market_rent_from_rent_roll,$E82,_xlpm.unit_type_list,RentRoll_InputArea_DesignatedUnitType,_xlpm.rent_by_unit_type,RentRoll_InputArea_MarketRent,_xlpm.use_rent_roll_market_rent,LEFT(RR_VacantUnitMktRentSource,9)="Rent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2">
        <f t="shared" si="14"/>
        <v>1101</v>
      </c>
      <c r="FE82">
        <f t="shared" si="15"/>
        <v>1101</v>
      </c>
      <c r="FF82">
        <f t="shared" si="16"/>
        <v>1101</v>
      </c>
      <c r="FH82">
        <f t="shared" si="17"/>
      </c>
      <c r="FI82">
        <f t="shared" si="18"/>
      </c>
      <c r="FK82" cm="1">
        <f t="array" ref="FK82">IF(AND(LEN($D82)&gt;0,ISNA(MATCH(TRUE,EXACT($G82,RentRoll_InputArea_DesignatedUnitType),0))),1,0)</f>
        <v>0</v>
      </c>
      <c r="FL82">
        <f t="shared" si="19"/>
        <v>59</v>
      </c>
      <c r="IO82" cm="1">
        <f t="array" ref="IO82">IF(LEN($G82)=0,"Rent Roll is incomplete",_xlfn.XLOOKUP(TRUE,EXACT(RentRoll_InputArea_DesignatedUnitType,$G82),RentRoll_InputArea_Beds,"Not Found"))</f>
        <v>1</v>
      </c>
      <c r="IQ82" t="str">
        <f t="shared" si="20"/>
        <v>1 Bedroom Unit</v>
      </c>
      <c r="IR82">
        <f t="shared" si="21"/>
        <v>1101</v>
      </c>
      <c r="IW82" t="str">
        <f t="shared" si="22"/>
        <v>6-600</v>
      </c>
      <c r="IZ82">
        <f t="shared" si="23"/>
        <v>1</v>
      </c>
      <c r="JA82">
        <f t="shared" si="24"/>
        <v>1101</v>
      </c>
      <c r="JH82">
        <f t="shared" si="25"/>
        <v>1159</v>
      </c>
      <c r="JJ82">
        <f t="shared" si="26"/>
      </c>
      <c r="JQ82" t="str">
        <f t="shared" si="27"/>
        <v>Occupied</v>
      </c>
      <c r="JR82" cm="1">
        <f t="array" ref="JR82">_xlfn.XLOOKUP(TRUE,EXACT(RentRoll_InputArea_DesignatedUnitType,$G82),RentRoll_InputArea_SquareFootage,"Not Found")</f>
        <v>704</v>
      </c>
      <c r="JS82" t="str">
        <f t="shared" si="28"/>
        <v>Apartment</v>
      </c>
      <c r="JT82">
        <f t="shared" si="29"/>
      </c>
      <c r="JY82">
        <f t="shared" si="9"/>
        <v>43586</v>
      </c>
      <c r="JZ82">
        <f t="shared" si="9"/>
        <v>43951</v>
      </c>
    </row>
    <row r="83" ht="15" customHeight="1">
      <c r="A83">
        <f t="shared" si="10"/>
        <v>60</v>
      </c>
      <c r="D83" t="s">
        <v>2862</v>
      </c>
      <c r="E83">
        <v>1135</v>
      </c>
      <c r="F83" t="s">
        <v>2863</v>
      </c>
      <c r="G83" t="s">
        <v>2529</v>
      </c>
      <c r="H83">
        <v>1201</v>
      </c>
      <c r="I83" cm="1">
        <f t="array" ref="I83">_xlfn.LET(_xlpm.has_subsidy,$N83&gt;0,_xlpm.is_chap9_sbl,$FF$20,_xlpm.contract_rent,$H83,_xlpm.unit_type_mkt_rent,_xlfn.XLOOKUP(TRUE,EXACT($G83,RentRoll_InputArea_DesignatedUnitType),RentRoll_InputArea_MarketRent,"Not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3">
        <f t="shared" si="11"/>
        <v>1201</v>
      </c>
      <c r="O83" s="1">
        <v>43592</v>
      </c>
      <c r="P83" s="1">
        <v>43799</v>
      </c>
      <c r="Q83">
        <f t="shared" si="8"/>
        <v>1201</v>
      </c>
      <c r="R83">
        <f t="shared" si="8"/>
      </c>
      <c r="S83">
        <f t="shared" si="8"/>
      </c>
      <c r="T83">
        <f t="shared" si="8"/>
      </c>
      <c r="U83">
        <f t="shared" si="8"/>
      </c>
      <c r="V83">
        <f t="shared" si="8"/>
      </c>
      <c r="W83">
        <f t="shared" si="8"/>
      </c>
      <c r="X83">
        <f t="shared" si="8"/>
      </c>
      <c r="Y83">
        <f t="shared" si="8"/>
      </c>
      <c r="Z83">
        <f t="shared" si="8"/>
      </c>
      <c r="AA83">
        <f t="shared" si="8"/>
      </c>
      <c r="AB83">
        <f t="shared" si="8"/>
      </c>
      <c r="AC83">
        <f t="shared" si="8"/>
      </c>
      <c r="AD83">
        <f t="shared" si="8"/>
      </c>
      <c r="AE83">
        <f t="shared" si="8"/>
      </c>
      <c r="AF83">
        <f t="shared" si="8"/>
      </c>
      <c r="AG83">
        <f t="shared" si="8"/>
      </c>
      <c r="AH83">
        <f t="shared" si="8"/>
      </c>
      <c r="AI83">
        <f t="shared" si="8"/>
      </c>
      <c r="AJ83">
        <f t="shared" si="8"/>
      </c>
      <c r="AK83">
        <f t="shared" si="8"/>
      </c>
      <c r="AL83">
        <f t="shared" si="8"/>
      </c>
      <c r="AM83">
        <f t="shared" si="8"/>
      </c>
      <c r="AN83">
        <f t="shared" si="8"/>
      </c>
      <c r="AO83">
        <f t="shared" si="8"/>
      </c>
      <c r="AP83">
        <f t="shared" si="8"/>
      </c>
      <c r="AQ83">
        <f t="shared" si="8"/>
      </c>
      <c r="AR83">
        <f t="shared" si="8"/>
      </c>
      <c r="AS83">
        <f t="shared" si="8"/>
      </c>
      <c r="AT83">
        <f t="shared" si="8"/>
      </c>
      <c r="AU83">
        <f t="shared" si="8"/>
      </c>
      <c r="AV83">
        <f t="shared" si="8"/>
      </c>
      <c r="AW83">
        <f t="shared" si="8"/>
      </c>
      <c r="AX83">
        <f t="shared" si="8"/>
      </c>
      <c r="AY83">
        <f t="shared" si="8"/>
      </c>
      <c r="AZ83">
        <f t="shared" si="8"/>
      </c>
      <c r="BA83">
        <f t="shared" si="8"/>
      </c>
      <c r="BB83">
        <f t="shared" si="8"/>
      </c>
      <c r="BC83">
        <f t="shared" si="8"/>
      </c>
      <c r="BD83">
        <f t="shared" si="8"/>
      </c>
      <c r="BE83">
        <f t="shared" si="8"/>
      </c>
      <c r="BF83">
        <f t="shared" si="8"/>
      </c>
      <c r="BG83">
        <f t="shared" si="8"/>
      </c>
      <c r="BH83">
        <f t="shared" si="8"/>
      </c>
      <c r="BI83">
        <f t="shared" si="8"/>
      </c>
      <c r="BJ83">
        <f t="shared" si="8"/>
      </c>
      <c r="BK83">
        <f t="shared" si="8"/>
      </c>
      <c r="BL83">
        <f t="shared" si="8"/>
      </c>
      <c r="BM83">
        <f t="shared" si="8"/>
      </c>
      <c r="BN83">
        <f t="shared" si="8"/>
      </c>
      <c r="BO83">
        <f t="shared" si="8"/>
      </c>
      <c r="BP83">
        <f t="shared" si="8"/>
      </c>
      <c r="BQ83">
        <f t="shared" si="8"/>
      </c>
      <c r="BR83">
        <f t="shared" si="8"/>
      </c>
      <c r="BS83">
        <f t="shared" si="8"/>
      </c>
      <c r="BT83">
        <f t="shared" si="8"/>
      </c>
      <c r="BU83">
        <f t="shared" si="8"/>
      </c>
      <c r="BV83">
        <f t="shared" si="8"/>
      </c>
      <c r="BW83">
        <f t="shared" si="8"/>
      </c>
      <c r="BX83">
        <f t="shared" si="8"/>
      </c>
      <c r="BY83">
        <f t="shared" si="8"/>
      </c>
      <c r="BZ83">
        <f t="shared" si="8"/>
      </c>
      <c r="CA83">
        <f t="shared" si="8"/>
      </c>
      <c r="CB83">
        <f t="shared" si="8"/>
      </c>
      <c r="CC83">
        <f t="shared" si="8"/>
      </c>
      <c r="CD83">
        <f t="shared" si="8"/>
      </c>
      <c r="CE83">
        <f t="shared" si="8"/>
      </c>
      <c r="CF83">
        <f t="shared" si="8"/>
      </c>
      <c r="CG83">
        <f t="shared" si="8"/>
      </c>
      <c r="CH83">
        <f t="shared" si="8"/>
      </c>
      <c r="CI83">
        <f t="shared" si="8"/>
      </c>
      <c r="CJ83">
        <f t="shared" si="8"/>
      </c>
      <c r="CK83">
        <f t="shared" si="8"/>
      </c>
      <c r="CL83">
        <f t="shared" si="8"/>
      </c>
      <c r="CM83">
        <f t="shared" si="8"/>
      </c>
      <c r="CN83">
        <f t="shared" si="8"/>
      </c>
      <c r="CO83">
        <f t="shared" si="8"/>
      </c>
      <c r="CP83">
        <f t="shared" si="8"/>
      </c>
      <c r="CQ83">
        <f t="shared" si="8"/>
      </c>
      <c r="CR83">
        <f t="shared" si="8"/>
      </c>
      <c r="CS83">
        <f t="shared" si="8"/>
      </c>
      <c r="CT83">
        <f t="shared" si="8"/>
      </c>
      <c r="CU83">
        <f t="shared" si="8"/>
      </c>
      <c r="CV83">
        <f t="shared" si="8"/>
      </c>
      <c r="CW83">
        <f t="shared" si="8"/>
      </c>
      <c r="CX83">
        <f t="shared" si="8"/>
      </c>
      <c r="CY83">
        <f t="shared" si="8"/>
      </c>
      <c r="CZ83">
        <f t="shared" si="8"/>
      </c>
      <c r="DA83">
        <f t="shared" si="8"/>
      </c>
      <c r="DB83">
        <f t="shared" si="8"/>
      </c>
      <c r="DC83">
        <f t="shared" si="8"/>
      </c>
      <c r="DD83">
        <f t="shared" si="8"/>
      </c>
      <c r="DE83">
        <f t="shared" si="8"/>
      </c>
      <c r="DF83">
        <f t="shared" si="8"/>
      </c>
      <c r="DG83">
        <f t="shared" si="8"/>
      </c>
      <c r="DH83">
        <f t="shared" si="8"/>
      </c>
      <c r="DI83">
        <f t="shared" si="8"/>
      </c>
      <c r="DJ83">
        <f t="shared" si="8"/>
      </c>
      <c r="DK83">
        <f t="shared" si="8"/>
      </c>
      <c r="DL83">
        <f t="shared" si="8"/>
      </c>
      <c r="DM83">
        <f t="shared" si="8"/>
      </c>
      <c r="DN83">
        <f t="shared" si="8"/>
      </c>
      <c r="DO83">
        <f t="shared" si="8"/>
      </c>
      <c r="DP83">
        <f t="shared" si="8"/>
      </c>
      <c r="DQ83">
        <f t="shared" si="8"/>
      </c>
      <c r="DR83">
        <f t="shared" si="8"/>
      </c>
      <c r="DS83">
        <f t="shared" si="8"/>
      </c>
      <c r="DT83">
        <f t="shared" si="8"/>
      </c>
      <c r="DU83">
        <f t="shared" si="8"/>
      </c>
      <c r="DV83">
        <f t="shared" si="8"/>
      </c>
      <c r="DW83">
        <f t="shared" si="8"/>
      </c>
      <c r="DX83">
        <f t="shared" si="8"/>
      </c>
      <c r="DY83">
        <f t="shared" si="8"/>
      </c>
      <c r="DZ83">
        <f t="shared" si="8"/>
      </c>
      <c r="EA83">
        <f t="shared" si="8"/>
      </c>
      <c r="EB83">
        <f t="shared" si="8"/>
      </c>
      <c r="EC83">
        <f t="shared" si="8"/>
      </c>
      <c r="ED83">
        <f t="shared" si="8"/>
      </c>
      <c r="EE83">
        <f t="shared" si="8"/>
      </c>
      <c r="EF83">
        <f t="shared" si="8"/>
      </c>
      <c r="EG83">
        <f t="shared" si="8"/>
      </c>
      <c r="EH83">
        <f t="shared" si="8"/>
      </c>
      <c r="EI83">
        <f t="shared" si="8"/>
      </c>
      <c r="EJ83">
        <f t="shared" si="8"/>
      </c>
      <c r="EK83">
        <f t="shared" si="8"/>
      </c>
      <c r="EL83">
        <f t="shared" si="8"/>
      </c>
      <c r="EM83">
        <f t="shared" si="8"/>
      </c>
      <c r="EN83">
        <f t="shared" si="8"/>
      </c>
      <c r="EO83">
        <f t="shared" si="8"/>
      </c>
      <c r="EP83">
        <f t="shared" si="8"/>
      </c>
      <c r="EQ83">
        <f t="shared" si="8"/>
      </c>
      <c r="ER83">
        <f t="shared" si="8"/>
      </c>
      <c r="ES83">
        <f t="shared" si="8"/>
      </c>
      <c r="ET83">
        <f t="shared" si="8"/>
      </c>
      <c r="EU83">
        <f t="shared" si="8"/>
      </c>
      <c r="EV83">
        <f t="shared" si="8"/>
      </c>
      <c r="EW83">
        <f t="shared" si="8"/>
      </c>
      <c r="EX83">
        <f t="shared" si="8"/>
      </c>
      <c r="EY83">
        <f t="shared" si="8"/>
      </c>
      <c r="EZ83">
        <f t="shared" si="8"/>
      </c>
      <c r="FA83" t="str">
        <f t="shared" si="12"/>
        <v>-</v>
      </c>
      <c r="FB83">
        <f t="shared" si="13"/>
      </c>
      <c r="FC83" cm="1">
        <f t="array" ref="FC83">_xlfn.LET(_xlpm.unit_type,$G83,_xlpm.market_rent_from_rent_roll,$E83,_xlpm.unit_type_list,RentRoll_InputArea_DesignatedUnitType,_xlpm.rent_by_unit_type,RentRoll_InputArea_MarketRent,_xlpm.use_rent_roll_market_rent,LEFT(RR_VacantUnitMktRentSource,9)="Rent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3">
        <f t="shared" si="14"/>
        <v>1201</v>
      </c>
      <c r="FE83">
        <f t="shared" si="15"/>
        <v>1201</v>
      </c>
      <c r="FF83">
        <f t="shared" si="16"/>
        <v>1201</v>
      </c>
      <c r="FH83">
        <f t="shared" si="17"/>
      </c>
      <c r="FI83">
        <f t="shared" si="18"/>
      </c>
      <c r="FK83" cm="1">
        <f t="array" ref="FK83">IF(AND(LEN($D83)&gt;0,ISNA(MATCH(TRUE,EXACT($G83,RentRoll_InputArea_DesignatedUnitType),0))),1,0)</f>
        <v>0</v>
      </c>
      <c r="FL83">
        <f t="shared" si="19"/>
        <v>60</v>
      </c>
      <c r="IO83" cm="1">
        <f t="array" ref="IO83">IF(LEN($G83)=0,"Rent Roll is incomplete",_xlfn.XLOOKUP(TRUE,EXACT(RentRoll_InputArea_DesignatedUnitType,$G83),RentRoll_InputArea_Beds,"Not Found"))</f>
        <v>1</v>
      </c>
      <c r="IQ83" t="str">
        <f t="shared" si="20"/>
        <v>1 Bedroom Unit</v>
      </c>
      <c r="IR83">
        <f t="shared" si="21"/>
        <v>1201</v>
      </c>
      <c r="IW83" t="str">
        <f t="shared" si="22"/>
        <v>6-601</v>
      </c>
      <c r="IZ83">
        <f t="shared" si="23"/>
        <v>1</v>
      </c>
      <c r="JA83">
        <f t="shared" si="24"/>
        <v>1201</v>
      </c>
      <c r="JH83">
        <f t="shared" si="25"/>
        <v>1159</v>
      </c>
      <c r="JJ83">
        <f t="shared" si="26"/>
      </c>
      <c r="JQ83" t="str">
        <f t="shared" si="27"/>
        <v>Occupied</v>
      </c>
      <c r="JR83" cm="1">
        <f t="array" ref="JR83">_xlfn.XLOOKUP(TRUE,EXACT(RentRoll_InputArea_DesignatedUnitType,$G83),RentRoll_InputArea_SquareFootage,"Not Found")</f>
        <v>704</v>
      </c>
      <c r="JS83" t="str">
        <f t="shared" si="28"/>
        <v>Apartment</v>
      </c>
      <c r="JT83">
        <f t="shared" si="29"/>
      </c>
      <c r="JY83">
        <f t="shared" si="9"/>
        <v>43592</v>
      </c>
      <c r="JZ83">
        <f t="shared" si="9"/>
        <v>43799</v>
      </c>
    </row>
    <row r="84" ht="15" customHeight="1">
      <c r="A84">
        <f t="shared" si="10"/>
        <v>61</v>
      </c>
      <c r="D84" t="s">
        <v>2864</v>
      </c>
      <c r="E84">
        <v>1143</v>
      </c>
      <c r="F84" t="s">
        <v>2865</v>
      </c>
      <c r="G84" t="s">
        <v>2529</v>
      </c>
      <c r="H84">
        <v>1199</v>
      </c>
      <c r="I84" cm="1">
        <f t="array" ref="I84">_xlfn.LET(_xlpm.has_subsidy,$N84&gt;0,_xlpm.is_chap9_sbl,$FF$20,_xlpm.contract_rent,$H84,_xlpm.unit_type_mkt_rent,_xlfn.XLOOKUP(TRUE,EXACT($G84,RentRoll_InputArea_DesignatedUnitType),RentRoll_InputArea_MarketRent,"Not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4">
        <f t="shared" si="11"/>
        <v>1199</v>
      </c>
      <c r="O84" s="1">
        <v>43352</v>
      </c>
      <c r="P84" s="1">
        <v>43616</v>
      </c>
      <c r="Q84">
        <f t="shared" si="8"/>
        <v>1199</v>
      </c>
      <c r="R84">
        <f t="shared" si="8"/>
      </c>
      <c r="S84">
        <f t="shared" si="8"/>
      </c>
      <c r="T84">
        <f t="shared" si="8"/>
      </c>
      <c r="U84">
        <f t="shared" si="8"/>
      </c>
      <c r="V84">
        <f t="shared" si="8"/>
      </c>
      <c r="W84">
        <f t="shared" si="8"/>
      </c>
      <c r="X84">
        <f t="shared" si="8"/>
      </c>
      <c r="Y84">
        <f t="shared" si="8"/>
      </c>
      <c r="Z84">
        <f t="shared" si="8"/>
      </c>
      <c r="AA84">
        <f t="shared" si="8"/>
      </c>
      <c r="AB84">
        <f t="shared" si="8"/>
      </c>
      <c r="AC84">
        <f t="shared" si="8"/>
      </c>
      <c r="AD84">
        <f t="shared" si="8"/>
      </c>
      <c r="AE84">
        <f t="shared" si="8"/>
      </c>
      <c r="AF84">
        <f t="shared" si="8"/>
      </c>
      <c r="AG84">
        <f t="shared" si="8"/>
      </c>
      <c r="AH84">
        <f t="shared" si="8"/>
      </c>
      <c r="AI84">
        <f t="shared" si="8"/>
      </c>
      <c r="AJ84">
        <f t="shared" si="8"/>
      </c>
      <c r="AK84">
        <f t="shared" si="8"/>
      </c>
      <c r="AL84">
        <f t="shared" si="8"/>
      </c>
      <c r="AM84">
        <f t="shared" si="8"/>
      </c>
      <c r="AN84">
        <f t="shared" si="8"/>
      </c>
      <c r="AO84">
        <f t="shared" si="8"/>
      </c>
      <c r="AP84">
        <f t="shared" si="8"/>
      </c>
      <c r="AQ84">
        <f t="shared" si="8"/>
      </c>
      <c r="AR84">
        <f t="shared" si="8"/>
      </c>
      <c r="AS84">
        <f t="shared" si="8"/>
      </c>
      <c r="AT84">
        <f t="shared" si="8"/>
      </c>
      <c r="AU84">
        <f t="shared" si="8"/>
      </c>
      <c r="AV84">
        <f t="shared" si="8"/>
      </c>
      <c r="AW84">
        <f t="shared" si="8"/>
      </c>
      <c r="AX84">
        <f t="shared" si="8"/>
      </c>
      <c r="AY84">
        <f t="shared" si="8"/>
      </c>
      <c r="AZ84">
        <f t="shared" si="8"/>
      </c>
      <c r="BA84">
        <f t="shared" si="8"/>
      </c>
      <c r="BB84">
        <f t="shared" si="8"/>
      </c>
      <c r="BC84">
        <f t="shared" si="8"/>
      </c>
      <c r="BD84">
        <f t="shared" si="8"/>
      </c>
      <c r="BE84">
        <f t="shared" si="8"/>
      </c>
      <c r="BF84">
        <f t="shared" si="8"/>
      </c>
      <c r="BG84">
        <f t="shared" si="8"/>
      </c>
      <c r="BH84">
        <f t="shared" si="8"/>
      </c>
      <c r="BI84">
        <f t="shared" si="8"/>
      </c>
      <c r="BJ84">
        <f t="shared" si="8"/>
      </c>
      <c r="BK84">
        <f t="shared" si="8"/>
      </c>
      <c r="BL84">
        <f t="shared" si="8"/>
      </c>
      <c r="BM84">
        <f t="shared" si="8"/>
      </c>
      <c r="BN84">
        <f t="shared" si="8"/>
      </c>
      <c r="BO84">
        <f t="shared" si="8"/>
      </c>
      <c r="BP84">
        <f t="shared" si="8"/>
      </c>
      <c r="BQ84">
        <f t="shared" si="8"/>
      </c>
      <c r="BR84">
        <f t="shared" si="8"/>
      </c>
      <c r="BS84">
        <f t="shared" si="8"/>
      </c>
      <c r="BT84">
        <f t="shared" si="8"/>
      </c>
      <c r="BU84">
        <f t="shared" si="8"/>
      </c>
      <c r="BV84">
        <f t="shared" si="8"/>
      </c>
      <c r="BW84">
        <f t="shared" si="8"/>
      </c>
      <c r="BX84">
        <f t="shared" si="8"/>
      </c>
      <c r="BY84">
        <f t="shared" si="8"/>
      </c>
      <c r="BZ84">
        <f t="shared" si="8"/>
      </c>
      <c r="CA84">
        <f t="shared" si="8"/>
      </c>
      <c r="CB84">
        <f t="shared" si="8"/>
      </c>
      <c r="CC84">
        <f t="shared" si="8"/>
      </c>
      <c r="CD84">
        <f t="shared" si="8"/>
      </c>
      <c r="CE84">
        <f t="shared" si="8"/>
      </c>
      <c r="CF84">
        <f t="shared" si="8"/>
      </c>
      <c r="CG84">
        <f t="shared" si="8"/>
      </c>
      <c r="CH84">
        <f t="shared" si="8"/>
      </c>
      <c r="CI84">
        <f t="shared" si="8"/>
      </c>
      <c r="CJ84">
        <f t="shared" si="8"/>
      </c>
      <c r="CK84">
        <f t="shared" si="8"/>
      </c>
      <c r="CL84">
        <f t="shared" si="8"/>
      </c>
      <c r="CM84">
        <f t="shared" si="8"/>
      </c>
      <c r="CN84">
        <f t="shared" si="8"/>
      </c>
      <c r="CO84">
        <f t="shared" si="8"/>
      </c>
      <c r="CP84">
        <f t="shared" si="8"/>
      </c>
      <c r="CQ84">
        <f t="shared" si="8"/>
      </c>
      <c r="CR84">
        <f t="shared" si="8"/>
      </c>
      <c r="CS84">
        <f t="shared" si="8"/>
      </c>
      <c r="CT84">
        <f t="shared" si="8"/>
      </c>
      <c r="CU84">
        <f t="shared" si="8"/>
      </c>
      <c r="CV84">
        <f t="shared" si="8"/>
      </c>
      <c r="CW84">
        <f t="shared" si="8"/>
      </c>
      <c r="CX84">
        <f t="shared" si="8"/>
      </c>
      <c r="CY84">
        <f t="shared" si="8"/>
      </c>
      <c r="CZ84">
        <f t="shared" si="8"/>
      </c>
      <c r="DA84">
        <f t="shared" si="8"/>
      </c>
      <c r="DB84">
        <f t="shared" si="8"/>
      </c>
      <c r="DC84">
        <f t="shared" si="8"/>
      </c>
      <c r="DD84">
        <f t="shared" si="8"/>
      </c>
      <c r="DE84">
        <f t="shared" si="8"/>
      </c>
      <c r="DF84">
        <f t="shared" si="8"/>
      </c>
      <c r="DG84">
        <f t="shared" si="8"/>
      </c>
      <c r="DH84">
        <f t="shared" si="8"/>
      </c>
      <c r="DI84">
        <f t="shared" si="8"/>
      </c>
      <c r="DJ84">
        <f t="shared" si="8"/>
      </c>
      <c r="DK84">
        <f t="shared" si="8"/>
      </c>
      <c r="DL84">
        <f t="shared" si="8"/>
      </c>
      <c r="DM84">
        <f t="shared" si="8"/>
      </c>
      <c r="DN84">
        <f t="shared" si="8"/>
      </c>
      <c r="DO84">
        <f t="shared" si="8"/>
      </c>
      <c r="DP84">
        <f t="shared" si="8"/>
      </c>
      <c r="DQ84">
        <f t="shared" si="8"/>
      </c>
      <c r="DR84">
        <f t="shared" si="8"/>
      </c>
      <c r="DS84">
        <f t="shared" si="8"/>
      </c>
      <c r="DT84">
        <f t="shared" si="8"/>
      </c>
      <c r="DU84">
        <f t="shared" si="8"/>
      </c>
      <c r="DV84">
        <f t="shared" si="8"/>
      </c>
      <c r="DW84">
        <f t="shared" si="8"/>
      </c>
      <c r="DX84">
        <f t="shared" si="8"/>
      </c>
      <c r="DY84">
        <f t="shared" si="8"/>
      </c>
      <c r="DZ84">
        <f t="shared" si="8"/>
      </c>
      <c r="EA84">
        <f t="shared" si="8"/>
      </c>
      <c r="EB84">
        <f t="shared" si="8"/>
      </c>
      <c r="EC84">
        <f t="shared" si="8"/>
      </c>
      <c r="ED84">
        <f t="shared" si="8"/>
      </c>
      <c r="EE84">
        <f t="shared" si="8"/>
      </c>
      <c r="EF84">
        <f t="shared" si="8"/>
      </c>
      <c r="EG84">
        <f t="shared" si="8"/>
      </c>
      <c r="EH84">
        <f t="shared" si="8"/>
      </c>
      <c r="EI84">
        <f t="shared" si="8"/>
      </c>
      <c r="EJ84">
        <f t="shared" si="8"/>
      </c>
      <c r="EK84">
        <f t="shared" si="8"/>
      </c>
      <c r="EL84">
        <f t="shared" si="8"/>
      </c>
      <c r="EM84">
        <f t="shared" si="8"/>
      </c>
      <c r="EN84">
        <f t="shared" si="8"/>
      </c>
      <c r="EO84">
        <f t="shared" si="8"/>
      </c>
      <c r="EP84">
        <f t="shared" si="8"/>
      </c>
      <c r="EQ84">
        <f t="shared" si="8"/>
      </c>
      <c r="ER84">
        <f t="shared" si="8"/>
      </c>
      <c r="ES84">
        <f t="shared" si="8"/>
      </c>
      <c r="ET84">
        <f t="shared" si="8"/>
      </c>
      <c r="EU84">
        <f t="shared" si="8"/>
      </c>
      <c r="EV84">
        <f t="shared" si="8"/>
      </c>
      <c r="EW84">
        <f t="shared" si="8"/>
      </c>
      <c r="EX84">
        <f t="shared" si="8"/>
      </c>
      <c r="EY84">
        <f t="shared" si="8"/>
      </c>
      <c r="EZ84">
        <f t="shared" si="8"/>
      </c>
      <c r="FA84" t="str">
        <f t="shared" si="12"/>
        <v>-</v>
      </c>
      <c r="FB84">
        <f t="shared" si="13"/>
      </c>
      <c r="FC84" cm="1">
        <f t="array" ref="FC84">_xlfn.LET(_xlpm.unit_type,$G84,_xlpm.market_rent_from_rent_roll,$E84,_xlpm.unit_type_list,RentRoll_InputArea_DesignatedUnitType,_xlpm.rent_by_unit_type,RentRoll_InputArea_MarketRent,_xlpm.use_rent_roll_market_rent,LEFT(RR_VacantUnitMktRentSource,9)="Rent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4">
        <f t="shared" si="14"/>
        <v>1199</v>
      </c>
      <c r="FE84">
        <f t="shared" si="15"/>
        <v>1199</v>
      </c>
      <c r="FF84">
        <f t="shared" si="16"/>
        <v>1199</v>
      </c>
      <c r="FH84">
        <f t="shared" si="17"/>
      </c>
      <c r="FI84">
        <f t="shared" si="18"/>
      </c>
      <c r="FK84" cm="1">
        <f t="array" ref="FK84">IF(AND(LEN($D84)&gt;0,ISNA(MATCH(TRUE,EXACT($G84,RentRoll_InputArea_DesignatedUnitType),0))),1,0)</f>
        <v>0</v>
      </c>
      <c r="FL84">
        <f t="shared" si="19"/>
        <v>61</v>
      </c>
      <c r="IO84" cm="1">
        <f t="array" ref="IO84">IF(LEN($G84)=0,"Rent Roll is incomplete",_xlfn.XLOOKUP(TRUE,EXACT(RentRoll_InputArea_DesignatedUnitType,$G84),RentRoll_InputArea_Beds,"Not Found"))</f>
        <v>1</v>
      </c>
      <c r="IQ84" t="str">
        <f t="shared" si="20"/>
        <v>1 Bedroom Unit</v>
      </c>
      <c r="IR84">
        <f t="shared" si="21"/>
        <v>1199</v>
      </c>
      <c r="IW84" t="str">
        <f t="shared" si="22"/>
        <v>6-602</v>
      </c>
      <c r="IZ84">
        <f t="shared" si="23"/>
        <v>1</v>
      </c>
      <c r="JA84">
        <f t="shared" si="24"/>
        <v>1199</v>
      </c>
      <c r="JH84">
        <f t="shared" si="25"/>
        <v>1159</v>
      </c>
      <c r="JJ84">
        <f t="shared" si="26"/>
      </c>
      <c r="JQ84" t="str">
        <f t="shared" si="27"/>
        <v>Occupied</v>
      </c>
      <c r="JR84" cm="1">
        <f t="array" ref="JR84">_xlfn.XLOOKUP(TRUE,EXACT(RentRoll_InputArea_DesignatedUnitType,$G84),RentRoll_InputArea_SquareFootage,"Not Found")</f>
        <v>704</v>
      </c>
      <c r="JS84" t="str">
        <f t="shared" si="28"/>
        <v>Apartment</v>
      </c>
      <c r="JT84">
        <f t="shared" si="29"/>
      </c>
      <c r="JY84">
        <f t="shared" si="9"/>
        <v>43352</v>
      </c>
      <c r="JZ84">
        <f t="shared" si="9"/>
        <v>43616</v>
      </c>
    </row>
    <row r="85" ht="15" customHeight="1">
      <c r="A85">
        <f t="shared" si="10"/>
        <v>62</v>
      </c>
      <c r="D85" t="s">
        <v>2866</v>
      </c>
      <c r="E85">
        <v>1164</v>
      </c>
      <c r="F85" t="s">
        <v>2867</v>
      </c>
      <c r="G85" t="s">
        <v>2529</v>
      </c>
      <c r="H85">
        <v>1185</v>
      </c>
      <c r="I85" cm="1">
        <f t="array" ref="I85">_xlfn.LET(_xlpm.has_subsidy,$N85&gt;0,_xlpm.is_chap9_sbl,$FF$20,_xlpm.contract_rent,$H85,_xlpm.unit_type_mkt_rent,_xlfn.XLOOKUP(TRUE,EXACT($G85,RentRoll_InputArea_DesignatedUnitType),RentRoll_InputArea_MarketRent,"Not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5">
        <f t="shared" si="11"/>
        <v>1185</v>
      </c>
      <c r="O85" s="1">
        <v>43557</v>
      </c>
      <c r="P85" s="1">
        <v>43769</v>
      </c>
      <c r="Q85">
        <f t="shared" si="8"/>
        <v>1185</v>
      </c>
      <c r="R85">
        <f t="shared" si="8"/>
      </c>
      <c r="S85">
        <f t="shared" si="8"/>
      </c>
      <c r="T85">
        <f t="shared" si="8"/>
      </c>
      <c r="U85">
        <f t="shared" si="8"/>
      </c>
      <c r="V85">
        <f t="shared" si="8"/>
      </c>
      <c r="W85">
        <f t="shared" si="8"/>
      </c>
      <c r="X85">
        <f t="shared" si="8"/>
      </c>
      <c r="Y85">
        <f t="shared" si="8"/>
      </c>
      <c r="Z85">
        <f t="shared" si="8"/>
      </c>
      <c r="AA85">
        <f t="shared" si="8"/>
      </c>
      <c r="AB85">
        <f t="shared" si="8"/>
      </c>
      <c r="AC85">
        <f t="shared" si="8"/>
      </c>
      <c r="AD85">
        <f t="shared" si="8"/>
      </c>
      <c r="AE85">
        <f t="shared" si="8"/>
      </c>
      <c r="AF85">
        <f t="shared" si="8"/>
      </c>
      <c r="AG85">
        <f t="shared" si="8"/>
      </c>
      <c r="AH85">
        <f t="shared" si="8"/>
      </c>
      <c r="AI85">
        <f t="shared" si="8"/>
      </c>
      <c r="AJ85">
        <f t="shared" si="8"/>
      </c>
      <c r="AK85">
        <f t="shared" si="8"/>
      </c>
      <c r="AL85">
        <f t="shared" si="8"/>
      </c>
      <c r="AM85">
        <f t="shared" si="8"/>
      </c>
      <c r="AN85">
        <f t="shared" si="8"/>
      </c>
      <c r="AO85">
        <f t="shared" si="8"/>
      </c>
      <c r="AP85">
        <f t="shared" si="8"/>
      </c>
      <c r="AQ85">
        <f t="shared" si="8"/>
      </c>
      <c r="AR85">
        <f t="shared" si="8"/>
      </c>
      <c r="AS85">
        <f t="shared" si="8"/>
      </c>
      <c r="AT85">
        <f t="shared" si="8"/>
      </c>
      <c r="AU85">
        <f t="shared" si="8"/>
      </c>
      <c r="AV85">
        <f t="shared" si="8"/>
      </c>
      <c r="AW85">
        <f t="shared" si="8"/>
      </c>
      <c r="AX85">
        <f t="shared" si="8"/>
      </c>
      <c r="AY85">
        <f t="shared" si="8"/>
      </c>
      <c r="AZ85">
        <f t="shared" si="8"/>
      </c>
      <c r="BA85">
        <f t="shared" si="8"/>
      </c>
      <c r="BB85">
        <f t="shared" si="8"/>
      </c>
      <c r="BC85">
        <f t="shared" si="8"/>
      </c>
      <c r="BD85">
        <f t="shared" si="8"/>
      </c>
      <c r="BE85">
        <f t="shared" si="8"/>
      </c>
      <c r="BF85">
        <f t="shared" si="8"/>
      </c>
      <c r="BG85">
        <f t="shared" si="8"/>
      </c>
      <c r="BH85">
        <f t="shared" si="8"/>
      </c>
      <c r="BI85">
        <f t="shared" si="8"/>
      </c>
      <c r="BJ85">
        <f t="shared" si="8"/>
      </c>
      <c r="BK85">
        <f t="shared" si="8"/>
      </c>
      <c r="BL85">
        <f t="shared" si="8"/>
      </c>
      <c r="BM85">
        <f t="shared" si="8"/>
      </c>
      <c r="BN85">
        <f t="shared" si="8"/>
      </c>
      <c r="BO85">
        <f t="shared" si="8"/>
      </c>
      <c r="BP85">
        <f t="shared" si="8"/>
      </c>
      <c r="BQ85">
        <f t="shared" si="8"/>
      </c>
      <c r="BR85">
        <f t="shared" si="8"/>
      </c>
      <c r="BS85">
        <f t="shared" si="8"/>
      </c>
      <c r="BT85">
        <f t="shared" si="8"/>
      </c>
      <c r="BU85">
        <f t="shared" si="8"/>
      </c>
      <c r="BV85">
        <f t="shared" si="8"/>
      </c>
      <c r="BW85">
        <f t="shared" si="8"/>
      </c>
      <c r="BX85">
        <f t="shared" si="8"/>
      </c>
      <c r="BY85">
        <f t="shared" si="8"/>
      </c>
      <c r="BZ85">
        <f t="shared" si="8"/>
      </c>
      <c r="CA85">
        <f t="shared" si="8"/>
      </c>
      <c r="CB85">
        <f t="shared" si="8"/>
      </c>
      <c r="CC85">
        <f t="shared" si="8"/>
      </c>
      <c r="CD85">
        <f t="shared" si="8"/>
      </c>
      <c r="CE85">
        <f t="shared" si="8"/>
      </c>
      <c r="CF85">
        <f t="shared" si="8"/>
      </c>
      <c r="CG85">
        <f t="shared" si="8"/>
      </c>
      <c r="CH85">
        <f t="shared" si="8"/>
      </c>
      <c r="CI85">
        <f t="shared" si="8"/>
      </c>
      <c r="CJ85">
        <f t="shared" si="8"/>
      </c>
      <c r="CK85">
        <f t="shared" si="8"/>
      </c>
      <c r="CL85">
        <f t="shared" si="8"/>
      </c>
      <c r="CM85">
        <f t="shared" si="8"/>
      </c>
      <c r="CN85">
        <f t="shared" si="8"/>
      </c>
      <c r="CO85">
        <f t="shared" si="8"/>
      </c>
      <c r="CP85">
        <f t="shared" si="8"/>
      </c>
      <c r="CQ85">
        <f t="shared" si="8"/>
      </c>
      <c r="CR85">
        <f t="shared" si="8"/>
      </c>
      <c r="CS85">
        <f t="shared" si="8"/>
      </c>
      <c r="CT85">
        <f t="shared" si="8"/>
      </c>
      <c r="CU85">
        <f t="shared" si="8"/>
      </c>
      <c r="CV85">
        <f t="shared" si="8"/>
      </c>
      <c r="CW85">
        <f t="shared" si="8"/>
      </c>
      <c r="CX85">
        <f t="shared" si="8"/>
      </c>
      <c r="CY85">
        <f t="shared" si="8"/>
      </c>
      <c r="CZ85">
        <f t="shared" si="8"/>
      </c>
      <c r="DA85">
        <f t="shared" si="8"/>
      </c>
      <c r="DB85">
        <f t="shared" si="8"/>
      </c>
      <c r="DC85">
        <f t="shared" si="8"/>
      </c>
      <c r="DD85">
        <f t="shared" si="8"/>
      </c>
      <c r="DE85">
        <f t="shared" si="8"/>
      </c>
      <c r="DF85">
        <f t="shared" si="8"/>
      </c>
      <c r="DG85">
        <f t="shared" si="8"/>
      </c>
      <c r="DH85">
        <f t="shared" si="8"/>
      </c>
      <c r="DI85">
        <f t="shared" si="8"/>
      </c>
      <c r="DJ85">
        <f t="shared" si="8"/>
      </c>
      <c r="DK85">
        <f t="shared" si="8"/>
      </c>
      <c r="DL85">
        <f t="shared" si="8"/>
      </c>
      <c r="DM85">
        <f t="shared" si="8"/>
      </c>
      <c r="DN85">
        <f t="shared" si="8"/>
      </c>
      <c r="DO85">
        <f t="shared" si="8"/>
      </c>
      <c r="DP85">
        <f t="shared" si="8"/>
      </c>
      <c r="DQ85">
        <f t="shared" si="8"/>
      </c>
      <c r="DR85">
        <f t="shared" si="8"/>
      </c>
      <c r="DS85">
        <f t="shared" si="8"/>
      </c>
      <c r="DT85">
        <f t="shared" si="8"/>
      </c>
      <c r="DU85">
        <f t="shared" si="8"/>
      </c>
      <c r="DV85">
        <f t="shared" si="8"/>
      </c>
      <c r="DW85">
        <f t="shared" si="8"/>
      </c>
      <c r="DX85">
        <f t="shared" si="8"/>
      </c>
      <c r="DY85">
        <f t="shared" si="8"/>
      </c>
      <c r="DZ85">
        <f t="shared" si="8"/>
      </c>
      <c r="EA85">
        <f t="shared" si="8"/>
      </c>
      <c r="EB85">
        <f t="shared" si="8"/>
      </c>
      <c r="EC85">
        <f t="shared" si="8"/>
      </c>
      <c r="ED85">
        <f t="shared" si="8"/>
      </c>
      <c r="EE85">
        <f t="shared" si="8"/>
      </c>
      <c r="EF85">
        <f t="shared" si="8"/>
      </c>
      <c r="EG85">
        <f t="shared" si="8"/>
      </c>
      <c r="EH85">
        <f t="shared" si="8"/>
      </c>
      <c r="EI85">
        <f t="shared" si="8"/>
      </c>
      <c r="EJ85">
        <f t="shared" si="8"/>
      </c>
      <c r="EK85">
        <f t="shared" si="8"/>
      </c>
      <c r="EL85">
        <f t="shared" si="8"/>
      </c>
      <c r="EM85">
        <f t="shared" si="8"/>
      </c>
      <c r="EN85">
        <f t="shared" si="8"/>
      </c>
      <c r="EO85">
        <f t="shared" si="8"/>
      </c>
      <c r="EP85">
        <f t="shared" si="8"/>
      </c>
      <c r="EQ85">
        <f t="shared" si="8"/>
      </c>
      <c r="ER85">
        <f t="shared" si="8"/>
      </c>
      <c r="ES85">
        <f t="shared" si="8"/>
      </c>
      <c r="ET85">
        <f t="shared" si="8"/>
      </c>
      <c r="EU85">
        <f t="shared" si="8"/>
      </c>
      <c r="EV85">
        <f t="shared" si="8"/>
      </c>
      <c r="EW85">
        <f t="shared" si="8"/>
      </c>
      <c r="EX85">
        <f t="shared" si="8"/>
      </c>
      <c r="EY85">
        <f t="shared" si="8"/>
      </c>
      <c r="EZ85">
        <f t="shared" si="8"/>
      </c>
      <c r="FA85" t="str">
        <f t="shared" si="12"/>
        <v>-</v>
      </c>
      <c r="FB85">
        <f t="shared" si="13"/>
      </c>
      <c r="FC85" cm="1">
        <f t="array" ref="FC85">_xlfn.LET(_xlpm.unit_type,$G85,_xlpm.market_rent_from_rent_roll,$E85,_xlpm.unit_type_list,RentRoll_InputArea_DesignatedUnitType,_xlpm.rent_by_unit_type,RentRoll_InputArea_MarketRent,_xlpm.use_rent_roll_market_rent,LEFT(RR_VacantUnitMktRentSource,9)="Rent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5">
        <f t="shared" si="14"/>
        <v>1185</v>
      </c>
      <c r="FE85">
        <f t="shared" si="15"/>
        <v>1185</v>
      </c>
      <c r="FF85">
        <f t="shared" si="16"/>
        <v>1185</v>
      </c>
      <c r="FH85">
        <f t="shared" si="17"/>
      </c>
      <c r="FI85">
        <f t="shared" si="18"/>
      </c>
      <c r="FK85" cm="1">
        <f t="array" ref="FK85">IF(AND(LEN($D85)&gt;0,ISNA(MATCH(TRUE,EXACT($G85,RentRoll_InputArea_DesignatedUnitType),0))),1,0)</f>
        <v>0</v>
      </c>
      <c r="FL85">
        <f t="shared" si="19"/>
        <v>62</v>
      </c>
      <c r="IO85" cm="1">
        <f t="array" ref="IO85">IF(LEN($G85)=0,"Rent Roll is incomplete",_xlfn.XLOOKUP(TRUE,EXACT(RentRoll_InputArea_DesignatedUnitType,$G85),RentRoll_InputArea_Beds,"Not Found"))</f>
        <v>1</v>
      </c>
      <c r="IQ85" t="str">
        <f t="shared" si="20"/>
        <v>1 Bedroom Unit</v>
      </c>
      <c r="IR85">
        <f t="shared" si="21"/>
        <v>1185</v>
      </c>
      <c r="IW85" t="str">
        <f t="shared" si="22"/>
        <v>6-603</v>
      </c>
      <c r="IZ85">
        <f t="shared" si="23"/>
        <v>1</v>
      </c>
      <c r="JA85">
        <f t="shared" si="24"/>
        <v>1185</v>
      </c>
      <c r="JH85">
        <f t="shared" si="25"/>
        <v>1159</v>
      </c>
      <c r="JJ85">
        <f t="shared" si="26"/>
      </c>
      <c r="JQ85" t="str">
        <f t="shared" si="27"/>
        <v>Occupied</v>
      </c>
      <c r="JR85" cm="1">
        <f t="array" ref="JR85">_xlfn.XLOOKUP(TRUE,EXACT(RentRoll_InputArea_DesignatedUnitType,$G85),RentRoll_InputArea_SquareFootage,"Not Found")</f>
        <v>704</v>
      </c>
      <c r="JS85" t="str">
        <f t="shared" si="28"/>
        <v>Apartment</v>
      </c>
      <c r="JT85">
        <f t="shared" si="29"/>
      </c>
      <c r="JY85">
        <f t="shared" si="9"/>
        <v>43557</v>
      </c>
      <c r="JZ85">
        <f t="shared" si="9"/>
        <v>43769</v>
      </c>
    </row>
    <row r="86" ht="15" customHeight="1">
      <c r="A86">
        <f t="shared" si="10"/>
        <v>63</v>
      </c>
      <c r="D86" t="s">
        <v>2868</v>
      </c>
      <c r="E86">
        <v>1183</v>
      </c>
      <c r="F86" t="s">
        <v>2869</v>
      </c>
      <c r="G86" t="s">
        <v>2529</v>
      </c>
      <c r="H86">
        <v>1165</v>
      </c>
      <c r="I86" cm="1">
        <f t="array" ref="I86">_xlfn.LET(_xlpm.has_subsidy,$N86&gt;0,_xlpm.is_chap9_sbl,$FF$20,_xlpm.contract_rent,$H86,_xlpm.unit_type_mkt_rent,_xlfn.XLOOKUP(TRUE,EXACT($G86,RentRoll_InputArea_DesignatedUnitType),RentRoll_InputArea_MarketRent,"Not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6">
        <f t="shared" si="11"/>
        <v>1165</v>
      </c>
      <c r="O86" s="1">
        <v>43367</v>
      </c>
      <c r="P86" s="1">
        <v>43646</v>
      </c>
      <c r="Q86">
        <f t="shared" si="8"/>
        <v>1165</v>
      </c>
      <c r="R86">
        <f t="shared" si="8"/>
      </c>
      <c r="S86">
        <f t="shared" si="8"/>
      </c>
      <c r="T86">
        <f t="shared" si="8"/>
      </c>
      <c r="U86">
        <f t="shared" si="8"/>
      </c>
      <c r="V86">
        <f t="shared" si="8"/>
      </c>
      <c r="W86">
        <f t="shared" si="8"/>
      </c>
      <c r="X86">
        <f t="shared" si="8"/>
      </c>
      <c r="Y86">
        <f t="shared" si="8"/>
      </c>
      <c r="Z86">
        <f t="shared" si="8"/>
      </c>
      <c r="AA86">
        <f t="shared" si="8"/>
      </c>
      <c r="AB86">
        <f t="shared" si="8"/>
      </c>
      <c r="AC86">
        <f t="shared" si="8"/>
      </c>
      <c r="AD86">
        <f t="shared" si="8"/>
      </c>
      <c r="AE86">
        <f t="shared" si="8"/>
      </c>
      <c r="AF86">
        <f t="shared" si="8"/>
      </c>
      <c r="AG86">
        <f t="shared" si="8"/>
      </c>
      <c r="AH86">
        <f t="shared" si="8"/>
      </c>
      <c r="AI86">
        <f t="shared" si="8"/>
      </c>
      <c r="AJ86">
        <f t="shared" si="8"/>
      </c>
      <c r="AK86">
        <f t="shared" si="8"/>
      </c>
      <c r="AL86">
        <f t="shared" si="8"/>
      </c>
      <c r="AM86">
        <f t="shared" si="8"/>
      </c>
      <c r="AN86">
        <f t="shared" si="8"/>
      </c>
      <c r="AO86">
        <f t="shared" si="8"/>
      </c>
      <c r="AP86">
        <f t="shared" si="8"/>
      </c>
      <c r="AQ86">
        <f t="shared" si="8"/>
      </c>
      <c r="AR86">
        <f t="shared" si="8"/>
      </c>
      <c r="AS86">
        <f t="shared" si="8"/>
      </c>
      <c r="AT86">
        <f t="shared" si="8"/>
      </c>
      <c r="AU86">
        <f t="shared" si="8"/>
      </c>
      <c r="AV86">
        <f t="shared" si="8"/>
      </c>
      <c r="AW86">
        <f t="shared" si="8"/>
      </c>
      <c r="AX86">
        <f t="shared" si="8"/>
      </c>
      <c r="AY86">
        <f t="shared" si="8"/>
      </c>
      <c r="AZ86">
        <f t="shared" si="8"/>
      </c>
      <c r="BA86">
        <f t="shared" si="8"/>
      </c>
      <c r="BB86">
        <f t="shared" si="8"/>
      </c>
      <c r="BC86">
        <f t="shared" si="8"/>
      </c>
      <c r="BD86">
        <f t="shared" si="8"/>
      </c>
      <c r="BE86">
        <f t="shared" si="8"/>
      </c>
      <c r="BF86">
        <f t="shared" si="8"/>
      </c>
      <c r="BG86">
        <f t="shared" si="8"/>
      </c>
      <c r="BH86">
        <f t="shared" si="8"/>
      </c>
      <c r="BI86">
        <f t="shared" si="8"/>
      </c>
      <c r="BJ86">
        <f t="shared" si="8"/>
      </c>
      <c r="BK86">
        <f t="shared" si="8"/>
      </c>
      <c r="BL86">
        <f t="shared" si="8"/>
      </c>
      <c r="BM86">
        <f t="shared" si="8"/>
      </c>
      <c r="BN86">
        <f t="shared" si="8"/>
      </c>
      <c r="BO86">
        <f t="shared" si="8"/>
      </c>
      <c r="BP86">
        <f t="shared" si="8"/>
      </c>
      <c r="BQ86">
        <f t="shared" si="8"/>
      </c>
      <c r="BR86">
        <f t="shared" si="8"/>
      </c>
      <c r="BS86">
        <f t="shared" si="8"/>
      </c>
      <c r="BT86">
        <f t="shared" si="8"/>
      </c>
      <c r="BU86">
        <f t="shared" si="8"/>
      </c>
      <c r="BV86">
        <f t="shared" si="8"/>
      </c>
      <c r="BW86">
        <f t="shared" si="8"/>
      </c>
      <c r="BX86">
        <f t="shared" si="8"/>
      </c>
      <c r="BY86">
        <f t="shared" si="8"/>
      </c>
      <c r="BZ86">
        <f t="shared" si="8"/>
      </c>
      <c r="CA86">
        <f t="shared" si="8"/>
      </c>
      <c r="CB86">
        <f t="shared" si="8"/>
      </c>
      <c r="CC86">
        <f t="shared" si="8"/>
      </c>
      <c r="CD86">
        <f t="shared" si="8"/>
      </c>
      <c r="CE86">
        <f t="shared" si="8"/>
      </c>
      <c r="CF86">
        <f t="shared" si="8"/>
      </c>
      <c r="CG86">
        <f t="shared" si="8"/>
      </c>
      <c r="CH86">
        <f t="shared" si="8"/>
      </c>
      <c r="CI86">
        <f t="shared" si="8"/>
      </c>
      <c r="CJ86">
        <f t="shared" si="8"/>
      </c>
      <c r="CK86">
        <f t="shared" si="8"/>
      </c>
      <c r="CL86">
        <f t="shared" si="8"/>
      </c>
      <c r="CM86">
        <f t="shared" si="8"/>
      </c>
      <c r="CN86">
        <f t="shared" si="8"/>
      </c>
      <c r="CO86">
        <f t="shared" si="8"/>
      </c>
      <c r="CP86">
        <f t="shared" si="8"/>
      </c>
      <c r="CQ86">
        <f t="shared" si="8"/>
      </c>
      <c r="CR86">
        <f t="shared" si="8"/>
      </c>
      <c r="CS86">
        <f t="shared" si="8"/>
      </c>
      <c r="CT86">
        <f t="shared" si="8"/>
      </c>
      <c r="CU86">
        <f t="shared" si="8"/>
      </c>
      <c r="CV86">
        <f t="shared" si="8"/>
      </c>
      <c r="CW86">
        <f t="shared" si="8"/>
      </c>
      <c r="CX86">
        <f t="shared" si="8"/>
      </c>
      <c r="CY86">
        <f t="shared" si="8"/>
      </c>
      <c r="CZ86">
        <f t="shared" si="8"/>
      </c>
      <c r="DA86">
        <f t="shared" si="8"/>
      </c>
      <c r="DB86">
        <f t="shared" si="8"/>
      </c>
      <c r="DC86">
        <f t="shared" si="8"/>
      </c>
      <c r="DD86">
        <f t="shared" si="8"/>
      </c>
      <c r="DE86">
        <f t="shared" si="8"/>
      </c>
      <c r="DF86">
        <f t="shared" si="8"/>
      </c>
      <c r="DG86">
        <f t="shared" si="8"/>
      </c>
      <c r="DH86">
        <f t="shared" si="8"/>
      </c>
      <c r="DI86">
        <f t="shared" si="8"/>
      </c>
      <c r="DJ86">
        <f t="shared" si="8"/>
      </c>
      <c r="DK86">
        <f t="shared" si="8"/>
      </c>
      <c r="DL86">
        <f t="shared" si="8"/>
      </c>
      <c r="DM86">
        <f t="shared" si="8"/>
      </c>
      <c r="DN86">
        <f t="shared" si="8"/>
      </c>
      <c r="DO86">
        <f t="shared" si="8"/>
      </c>
      <c r="DP86">
        <f t="shared" si="8"/>
      </c>
      <c r="DQ86">
        <f t="shared" si="8"/>
      </c>
      <c r="DR86">
        <f t="shared" si="8"/>
      </c>
      <c r="DS86">
        <f t="shared" si="8"/>
      </c>
      <c r="DT86">
        <f t="shared" si="8"/>
      </c>
      <c r="DU86">
        <f t="shared" si="8"/>
      </c>
      <c r="DV86">
        <f t="shared" si="8"/>
      </c>
      <c r="DW86">
        <f t="shared" si="8"/>
      </c>
      <c r="DX86">
        <f t="shared" si="8"/>
      </c>
      <c r="DY86">
        <f t="shared" si="8"/>
      </c>
      <c r="DZ86">
        <f t="shared" si="8"/>
      </c>
      <c r="EA86">
        <f t="shared" si="8"/>
      </c>
      <c r="EB86">
        <f t="shared" si="8"/>
      </c>
      <c r="EC86">
        <f t="shared" si="8"/>
      </c>
      <c r="ED86">
        <f t="shared" si="8"/>
      </c>
      <c r="EE86">
        <f t="shared" si="8"/>
      </c>
      <c r="EF86">
        <f t="shared" si="8"/>
      </c>
      <c r="EG86">
        <f t="shared" si="8"/>
      </c>
      <c r="EH86">
        <f t="shared" si="8"/>
      </c>
      <c r="EI86">
        <f t="shared" si="8"/>
      </c>
      <c r="EJ86">
        <f t="shared" si="8"/>
      </c>
      <c r="EK86">
        <f t="shared" si="8"/>
      </c>
      <c r="EL86">
        <f t="shared" si="8"/>
      </c>
      <c r="EM86">
        <f t="shared" si="8"/>
      </c>
      <c r="EN86">
        <f t="shared" si="8"/>
      </c>
      <c r="EO86">
        <f t="shared" si="8"/>
      </c>
      <c r="EP86">
        <f t="shared" si="8"/>
      </c>
      <c r="EQ86">
        <f t="shared" si="8"/>
      </c>
      <c r="ER86">
        <f t="shared" si="8"/>
      </c>
      <c r="ES86">
        <f t="shared" si="8"/>
      </c>
      <c r="ET86">
        <f t="shared" si="8"/>
      </c>
      <c r="EU86">
        <f t="shared" si="8"/>
      </c>
      <c r="EV86">
        <f t="shared" si="8"/>
      </c>
      <c r="EW86">
        <f t="shared" si="8"/>
      </c>
      <c r="EX86">
        <f t="shared" si="8"/>
      </c>
      <c r="EY86">
        <f t="shared" si="8"/>
      </c>
      <c r="EZ86">
        <f t="shared" si="8"/>
      </c>
      <c r="FA86" t="str">
        <f t="shared" si="12"/>
        <v>-</v>
      </c>
      <c r="FB86">
        <f t="shared" si="13"/>
      </c>
      <c r="FC86" cm="1">
        <f t="array" ref="FC86">_xlfn.LET(_xlpm.unit_type,$G86,_xlpm.market_rent_from_rent_roll,$E86,_xlpm.unit_type_list,RentRoll_InputArea_DesignatedUnitType,_xlpm.rent_by_unit_type,RentRoll_InputArea_MarketRent,_xlpm.use_rent_roll_market_rent,LEFT(RR_VacantUnitMktRentSource,9)="Rent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6">
        <f t="shared" si="14"/>
        <v>1165</v>
      </c>
      <c r="FE86">
        <f t="shared" si="15"/>
        <v>1165</v>
      </c>
      <c r="FF86">
        <f t="shared" si="16"/>
        <v>1165</v>
      </c>
      <c r="FH86">
        <f t="shared" si="17"/>
      </c>
      <c r="FI86">
        <f t="shared" si="18"/>
      </c>
      <c r="FK86" cm="1">
        <f t="array" ref="FK86">IF(AND(LEN($D86)&gt;0,ISNA(MATCH(TRUE,EXACT($G86,RentRoll_InputArea_DesignatedUnitType),0))),1,0)</f>
        <v>0</v>
      </c>
      <c r="FL86">
        <f t="shared" si="19"/>
        <v>63</v>
      </c>
      <c r="IO86" cm="1">
        <f t="array" ref="IO86">IF(LEN($G86)=0,"Rent Roll is incomplete",_xlfn.XLOOKUP(TRUE,EXACT(RentRoll_InputArea_DesignatedUnitType,$G86),RentRoll_InputArea_Beds,"Not Found"))</f>
        <v>1</v>
      </c>
      <c r="IQ86" t="str">
        <f t="shared" si="20"/>
        <v>1 Bedroom Unit</v>
      </c>
      <c r="IR86">
        <f t="shared" si="21"/>
        <v>1165</v>
      </c>
      <c r="IW86" t="str">
        <f t="shared" si="22"/>
        <v>6-604</v>
      </c>
      <c r="IZ86">
        <f t="shared" si="23"/>
        <v>1</v>
      </c>
      <c r="JA86">
        <f t="shared" si="24"/>
        <v>1165</v>
      </c>
      <c r="JH86">
        <f t="shared" si="25"/>
        <v>1159</v>
      </c>
      <c r="JJ86">
        <f t="shared" si="26"/>
      </c>
      <c r="JQ86" t="str">
        <f t="shared" si="27"/>
        <v>Occupied</v>
      </c>
      <c r="JR86" cm="1">
        <f t="array" ref="JR86">_xlfn.XLOOKUP(TRUE,EXACT(RentRoll_InputArea_DesignatedUnitType,$G86),RentRoll_InputArea_SquareFootage,"Not Found")</f>
        <v>704</v>
      </c>
      <c r="JS86" t="str">
        <f t="shared" si="28"/>
        <v>Apartment</v>
      </c>
      <c r="JT86">
        <f t="shared" si="29"/>
      </c>
      <c r="JY86">
        <f t="shared" si="9"/>
        <v>43367</v>
      </c>
      <c r="JZ86">
        <f t="shared" si="9"/>
        <v>43646</v>
      </c>
    </row>
    <row r="87" ht="15" customHeight="1">
      <c r="A87">
        <f t="shared" si="10"/>
        <v>64</v>
      </c>
      <c r="D87" t="s">
        <v>2870</v>
      </c>
      <c r="E87">
        <v>1120</v>
      </c>
      <c r="F87" t="s">
        <v>2871</v>
      </c>
      <c r="G87" t="s">
        <v>2529</v>
      </c>
      <c r="H87">
        <v>1129</v>
      </c>
      <c r="I87" cm="1">
        <f t="array" ref="I87">_xlfn.LET(_xlpm.has_subsidy,$N87&gt;0,_xlpm.is_chap9_sbl,$FF$20,_xlpm.contract_rent,$H87,_xlpm.unit_type_mkt_rent,_xlfn.XLOOKUP(TRUE,EXACT($G87,RentRoll_InputArea_DesignatedUnitType),RentRoll_InputArea_MarketRent,"Not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7">
        <f t="shared" si="11"/>
        <v>1129</v>
      </c>
      <c r="O87" s="1">
        <v>43561</v>
      </c>
      <c r="P87" s="1">
        <v>43738</v>
      </c>
      <c r="Q87">
        <f t="shared" si="8"/>
        <v>1129</v>
      </c>
      <c r="R87">
        <f t="shared" si="8"/>
      </c>
      <c r="S87">
        <f t="shared" si="8"/>
      </c>
      <c r="T87">
        <f t="shared" si="8"/>
      </c>
      <c r="U87">
        <f t="shared" si="8"/>
      </c>
      <c r="V87">
        <f t="shared" si="8"/>
      </c>
      <c r="W87">
        <f t="shared" si="8"/>
      </c>
      <c r="X87">
        <f t="shared" si="8"/>
      </c>
      <c r="Y87">
        <f t="shared" si="8"/>
      </c>
      <c r="Z87">
        <f t="shared" si="8"/>
      </c>
      <c r="AA87">
        <f t="shared" si="8"/>
      </c>
      <c r="AB87">
        <f t="shared" si="8"/>
      </c>
      <c r="AC87">
        <f t="shared" si="8"/>
      </c>
      <c r="AD87">
        <f t="shared" si="8"/>
      </c>
      <c r="AE87">
        <f t="shared" si="8"/>
      </c>
      <c r="AF87">
        <f t="shared" si="8"/>
      </c>
      <c r="AG87">
        <f t="shared" si="8"/>
      </c>
      <c r="AH87">
        <f t="shared" si="8"/>
      </c>
      <c r="AI87">
        <f t="shared" si="8"/>
      </c>
      <c r="AJ87">
        <f t="shared" si="8"/>
      </c>
      <c r="AK87">
        <f t="shared" si="8"/>
      </c>
      <c r="AL87">
        <f t="shared" si="8"/>
      </c>
      <c r="AM87">
        <f t="shared" si="8"/>
      </c>
      <c r="AN87">
        <f t="shared" si="8"/>
      </c>
      <c r="AO87">
        <f t="shared" si="8"/>
      </c>
      <c r="AP87">
        <f t="shared" si="8"/>
      </c>
      <c r="AQ87">
        <f t="shared" si="8"/>
      </c>
      <c r="AR87">
        <f t="shared" si="8"/>
      </c>
      <c r="AS87">
        <f t="shared" si="8"/>
      </c>
      <c r="AT87">
        <f t="shared" si="8"/>
      </c>
      <c r="AU87">
        <f t="shared" si="8"/>
      </c>
      <c r="AV87">
        <f t="shared" si="8"/>
      </c>
      <c r="AW87">
        <f t="shared" si="8"/>
      </c>
      <c r="AX87">
        <f t="shared" si="8"/>
      </c>
      <c r="AY87">
        <f t="shared" si="8"/>
      </c>
      <c r="AZ87">
        <f t="shared" si="8"/>
      </c>
      <c r="BA87">
        <f t="shared" si="8"/>
      </c>
      <c r="BB87">
        <f t="shared" si="8"/>
      </c>
      <c r="BC87">
        <f t="shared" si="8"/>
      </c>
      <c r="BD87">
        <f t="shared" si="8"/>
      </c>
      <c r="BE87">
        <f t="shared" si="8"/>
      </c>
      <c r="BF87">
        <f t="shared" si="8"/>
      </c>
      <c r="BG87">
        <f t="shared" si="8"/>
      </c>
      <c r="BH87">
        <f t="shared" si="8"/>
      </c>
      <c r="BI87">
        <f t="shared" si="8"/>
      </c>
      <c r="BJ87">
        <f t="shared" si="8"/>
      </c>
      <c r="BK87">
        <f t="shared" si="8"/>
      </c>
      <c r="BL87">
        <f t="shared" si="8"/>
      </c>
      <c r="BM87">
        <f t="shared" si="8"/>
      </c>
      <c r="BN87">
        <f t="shared" si="8"/>
      </c>
      <c r="BO87">
        <f t="shared" si="8"/>
      </c>
      <c r="BP87">
        <f t="shared" si="8"/>
      </c>
      <c r="BQ87">
        <f t="shared" si="8"/>
      </c>
      <c r="BR87">
        <f t="shared" si="8"/>
      </c>
      <c r="BS87">
        <f t="shared" si="8"/>
      </c>
      <c r="BT87">
        <f t="shared" si="8"/>
      </c>
      <c r="BU87">
        <f t="shared" si="8"/>
      </c>
      <c r="BV87">
        <f t="shared" si="8"/>
      </c>
      <c r="BW87">
        <f t="shared" si="8"/>
      </c>
      <c r="BX87">
        <f t="shared" si="8"/>
      </c>
      <c r="BY87">
        <f t="shared" si="8"/>
      </c>
      <c r="BZ87">
        <f t="shared" si="8"/>
      </c>
      <c r="CA87">
        <f t="shared" si="8"/>
      </c>
      <c r="CB87">
        <f t="shared" si="8"/>
      </c>
      <c r="CC87">
        <f t="shared" si="8"/>
      </c>
      <c r="CD87">
        <f t="shared" si="8"/>
      </c>
      <c r="CE87">
        <f t="shared" si="8"/>
      </c>
      <c r="CF87">
        <f t="shared" si="8"/>
      </c>
      <c r="CG87">
        <f t="shared" si="8"/>
      </c>
      <c r="CH87">
        <f t="shared" si="8"/>
      </c>
      <c r="CI87">
        <f t="shared" si="8"/>
      </c>
      <c r="CJ87">
        <f t="shared" si="8"/>
      </c>
      <c r="CK87">
        <f t="shared" si="8"/>
      </c>
      <c r="CL87">
        <f t="shared" si="8"/>
      </c>
      <c r="CM87">
        <f t="shared" si="8"/>
      </c>
      <c r="CN87">
        <f t="shared" si="8"/>
      </c>
      <c r="CO87">
        <f t="shared" si="8"/>
      </c>
      <c r="CP87">
        <f t="shared" si="8"/>
      </c>
      <c r="CQ87">
        <f t="shared" si="8"/>
      </c>
      <c r="CR87">
        <f t="shared" si="8"/>
      </c>
      <c r="CS87">
        <f t="shared" si="8"/>
      </c>
      <c r="CT87">
        <f t="shared" si="8"/>
      </c>
      <c r="CU87">
        <f t="shared" si="8"/>
      </c>
      <c r="CV87">
        <f t="shared" si="8"/>
      </c>
      <c r="CW87">
        <f t="shared" si="8"/>
      </c>
      <c r="CX87">
        <f t="shared" si="8"/>
      </c>
      <c r="CY87">
        <f t="shared" si="8"/>
      </c>
      <c r="CZ87">
        <f t="shared" si="8"/>
      </c>
      <c r="DA87">
        <f t="shared" si="8"/>
      </c>
      <c r="DB87">
        <f t="shared" si="8"/>
      </c>
      <c r="DC87">
        <f t="shared" si="8"/>
      </c>
      <c r="DD87">
        <f t="shared" si="8"/>
      </c>
      <c r="DE87">
        <f t="shared" si="8"/>
      </c>
      <c r="DF87">
        <f t="shared" si="8"/>
      </c>
      <c r="DG87">
        <f t="shared" si="8"/>
      </c>
      <c r="DH87">
        <f t="shared" si="8"/>
      </c>
      <c r="DI87">
        <f t="shared" si="8"/>
      </c>
      <c r="DJ87">
        <f t="shared" si="8"/>
      </c>
      <c r="DK87">
        <f t="shared" si="8"/>
      </c>
      <c r="DL87">
        <f t="shared" si="8"/>
      </c>
      <c r="DM87">
        <f t="shared" si="8"/>
      </c>
      <c r="DN87">
        <f t="shared" si="8"/>
      </c>
      <c r="DO87">
        <f t="shared" si="8"/>
      </c>
      <c r="DP87">
        <f t="shared" si="8"/>
      </c>
      <c r="DQ87">
        <f t="shared" si="8"/>
      </c>
      <c r="DR87">
        <f t="shared" si="8"/>
      </c>
      <c r="DS87">
        <f t="shared" si="8"/>
      </c>
      <c r="DT87">
        <f t="shared" si="8"/>
      </c>
      <c r="DU87">
        <f t="shared" si="8"/>
      </c>
      <c r="DV87">
        <f t="shared" si="8"/>
      </c>
      <c r="DW87">
        <f t="shared" si="8"/>
      </c>
      <c r="DX87">
        <f t="shared" si="8"/>
      </c>
      <c r="DY87">
        <f t="shared" si="8"/>
      </c>
      <c r="DZ87">
        <f t="shared" si="8"/>
      </c>
      <c r="EA87">
        <f t="shared" si="8"/>
      </c>
      <c r="EB87">
        <f t="shared" si="8"/>
      </c>
      <c r="EC87">
        <f t="shared" si="8"/>
      </c>
      <c r="ED87">
        <f t="shared" si="8"/>
      </c>
      <c r="EE87">
        <f t="shared" si="8"/>
      </c>
      <c r="EF87">
        <f t="shared" si="8"/>
      </c>
      <c r="EG87">
        <f t="shared" si="8"/>
      </c>
      <c r="EH87">
        <f t="shared" si="8"/>
      </c>
      <c r="EI87">
        <f t="shared" si="8"/>
      </c>
      <c r="EJ87">
        <f t="shared" si="8"/>
      </c>
      <c r="EK87">
        <f t="shared" si="8"/>
      </c>
      <c r="EL87">
        <f t="shared" si="8"/>
      </c>
      <c r="EM87">
        <f t="shared" si="8"/>
      </c>
      <c r="EN87">
        <f t="shared" si="8"/>
      </c>
      <c r="EO87">
        <f t="shared" si="8"/>
      </c>
      <c r="EP87">
        <f t="shared" si="8"/>
      </c>
      <c r="EQ87">
        <f t="shared" si="8"/>
      </c>
      <c r="ER87">
        <f t="shared" si="8"/>
      </c>
      <c r="ES87">
        <f t="shared" si="8"/>
      </c>
      <c r="ET87">
        <f t="shared" si="8"/>
      </c>
      <c r="EU87">
        <f t="shared" si="8"/>
      </c>
      <c r="EV87">
        <f t="shared" si="8"/>
      </c>
      <c r="EW87">
        <f t="shared" si="8"/>
      </c>
      <c r="EX87">
        <f t="shared" si="8"/>
      </c>
      <c r="EY87">
        <f t="shared" si="8"/>
      </c>
      <c r="EZ87">
        <f t="shared" si="8"/>
      </c>
      <c r="FA87" t="str">
        <f t="shared" si="12"/>
        <v>-</v>
      </c>
      <c r="FB87">
        <f t="shared" si="13"/>
      </c>
      <c r="FC87" cm="1">
        <f t="array" ref="FC87">_xlfn.LET(_xlpm.unit_type,$G87,_xlpm.market_rent_from_rent_roll,$E87,_xlpm.unit_type_list,RentRoll_InputArea_DesignatedUnitType,_xlpm.rent_by_unit_type,RentRoll_InputArea_MarketRent,_xlpm.use_rent_roll_market_rent,LEFT(RR_VacantUnitMktRentSource,9)="Rent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7">
        <f t="shared" si="14"/>
        <v>1129</v>
      </c>
      <c r="FE87">
        <f t="shared" si="15"/>
        <v>1129</v>
      </c>
      <c r="FF87">
        <f t="shared" si="16"/>
        <v>1129</v>
      </c>
      <c r="FH87">
        <f t="shared" si="17"/>
      </c>
      <c r="FI87">
        <f t="shared" si="18"/>
      </c>
      <c r="FK87" cm="1">
        <f t="array" ref="FK87">IF(AND(LEN($D87)&gt;0,ISNA(MATCH(TRUE,EXACT($G87,RentRoll_InputArea_DesignatedUnitType),0))),1,0)</f>
        <v>0</v>
      </c>
      <c r="FL87">
        <f t="shared" si="19"/>
        <v>64</v>
      </c>
      <c r="IO87" cm="1">
        <f t="array" ref="IO87">IF(LEN($G87)=0,"Rent Roll is incomplete",_xlfn.XLOOKUP(TRUE,EXACT(RentRoll_InputArea_DesignatedUnitType,$G87),RentRoll_InputArea_Beds,"Not Found"))</f>
        <v>1</v>
      </c>
      <c r="IQ87" t="str">
        <f t="shared" si="20"/>
        <v>1 Bedroom Unit</v>
      </c>
      <c r="IR87">
        <f t="shared" si="21"/>
        <v>1129</v>
      </c>
      <c r="IW87" t="str">
        <f t="shared" si="22"/>
        <v>6-605</v>
      </c>
      <c r="IZ87">
        <f t="shared" si="23"/>
        <v>1</v>
      </c>
      <c r="JA87">
        <f t="shared" si="24"/>
        <v>1129</v>
      </c>
      <c r="JH87">
        <f t="shared" si="25"/>
        <v>1159</v>
      </c>
      <c r="JJ87">
        <f t="shared" si="26"/>
      </c>
      <c r="JQ87" t="str">
        <f t="shared" si="27"/>
        <v>Occupied</v>
      </c>
      <c r="JR87" cm="1">
        <f t="array" ref="JR87">_xlfn.XLOOKUP(TRUE,EXACT(RentRoll_InputArea_DesignatedUnitType,$G87),RentRoll_InputArea_SquareFootage,"Not Found")</f>
        <v>704</v>
      </c>
      <c r="JS87" t="str">
        <f t="shared" si="28"/>
        <v>Apartment</v>
      </c>
      <c r="JT87">
        <f t="shared" si="29"/>
      </c>
      <c r="JY87">
        <f t="shared" si="9"/>
        <v>43561</v>
      </c>
      <c r="JZ87">
        <f t="shared" si="9"/>
        <v>43738</v>
      </c>
    </row>
    <row r="88" ht="15" customHeight="1">
      <c r="A88">
        <f t="shared" si="10"/>
        <v>65</v>
      </c>
      <c r="D88" t="s">
        <v>2872</v>
      </c>
      <c r="E88">
        <v>1190</v>
      </c>
      <c r="F88" t="s">
        <v>2873</v>
      </c>
      <c r="G88" t="s">
        <v>2529</v>
      </c>
      <c r="H88">
        <v>1099</v>
      </c>
      <c r="I88" cm="1">
        <f t="array" ref="I88">_xlfn.LET(_xlpm.has_subsidy,$N88&gt;0,_xlpm.is_chap9_sbl,$FF$20,_xlpm.contract_rent,$H88,_xlpm.unit_type_mkt_rent,_xlfn.XLOOKUP(TRUE,EXACT($G88,RentRoll_InputArea_DesignatedUnitType),RentRoll_InputArea_MarketRent,"Not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8">
        <f t="shared" si="11"/>
        <v>1099</v>
      </c>
      <c r="O88" s="1">
        <v>43586</v>
      </c>
      <c r="P88" s="1">
        <v>43951</v>
      </c>
      <c r="Q88">
        <f t="shared" si="8"/>
        <v>1099</v>
      </c>
      <c r="R88">
        <f t="shared" si="8"/>
      </c>
      <c r="S88">
        <f t="shared" si="8"/>
      </c>
      <c r="T88">
        <f t="shared" si="8"/>
      </c>
      <c r="U88">
        <f t="shared" si="8"/>
      </c>
      <c r="V88">
        <f t="shared" si="8"/>
      </c>
      <c r="W88">
        <f t="shared" si="8"/>
      </c>
      <c r="X88">
        <f t="shared" si="8"/>
      </c>
      <c r="Y88">
        <f t="shared" si="8"/>
      </c>
      <c r="Z88">
        <f t="shared" si="8"/>
      </c>
      <c r="AA88">
        <f t="shared" si="8"/>
      </c>
      <c r="AB88">
        <f t="shared" si="8"/>
      </c>
      <c r="AC88">
        <f t="shared" si="8"/>
      </c>
      <c r="AD88">
        <f t="shared" si="8"/>
      </c>
      <c r="AE88">
        <f t="shared" si="8"/>
      </c>
      <c r="AF88">
        <f t="shared" si="8"/>
      </c>
      <c r="AG88">
        <f t="shared" si="8"/>
      </c>
      <c r="AH88">
        <f t="shared" si="8"/>
      </c>
      <c r="AI88">
        <f t="shared" si="8"/>
      </c>
      <c r="AJ88">
        <f t="shared" si="8"/>
      </c>
      <c r="AK88">
        <f t="shared" si="8"/>
      </c>
      <c r="AL88">
        <f t="shared" si="8"/>
      </c>
      <c r="AM88">
        <f t="shared" si="8"/>
      </c>
      <c r="AN88">
        <f t="shared" si="8"/>
      </c>
      <c r="AO88">
        <f t="shared" si="8"/>
      </c>
      <c r="AP88">
        <f t="shared" si="8"/>
      </c>
      <c r="AQ88">
        <f t="shared" si="8"/>
      </c>
      <c r="AR88">
        <f t="shared" si="8"/>
      </c>
      <c r="AS88">
        <f t="shared" si="8"/>
      </c>
      <c r="AT88">
        <f t="shared" si="8"/>
      </c>
      <c r="AU88">
        <f t="shared" si="8"/>
      </c>
      <c r="AV88">
        <f t="shared" si="8"/>
      </c>
      <c r="AW88">
        <f t="shared" si="8"/>
      </c>
      <c r="AX88">
        <f t="shared" si="8"/>
      </c>
      <c r="AY88">
        <f t="shared" si="8"/>
      </c>
      <c r="AZ88">
        <f t="shared" si="8"/>
      </c>
      <c r="BA88">
        <f t="shared" si="8"/>
      </c>
      <c r="BB88">
        <f t="shared" si="8"/>
      </c>
      <c r="BC88">
        <f t="shared" si="8"/>
      </c>
      <c r="BD88">
        <f t="shared" si="8"/>
      </c>
      <c r="BE88">
        <f t="shared" si="8"/>
      </c>
      <c r="BF88">
        <f t="shared" si="8"/>
      </c>
      <c r="BG88">
        <f t="shared" si="8"/>
      </c>
      <c r="BH88">
        <f t="shared" si="8"/>
      </c>
      <c r="BI88">
        <f t="shared" si="8"/>
      </c>
      <c r="BJ88">
        <f t="shared" si="8"/>
      </c>
      <c r="BK88">
        <f t="shared" si="8"/>
      </c>
      <c r="BL88">
        <f t="shared" si="8"/>
      </c>
      <c r="BM88">
        <f t="shared" si="8"/>
      </c>
      <c r="BN88">
        <f t="shared" si="8"/>
      </c>
      <c r="BO88">
        <f t="shared" si="8"/>
      </c>
      <c r="BP88">
        <f t="shared" si="8"/>
      </c>
      <c r="BQ88">
        <f t="shared" si="8"/>
      </c>
      <c r="BR88">
        <f t="shared" si="8"/>
      </c>
      <c r="BS88">
        <f t="shared" si="8"/>
      </c>
      <c r="BT88">
        <f t="shared" si="8"/>
      </c>
      <c r="BU88">
        <f t="shared" si="8"/>
      </c>
      <c r="BV88">
        <f t="shared" si="8"/>
      </c>
      <c r="BW88">
        <f t="shared" si="8"/>
      </c>
      <c r="BX88">
        <f t="shared" si="8"/>
      </c>
      <c r="BY88">
        <f t="shared" si="8"/>
      </c>
      <c r="BZ88">
        <f t="shared" si="8"/>
      </c>
      <c r="CA88">
        <f t="shared" si="8"/>
      </c>
      <c r="CB88">
        <f t="shared" si="8"/>
      </c>
      <c r="CC88">
        <f t="shared" si="8"/>
      </c>
      <c r="CD88">
        <f t="shared" si="8"/>
      </c>
      <c r="CE88">
        <f t="shared" si="8"/>
      </c>
      <c r="CF88">
        <f t="shared" si="8"/>
      </c>
      <c r="CG88">
        <f t="shared" si="8"/>
      </c>
      <c r="CH88">
        <f t="shared" si="8"/>
      </c>
      <c r="CI88">
        <f t="shared" si="8"/>
      </c>
      <c r="CJ88">
        <f t="shared" si="8"/>
      </c>
      <c r="CK88">
        <f t="shared" si="8"/>
      </c>
      <c r="CL88">
        <f t="shared" si="8"/>
      </c>
      <c r="CM88">
        <f t="shared" si="8"/>
      </c>
      <c r="CN88">
        <f t="shared" si="8"/>
      </c>
      <c r="CO88">
        <f t="shared" si="8"/>
      </c>
      <c r="CP88">
        <f t="shared" si="8"/>
      </c>
      <c r="CQ88">
        <f t="shared" si="8"/>
      </c>
      <c r="CR88">
        <f t="shared" si="8"/>
      </c>
      <c r="CS88">
        <f t="shared" si="8"/>
      </c>
      <c r="CT88">
        <f t="shared" si="8"/>
      </c>
      <c r="CU88">
        <f t="shared" si="8"/>
      </c>
      <c r="CV88">
        <f t="shared" si="8"/>
      </c>
      <c r="CW88">
        <f t="shared" si="8"/>
      </c>
      <c r="CX88">
        <f t="shared" si="8"/>
      </c>
      <c r="CY88">
        <f t="shared" si="8"/>
      </c>
      <c r="CZ88">
        <f t="shared" si="8"/>
      </c>
      <c r="DA88">
        <f t="shared" si="8"/>
      </c>
      <c r="DB88">
        <f t="shared" si="8"/>
      </c>
      <c r="DC88">
        <f t="shared" si="8"/>
      </c>
      <c r="DD88">
        <f t="shared" si="8"/>
      </c>
      <c r="DE88">
        <f t="shared" si="8"/>
      </c>
      <c r="DF88">
        <f t="shared" si="8"/>
      </c>
      <c r="DG88">
        <f t="shared" si="8"/>
      </c>
      <c r="DH88">
        <f t="shared" si="8"/>
      </c>
      <c r="DI88">
        <f t="shared" si="8"/>
      </c>
      <c r="DJ88">
        <f t="shared" si="8"/>
      </c>
      <c r="DK88">
        <f t="shared" si="8"/>
      </c>
      <c r="DL88">
        <f t="shared" si="8"/>
      </c>
      <c r="DM88">
        <f t="shared" si="8"/>
      </c>
      <c r="DN88">
        <f t="shared" si="8"/>
      </c>
      <c r="DO88">
        <f t="shared" si="8"/>
      </c>
      <c r="DP88">
        <f t="shared" si="8"/>
      </c>
      <c r="DQ88">
        <f t="shared" si="8"/>
      </c>
      <c r="DR88">
        <f t="shared" si="8"/>
      </c>
      <c r="DS88">
        <f t="shared" si="8"/>
      </c>
      <c r="DT88">
        <f t="shared" si="8"/>
      </c>
      <c r="DU88">
        <f t="shared" si="8"/>
      </c>
      <c r="DV88">
        <f t="shared" si="8"/>
      </c>
      <c r="DW88">
        <f t="shared" si="8"/>
      </c>
      <c r="DX88">
        <f t="shared" si="8"/>
      </c>
      <c r="DY88">
        <f t="shared" si="8"/>
      </c>
      <c r="DZ88">
        <f t="shared" si="8"/>
      </c>
      <c r="EA88">
        <f t="shared" si="8"/>
      </c>
      <c r="EB88">
        <f t="shared" si="8"/>
      </c>
      <c r="EC88">
        <f t="shared" si="8"/>
      </c>
      <c r="ED88">
        <f t="shared" si="8"/>
      </c>
      <c r="EE88">
        <f t="shared" si="8"/>
      </c>
      <c r="EF88">
        <f t="shared" si="8"/>
      </c>
      <c r="EG88">
        <f t="shared" si="8"/>
      </c>
      <c r="EH88">
        <f t="shared" si="8"/>
      </c>
      <c r="EI88">
        <f t="shared" si="8"/>
      </c>
      <c r="EJ88">
        <f t="shared" si="8"/>
      </c>
      <c r="EK88">
        <f t="shared" si="8"/>
      </c>
      <c r="EL88">
        <f t="shared" si="8"/>
      </c>
      <c r="EM88">
        <f t="shared" si="8"/>
      </c>
      <c r="EN88">
        <f t="shared" si="8"/>
      </c>
      <c r="EO88">
        <f t="shared" si="8"/>
      </c>
      <c r="EP88">
        <f t="shared" si="8"/>
      </c>
      <c r="EQ88">
        <f t="shared" si="8"/>
      </c>
      <c r="ER88">
        <f t="shared" si="8"/>
      </c>
      <c r="ES88">
        <f t="shared" si="8"/>
      </c>
      <c r="ET88">
        <f t="shared" si="8"/>
      </c>
      <c r="EU88">
        <f t="shared" si="8"/>
      </c>
      <c r="EV88">
        <f t="shared" si="8"/>
      </c>
      <c r="EW88">
        <f t="shared" si="8"/>
      </c>
      <c r="EX88">
        <f t="shared" si="8"/>
      </c>
      <c r="EY88">
        <f t="shared" si="8"/>
      </c>
      <c r="EZ88">
        <f t="shared" si="8"/>
      </c>
      <c r="FA88" t="str">
        <f t="shared" si="12"/>
        <v>-</v>
      </c>
      <c r="FB88">
        <f t="shared" si="13"/>
      </c>
      <c r="FC88" cm="1">
        <f t="array" ref="FC88">_xlfn.LET(_xlpm.unit_type,$G88,_xlpm.market_rent_from_rent_roll,$E88,_xlpm.unit_type_list,RentRoll_InputArea_DesignatedUnitType,_xlpm.rent_by_unit_type,RentRoll_InputArea_MarketRent,_xlpm.use_rent_roll_market_rent,LEFT(RR_VacantUnitMktRentSource,9)="Rent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8">
        <f t="shared" si="14"/>
        <v>1099</v>
      </c>
      <c r="FE88">
        <f t="shared" si="15"/>
        <v>1099</v>
      </c>
      <c r="FF88">
        <f t="shared" si="16"/>
        <v>1099</v>
      </c>
      <c r="FH88">
        <f t="shared" si="17"/>
      </c>
      <c r="FI88">
        <f t="shared" si="18"/>
      </c>
      <c r="FK88" cm="1">
        <f t="array" ref="FK88">IF(AND(LEN($D88)&gt;0,ISNA(MATCH(TRUE,EXACT($G88,RentRoll_InputArea_DesignatedUnitType),0))),1,0)</f>
        <v>0</v>
      </c>
      <c r="FL88">
        <f t="shared" si="19"/>
        <v>65</v>
      </c>
      <c r="IO88" cm="1">
        <f t="array" ref="IO88">IF(LEN($G88)=0,"Rent Roll is incomplete",_xlfn.XLOOKUP(TRUE,EXACT(RentRoll_InputArea_DesignatedUnitType,$G88),RentRoll_InputArea_Beds,"Not Found"))</f>
        <v>1</v>
      </c>
      <c r="IQ88" t="str">
        <f t="shared" si="20"/>
        <v>1 Bedroom Unit</v>
      </c>
      <c r="IR88">
        <f t="shared" si="21"/>
        <v>1099</v>
      </c>
      <c r="IW88" t="str">
        <f t="shared" si="22"/>
        <v>6-606</v>
      </c>
      <c r="IZ88">
        <f t="shared" si="23"/>
        <v>1</v>
      </c>
      <c r="JA88">
        <f t="shared" si="24"/>
        <v>1099</v>
      </c>
      <c r="JH88">
        <f t="shared" si="25"/>
        <v>1159</v>
      </c>
      <c r="JJ88">
        <f t="shared" si="26"/>
      </c>
      <c r="JQ88" t="str">
        <f t="shared" si="27"/>
        <v>Occupied</v>
      </c>
      <c r="JR88" cm="1">
        <f t="array" ref="JR88">_xlfn.XLOOKUP(TRUE,EXACT(RentRoll_InputArea_DesignatedUnitType,$G88),RentRoll_InputArea_SquareFootage,"Not Found")</f>
        <v>704</v>
      </c>
      <c r="JS88" t="str">
        <f t="shared" si="28"/>
        <v>Apartment</v>
      </c>
      <c r="JT88">
        <f t="shared" si="29"/>
      </c>
      <c r="JY88">
        <f t="shared" si="9"/>
        <v>43586</v>
      </c>
      <c r="JZ88">
        <f t="shared" si="9"/>
        <v>43951</v>
      </c>
    </row>
    <row r="89" ht="15" customHeight="1">
      <c r="A89">
        <f t="shared" si="10"/>
        <v>66</v>
      </c>
      <c r="D89" t="s">
        <v>2874</v>
      </c>
      <c r="E89">
        <v>1181</v>
      </c>
      <c r="F89" t="s">
        <v>2875</v>
      </c>
      <c r="G89" t="s">
        <v>2529</v>
      </c>
      <c r="H89">
        <v>1114</v>
      </c>
      <c r="I89" cm="1">
        <f t="array" ref="I89">_xlfn.LET(_xlpm.has_subsidy,$N89&gt;0,_xlpm.is_chap9_sbl,$FF$20,_xlpm.contract_rent,$H89,_xlpm.unit_type_mkt_rent,_xlfn.XLOOKUP(TRUE,EXACT($G89,RentRoll_InputArea_DesignatedUnitType),RentRoll_InputArea_MarketRent,"Not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89">
        <f t="shared" si="11"/>
        <v>1114</v>
      </c>
      <c r="O89" s="1">
        <v>43344</v>
      </c>
      <c r="P89" s="1">
        <v>43616</v>
      </c>
      <c r="Q89">
        <f t="shared" si="8"/>
        <v>1114</v>
      </c>
      <c r="R89">
        <f t="shared" si="8"/>
      </c>
      <c r="S89">
        <f t="shared" si="8"/>
      </c>
      <c r="T89">
        <f t="shared" si="8"/>
      </c>
      <c r="U89">
        <f t="shared" si="8"/>
      </c>
      <c r="V89">
        <f t="shared" si="8"/>
      </c>
      <c r="W89">
        <f t="shared" si="8"/>
      </c>
      <c r="X89">
        <f t="shared" si="8"/>
      </c>
      <c r="Y89">
        <f t="shared" si="8"/>
      </c>
      <c r="Z89">
        <f t="shared" si="8"/>
      </c>
      <c r="AA89">
        <f t="shared" si="8"/>
      </c>
      <c r="AB89">
        <f t="shared" si="8"/>
      </c>
      <c r="AC89">
        <f t="shared" si="8"/>
      </c>
      <c r="AD89">
        <f t="shared" si="8"/>
      </c>
      <c r="AE89">
        <f t="shared" si="8"/>
      </c>
      <c r="AF89">
        <f t="shared" si="8"/>
      </c>
      <c r="AG89">
        <f t="shared" si="8"/>
      </c>
      <c r="AH89">
        <f t="shared" si="8"/>
      </c>
      <c r="AI89">
        <f t="shared" si="8"/>
      </c>
      <c r="AJ89">
        <f t="shared" si="8"/>
      </c>
      <c r="AK89">
        <f t="shared" si="8"/>
      </c>
      <c r="AL89">
        <f t="shared" si="8"/>
      </c>
      <c r="AM89">
        <f t="shared" si="8"/>
      </c>
      <c r="AN89">
        <f t="shared" si="8"/>
      </c>
      <c r="AO89">
        <f t="shared" si="8"/>
      </c>
      <c r="AP89">
        <f t="shared" si="8"/>
      </c>
      <c r="AQ89">
        <f t="shared" si="8"/>
      </c>
      <c r="AR89">
        <f t="shared" si="8"/>
      </c>
      <c r="AS89">
        <f t="shared" si="8"/>
      </c>
      <c r="AT89">
        <f t="shared" si="8"/>
      </c>
      <c r="AU89">
        <f t="shared" si="8"/>
      </c>
      <c r="AV89">
        <f t="shared" si="8"/>
      </c>
      <c r="AW89">
        <f t="shared" si="8"/>
      </c>
      <c r="AX89">
        <f t="shared" si="8"/>
      </c>
      <c r="AY89">
        <f t="shared" si="8"/>
      </c>
      <c r="AZ89">
        <f t="shared" si="8"/>
      </c>
      <c r="BA89">
        <f t="shared" si="8"/>
      </c>
      <c r="BB89">
        <f t="shared" si="8"/>
      </c>
      <c r="BC89">
        <f t="shared" si="8"/>
      </c>
      <c r="BD89">
        <f t="shared" si="8"/>
      </c>
      <c r="BE89">
        <f t="shared" si="8"/>
      </c>
      <c r="BF89">
        <f t="shared" si="8"/>
      </c>
      <c r="BG89">
        <f t="shared" si="8"/>
      </c>
      <c r="BH89">
        <f t="shared" si="8"/>
      </c>
      <c r="BI89">
        <f t="shared" si="8"/>
      </c>
      <c r="BJ89">
        <f t="shared" si="8"/>
      </c>
      <c r="BK89">
        <f t="shared" si="8"/>
      </c>
      <c r="BL89">
        <f t="shared" si="8"/>
      </c>
      <c r="BM89">
        <f t="shared" si="8"/>
      </c>
      <c r="BN89">
        <f t="shared" si="8"/>
      </c>
      <c r="BO89">
        <f t="shared" si="8"/>
      </c>
      <c r="BP89">
        <f t="shared" si="8"/>
      </c>
      <c r="BQ89">
        <f t="shared" si="8"/>
      </c>
      <c r="BR89">
        <f t="shared" si="8"/>
      </c>
      <c r="BS89">
        <f t="shared" si="8"/>
      </c>
      <c r="BT89">
        <f t="shared" si="8"/>
      </c>
      <c r="BU89">
        <f t="shared" si="8"/>
      </c>
      <c r="BV89">
        <f t="shared" si="8"/>
      </c>
      <c r="BW89">
        <f t="shared" si="8"/>
      </c>
      <c r="BX89">
        <f t="shared" si="8"/>
      </c>
      <c r="BY89">
        <f t="shared" si="8"/>
      </c>
      <c r="BZ89">
        <f t="shared" si="8"/>
      </c>
      <c r="CA89">
        <f t="shared" si="8"/>
      </c>
      <c r="CB89">
        <f t="shared" si="8"/>
      </c>
      <c r="CC89">
        <f t="shared" si="8"/>
      </c>
      <c r="CD89">
        <f t="shared" si="8"/>
      </c>
      <c r="CE89">
        <f t="shared" si="8"/>
      </c>
      <c r="CF89">
        <f t="shared" si="8"/>
      </c>
      <c r="CG89">
        <f t="shared" si="8"/>
      </c>
      <c r="CH89">
        <f t="shared" si="8"/>
      </c>
      <c r="CI89">
        <f t="shared" si="8"/>
      </c>
      <c r="CJ89">
        <f t="shared" si="8"/>
      </c>
      <c r="CK89">
        <f t="shared" si="8"/>
      </c>
      <c r="CL89">
        <f t="shared" si="8"/>
      </c>
      <c r="CM89">
        <f t="shared" si="8"/>
      </c>
      <c r="CN89">
        <f t="shared" si="8"/>
      </c>
      <c r="CO89">
        <f t="shared" si="8"/>
      </c>
      <c r="CP89">
        <f t="shared" si="8"/>
      </c>
      <c r="CQ89">
        <f t="shared" si="8"/>
      </c>
      <c r="CR89">
        <f t="shared" si="8"/>
      </c>
      <c r="CS89">
        <f t="shared" si="8"/>
      </c>
      <c r="CT89">
        <f t="shared" si="8"/>
      </c>
      <c r="CU89">
        <f t="shared" si="8"/>
      </c>
      <c r="CV89">
        <f t="shared" si="8"/>
      </c>
      <c r="CW89">
        <f t="shared" si="8"/>
      </c>
      <c r="CX89">
        <f t="shared" si="8"/>
      </c>
      <c r="CY89">
        <f t="shared" si="8"/>
      </c>
      <c r="CZ89">
        <f t="shared" si="8"/>
      </c>
      <c r="DA89">
        <f t="shared" si="8"/>
      </c>
      <c r="DB89">
        <f t="shared" si="8"/>
      </c>
      <c r="DC89">
        <f t="shared" si="8"/>
      </c>
      <c r="DD89">
        <f t="shared" si="8"/>
      </c>
      <c r="DE89">
        <f t="shared" si="8"/>
      </c>
      <c r="DF89">
        <f t="shared" si="8"/>
      </c>
      <c r="DG89">
        <f t="shared" si="8"/>
      </c>
      <c r="DH89">
        <f t="shared" si="8"/>
      </c>
      <c r="DI89">
        <f t="shared" si="8"/>
      </c>
      <c r="DJ89">
        <f t="shared" si="8"/>
      </c>
      <c r="DK89">
        <f t="shared" si="8"/>
      </c>
      <c r="DL89">
        <f t="shared" si="8"/>
      </c>
      <c r="DM89">
        <f t="shared" si="8"/>
      </c>
      <c r="DN89">
        <f t="shared" si="8"/>
      </c>
      <c r="DO89">
        <f t="shared" si="8"/>
      </c>
      <c r="DP89">
        <f t="shared" si="8"/>
      </c>
      <c r="DQ89">
        <f t="shared" si="8"/>
      </c>
      <c r="DR89">
        <f t="shared" si="8"/>
      </c>
      <c r="DS89">
        <f t="shared" si="8"/>
      </c>
      <c r="DT89">
        <f t="shared" si="8"/>
      </c>
      <c r="DU89">
        <f t="shared" si="8"/>
      </c>
      <c r="DV89">
        <f t="shared" si="8"/>
      </c>
      <c r="DW89">
        <f t="shared" si="8"/>
      </c>
      <c r="DX89">
        <f t="shared" si="8"/>
      </c>
      <c r="DY89">
        <f t="shared" si="8"/>
      </c>
      <c r="DZ89">
        <f t="shared" si="8"/>
      </c>
      <c r="EA89">
        <f t="shared" si="8"/>
      </c>
      <c r="EB89">
        <f t="shared" si="8"/>
      </c>
      <c r="EC89">
        <f t="shared" si="8"/>
      </c>
      <c r="ED89">
        <f t="shared" si="8"/>
      </c>
      <c r="EE89">
        <f t="shared" si="8"/>
      </c>
      <c r="EF89">
        <f t="shared" si="8"/>
      </c>
      <c r="EG89">
        <f t="shared" si="8"/>
      </c>
      <c r="EH89">
        <f t="shared" si="8"/>
      </c>
      <c r="EI89">
        <f t="shared" si="8"/>
      </c>
      <c r="EJ89">
        <f t="shared" si="8"/>
      </c>
      <c r="EK89">
        <f t="shared" si="8"/>
      </c>
      <c r="EL89">
        <f t="shared" si="8"/>
      </c>
      <c r="EM89">
        <f t="shared" si="8"/>
      </c>
      <c r="EN89">
        <f t="shared" si="8"/>
      </c>
      <c r="EO89">
        <f t="shared" si="8"/>
      </c>
      <c r="EP89">
        <f t="shared" si="8"/>
      </c>
      <c r="EQ89">
        <f t="shared" si="8"/>
      </c>
      <c r="ER89">
        <f t="shared" si="8"/>
      </c>
      <c r="ES89">
        <f t="shared" si="8"/>
      </c>
      <c r="ET89">
        <f t="shared" si="8"/>
      </c>
      <c r="EU89">
        <f t="shared" si="8"/>
      </c>
      <c r="EV89">
        <f t="shared" si="8"/>
      </c>
      <c r="EW89">
        <f t="shared" si="8"/>
      </c>
      <c r="EX89">
        <f t="shared" si="8"/>
      </c>
      <c r="EY89">
        <f t="shared" si="8"/>
      </c>
      <c r="EZ89">
        <f t="shared" si="8"/>
      </c>
      <c r="FA89" t="str">
        <f t="shared" si="12"/>
        <v>-</v>
      </c>
      <c r="FB89">
        <f t="shared" si="13"/>
      </c>
      <c r="FC89" cm="1">
        <f t="array" ref="FC89">_xlfn.LET(_xlpm.unit_type,$G89,_xlpm.market_rent_from_rent_roll,$E89,_xlpm.unit_type_list,RentRoll_InputArea_DesignatedUnitType,_xlpm.rent_by_unit_type,RentRoll_InputArea_MarketRent,_xlpm.use_rent_roll_market_rent,LEFT(RR_VacantUnitMktRentSource,9)="Rent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89">
        <f t="shared" si="14"/>
        <v>1114</v>
      </c>
      <c r="FE89">
        <f t="shared" si="15"/>
        <v>1114</v>
      </c>
      <c r="FF89">
        <f t="shared" si="16"/>
        <v>1114</v>
      </c>
      <c r="FH89">
        <f t="shared" si="17"/>
      </c>
      <c r="FI89">
        <f t="shared" si="18"/>
      </c>
      <c r="FK89" cm="1">
        <f t="array" ref="FK89">IF(AND(LEN($D89)&gt;0,ISNA(MATCH(TRUE,EXACT($G89,RentRoll_InputArea_DesignatedUnitType),0))),1,0)</f>
        <v>0</v>
      </c>
      <c r="FL89">
        <f t="shared" si="19"/>
        <v>66</v>
      </c>
      <c r="IO89" cm="1">
        <f t="array" ref="IO89">IF(LEN($G89)=0,"Rent Roll is incomplete",_xlfn.XLOOKUP(TRUE,EXACT(RentRoll_InputArea_DesignatedUnitType,$G89),RentRoll_InputArea_Beds,"Not Found"))</f>
        <v>1</v>
      </c>
      <c r="IQ89" t="str">
        <f t="shared" si="20"/>
        <v>1 Bedroom Unit</v>
      </c>
      <c r="IR89">
        <f t="shared" si="21"/>
        <v>1114</v>
      </c>
      <c r="IW89" t="str">
        <f t="shared" si="22"/>
        <v>6-607</v>
      </c>
      <c r="IZ89">
        <f t="shared" si="23"/>
        <v>1</v>
      </c>
      <c r="JA89">
        <f t="shared" si="24"/>
        <v>1114</v>
      </c>
      <c r="JH89">
        <f t="shared" si="25"/>
        <v>1159</v>
      </c>
      <c r="JJ89">
        <f t="shared" si="26"/>
      </c>
      <c r="JQ89" t="str">
        <f t="shared" si="27"/>
        <v>Occupied</v>
      </c>
      <c r="JR89" cm="1">
        <f t="array" ref="JR89">_xlfn.XLOOKUP(TRUE,EXACT(RentRoll_InputArea_DesignatedUnitType,$G89),RentRoll_InputArea_SquareFootage,"Not Found")</f>
        <v>704</v>
      </c>
      <c r="JS89" t="str">
        <f t="shared" si="28"/>
        <v>Apartment</v>
      </c>
      <c r="JT89">
        <f t="shared" si="29"/>
      </c>
      <c r="JY89">
        <f t="shared" si="9"/>
        <v>43344</v>
      </c>
      <c r="JZ89">
        <f t="shared" si="9"/>
        <v>43616</v>
      </c>
    </row>
    <row r="90" ht="15" customHeight="1">
      <c r="A90">
        <f t="shared" si="10"/>
        <v>67</v>
      </c>
      <c r="D90" t="s">
        <v>2876</v>
      </c>
      <c r="E90">
        <v>1099</v>
      </c>
      <c r="F90" t="s">
        <v>2877</v>
      </c>
      <c r="G90" t="s">
        <v>2529</v>
      </c>
      <c r="H90">
        <v>1145</v>
      </c>
      <c r="I90" cm="1">
        <f t="array" ref="I90">_xlfn.LET(_xlpm.has_subsidy,$N90&gt;0,_xlpm.is_chap9_sbl,$FF$20,_xlpm.contract_rent,$H90,_xlpm.unit_type_mkt_rent,_xlfn.XLOOKUP(TRUE,EXACT($G90,RentRoll_InputArea_DesignatedUnitType),RentRoll_InputArea_MarketRent,"Not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0">
        <f t="shared" si="11"/>
        <v>1145</v>
      </c>
      <c r="O90" s="1">
        <v>43497</v>
      </c>
      <c r="P90" s="1">
        <v>43769</v>
      </c>
      <c r="Q90">
        <f t="shared" si="8"/>
        <v>1145</v>
      </c>
      <c r="R90">
        <f t="shared" si="8"/>
      </c>
      <c r="S90">
        <f t="shared" si="8"/>
      </c>
      <c r="T90">
        <f t="shared" si="8"/>
      </c>
      <c r="U90">
        <f t="shared" si="8"/>
      </c>
      <c r="V90">
        <f t="shared" si="8"/>
      </c>
      <c r="W90">
        <f t="shared" si="8"/>
      </c>
      <c r="X90">
        <f t="shared" si="8"/>
      </c>
      <c r="Y90">
        <f t="shared" si="8"/>
      </c>
      <c r="Z90">
        <f t="shared" si="8"/>
      </c>
      <c r="AA90">
        <f t="shared" si="8"/>
      </c>
      <c r="AB90">
        <f t="shared" si="8"/>
      </c>
      <c r="AC90">
        <f t="shared" si="8"/>
      </c>
      <c r="AD90">
        <f t="shared" si="8"/>
      </c>
      <c r="AE90">
        <f t="shared" si="8"/>
      </c>
      <c r="AF90">
        <f t="shared" si="8"/>
      </c>
      <c r="AG90">
        <f t="shared" si="8"/>
      </c>
      <c r="AH90">
        <f t="shared" si="8"/>
      </c>
      <c r="AI90">
        <f t="shared" si="8"/>
      </c>
      <c r="AJ90">
        <f t="shared" si="8"/>
      </c>
      <c r="AK90">
        <f t="shared" si="8"/>
      </c>
      <c r="AL90">
        <f t="shared" si="8"/>
      </c>
      <c r="AM90">
        <f t="shared" si="8"/>
      </c>
      <c r="AN90">
        <f t="shared" si="8"/>
      </c>
      <c r="AO90">
        <f t="shared" si="8"/>
      </c>
      <c r="AP90">
        <f t="shared" si="8"/>
      </c>
      <c r="AQ90">
        <f t="shared" si="8"/>
      </c>
      <c r="AR90">
        <f t="shared" si="8"/>
      </c>
      <c r="AS90">
        <f t="shared" si="8"/>
      </c>
      <c r="AT90">
        <f t="shared" si="8"/>
      </c>
      <c r="AU90">
        <f t="shared" si="8"/>
      </c>
      <c r="AV90">
        <f t="shared" si="8"/>
      </c>
      <c r="AW90">
        <f t="shared" si="8"/>
      </c>
      <c r="AX90">
        <f t="shared" si="8"/>
      </c>
      <c r="AY90">
        <f t="shared" si="8"/>
      </c>
      <c r="AZ90">
        <f t="shared" si="8"/>
      </c>
      <c r="BA90">
        <f t="shared" si="8"/>
      </c>
      <c r="BB90">
        <f t="shared" si="8"/>
      </c>
      <c r="BC90">
        <f t="shared" si="8"/>
      </c>
      <c r="BD90">
        <f t="shared" si="8"/>
      </c>
      <c r="BE90">
        <f t="shared" si="8"/>
      </c>
      <c r="BF90">
        <f t="shared" si="8"/>
      </c>
      <c r="BG90">
        <f t="shared" si="8"/>
      </c>
      <c r="BH90">
        <f t="shared" si="8"/>
      </c>
      <c r="BI90">
        <f t="shared" si="8"/>
      </c>
      <c r="BJ90">
        <f t="shared" si="8"/>
      </c>
      <c r="BK90">
        <f t="shared" si="8"/>
      </c>
      <c r="BL90">
        <f t="shared" si="8"/>
      </c>
      <c r="BM90">
        <f t="shared" si="8"/>
      </c>
      <c r="BN90">
        <f t="shared" si="8"/>
      </c>
      <c r="BO90">
        <f t="shared" si="8"/>
      </c>
      <c r="BP90">
        <f t="shared" si="8"/>
      </c>
      <c r="BQ90">
        <f t="shared" si="8"/>
      </c>
      <c r="BR90">
        <f t="shared" si="8"/>
      </c>
      <c r="BS90">
        <f t="shared" si="8"/>
      </c>
      <c r="BT90">
        <f t="shared" si="8"/>
      </c>
      <c r="BU90">
        <f t="shared" si="8"/>
      </c>
      <c r="BV90">
        <f t="shared" si="8"/>
      </c>
      <c r="BW90">
        <f t="shared" si="8"/>
      </c>
      <c r="BX90">
        <f t="shared" si="8"/>
      </c>
      <c r="BY90">
        <f t="shared" si="8"/>
      </c>
      <c r="BZ90">
        <f t="shared" si="8"/>
      </c>
      <c r="CA90">
        <f t="shared" si="8"/>
      </c>
      <c r="CB90">
        <f t="shared" si="8"/>
      </c>
      <c r="CC90">
        <f t="shared" si="8"/>
      </c>
      <c r="CD90">
        <f t="shared" si="8"/>
      </c>
      <c r="CE90">
        <f t="shared" si="8"/>
      </c>
      <c r="CF90">
        <f t="shared" si="8"/>
      </c>
      <c r="CG90">
        <f t="shared" si="8"/>
      </c>
      <c r="CH90">
        <f t="shared" si="8"/>
      </c>
      <c r="CI90">
        <f t="shared" si="8"/>
      </c>
      <c r="CJ90">
        <f t="shared" si="8"/>
      </c>
      <c r="CK90">
        <f t="shared" si="8"/>
      </c>
      <c r="CL90">
        <f t="shared" si="8"/>
      </c>
      <c r="CM90">
        <f t="shared" si="8"/>
      </c>
      <c r="CN90">
        <f t="shared" si="8"/>
      </c>
      <c r="CO90">
        <f t="shared" si="8"/>
      </c>
      <c r="CP90">
        <f t="shared" si="8"/>
      </c>
      <c r="CQ90">
        <f t="shared" si="8"/>
      </c>
      <c r="CR90">
        <f t="shared" si="8"/>
      </c>
      <c r="CS90">
        <f t="shared" si="8"/>
      </c>
      <c r="CT90">
        <f t="shared" si="8"/>
      </c>
      <c r="CU90">
        <f t="shared" si="8"/>
      </c>
      <c r="CV90">
        <f t="shared" si="8"/>
      </c>
      <c r="CW90">
        <f t="shared" si="8"/>
      </c>
      <c r="CX90">
        <f t="shared" si="8"/>
      </c>
      <c r="CY90">
        <f t="shared" si="8"/>
      </c>
      <c r="CZ90">
        <f t="shared" si="8"/>
      </c>
      <c r="DA90">
        <f t="shared" si="8"/>
      </c>
      <c r="DB90">
        <f t="shared" si="8"/>
      </c>
      <c r="DC90">
        <f t="shared" si="8"/>
      </c>
      <c r="DD90">
        <f t="shared" si="8"/>
      </c>
      <c r="DE90">
        <f t="shared" si="8"/>
      </c>
      <c r="DF90">
        <f t="shared" si="8"/>
      </c>
      <c r="DG90">
        <f t="shared" si="8"/>
      </c>
      <c r="DH90">
        <f t="shared" si="8"/>
      </c>
      <c r="DI90">
        <f t="shared" si="8"/>
      </c>
      <c r="DJ90">
        <f t="shared" si="8"/>
      </c>
      <c r="DK90">
        <f t="shared" si="8"/>
      </c>
      <c r="DL90">
        <f t="shared" si="8"/>
      </c>
      <c r="DM90">
        <f t="shared" si="8"/>
      </c>
      <c r="DN90">
        <f t="shared" si="8"/>
      </c>
      <c r="DO90">
        <f t="shared" si="8"/>
      </c>
      <c r="DP90">
        <f t="shared" si="8"/>
      </c>
      <c r="DQ90">
        <f t="shared" si="8"/>
      </c>
      <c r="DR90">
        <f t="shared" si="8"/>
      </c>
      <c r="DS90">
        <f t="shared" si="8"/>
      </c>
      <c r="DT90">
        <f t="shared" si="8"/>
      </c>
      <c r="DU90">
        <f t="shared" si="8"/>
      </c>
      <c r="DV90">
        <f t="shared" si="8"/>
      </c>
      <c r="DW90">
        <f t="shared" si="8"/>
      </c>
      <c r="DX90">
        <f t="shared" si="8"/>
      </c>
      <c r="DY90">
        <f t="shared" si="8"/>
      </c>
      <c r="DZ90">
        <f t="shared" si="8"/>
      </c>
      <c r="EA90">
        <f t="shared" si="8"/>
      </c>
      <c r="EB90">
        <f t="shared" si="8"/>
      </c>
      <c r="EC90">
        <f t="shared" si="8"/>
      </c>
      <c r="ED90">
        <f t="shared" si="8"/>
      </c>
      <c r="EE90">
        <f t="shared" si="8"/>
      </c>
      <c r="EF90">
        <f t="shared" si="8"/>
      </c>
      <c r="EG90">
        <f t="shared" si="8"/>
      </c>
      <c r="EH90">
        <f t="shared" si="8"/>
      </c>
      <c r="EI90">
        <f t="shared" si="8"/>
      </c>
      <c r="EJ90">
        <f t="shared" si="8"/>
      </c>
      <c r="EK90">
        <f t="shared" si="8"/>
      </c>
      <c r="EL90">
        <f t="shared" si="8"/>
      </c>
      <c r="EM90">
        <f t="shared" si="8"/>
      </c>
      <c r="EN90">
        <f t="shared" si="8"/>
      </c>
      <c r="EO90">
        <f t="shared" si="8"/>
      </c>
      <c r="EP90">
        <f t="shared" si="8"/>
      </c>
      <c r="EQ90">
        <f t="shared" si="8"/>
      </c>
      <c r="ER90">
        <f t="shared" si="8"/>
      </c>
      <c r="ES90">
        <f t="shared" si="8"/>
      </c>
      <c r="ET90">
        <f t="shared" si="8"/>
      </c>
      <c r="EU90">
        <f t="shared" si="8"/>
      </c>
      <c r="EV90">
        <f t="shared" si="8"/>
      </c>
      <c r="EW90">
        <f t="shared" si="8"/>
      </c>
      <c r="EX90">
        <f t="shared" si="8"/>
      </c>
      <c r="EY90">
        <f t="shared" si="8"/>
      </c>
      <c r="EZ90">
        <f t="shared" si="8"/>
      </c>
      <c r="FA90" t="str">
        <f t="shared" si="12"/>
        <v>-</v>
      </c>
      <c r="FB90">
        <f t="shared" si="13"/>
      </c>
      <c r="FC90" cm="1">
        <f t="array" ref="FC90">_xlfn.LET(_xlpm.unit_type,$G90,_xlpm.market_rent_from_rent_roll,$E90,_xlpm.unit_type_list,RentRoll_InputArea_DesignatedUnitType,_xlpm.rent_by_unit_type,RentRoll_InputArea_MarketRent,_xlpm.use_rent_roll_market_rent,LEFT(RR_VacantUnitMktRentSource,9)="Rent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0">
        <f t="shared" si="14"/>
        <v>1145</v>
      </c>
      <c r="FE90">
        <f t="shared" si="15"/>
        <v>1145</v>
      </c>
      <c r="FF90">
        <f t="shared" si="16"/>
        <v>1145</v>
      </c>
      <c r="FH90">
        <f t="shared" si="17"/>
      </c>
      <c r="FI90">
        <f t="shared" si="18"/>
      </c>
      <c r="FK90" cm="1">
        <f t="array" ref="FK90">IF(AND(LEN($D90)&gt;0,ISNA(MATCH(TRUE,EXACT($G90,RentRoll_InputArea_DesignatedUnitType),0))),1,0)</f>
        <v>0</v>
      </c>
      <c r="FL90">
        <f t="shared" si="19"/>
        <v>67</v>
      </c>
      <c r="IO90" cm="1">
        <f t="array" ref="IO90">IF(LEN($G90)=0,"Rent Roll is incomplete",_xlfn.XLOOKUP(TRUE,EXACT(RentRoll_InputArea_DesignatedUnitType,$G90),RentRoll_InputArea_Beds,"Not Found"))</f>
        <v>1</v>
      </c>
      <c r="IQ90" t="str">
        <f t="shared" si="20"/>
        <v>1 Bedroom Unit</v>
      </c>
      <c r="IR90">
        <f t="shared" si="21"/>
        <v>1145</v>
      </c>
      <c r="IW90" t="str">
        <f t="shared" si="22"/>
        <v>6-608</v>
      </c>
      <c r="IZ90">
        <f t="shared" si="23"/>
        <v>1</v>
      </c>
      <c r="JA90">
        <f t="shared" si="24"/>
        <v>1145</v>
      </c>
      <c r="JH90">
        <f t="shared" si="25"/>
        <v>1159</v>
      </c>
      <c r="JJ90">
        <f t="shared" si="26"/>
      </c>
      <c r="JQ90" t="str">
        <f t="shared" si="27"/>
        <v>Occupied</v>
      </c>
      <c r="JR90" cm="1">
        <f t="array" ref="JR90">_xlfn.XLOOKUP(TRUE,EXACT(RentRoll_InputArea_DesignatedUnitType,$G90),RentRoll_InputArea_SquareFootage,"Not Found")</f>
        <v>704</v>
      </c>
      <c r="JS90" t="str">
        <f t="shared" si="28"/>
        <v>Apartment</v>
      </c>
      <c r="JT90">
        <f t="shared" si="29"/>
      </c>
      <c r="JY90">
        <f t="shared" si="9"/>
        <v>43497</v>
      </c>
      <c r="JZ90">
        <f t="shared" si="9"/>
        <v>43769</v>
      </c>
    </row>
    <row r="91" ht="15" customHeight="1">
      <c r="A91">
        <f t="shared" si="10"/>
        <v>68</v>
      </c>
      <c r="D91" t="s">
        <v>2878</v>
      </c>
      <c r="E91">
        <v>1116</v>
      </c>
      <c r="F91" t="s">
        <v>2879</v>
      </c>
      <c r="G91" t="s">
        <v>2529</v>
      </c>
      <c r="H91">
        <v>1097</v>
      </c>
      <c r="I91" cm="1">
        <f t="array" ref="I91">_xlfn.LET(_xlpm.has_subsidy,$N91&gt;0,_xlpm.is_chap9_sbl,$FF$20,_xlpm.contract_rent,$H91,_xlpm.unit_type_mkt_rent,_xlfn.XLOOKUP(TRUE,EXACT($G91,RentRoll_InputArea_DesignatedUnitType),RentRoll_InputArea_MarketRent,"Not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1">
        <f t="shared" si="11"/>
        <v>1097</v>
      </c>
      <c r="O91" s="1">
        <v>43586</v>
      </c>
      <c r="P91" s="1">
        <v>43799</v>
      </c>
      <c r="Q91">
        <f t="shared" si="8"/>
        <v>1097</v>
      </c>
      <c r="R91">
        <f t="shared" si="8"/>
      </c>
      <c r="S91">
        <f t="shared" si="8"/>
      </c>
      <c r="T91">
        <f t="shared" si="8"/>
      </c>
      <c r="U91">
        <f t="shared" si="8"/>
      </c>
      <c r="V91">
        <f t="shared" si="8"/>
      </c>
      <c r="W91">
        <f t="shared" si="8"/>
      </c>
      <c r="X91">
        <f t="shared" si="8"/>
      </c>
      <c r="Y91">
        <f t="shared" si="8"/>
      </c>
      <c r="Z91">
        <f t="shared" si="8"/>
      </c>
      <c r="AA91">
        <f t="shared" si="8"/>
      </c>
      <c r="AB91">
        <f t="shared" si="8"/>
      </c>
      <c r="AC91">
        <f t="shared" si="8"/>
      </c>
      <c r="AD91">
        <f t="shared" si="8"/>
      </c>
      <c r="AE91">
        <f t="shared" si="8"/>
      </c>
      <c r="AF91">
        <f t="shared" si="8"/>
      </c>
      <c r="AG91">
        <f t="shared" si="8"/>
      </c>
      <c r="AH91">
        <f t="shared" si="8"/>
      </c>
      <c r="AI91">
        <f t="shared" si="8"/>
      </c>
      <c r="AJ91">
        <f t="shared" si="8"/>
      </c>
      <c r="AK91">
        <f t="shared" si="8"/>
      </c>
      <c r="AL91">
        <f t="shared" si="8"/>
      </c>
      <c r="AM91">
        <f t="shared" si="8"/>
      </c>
      <c r="AN91">
        <f t="shared" si="8"/>
      </c>
      <c r="AO91">
        <f t="shared" si="8"/>
      </c>
      <c r="AP91">
        <f t="shared" si="8"/>
      </c>
      <c r="AQ91">
        <f t="shared" si="8"/>
      </c>
      <c r="AR91">
        <f t="shared" si="8"/>
      </c>
      <c r="AS91">
        <f t="shared" si="8"/>
      </c>
      <c r="AT91">
        <f t="shared" si="8"/>
      </c>
      <c r="AU91">
        <f t="shared" si="8"/>
      </c>
      <c r="AV91">
        <f t="shared" si="8"/>
      </c>
      <c r="AW91">
        <f t="shared" si="8"/>
      </c>
      <c r="AX91">
        <f t="shared" si="8"/>
      </c>
      <c r="AY91">
        <f t="shared" si="8"/>
      </c>
      <c r="AZ91">
        <f t="shared" si="8"/>
      </c>
      <c r="BA91">
        <f t="shared" si="8"/>
      </c>
      <c r="BB91">
        <f t="shared" si="8"/>
      </c>
      <c r="BC91">
        <f t="shared" si="8"/>
      </c>
      <c r="BD91">
        <f t="shared" si="8"/>
      </c>
      <c r="BE91">
        <f t="shared" si="8"/>
      </c>
      <c r="BF91">
        <f t="shared" si="8"/>
      </c>
      <c r="BG91">
        <f t="shared" si="8"/>
      </c>
      <c r="BH91">
        <f t="shared" si="8"/>
      </c>
      <c r="BI91">
        <f t="shared" si="8"/>
      </c>
      <c r="BJ91">
        <f t="shared" si="8"/>
      </c>
      <c r="BK91">
        <f t="shared" si="8"/>
      </c>
      <c r="BL91">
        <f t="shared" si="8"/>
      </c>
      <c r="BM91">
        <f t="shared" si="8"/>
      </c>
      <c r="BN91">
        <f t="shared" si="8"/>
      </c>
      <c r="BO91">
        <f t="shared" si="8"/>
      </c>
      <c r="BP91">
        <f t="shared" si="8"/>
      </c>
      <c r="BQ91">
        <f t="shared" si="8"/>
      </c>
      <c r="BR91">
        <f t="shared" si="8"/>
      </c>
      <c r="BS91">
        <f t="shared" si="8"/>
      </c>
      <c r="BT91">
        <f t="shared" si="8"/>
      </c>
      <c r="BU91">
        <f t="shared" si="8"/>
      </c>
      <c r="BV91">
        <f t="shared" si="8"/>
      </c>
      <c r="BW91">
        <f t="shared" si="8"/>
      </c>
      <c r="BX91">
        <f t="shared" si="8"/>
      </c>
      <c r="BY91">
        <f t="shared" si="8"/>
      </c>
      <c r="BZ91">
        <f t="shared" si="8"/>
      </c>
      <c r="CA91">
        <f t="shared" si="8"/>
      </c>
      <c r="CB91">
        <f t="shared" si="8"/>
      </c>
      <c r="CC91">
        <f t="shared" si="8"/>
      </c>
      <c r="CD91">
        <f t="shared" si="8"/>
      </c>
      <c r="CE91">
        <f t="shared" si="8"/>
      </c>
      <c r="CF91">
        <f t="shared" si="8"/>
      </c>
      <c r="CG91">
        <f t="shared" si="8"/>
      </c>
      <c r="CH91">
        <f t="shared" si="8"/>
      </c>
      <c r="CI91">
        <f t="shared" si="8"/>
      </c>
      <c r="CJ91">
        <f t="shared" si="8"/>
      </c>
      <c r="CK91">
        <f t="shared" si="8"/>
      </c>
      <c r="CL91">
        <f t="shared" si="8"/>
      </c>
      <c r="CM91">
        <f t="shared" si="8"/>
      </c>
      <c r="CN91">
        <f t="shared" si="8"/>
      </c>
      <c r="CO91">
        <f t="shared" si="8"/>
      </c>
      <c r="CP91">
        <f t="shared" si="8"/>
      </c>
      <c r="CQ91">
        <f t="shared" si="8"/>
      </c>
      <c r="CR91">
        <f t="shared" si="8"/>
      </c>
      <c r="CS91">
        <f t="shared" si="8"/>
      </c>
      <c r="CT91">
        <f t="shared" si="8"/>
      </c>
      <c r="CU91">
        <f t="shared" si="8"/>
      </c>
      <c r="CV91">
        <f t="shared" si="8"/>
      </c>
      <c r="CW91">
        <f t="shared" si="8"/>
      </c>
      <c r="CX91">
        <f t="shared" si="8"/>
      </c>
      <c r="CY91">
        <f t="shared" si="8"/>
      </c>
      <c r="CZ91">
        <f t="shared" si="8"/>
      </c>
      <c r="DA91">
        <f t="shared" si="8"/>
      </c>
      <c r="DB91">
        <f t="shared" si="8"/>
      </c>
      <c r="DC91">
        <f t="shared" si="8"/>
      </c>
      <c r="DD91">
        <f t="shared" si="8"/>
      </c>
      <c r="DE91">
        <f t="shared" si="8"/>
      </c>
      <c r="DF91">
        <f t="shared" si="8"/>
      </c>
      <c r="DG91">
        <f t="shared" si="8"/>
      </c>
      <c r="DH91">
        <f t="shared" si="8"/>
      </c>
      <c r="DI91">
        <f t="shared" si="8"/>
      </c>
      <c r="DJ91">
        <f t="shared" si="8"/>
      </c>
      <c r="DK91">
        <f t="shared" si="8"/>
      </c>
      <c r="DL91">
        <f t="shared" si="8"/>
      </c>
      <c r="DM91">
        <f t="shared" si="8"/>
      </c>
      <c r="DN91">
        <f t="shared" si="8"/>
      </c>
      <c r="DO91">
        <f t="shared" si="8"/>
      </c>
      <c r="DP91">
        <f t="shared" si="8"/>
      </c>
      <c r="DQ91">
        <f t="shared" si="8"/>
      </c>
      <c r="DR91">
        <f t="shared" si="8"/>
      </c>
      <c r="DS91">
        <f t="shared" si="8"/>
      </c>
      <c r="DT91">
        <f t="shared" si="8"/>
      </c>
      <c r="DU91">
        <f t="shared" si="8"/>
      </c>
      <c r="DV91">
        <f t="shared" si="8"/>
      </c>
      <c r="DW91">
        <f t="shared" si="8"/>
      </c>
      <c r="DX91">
        <f t="shared" si="8"/>
      </c>
      <c r="DY91">
        <f t="shared" si="8"/>
      </c>
      <c r="DZ91">
        <f t="shared" si="8"/>
      </c>
      <c r="EA91">
        <f t="shared" si="8"/>
      </c>
      <c r="EB91">
        <f t="shared" si="8"/>
      </c>
      <c r="EC91">
        <f t="shared" si="8"/>
      </c>
      <c r="ED91">
        <f t="shared" si="8"/>
      </c>
      <c r="EE91">
        <f t="shared" si="8"/>
      </c>
      <c r="EF91">
        <f t="shared" si="8"/>
      </c>
      <c r="EG91">
        <f t="shared" si="8"/>
      </c>
      <c r="EH91">
        <f t="shared" si="8"/>
      </c>
      <c r="EI91">
        <f t="shared" si="8"/>
      </c>
      <c r="EJ91">
        <f t="shared" si="8"/>
      </c>
      <c r="EK91">
        <f t="shared" si="8"/>
      </c>
      <c r="EL91">
        <f t="shared" si="8"/>
      </c>
      <c r="EM91">
        <f t="shared" si="8"/>
      </c>
      <c r="EN91">
        <f t="shared" si="8"/>
      </c>
      <c r="EO91">
        <f t="shared" si="8"/>
      </c>
      <c r="EP91">
        <f t="shared" si="8"/>
      </c>
      <c r="EQ91">
        <f t="shared" si="8"/>
      </c>
      <c r="ER91">
        <f t="shared" si="8"/>
      </c>
      <c r="ES91">
        <f t="shared" si="8"/>
      </c>
      <c r="ET91">
        <f t="shared" si="8"/>
      </c>
      <c r="EU91">
        <f t="shared" si="8"/>
      </c>
      <c r="EV91">
        <f t="shared" si="8"/>
      </c>
      <c r="EW91">
        <f t="shared" si="8"/>
      </c>
      <c r="EX91">
        <f t="shared" si="8"/>
      </c>
      <c r="EY91">
        <f t="shared" si="8"/>
      </c>
      <c r="EZ91">
        <f t="shared" si="8"/>
      </c>
      <c r="FA91" t="str">
        <f t="shared" si="12"/>
        <v>-</v>
      </c>
      <c r="FB91">
        <f t="shared" si="13"/>
      </c>
      <c r="FC91" cm="1">
        <f t="array" ref="FC91">_xlfn.LET(_xlpm.unit_type,$G91,_xlpm.market_rent_from_rent_roll,$E91,_xlpm.unit_type_list,RentRoll_InputArea_DesignatedUnitType,_xlpm.rent_by_unit_type,RentRoll_InputArea_MarketRent,_xlpm.use_rent_roll_market_rent,LEFT(RR_VacantUnitMktRentSource,9)="Rent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1">
        <f t="shared" si="14"/>
        <v>1097</v>
      </c>
      <c r="FE91">
        <f t="shared" si="15"/>
        <v>1097</v>
      </c>
      <c r="FF91">
        <f t="shared" si="16"/>
        <v>1097</v>
      </c>
      <c r="FH91">
        <f t="shared" si="17"/>
      </c>
      <c r="FI91">
        <f t="shared" si="18"/>
      </c>
      <c r="FK91" cm="1">
        <f t="array" ref="FK91">IF(AND(LEN($D91)&gt;0,ISNA(MATCH(TRUE,EXACT($G91,RentRoll_InputArea_DesignatedUnitType),0))),1,0)</f>
        <v>0</v>
      </c>
      <c r="FL91">
        <f t="shared" si="19"/>
        <v>68</v>
      </c>
      <c r="IO91" cm="1">
        <f t="array" ref="IO91">IF(LEN($G91)=0,"Rent Roll is incomplete",_xlfn.XLOOKUP(TRUE,EXACT(RentRoll_InputArea_DesignatedUnitType,$G91),RentRoll_InputArea_Beds,"Not Found"))</f>
        <v>1</v>
      </c>
      <c r="IQ91" t="str">
        <f t="shared" si="20"/>
        <v>1 Bedroom Unit</v>
      </c>
      <c r="IR91">
        <f t="shared" si="21"/>
        <v>1097</v>
      </c>
      <c r="IW91" t="str">
        <f t="shared" si="22"/>
        <v>6-609</v>
      </c>
      <c r="IZ91">
        <f t="shared" si="23"/>
        <v>1</v>
      </c>
      <c r="JA91">
        <f t="shared" si="24"/>
        <v>1097</v>
      </c>
      <c r="JH91">
        <f t="shared" si="25"/>
        <v>1159</v>
      </c>
      <c r="JJ91">
        <f t="shared" si="26"/>
      </c>
      <c r="JQ91" t="str">
        <f t="shared" si="27"/>
        <v>Occupied</v>
      </c>
      <c r="JR91" cm="1">
        <f t="array" ref="JR91">_xlfn.XLOOKUP(TRUE,EXACT(RentRoll_InputArea_DesignatedUnitType,$G91),RentRoll_InputArea_SquareFootage,"Not Found")</f>
        <v>704</v>
      </c>
      <c r="JS91" t="str">
        <f t="shared" si="28"/>
        <v>Apartment</v>
      </c>
      <c r="JT91">
        <f t="shared" si="29"/>
      </c>
      <c r="JY91">
        <f t="shared" si="9"/>
        <v>43586</v>
      </c>
      <c r="JZ91">
        <f t="shared" si="9"/>
        <v>43799</v>
      </c>
    </row>
    <row r="92" ht="15" customHeight="1">
      <c r="A92">
        <f t="shared" si="10"/>
        <v>69</v>
      </c>
      <c r="D92" t="s">
        <v>2880</v>
      </c>
      <c r="E92">
        <v>1207</v>
      </c>
      <c r="F92" t="s">
        <v>2881</v>
      </c>
      <c r="G92" t="s">
        <v>2529</v>
      </c>
      <c r="H92">
        <v>1084</v>
      </c>
      <c r="I92" cm="1">
        <f t="array" ref="I92">_xlfn.LET(_xlpm.has_subsidy,$N92&gt;0,_xlpm.is_chap9_sbl,$FF$20,_xlpm.contract_rent,$H92,_xlpm.unit_type_mkt_rent,_xlfn.XLOOKUP(TRUE,EXACT($G92,RentRoll_InputArea_DesignatedUnitType),RentRoll_InputArea_MarketRent,"Not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2">
        <f t="shared" si="11"/>
        <v>1084</v>
      </c>
      <c r="O92" s="1">
        <v>43424</v>
      </c>
      <c r="P92" s="1">
        <v>43646</v>
      </c>
      <c r="Q92">
        <f t="shared" si="8"/>
        <v>1084</v>
      </c>
      <c r="R92">
        <f t="shared" si="8"/>
      </c>
      <c r="S92">
        <f t="shared" si="8"/>
      </c>
      <c r="T92">
        <f t="shared" si="8"/>
      </c>
      <c r="U92">
        <f t="shared" si="8"/>
      </c>
      <c r="V92">
        <f t="shared" si="8"/>
      </c>
      <c r="W92">
        <f t="shared" si="8"/>
      </c>
      <c r="X92">
        <f t="shared" si="8"/>
      </c>
      <c r="Y92">
        <f t="shared" si="8"/>
      </c>
      <c r="Z92">
        <f t="shared" si="8"/>
      </c>
      <c r="AA92">
        <f t="shared" si="8"/>
      </c>
      <c r="AB92">
        <f t="shared" si="8"/>
      </c>
      <c r="AC92">
        <f t="shared" si="8"/>
      </c>
      <c r="AD92">
        <f t="shared" si="8"/>
      </c>
      <c r="AE92">
        <f t="shared" si="8"/>
      </c>
      <c r="AF92">
        <f t="shared" si="8"/>
      </c>
      <c r="AG92">
        <f t="shared" si="8"/>
      </c>
      <c r="AH92">
        <f t="shared" si="8"/>
      </c>
      <c r="AI92">
        <f t="shared" si="8"/>
      </c>
      <c r="AJ92">
        <f t="shared" si="8"/>
      </c>
      <c r="AK92">
        <f t="shared" si="8"/>
      </c>
      <c r="AL92">
        <f t="shared" si="8"/>
      </c>
      <c r="AM92">
        <f t="shared" si="8"/>
      </c>
      <c r="AN92">
        <f t="shared" si="8"/>
      </c>
      <c r="AO92">
        <f t="shared" si="8"/>
      </c>
      <c r="AP92">
        <f t="shared" si="8"/>
      </c>
      <c r="AQ92">
        <f t="shared" si="8"/>
      </c>
      <c r="AR92">
        <f t="shared" si="8"/>
      </c>
      <c r="AS92">
        <f t="shared" si="8"/>
      </c>
      <c r="AT92">
        <f t="shared" si="8"/>
      </c>
      <c r="AU92">
        <f t="shared" si="8"/>
      </c>
      <c r="AV92">
        <f t="shared" si="8"/>
      </c>
      <c r="AW92">
        <f t="shared" si="8"/>
      </c>
      <c r="AX92">
        <f t="shared" si="8"/>
      </c>
      <c r="AY92">
        <f t="shared" si="8"/>
      </c>
      <c r="AZ92">
        <f t="shared" si="8"/>
      </c>
      <c r="BA92">
        <f t="shared" si="8"/>
      </c>
      <c r="BB92">
        <f t="shared" si="8"/>
      </c>
      <c r="BC92">
        <f t="shared" si="8"/>
      </c>
      <c r="BD92">
        <f t="shared" si="8"/>
      </c>
      <c r="BE92">
        <f t="shared" si="8"/>
      </c>
      <c r="BF92">
        <f t="shared" si="8"/>
      </c>
      <c r="BG92">
        <f t="shared" si="8"/>
      </c>
      <c r="BH92">
        <f t="shared" si="8"/>
      </c>
      <c r="BI92">
        <f t="shared" si="8"/>
      </c>
      <c r="BJ92">
        <f t="shared" si="8"/>
      </c>
      <c r="BK92">
        <f t="shared" si="8"/>
      </c>
      <c r="BL92">
        <f t="shared" si="8"/>
      </c>
      <c r="BM92">
        <f t="shared" si="8"/>
      </c>
      <c r="BN92">
        <f t="shared" si="8"/>
      </c>
      <c r="BO92">
        <f t="shared" si="8"/>
      </c>
      <c r="BP92">
        <f t="shared" si="8"/>
      </c>
      <c r="BQ92">
        <f t="shared" si="8"/>
      </c>
      <c r="BR92">
        <f t="shared" si="8"/>
      </c>
      <c r="BS92">
        <f t="shared" si="8"/>
      </c>
      <c r="BT92">
        <f t="shared" si="8"/>
      </c>
      <c r="BU92">
        <f t="shared" si="8"/>
      </c>
      <c r="BV92">
        <f t="shared" si="8"/>
      </c>
      <c r="BW92">
        <f t="shared" si="8"/>
      </c>
      <c r="BX92">
        <f t="shared" si="8"/>
      </c>
      <c r="BY92">
        <f t="shared" si="8"/>
      </c>
      <c r="BZ92">
        <f t="shared" si="8"/>
      </c>
      <c r="CA92">
        <f t="shared" si="8"/>
      </c>
      <c r="CB92">
        <f t="shared" si="8"/>
      </c>
      <c r="CC92">
        <f t="shared" si="8"/>
      </c>
      <c r="CD92">
        <f t="shared" si="8"/>
      </c>
      <c r="CE92">
        <f t="shared" si="8"/>
      </c>
      <c r="CF92">
        <f t="shared" si="8"/>
      </c>
      <c r="CG92">
        <f t="shared" si="8"/>
      </c>
      <c r="CH92">
        <f t="shared" si="8"/>
      </c>
      <c r="CI92">
        <f t="shared" si="8"/>
      </c>
      <c r="CJ92">
        <f t="shared" si="8"/>
      </c>
      <c r="CK92">
        <f t="shared" si="8"/>
      </c>
      <c r="CL92">
        <f t="shared" si="8"/>
      </c>
      <c r="CM92">
        <f t="shared" si="8"/>
      </c>
      <c r="CN92">
        <f t="shared" si="8"/>
      </c>
      <c r="CO92">
        <f t="shared" si="8"/>
      </c>
      <c r="CP92">
        <f t="shared" si="8"/>
      </c>
      <c r="CQ92">
        <f t="shared" si="8"/>
      </c>
      <c r="CR92">
        <f t="shared" si="8"/>
      </c>
      <c r="CS92">
        <f t="shared" si="8"/>
      </c>
      <c r="CT92">
        <f t="shared" si="8"/>
      </c>
      <c r="CU92">
        <f t="shared" si="8"/>
      </c>
      <c r="CV92">
        <f t="shared" si="8"/>
      </c>
      <c r="CW92">
        <f t="shared" si="8"/>
      </c>
      <c r="CX92">
        <f t="shared" si="8"/>
      </c>
      <c r="CY92">
        <f t="shared" si="8"/>
      </c>
      <c r="CZ92">
        <f t="shared" si="8"/>
      </c>
      <c r="DA92">
        <f t="shared" si="8"/>
      </c>
      <c r="DB92">
        <f t="shared" si="8"/>
      </c>
      <c r="DC92">
        <f t="shared" si="8"/>
      </c>
      <c r="DD92">
        <f t="shared" si="8"/>
      </c>
      <c r="DE92">
        <f t="shared" si="8"/>
      </c>
      <c r="DF92">
        <f t="shared" si="8"/>
      </c>
      <c r="DG92">
        <f t="shared" si="8"/>
      </c>
      <c r="DH92">
        <f t="shared" si="8"/>
      </c>
      <c r="DI92">
        <f t="shared" si="8"/>
      </c>
      <c r="DJ92">
        <f t="shared" si="8"/>
      </c>
      <c r="DK92">
        <f t="shared" si="8"/>
      </c>
      <c r="DL92">
        <f t="shared" si="8"/>
      </c>
      <c r="DM92">
        <f t="shared" si="8"/>
      </c>
      <c r="DN92">
        <f t="shared" si="8"/>
      </c>
      <c r="DO92">
        <f t="shared" si="8"/>
      </c>
      <c r="DP92">
        <f t="shared" si="8"/>
      </c>
      <c r="DQ92">
        <f t="shared" si="8"/>
      </c>
      <c r="DR92">
        <f t="shared" si="8"/>
      </c>
      <c r="DS92">
        <f t="shared" si="8"/>
      </c>
      <c r="DT92">
        <f t="shared" si="8"/>
      </c>
      <c r="DU92">
        <f t="shared" si="8"/>
      </c>
      <c r="DV92">
        <f t="shared" si="8"/>
      </c>
      <c r="DW92">
        <f t="shared" si="8"/>
      </c>
      <c r="DX92">
        <f t="shared" si="8"/>
      </c>
      <c r="DY92">
        <f t="shared" si="8"/>
      </c>
      <c r="DZ92">
        <f t="shared" si="8"/>
      </c>
      <c r="EA92">
        <f t="shared" si="8"/>
      </c>
      <c r="EB92">
        <f t="shared" si="8"/>
      </c>
      <c r="EC92">
        <f t="shared" si="8"/>
      </c>
      <c r="ED92">
        <f t="shared" si="8"/>
      </c>
      <c r="EE92">
        <f t="shared" si="8"/>
      </c>
      <c r="EF92">
        <f t="shared" si="8"/>
      </c>
      <c r="EG92">
        <f t="shared" si="8"/>
      </c>
      <c r="EH92">
        <f t="shared" si="8"/>
      </c>
      <c r="EI92">
        <f t="shared" si="8"/>
      </c>
      <c r="EJ92">
        <f t="shared" si="8"/>
      </c>
      <c r="EK92">
        <f t="shared" si="8"/>
      </c>
      <c r="EL92">
        <f t="shared" si="8"/>
      </c>
      <c r="EM92">
        <f t="shared" si="8"/>
      </c>
      <c r="EN92">
        <f t="shared" si="8"/>
      </c>
      <c r="EO92">
        <f t="shared" si="8"/>
      </c>
      <c r="EP92">
        <f t="shared" si="8"/>
      </c>
      <c r="EQ92">
        <f t="shared" si="8"/>
      </c>
      <c r="ER92">
        <f t="shared" si="8"/>
      </c>
      <c r="ES92">
        <f t="shared" si="8"/>
      </c>
      <c r="ET92">
        <f t="shared" si="8"/>
      </c>
      <c r="EU92">
        <f t="shared" si="8"/>
      </c>
      <c r="EV92">
        <f t="shared" si="8"/>
      </c>
      <c r="EW92">
        <f t="shared" si="8"/>
      </c>
      <c r="EX92">
        <f t="shared" si="8"/>
      </c>
      <c r="EY92">
        <f t="shared" si="8"/>
      </c>
      <c r="EZ92">
        <f t="shared" si="8"/>
      </c>
      <c r="FA92" t="str">
        <f t="shared" si="12"/>
        <v>-</v>
      </c>
      <c r="FB92">
        <f t="shared" si="13"/>
      </c>
      <c r="FC92" cm="1">
        <f t="array" ref="FC92">_xlfn.LET(_xlpm.unit_type,$G92,_xlpm.market_rent_from_rent_roll,$E92,_xlpm.unit_type_list,RentRoll_InputArea_DesignatedUnitType,_xlpm.rent_by_unit_type,RentRoll_InputArea_MarketRent,_xlpm.use_rent_roll_market_rent,LEFT(RR_VacantUnitMktRentSource,9)="Rent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2">
        <f t="shared" si="14"/>
        <v>1084</v>
      </c>
      <c r="FE92">
        <f t="shared" si="15"/>
        <v>1084</v>
      </c>
      <c r="FF92">
        <f t="shared" si="16"/>
        <v>1084</v>
      </c>
      <c r="FH92">
        <f t="shared" si="17"/>
      </c>
      <c r="FI92">
        <f t="shared" si="18"/>
      </c>
      <c r="FK92" cm="1">
        <f t="array" ref="FK92">IF(AND(LEN($D92)&gt;0,ISNA(MATCH(TRUE,EXACT($G92,RentRoll_InputArea_DesignatedUnitType),0))),1,0)</f>
        <v>0</v>
      </c>
      <c r="FL92">
        <f t="shared" si="19"/>
        <v>69</v>
      </c>
      <c r="IO92" cm="1">
        <f t="array" ref="IO92">IF(LEN($G92)=0,"Rent Roll is incomplete",_xlfn.XLOOKUP(TRUE,EXACT(RentRoll_InputArea_DesignatedUnitType,$G92),RentRoll_InputArea_Beds,"Not Found"))</f>
        <v>1</v>
      </c>
      <c r="IQ92" t="str">
        <f t="shared" si="20"/>
        <v>1 Bedroom Unit</v>
      </c>
      <c r="IR92">
        <f t="shared" si="21"/>
        <v>1084</v>
      </c>
      <c r="IW92" t="str">
        <f t="shared" si="22"/>
        <v>6-610</v>
      </c>
      <c r="IZ92">
        <f t="shared" si="23"/>
        <v>1</v>
      </c>
      <c r="JA92">
        <f t="shared" si="24"/>
        <v>1084</v>
      </c>
      <c r="JH92">
        <f t="shared" si="25"/>
        <v>1159</v>
      </c>
      <c r="JJ92">
        <f t="shared" si="26"/>
      </c>
      <c r="JQ92" t="str">
        <f t="shared" si="27"/>
        <v>Occupied</v>
      </c>
      <c r="JR92" cm="1">
        <f t="array" ref="JR92">_xlfn.XLOOKUP(TRUE,EXACT(RentRoll_InputArea_DesignatedUnitType,$G92),RentRoll_InputArea_SquareFootage,"Not Found")</f>
        <v>704</v>
      </c>
      <c r="JS92" t="str">
        <f t="shared" si="28"/>
        <v>Apartment</v>
      </c>
      <c r="JT92">
        <f t="shared" si="29"/>
      </c>
      <c r="JY92">
        <f t="shared" si="9"/>
        <v>43424</v>
      </c>
      <c r="JZ92">
        <f t="shared" si="9"/>
        <v>43646</v>
      </c>
    </row>
    <row r="93" ht="15" customHeight="1">
      <c r="A93">
        <f t="shared" si="10"/>
        <v>70</v>
      </c>
      <c r="D93" t="s">
        <v>2882</v>
      </c>
      <c r="E93">
        <v>1165</v>
      </c>
      <c r="F93" t="s">
        <v>2883</v>
      </c>
      <c r="G93" t="s">
        <v>2529</v>
      </c>
      <c r="H93">
        <v>1175</v>
      </c>
      <c r="I93" cm="1">
        <f t="array" ref="I93">_xlfn.LET(_xlpm.has_subsidy,$N93&gt;0,_xlpm.is_chap9_sbl,$FF$20,_xlpm.contract_rent,$H93,_xlpm.unit_type_mkt_rent,_xlfn.XLOOKUP(TRUE,EXACT($G93,RentRoll_InputArea_DesignatedUnitType),RentRoll_InputArea_MarketRent,"Not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3">
        <f t="shared" si="11"/>
        <v>1175</v>
      </c>
      <c r="O93" s="1">
        <v>43586</v>
      </c>
      <c r="P93" s="1">
        <v>43799</v>
      </c>
      <c r="Q93">
        <f t="shared" si="8"/>
        <v>1175</v>
      </c>
      <c r="R93">
        <f t="shared" si="8"/>
      </c>
      <c r="S93">
        <f t="shared" si="8"/>
      </c>
      <c r="T93">
        <f t="shared" si="8"/>
      </c>
      <c r="U93">
        <f t="shared" si="8"/>
      </c>
      <c r="V93">
        <f t="shared" si="8"/>
      </c>
      <c r="W93">
        <f t="shared" si="8"/>
      </c>
      <c r="X93">
        <f t="shared" si="8"/>
      </c>
      <c r="Y93">
        <f t="shared" si="8"/>
      </c>
      <c r="Z93">
        <f t="shared" si="8"/>
      </c>
      <c r="AA93">
        <f t="shared" si="8"/>
      </c>
      <c r="AB93">
        <f t="shared" si="8"/>
      </c>
      <c r="AC93">
        <f t="shared" si="8"/>
      </c>
      <c r="AD93">
        <f t="shared" si="8"/>
      </c>
      <c r="AE93">
        <f t="shared" si="8"/>
      </c>
      <c r="AF93">
        <f t="shared" si="8"/>
      </c>
      <c r="AG93">
        <f t="shared" si="8"/>
      </c>
      <c r="AH93">
        <f t="shared" si="8"/>
      </c>
      <c r="AI93">
        <f t="shared" si="8"/>
      </c>
      <c r="AJ93">
        <f t="shared" si="8"/>
      </c>
      <c r="AK93">
        <f t="shared" si="8"/>
      </c>
      <c r="AL93">
        <f t="shared" si="8"/>
      </c>
      <c r="AM93">
        <f t="shared" si="8"/>
      </c>
      <c r="AN93">
        <f t="shared" si="8"/>
      </c>
      <c r="AO93">
        <f t="shared" si="8"/>
      </c>
      <c r="AP93">
        <f t="shared" si="8"/>
      </c>
      <c r="AQ93">
        <f t="shared" si="8"/>
      </c>
      <c r="AR93">
        <f t="shared" si="8"/>
      </c>
      <c r="AS93">
        <f t="shared" si="8"/>
      </c>
      <c r="AT93">
        <f t="shared" si="8"/>
      </c>
      <c r="AU93">
        <f t="shared" si="8"/>
      </c>
      <c r="AV93">
        <f t="shared" si="8"/>
      </c>
      <c r="AW93">
        <f t="shared" si="8"/>
      </c>
      <c r="AX93">
        <f t="shared" si="8"/>
      </c>
      <c r="AY93">
        <f t="shared" si="8"/>
      </c>
      <c r="AZ93">
        <f t="shared" si="8"/>
      </c>
      <c r="BA93">
        <f t="shared" si="8"/>
      </c>
      <c r="BB93">
        <f t="shared" si="8"/>
      </c>
      <c r="BC93">
        <f t="shared" si="8"/>
      </c>
      <c r="BD93">
        <f t="shared" si="8"/>
      </c>
      <c r="BE93">
        <f t="shared" si="8"/>
      </c>
      <c r="BF93">
        <f t="shared" si="8"/>
      </c>
      <c r="BG93">
        <f t="shared" si="8"/>
      </c>
      <c r="BH93">
        <f t="shared" si="8"/>
      </c>
      <c r="BI93">
        <f t="shared" si="8"/>
      </c>
      <c r="BJ93">
        <f t="shared" si="8"/>
      </c>
      <c r="BK93">
        <f t="shared" si="8"/>
      </c>
      <c r="BL93">
        <f t="shared" si="8"/>
      </c>
      <c r="BM93">
        <f t="shared" si="8"/>
      </c>
      <c r="BN93">
        <f t="shared" si="8"/>
      </c>
      <c r="BO93">
        <f t="shared" si="8"/>
      </c>
      <c r="BP93">
        <f t="shared" si="8"/>
      </c>
      <c r="BQ93">
        <f t="shared" si="8"/>
      </c>
      <c r="BR93">
        <f t="shared" si="8"/>
      </c>
      <c r="BS93">
        <f t="shared" si="8"/>
      </c>
      <c r="BT93">
        <f t="shared" si="8"/>
      </c>
      <c r="BU93">
        <f t="shared" si="8"/>
      </c>
      <c r="BV93">
        <f t="shared" si="8"/>
      </c>
      <c r="BW93">
        <f t="shared" si="8"/>
      </c>
      <c r="BX93">
        <f t="shared" si="8"/>
      </c>
      <c r="BY93">
        <f t="shared" si="8"/>
      </c>
      <c r="BZ93">
        <f t="shared" si="8"/>
      </c>
      <c r="CA93">
        <f t="shared" si="8"/>
      </c>
      <c r="CB93">
        <f t="shared" si="8"/>
      </c>
      <c r="CC93">
        <f t="shared" si="8"/>
      </c>
      <c r="CD93">
        <f t="shared" si="8"/>
      </c>
      <c r="CE93">
        <f t="shared" si="8"/>
      </c>
      <c r="CF93">
        <f t="shared" si="8"/>
      </c>
      <c r="CG93">
        <f t="shared" si="8"/>
      </c>
      <c r="CH93">
        <f t="shared" si="8"/>
      </c>
      <c r="CI93">
        <f t="shared" si="8"/>
      </c>
      <c r="CJ93">
        <f t="shared" si="8"/>
      </c>
      <c r="CK93">
        <f t="shared" si="8"/>
      </c>
      <c r="CL93">
        <f t="shared" si="8"/>
      </c>
      <c r="CM93">
        <f t="shared" si="8"/>
      </c>
      <c r="CN93">
        <f t="shared" si="8"/>
      </c>
      <c r="CO93">
        <f t="shared" si="8"/>
      </c>
      <c r="CP93">
        <f t="shared" si="8"/>
      </c>
      <c r="CQ93">
        <f t="shared" si="8"/>
      </c>
      <c r="CR93">
        <f t="shared" si="8"/>
      </c>
      <c r="CS93">
        <f t="shared" si="8"/>
      </c>
      <c r="CT93">
        <f t="shared" si="8"/>
      </c>
      <c r="CU93">
        <f t="shared" si="8"/>
      </c>
      <c r="CV93">
        <f t="shared" si="8"/>
      </c>
      <c r="CW93">
        <f t="shared" si="8"/>
      </c>
      <c r="CX93">
        <f t="shared" si="8"/>
      </c>
      <c r="CY93">
        <f t="shared" si="8"/>
      </c>
      <c r="CZ93">
        <f t="shared" si="8"/>
      </c>
      <c r="DA93">
        <f t="shared" si="8"/>
      </c>
      <c r="DB93">
        <f t="shared" si="8"/>
      </c>
      <c r="DC93">
        <f t="shared" si="8"/>
      </c>
      <c r="DD93">
        <f t="shared" si="8"/>
      </c>
      <c r="DE93">
        <f t="shared" si="8"/>
      </c>
      <c r="DF93">
        <f t="shared" si="8"/>
      </c>
      <c r="DG93">
        <f t="shared" si="8"/>
      </c>
      <c r="DH93">
        <f t="shared" si="8"/>
      </c>
      <c r="DI93">
        <f t="shared" si="8"/>
      </c>
      <c r="DJ93">
        <f t="shared" si="8"/>
      </c>
      <c r="DK93">
        <f t="shared" si="8"/>
      </c>
      <c r="DL93">
        <f t="shared" si="8"/>
      </c>
      <c r="DM93">
        <f t="shared" si="8"/>
      </c>
      <c r="DN93">
        <f t="shared" si="8"/>
      </c>
      <c r="DO93">
        <f t="shared" si="8"/>
      </c>
      <c r="DP93">
        <f t="shared" si="8"/>
      </c>
      <c r="DQ93">
        <f t="shared" si="8"/>
      </c>
      <c r="DR93">
        <f t="shared" si="8"/>
      </c>
      <c r="DS93">
        <f t="shared" si="8"/>
      </c>
      <c r="DT93">
        <f t="shared" si="8"/>
      </c>
      <c r="DU93">
        <f t="shared" si="8"/>
      </c>
      <c r="DV93">
        <f t="shared" si="8"/>
      </c>
      <c r="DW93">
        <f t="shared" si="8"/>
      </c>
      <c r="DX93">
        <f t="shared" si="8"/>
      </c>
      <c r="DY93">
        <f t="shared" si="8"/>
      </c>
      <c r="DZ93">
        <f t="shared" si="8"/>
      </c>
      <c r="EA93">
        <f t="shared" si="8"/>
      </c>
      <c r="EB93">
        <f t="shared" si="8"/>
      </c>
      <c r="EC93">
        <f t="shared" si="8"/>
      </c>
      <c r="ED93">
        <f t="shared" si="8"/>
      </c>
      <c r="EE93">
        <f t="shared" si="8"/>
      </c>
      <c r="EF93">
        <f t="shared" si="8"/>
      </c>
      <c r="EG93">
        <f t="shared" si="8"/>
      </c>
      <c r="EH93">
        <f t="shared" si="8"/>
      </c>
      <c r="EI93">
        <f t="shared" si="8"/>
      </c>
      <c r="EJ93">
        <f t="shared" si="8"/>
      </c>
      <c r="EK93">
        <f t="shared" si="8"/>
      </c>
      <c r="EL93">
        <f t="shared" si="8"/>
      </c>
      <c r="EM93">
        <f t="shared" si="8"/>
      </c>
      <c r="EN93">
        <f t="shared" si="8"/>
      </c>
      <c r="EO93">
        <f t="shared" si="8"/>
      </c>
      <c r="EP93">
        <f t="shared" si="8"/>
      </c>
      <c r="EQ93">
        <f t="shared" si="8"/>
      </c>
      <c r="ER93">
        <f t="shared" si="8"/>
      </c>
      <c r="ES93">
        <f t="shared" si="8"/>
      </c>
      <c r="ET93">
        <f t="shared" si="8"/>
      </c>
      <c r="EU93">
        <f t="shared" si="8"/>
      </c>
      <c r="EV93">
        <f t="shared" si="8"/>
      </c>
      <c r="EW93">
        <f t="shared" si="8"/>
      </c>
      <c r="EX93">
        <f t="shared" si="8"/>
      </c>
      <c r="EY93">
        <f t="shared" si="8"/>
      </c>
      <c r="EZ93">
        <f t="shared" si="8"/>
      </c>
      <c r="FA93" t="str">
        <f t="shared" si="12"/>
        <v>-</v>
      </c>
      <c r="FB93">
        <f t="shared" si="13"/>
      </c>
      <c r="FC93" cm="1">
        <f t="array" ref="FC93">_xlfn.LET(_xlpm.unit_type,$G93,_xlpm.market_rent_from_rent_roll,$E93,_xlpm.unit_type_list,RentRoll_InputArea_DesignatedUnitType,_xlpm.rent_by_unit_type,RentRoll_InputArea_MarketRent,_xlpm.use_rent_roll_market_rent,LEFT(RR_VacantUnitMktRentSource,9)="Rent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3">
        <f t="shared" si="14"/>
        <v>1175</v>
      </c>
      <c r="FE93">
        <f t="shared" si="15"/>
        <v>1175</v>
      </c>
      <c r="FF93">
        <f t="shared" si="16"/>
        <v>1175</v>
      </c>
      <c r="FH93">
        <f t="shared" si="17"/>
      </c>
      <c r="FI93">
        <f t="shared" si="18"/>
      </c>
      <c r="FK93" cm="1">
        <f t="array" ref="FK93">IF(AND(LEN($D93)&gt;0,ISNA(MATCH(TRUE,EXACT($G93,RentRoll_InputArea_DesignatedUnitType),0))),1,0)</f>
        <v>0</v>
      </c>
      <c r="FL93">
        <f t="shared" si="19"/>
        <v>70</v>
      </c>
      <c r="IO93" cm="1">
        <f t="array" ref="IO93">IF(LEN($G93)=0,"Rent Roll is incomplete",_xlfn.XLOOKUP(TRUE,EXACT(RentRoll_InputArea_DesignatedUnitType,$G93),RentRoll_InputArea_Beds,"Not Found"))</f>
        <v>1</v>
      </c>
      <c r="IQ93" t="str">
        <f t="shared" si="20"/>
        <v>1 Bedroom Unit</v>
      </c>
      <c r="IR93">
        <f t="shared" si="21"/>
        <v>1175</v>
      </c>
      <c r="IW93" t="str">
        <f t="shared" si="22"/>
        <v>6-611</v>
      </c>
      <c r="IZ93">
        <f t="shared" si="23"/>
        <v>1</v>
      </c>
      <c r="JA93">
        <f t="shared" si="24"/>
        <v>1175</v>
      </c>
      <c r="JH93">
        <f t="shared" si="25"/>
        <v>1159</v>
      </c>
      <c r="JJ93">
        <f t="shared" si="26"/>
      </c>
      <c r="JQ93" t="str">
        <f t="shared" si="27"/>
        <v>Occupied</v>
      </c>
      <c r="JR93" cm="1">
        <f t="array" ref="JR93">_xlfn.XLOOKUP(TRUE,EXACT(RentRoll_InputArea_DesignatedUnitType,$G93),RentRoll_InputArea_SquareFootage,"Not Found")</f>
        <v>704</v>
      </c>
      <c r="JS93" t="str">
        <f t="shared" si="28"/>
        <v>Apartment</v>
      </c>
      <c r="JT93">
        <f t="shared" si="29"/>
      </c>
      <c r="JY93">
        <f t="shared" si="9"/>
        <v>43586</v>
      </c>
      <c r="JZ93">
        <f t="shared" si="9"/>
        <v>43799</v>
      </c>
    </row>
    <row r="94" ht="15" customHeight="1">
      <c r="A94">
        <f t="shared" si="10"/>
        <v>71</v>
      </c>
      <c r="D94" t="s">
        <v>2884</v>
      </c>
      <c r="E94">
        <v>1159</v>
      </c>
      <c r="F94" t="s">
        <v>2885</v>
      </c>
      <c r="G94" t="s">
        <v>2529</v>
      </c>
      <c r="H94">
        <v>1150</v>
      </c>
      <c r="I94" cm="1">
        <f t="array" ref="I94">_xlfn.LET(_xlpm.has_subsidy,$N94&gt;0,_xlpm.is_chap9_sbl,$FF$20,_xlpm.contract_rent,$H94,_xlpm.unit_type_mkt_rent,_xlfn.XLOOKUP(TRUE,EXACT($G94,RentRoll_InputArea_DesignatedUnitType),RentRoll_InputArea_MarketRent,"Not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4">
        <f t="shared" si="11"/>
        <v>1150</v>
      </c>
      <c r="O94" s="1">
        <v>43421</v>
      </c>
      <c r="P94" s="1">
        <v>43646</v>
      </c>
      <c r="Q94">
        <f t="shared" si="8"/>
        <v>1150</v>
      </c>
      <c r="R94">
        <f t="shared" si="8"/>
      </c>
      <c r="S94">
        <f t="shared" si="8"/>
      </c>
      <c r="T94">
        <f t="shared" si="8"/>
      </c>
      <c r="U94">
        <f t="shared" si="8"/>
      </c>
      <c r="V94">
        <f t="shared" si="8"/>
      </c>
      <c r="W94">
        <f t="shared" si="8"/>
      </c>
      <c r="X94">
        <f t="shared" si="8"/>
      </c>
      <c r="Y94">
        <f t="shared" si="8"/>
      </c>
      <c r="Z94">
        <f t="shared" si="8"/>
      </c>
      <c r="AA94">
        <f t="shared" si="8"/>
      </c>
      <c r="AB94">
        <f t="shared" si="8"/>
      </c>
      <c r="AC94">
        <f t="shared" si="8"/>
      </c>
      <c r="AD94">
        <f t="shared" si="8"/>
      </c>
      <c r="AE94">
        <f t="shared" si="8"/>
      </c>
      <c r="AF94">
        <f t="shared" si="8"/>
      </c>
      <c r="AG94">
        <f t="shared" si="8"/>
      </c>
      <c r="AH94">
        <f t="shared" si="8"/>
      </c>
      <c r="AI94">
        <f t="shared" si="8"/>
      </c>
      <c r="AJ94">
        <f t="shared" si="8"/>
      </c>
      <c r="AK94">
        <f t="shared" si="8"/>
      </c>
      <c r="AL94">
        <f t="shared" si="8"/>
      </c>
      <c r="AM94">
        <f t="shared" si="8"/>
      </c>
      <c r="AN94">
        <f t="shared" si="8"/>
      </c>
      <c r="AO94">
        <f t="shared" si="8"/>
      </c>
      <c r="AP94">
        <f t="shared" si="8"/>
      </c>
      <c r="AQ94">
        <f t="shared" si="8"/>
      </c>
      <c r="AR94">
        <f t="shared" si="8"/>
      </c>
      <c r="AS94">
        <f t="shared" si="8"/>
      </c>
      <c r="AT94">
        <f t="shared" si="8"/>
      </c>
      <c r="AU94">
        <f t="shared" si="8"/>
      </c>
      <c r="AV94">
        <f t="shared" si="8"/>
      </c>
      <c r="AW94">
        <f t="shared" si="8"/>
      </c>
      <c r="AX94">
        <f t="shared" si="8"/>
      </c>
      <c r="AY94">
        <f t="shared" si="8"/>
      </c>
      <c r="AZ94">
        <f t="shared" si="8"/>
      </c>
      <c r="BA94">
        <f t="shared" si="8"/>
      </c>
      <c r="BB94">
        <f t="shared" si="8"/>
      </c>
      <c r="BC94">
        <f t="shared" si="8"/>
      </c>
      <c r="BD94">
        <f t="shared" si="8"/>
      </c>
      <c r="BE94">
        <f t="shared" si="8"/>
      </c>
      <c r="BF94">
        <f t="shared" si="8"/>
      </c>
      <c r="BG94">
        <f t="shared" si="8"/>
      </c>
      <c r="BH94">
        <f t="shared" si="8"/>
      </c>
      <c r="BI94">
        <f t="shared" si="8"/>
      </c>
      <c r="BJ94">
        <f t="shared" si="8"/>
      </c>
      <c r="BK94">
        <f t="shared" si="8"/>
      </c>
      <c r="BL94">
        <f t="shared" si="8"/>
      </c>
      <c r="BM94">
        <f t="shared" si="8"/>
      </c>
      <c r="BN94">
        <f t="shared" si="8"/>
      </c>
      <c r="BO94">
        <f t="shared" si="8"/>
      </c>
      <c r="BP94">
        <f t="shared" si="8"/>
      </c>
      <c r="BQ94">
        <f t="shared" si="8"/>
      </c>
      <c r="BR94">
        <f t="shared" si="8"/>
      </c>
      <c r="BS94">
        <f t="shared" si="8"/>
      </c>
      <c r="BT94">
        <f t="shared" si="8"/>
      </c>
      <c r="BU94">
        <f t="shared" si="8"/>
      </c>
      <c r="BV94">
        <f t="shared" si="8"/>
      </c>
      <c r="BW94">
        <f t="shared" si="8"/>
      </c>
      <c r="BX94">
        <f t="shared" si="8"/>
      </c>
      <c r="BY94">
        <f t="shared" si="8"/>
      </c>
      <c r="BZ94">
        <f t="shared" si="8"/>
      </c>
      <c r="CA94">
        <f t="shared" si="8"/>
      </c>
      <c r="CB94">
        <f t="shared" si="8"/>
      </c>
      <c r="CC94">
        <f t="shared" si="8"/>
      </c>
      <c r="CD94">
        <f t="shared" si="8"/>
      </c>
      <c r="CE94">
        <f t="shared" si="8"/>
      </c>
      <c r="CF94">
        <f t="shared" si="8"/>
      </c>
      <c r="CG94">
        <f t="shared" si="8"/>
      </c>
      <c r="CH94">
        <f t="shared" si="8"/>
      </c>
      <c r="CI94">
        <f t="shared" si="8"/>
      </c>
      <c r="CJ94">
        <f t="shared" si="8"/>
      </c>
      <c r="CK94">
        <f t="shared" si="8"/>
      </c>
      <c r="CL94">
        <f t="shared" si="8"/>
      </c>
      <c r="CM94">
        <f t="shared" si="8"/>
      </c>
      <c r="CN94">
        <f t="shared" si="8"/>
      </c>
      <c r="CO94">
        <f t="shared" si="8"/>
      </c>
      <c r="CP94">
        <f t="shared" si="8"/>
      </c>
      <c r="CQ94">
        <f t="shared" si="8"/>
      </c>
      <c r="CR94">
        <f t="shared" si="8"/>
      </c>
      <c r="CS94">
        <f t="shared" si="8"/>
      </c>
      <c r="CT94">
        <f t="shared" si="8"/>
      </c>
      <c r="CU94">
        <f t="shared" si="8"/>
      </c>
      <c r="CV94">
        <f t="shared" si="8"/>
      </c>
      <c r="CW94">
        <f t="shared" si="8"/>
      </c>
      <c r="CX94">
        <f t="shared" si="8"/>
      </c>
      <c r="CY94">
        <f t="shared" si="8"/>
      </c>
      <c r="CZ94">
        <f t="shared" si="8"/>
      </c>
      <c r="DA94">
        <f t="shared" si="8"/>
      </c>
      <c r="DB94">
        <f t="shared" si="8"/>
      </c>
      <c r="DC94">
        <f t="shared" si="8"/>
      </c>
      <c r="DD94">
        <f t="shared" si="8"/>
      </c>
      <c r="DE94">
        <f t="shared" si="8"/>
      </c>
      <c r="DF94">
        <f t="shared" si="8"/>
      </c>
      <c r="DG94">
        <f t="shared" si="8"/>
      </c>
      <c r="DH94">
        <f t="shared" si="8"/>
      </c>
      <c r="DI94">
        <f t="shared" si="8"/>
      </c>
      <c r="DJ94">
        <f t="shared" si="8"/>
      </c>
      <c r="DK94">
        <f t="shared" si="8"/>
      </c>
      <c r="DL94">
        <f t="shared" si="8"/>
      </c>
      <c r="DM94">
        <f t="shared" si="8"/>
      </c>
      <c r="DN94">
        <f t="shared" si="8"/>
      </c>
      <c r="DO94">
        <f t="shared" si="8"/>
      </c>
      <c r="DP94">
        <f t="shared" si="8"/>
      </c>
      <c r="DQ94">
        <f t="shared" si="8"/>
      </c>
      <c r="DR94">
        <f t="shared" si="8"/>
      </c>
      <c r="DS94">
        <f t="shared" si="8"/>
      </c>
      <c r="DT94">
        <f t="shared" si="8"/>
      </c>
      <c r="DU94">
        <f t="shared" si="8"/>
      </c>
      <c r="DV94">
        <f t="shared" si="8"/>
      </c>
      <c r="DW94">
        <f t="shared" si="8"/>
      </c>
      <c r="DX94">
        <f t="shared" si="8"/>
      </c>
      <c r="DY94">
        <f t="shared" si="8"/>
      </c>
      <c r="DZ94">
        <f t="shared" si="8"/>
      </c>
      <c r="EA94">
        <f t="shared" si="8"/>
      </c>
      <c r="EB94">
        <f t="shared" si="8"/>
      </c>
      <c r="EC94">
        <f t="shared" si="8"/>
      </c>
      <c r="ED94">
        <f t="shared" si="8"/>
      </c>
      <c r="EE94">
        <f t="shared" si="8"/>
      </c>
      <c r="EF94">
        <f t="shared" si="8"/>
      </c>
      <c r="EG94">
        <f t="shared" si="8"/>
      </c>
      <c r="EH94">
        <f t="shared" si="8"/>
      </c>
      <c r="EI94">
        <f t="shared" si="8"/>
      </c>
      <c r="EJ94">
        <f t="shared" si="8"/>
      </c>
      <c r="EK94">
        <f t="shared" si="8"/>
      </c>
      <c r="EL94">
        <f t="shared" si="8"/>
      </c>
      <c r="EM94">
        <f t="shared" si="8"/>
      </c>
      <c r="EN94">
        <f t="shared" si="8"/>
      </c>
      <c r="EO94">
        <f t="shared" si="8"/>
      </c>
      <c r="EP94">
        <f t="shared" si="8"/>
      </c>
      <c r="EQ94">
        <f t="shared" si="8"/>
      </c>
      <c r="ER94">
        <f t="shared" si="8"/>
      </c>
      <c r="ES94">
        <f t="shared" si="8"/>
      </c>
      <c r="ET94">
        <f t="shared" si="8"/>
      </c>
      <c r="EU94">
        <f t="shared" si="8"/>
      </c>
      <c r="EV94">
        <f t="shared" si="8"/>
      </c>
      <c r="EW94">
        <f t="shared" si="8"/>
      </c>
      <c r="EX94">
        <f t="shared" si="8"/>
      </c>
      <c r="EY94">
        <f t="shared" si="8"/>
      </c>
      <c r="EZ94">
        <f t="shared" si="8"/>
      </c>
      <c r="FA94" t="str">
        <f t="shared" si="12"/>
        <v>-</v>
      </c>
      <c r="FB94">
        <f t="shared" si="13"/>
      </c>
      <c r="FC94" cm="1">
        <f t="array" ref="FC94">_xlfn.LET(_xlpm.unit_type,$G94,_xlpm.market_rent_from_rent_roll,$E94,_xlpm.unit_type_list,RentRoll_InputArea_DesignatedUnitType,_xlpm.rent_by_unit_type,RentRoll_InputArea_MarketRent,_xlpm.use_rent_roll_market_rent,LEFT(RR_VacantUnitMktRentSource,9)="Rent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4">
        <f t="shared" si="14"/>
        <v>1150</v>
      </c>
      <c r="FE94">
        <f t="shared" si="15"/>
        <v>1150</v>
      </c>
      <c r="FF94">
        <f t="shared" si="16"/>
        <v>1150</v>
      </c>
      <c r="FH94">
        <f t="shared" si="17"/>
      </c>
      <c r="FI94">
        <f t="shared" si="18"/>
      </c>
      <c r="FK94" cm="1">
        <f t="array" ref="FK94">IF(AND(LEN($D94)&gt;0,ISNA(MATCH(TRUE,EXACT($G94,RentRoll_InputArea_DesignatedUnitType),0))),1,0)</f>
        <v>0</v>
      </c>
      <c r="FL94">
        <f t="shared" si="19"/>
        <v>71</v>
      </c>
      <c r="IO94" cm="1">
        <f t="array" ref="IO94">IF(LEN($G94)=0,"Rent Roll is incomplete",_xlfn.XLOOKUP(TRUE,EXACT(RentRoll_InputArea_DesignatedUnitType,$G94),RentRoll_InputArea_Beds,"Not Found"))</f>
        <v>1</v>
      </c>
      <c r="IQ94" t="str">
        <f t="shared" si="20"/>
        <v>1 Bedroom Unit</v>
      </c>
      <c r="IR94">
        <f t="shared" si="21"/>
        <v>1150</v>
      </c>
      <c r="IW94" t="str">
        <f t="shared" si="22"/>
        <v>6-612</v>
      </c>
      <c r="IZ94">
        <f t="shared" si="23"/>
        <v>1</v>
      </c>
      <c r="JA94">
        <f t="shared" si="24"/>
        <v>1150</v>
      </c>
      <c r="JH94">
        <f t="shared" si="25"/>
        <v>1159</v>
      </c>
      <c r="JJ94">
        <f t="shared" si="26"/>
      </c>
      <c r="JQ94" t="str">
        <f t="shared" si="27"/>
        <v>Occupied</v>
      </c>
      <c r="JR94" cm="1">
        <f t="array" ref="JR94">_xlfn.XLOOKUP(TRUE,EXACT(RentRoll_InputArea_DesignatedUnitType,$G94),RentRoll_InputArea_SquareFootage,"Not Found")</f>
        <v>704</v>
      </c>
      <c r="JS94" t="str">
        <f t="shared" si="28"/>
        <v>Apartment</v>
      </c>
      <c r="JT94">
        <f t="shared" si="29"/>
      </c>
      <c r="JY94">
        <f t="shared" si="9"/>
        <v>43421</v>
      </c>
      <c r="JZ94">
        <f t="shared" si="9"/>
        <v>43646</v>
      </c>
    </row>
    <row r="95" ht="15" customHeight="1">
      <c r="A95">
        <f t="shared" si="10"/>
        <v>72</v>
      </c>
      <c r="D95" t="s">
        <v>2886</v>
      </c>
      <c r="E95">
        <v>1155</v>
      </c>
      <c r="F95" t="s">
        <v>2887</v>
      </c>
      <c r="G95" t="s">
        <v>2529</v>
      </c>
      <c r="H95">
        <v>1130</v>
      </c>
      <c r="I95" cm="1">
        <f t="array" ref="I95">_xlfn.LET(_xlpm.has_subsidy,$N95&gt;0,_xlpm.is_chap9_sbl,$FF$20,_xlpm.contract_rent,$H95,_xlpm.unit_type_mkt_rent,_xlfn.XLOOKUP(TRUE,EXACT($G95,RentRoll_InputArea_DesignatedUnitType),RentRoll_InputArea_MarketRent,"Not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5">
        <f t="shared" si="11"/>
        <v>1130</v>
      </c>
      <c r="O95" s="1">
        <v>43568</v>
      </c>
      <c r="P95" s="1">
        <v>43921</v>
      </c>
      <c r="Q95">
        <f t="shared" si="8"/>
        <v>1130</v>
      </c>
      <c r="R95">
        <f t="shared" si="8"/>
      </c>
      <c r="S95">
        <f t="shared" si="8"/>
      </c>
      <c r="T95">
        <f t="shared" si="8"/>
      </c>
      <c r="U95">
        <f t="shared" si="8"/>
      </c>
      <c r="V95">
        <f t="shared" si="8"/>
      </c>
      <c r="W95">
        <f t="shared" si="8"/>
      </c>
      <c r="X95">
        <f t="shared" si="8"/>
      </c>
      <c r="Y95">
        <f t="shared" si="8"/>
      </c>
      <c r="Z95">
        <f t="shared" si="8"/>
      </c>
      <c r="AA95">
        <f t="shared" si="8"/>
      </c>
      <c r="AB95">
        <f t="shared" si="8"/>
      </c>
      <c r="AC95">
        <f t="shared" si="8"/>
      </c>
      <c r="AD95">
        <f t="shared" si="8"/>
      </c>
      <c r="AE95">
        <f t="shared" si="8"/>
      </c>
      <c r="AF95">
        <f t="shared" si="8"/>
      </c>
      <c r="AG95">
        <f t="shared" si="8"/>
      </c>
      <c r="AH95">
        <f t="shared" si="8"/>
      </c>
      <c r="AI95">
        <f t="shared" si="8"/>
      </c>
      <c r="AJ95">
        <f t="shared" si="8"/>
      </c>
      <c r="AK95">
        <f t="shared" si="8"/>
      </c>
      <c r="AL95">
        <f t="shared" si="8"/>
      </c>
      <c r="AM95">
        <f t="shared" si="8"/>
      </c>
      <c r="AN95">
        <f t="shared" si="8"/>
      </c>
      <c r="AO95">
        <f t="shared" si="8"/>
      </c>
      <c r="AP95">
        <f t="shared" si="8"/>
      </c>
      <c r="AQ95">
        <f t="shared" si="8"/>
      </c>
      <c r="AR95">
        <f t="shared" si="8"/>
      </c>
      <c r="AS95">
        <f t="shared" si="8"/>
      </c>
      <c r="AT95">
        <f t="shared" si="8"/>
      </c>
      <c r="AU95">
        <f t="shared" si="8"/>
      </c>
      <c r="AV95">
        <f t="shared" si="8"/>
      </c>
      <c r="AW95">
        <f t="shared" si="8"/>
      </c>
      <c r="AX95">
        <f t="shared" si="8"/>
      </c>
      <c r="AY95">
        <f t="shared" si="8"/>
      </c>
      <c r="AZ95">
        <f t="shared" si="8"/>
      </c>
      <c r="BA95">
        <f t="shared" si="8"/>
      </c>
      <c r="BB95">
        <f t="shared" si="8"/>
      </c>
      <c r="BC95">
        <f t="shared" si="8"/>
      </c>
      <c r="BD95">
        <f t="shared" si="8"/>
      </c>
      <c r="BE95">
        <f t="shared" si="8"/>
      </c>
      <c r="BF95">
        <f t="shared" si="8"/>
      </c>
      <c r="BG95">
        <f t="shared" si="8"/>
      </c>
      <c r="BH95">
        <f t="shared" si="8"/>
      </c>
      <c r="BI95">
        <f t="shared" si="8"/>
      </c>
      <c r="BJ95">
        <f t="shared" si="8"/>
      </c>
      <c r="BK95">
        <f t="shared" si="8"/>
      </c>
      <c r="BL95">
        <f t="shared" si="8"/>
      </c>
      <c r="BM95">
        <f t="shared" si="8"/>
      </c>
      <c r="BN95">
        <f t="shared" si="8"/>
      </c>
      <c r="BO95">
        <f t="shared" si="8"/>
      </c>
      <c r="BP95">
        <f t="shared" si="8"/>
      </c>
      <c r="BQ95">
        <f t="shared" si="8"/>
      </c>
      <c r="BR95">
        <f t="shared" si="8"/>
      </c>
      <c r="BS95">
        <f t="shared" si="8"/>
      </c>
      <c r="BT95">
        <f t="shared" si="8"/>
      </c>
      <c r="BU95">
        <f t="shared" si="8"/>
      </c>
      <c r="BV95">
        <f t="shared" si="8"/>
      </c>
      <c r="BW95">
        <f t="shared" si="8"/>
      </c>
      <c r="BX95">
        <f t="shared" si="8"/>
      </c>
      <c r="BY95">
        <f t="shared" si="8"/>
      </c>
      <c r="BZ95">
        <f t="shared" si="8"/>
      </c>
      <c r="CA95">
        <f t="shared" si="8"/>
      </c>
      <c r="CB95">
        <f t="shared" si="8"/>
      </c>
      <c r="CC95">
        <f t="shared" si="8"/>
      </c>
      <c r="CD95">
        <f t="shared" si="8"/>
      </c>
      <c r="CE95">
        <f t="shared" si="8"/>
      </c>
      <c r="CF95">
        <f t="shared" si="8"/>
      </c>
      <c r="CG95">
        <f t="shared" si="8"/>
      </c>
      <c r="CH95">
        <f t="shared" si="8"/>
      </c>
      <c r="CI95">
        <f t="shared" si="8"/>
      </c>
      <c r="CJ95">
        <f t="shared" si="8"/>
      </c>
      <c r="CK95">
        <f t="shared" si="8"/>
      </c>
      <c r="CL95">
        <f t="shared" si="8"/>
      </c>
      <c r="CM95">
        <f t="shared" si="8"/>
      </c>
      <c r="CN95">
        <f t="shared" si="8"/>
      </c>
      <c r="CO95">
        <f t="shared" si="8"/>
      </c>
      <c r="CP95">
        <f t="shared" si="8"/>
      </c>
      <c r="CQ95">
        <f t="shared" si="8"/>
      </c>
      <c r="CR95">
        <f t="shared" si="8"/>
      </c>
      <c r="CS95">
        <f t="shared" si="8"/>
      </c>
      <c r="CT95">
        <f t="shared" si="8"/>
      </c>
      <c r="CU95">
        <f t="shared" si="8"/>
      </c>
      <c r="CV95">
        <f t="shared" si="8"/>
      </c>
      <c r="CW95">
        <f t="shared" si="8"/>
      </c>
      <c r="CX95">
        <f t="shared" si="8"/>
      </c>
      <c r="CY95">
        <f t="shared" si="8"/>
      </c>
      <c r="CZ95">
        <f t="shared" si="8"/>
      </c>
      <c r="DA95">
        <f t="shared" si="8"/>
      </c>
      <c r="DB95">
        <f t="shared" si="8"/>
      </c>
      <c r="DC95">
        <f t="shared" si="8"/>
      </c>
      <c r="DD95">
        <f t="shared" si="8"/>
      </c>
      <c r="DE95">
        <f t="shared" si="8"/>
      </c>
      <c r="DF95">
        <f t="shared" si="8"/>
      </c>
      <c r="DG95">
        <f t="shared" si="8"/>
      </c>
      <c r="DH95">
        <f t="shared" si="8"/>
      </c>
      <c r="DI95">
        <f t="shared" si="8"/>
      </c>
      <c r="DJ95">
        <f t="shared" si="8"/>
      </c>
      <c r="DK95">
        <f t="shared" si="8"/>
      </c>
      <c r="DL95">
        <f t="shared" si="8"/>
      </c>
      <c r="DM95">
        <f t="shared" si="8"/>
      </c>
      <c r="DN95">
        <f t="shared" si="8"/>
      </c>
      <c r="DO95">
        <f t="shared" si="8"/>
      </c>
      <c r="DP95">
        <f t="shared" si="8"/>
      </c>
      <c r="DQ95">
        <f t="shared" si="8"/>
      </c>
      <c r="DR95">
        <f t="shared" si="8"/>
      </c>
      <c r="DS95">
        <f t="shared" si="8"/>
      </c>
      <c r="DT95">
        <f t="shared" si="8"/>
      </c>
      <c r="DU95">
        <f t="shared" si="8"/>
      </c>
      <c r="DV95">
        <f t="shared" si="8"/>
      </c>
      <c r="DW95">
        <f t="shared" si="8"/>
      </c>
      <c r="DX95">
        <f t="shared" si="8"/>
      </c>
      <c r="DY95">
        <f t="shared" si="8"/>
      </c>
      <c r="DZ95">
        <f t="shared" si="8"/>
      </c>
      <c r="EA95">
        <f t="shared" si="8"/>
      </c>
      <c r="EB95">
        <f t="shared" si="8"/>
      </c>
      <c r="EC95">
        <f t="shared" si="8"/>
      </c>
      <c r="ED95">
        <f t="shared" si="8"/>
      </c>
      <c r="EE95">
        <f t="shared" si="8"/>
      </c>
      <c r="EF95">
        <f t="shared" si="8"/>
      </c>
      <c r="EG95">
        <f t="shared" si="8"/>
      </c>
      <c r="EH95">
        <f t="shared" si="8"/>
      </c>
      <c r="EI95">
        <f t="shared" si="8"/>
      </c>
      <c r="EJ95">
        <f t="shared" si="8"/>
      </c>
      <c r="EK95">
        <f t="shared" si="8"/>
      </c>
      <c r="EL95">
        <f t="shared" si="8"/>
      </c>
      <c r="EM95">
        <f t="shared" si="8"/>
      </c>
      <c r="EN95">
        <f t="shared" si="8"/>
      </c>
      <c r="EO95">
        <f t="shared" si="8"/>
      </c>
      <c r="EP95">
        <f t="shared" si="8"/>
      </c>
      <c r="EQ95">
        <f t="shared" si="8"/>
      </c>
      <c r="ER95">
        <f t="shared" si="8"/>
      </c>
      <c r="ES95">
        <f t="shared" si="8"/>
      </c>
      <c r="ET95">
        <f t="shared" si="8"/>
      </c>
      <c r="EU95">
        <f t="shared" si="8"/>
      </c>
      <c r="EV95">
        <f t="shared" si="8"/>
      </c>
      <c r="EW95">
        <f t="shared" si="8"/>
      </c>
      <c r="EX95">
        <f t="shared" si="8"/>
      </c>
      <c r="EY95">
        <f t="shared" si="8"/>
      </c>
      <c r="EZ95">
        <f t="shared" si="8"/>
      </c>
      <c r="FA95" t="str">
        <f t="shared" si="12"/>
        <v>-</v>
      </c>
      <c r="FB95">
        <f t="shared" si="13"/>
      </c>
      <c r="FC95" cm="1">
        <f t="array" ref="FC95">_xlfn.LET(_xlpm.unit_type,$G95,_xlpm.market_rent_from_rent_roll,$E95,_xlpm.unit_type_list,RentRoll_InputArea_DesignatedUnitType,_xlpm.rent_by_unit_type,RentRoll_InputArea_MarketRent,_xlpm.use_rent_roll_market_rent,LEFT(RR_VacantUnitMktRentSource,9)="Rent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5">
        <f t="shared" si="14"/>
        <v>1130</v>
      </c>
      <c r="FE95">
        <f t="shared" si="15"/>
        <v>1130</v>
      </c>
      <c r="FF95">
        <f t="shared" si="16"/>
        <v>1130</v>
      </c>
      <c r="FH95">
        <f t="shared" si="17"/>
      </c>
      <c r="FI95">
        <f t="shared" si="18"/>
      </c>
      <c r="FK95" cm="1">
        <f t="array" ref="FK95">IF(AND(LEN($D95)&gt;0,ISNA(MATCH(TRUE,EXACT($G95,RentRoll_InputArea_DesignatedUnitType),0))),1,0)</f>
        <v>0</v>
      </c>
      <c r="FL95">
        <f t="shared" si="19"/>
        <v>72</v>
      </c>
      <c r="IO95" cm="1">
        <f t="array" ref="IO95">IF(LEN($G95)=0,"Rent Roll is incomplete",_xlfn.XLOOKUP(TRUE,EXACT(RentRoll_InputArea_DesignatedUnitType,$G95),RentRoll_InputArea_Beds,"Not Found"))</f>
        <v>1</v>
      </c>
      <c r="IQ95" t="str">
        <f t="shared" si="20"/>
        <v>1 Bedroom Unit</v>
      </c>
      <c r="IR95">
        <f t="shared" si="21"/>
        <v>1130</v>
      </c>
      <c r="IW95" t="str">
        <f t="shared" si="22"/>
        <v>6-613</v>
      </c>
      <c r="IZ95">
        <f t="shared" si="23"/>
        <v>1</v>
      </c>
      <c r="JA95">
        <f t="shared" si="24"/>
        <v>1130</v>
      </c>
      <c r="JH95">
        <f t="shared" si="25"/>
        <v>1159</v>
      </c>
      <c r="JJ95">
        <f t="shared" si="26"/>
      </c>
      <c r="JQ95" t="str">
        <f t="shared" si="27"/>
        <v>Occupied</v>
      </c>
      <c r="JR95" cm="1">
        <f t="array" ref="JR95">_xlfn.XLOOKUP(TRUE,EXACT(RentRoll_InputArea_DesignatedUnitType,$G95),RentRoll_InputArea_SquareFootage,"Not Found")</f>
        <v>704</v>
      </c>
      <c r="JS95" t="str">
        <f t="shared" si="28"/>
        <v>Apartment</v>
      </c>
      <c r="JT95">
        <f t="shared" si="29"/>
      </c>
      <c r="JY95">
        <f t="shared" si="9"/>
        <v>43568</v>
      </c>
      <c r="JZ95">
        <f t="shared" si="9"/>
        <v>43921</v>
      </c>
    </row>
    <row r="96" ht="15" customHeight="1">
      <c r="A96">
        <f t="shared" si="10"/>
        <v>73</v>
      </c>
      <c r="D96" t="s">
        <v>2888</v>
      </c>
      <c r="E96">
        <v>1110</v>
      </c>
      <c r="F96" t="s">
        <v>2889</v>
      </c>
      <c r="G96" t="s">
        <v>2529</v>
      </c>
      <c r="H96">
        <v>1180</v>
      </c>
      <c r="I96" cm="1">
        <f t="array" ref="I96">_xlfn.LET(_xlpm.has_subsidy,$N96&gt;0,_xlpm.is_chap9_sbl,$FF$20,_xlpm.contract_rent,$H96,_xlpm.unit_type_mkt_rent,_xlfn.XLOOKUP(TRUE,EXACT($G96,RentRoll_InputArea_DesignatedUnitType),RentRoll_InputArea_MarketRent,"Not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6">
        <f t="shared" si="11"/>
        <v>1180</v>
      </c>
      <c r="O96" s="1">
        <v>43533</v>
      </c>
      <c r="P96" s="1">
        <v>43890</v>
      </c>
      <c r="Q96">
        <f t="shared" si="8"/>
        <v>1180</v>
      </c>
      <c r="R96">
        <f t="shared" si="8"/>
      </c>
      <c r="S96">
        <f t="shared" si="8"/>
      </c>
      <c r="T96">
        <f t="shared" si="8"/>
      </c>
      <c r="U96">
        <f t="shared" si="8"/>
      </c>
      <c r="V96">
        <f t="shared" si="8"/>
      </c>
      <c r="W96">
        <f t="shared" si="8"/>
      </c>
      <c r="X96">
        <f t="shared" si="8"/>
      </c>
      <c r="Y96">
        <f t="shared" si="8"/>
      </c>
      <c r="Z96">
        <f t="shared" si="8"/>
      </c>
      <c r="AA96">
        <f t="shared" si="8"/>
      </c>
      <c r="AB96">
        <f t="shared" si="8"/>
      </c>
      <c r="AC96">
        <f t="shared" si="8"/>
      </c>
      <c r="AD96">
        <f t="shared" si="8"/>
      </c>
      <c r="AE96">
        <f t="shared" si="8"/>
      </c>
      <c r="AF96">
        <f t="shared" si="8"/>
      </c>
      <c r="AG96">
        <f t="shared" si="8"/>
      </c>
      <c r="AH96">
        <f t="shared" si="8"/>
      </c>
      <c r="AI96">
        <f t="shared" si="8"/>
      </c>
      <c r="AJ96">
        <f t="shared" si="8"/>
      </c>
      <c r="AK96">
        <f t="shared" si="8"/>
      </c>
      <c r="AL96">
        <f t="shared" si="8"/>
      </c>
      <c r="AM96">
        <f t="shared" si="8"/>
      </c>
      <c r="AN96">
        <f t="shared" si="8"/>
      </c>
      <c r="AO96">
        <f t="shared" si="8"/>
      </c>
      <c r="AP96">
        <f t="shared" si="8"/>
      </c>
      <c r="AQ96">
        <f t="shared" si="8"/>
      </c>
      <c r="AR96">
        <f t="shared" si="8"/>
      </c>
      <c r="AS96">
        <f t="shared" si="8"/>
      </c>
      <c r="AT96">
        <f t="shared" si="8"/>
      </c>
      <c r="AU96">
        <f t="shared" si="8"/>
      </c>
      <c r="AV96">
        <f t="shared" si="8"/>
      </c>
      <c r="AW96">
        <f t="shared" si="8"/>
      </c>
      <c r="AX96">
        <f t="shared" si="8"/>
      </c>
      <c r="AY96">
        <f t="shared" si="8"/>
      </c>
      <c r="AZ96">
        <f t="shared" si="8"/>
      </c>
      <c r="BA96">
        <f t="shared" si="8"/>
      </c>
      <c r="BB96">
        <f t="shared" si="8"/>
      </c>
      <c r="BC96">
        <f t="shared" si="8"/>
      </c>
      <c r="BD96">
        <f t="shared" si="8"/>
      </c>
      <c r="BE96">
        <f t="shared" si="8"/>
      </c>
      <c r="BF96">
        <f t="shared" si="8"/>
      </c>
      <c r="BG96">
        <f t="shared" si="8"/>
      </c>
      <c r="BH96">
        <f t="shared" si="8"/>
      </c>
      <c r="BI96">
        <f t="shared" si="8"/>
      </c>
      <c r="BJ96">
        <f t="shared" si="8"/>
      </c>
      <c r="BK96">
        <f t="shared" si="8"/>
      </c>
      <c r="BL96">
        <f t="shared" si="8"/>
      </c>
      <c r="BM96">
        <f t="shared" si="8"/>
      </c>
      <c r="BN96">
        <f t="shared" si="8"/>
      </c>
      <c r="BO96">
        <f t="shared" si="8"/>
      </c>
      <c r="BP96">
        <f t="shared" si="8"/>
      </c>
      <c r="BQ96">
        <f t="shared" si="8"/>
      </c>
      <c r="BR96">
        <f t="shared" si="8"/>
      </c>
      <c r="BS96">
        <f t="shared" si="8"/>
      </c>
      <c r="BT96">
        <f t="shared" si="8"/>
      </c>
      <c r="BU96">
        <f t="shared" si="8"/>
      </c>
      <c r="BV96">
        <f t="shared" si="8"/>
      </c>
      <c r="BW96">
        <f t="shared" si="8"/>
      </c>
      <c r="BX96">
        <f t="shared" si="8"/>
      </c>
      <c r="BY96">
        <f t="shared" si="8"/>
      </c>
      <c r="BZ96">
        <f t="shared" si="8"/>
      </c>
      <c r="CA96">
        <f t="shared" si="8"/>
      </c>
      <c r="CB96">
        <f t="shared" si="8"/>
      </c>
      <c r="CC96">
        <f t="shared" si="8"/>
      </c>
      <c r="CD96">
        <f t="shared" si="8"/>
      </c>
      <c r="CE96">
        <f t="shared" si="8"/>
      </c>
      <c r="CF96">
        <f t="shared" si="8"/>
      </c>
      <c r="CG96">
        <f t="shared" si="8"/>
      </c>
      <c r="CH96">
        <f t="shared" si="8"/>
      </c>
      <c r="CI96">
        <f t="shared" si="8"/>
      </c>
      <c r="CJ96">
        <f t="shared" si="8"/>
      </c>
      <c r="CK96">
        <f t="shared" si="8"/>
      </c>
      <c r="CL96">
        <f t="shared" si="8"/>
      </c>
      <c r="CM96">
        <f t="shared" si="8"/>
      </c>
      <c r="CN96">
        <f t="shared" si="8"/>
      </c>
      <c r="CO96">
        <f t="shared" si="8"/>
      </c>
      <c r="CP96">
        <f t="shared" si="8"/>
      </c>
      <c r="CQ96">
        <f t="shared" si="8"/>
      </c>
      <c r="CR96">
        <f t="shared" si="8"/>
      </c>
      <c r="CS96">
        <f t="shared" si="8"/>
      </c>
      <c r="CT96">
        <f t="shared" si="8"/>
      </c>
      <c r="CU96">
        <f t="shared" si="8"/>
      </c>
      <c r="CV96">
        <f t="shared" si="8"/>
      </c>
      <c r="CW96">
        <f t="shared" si="8"/>
      </c>
      <c r="CX96">
        <f t="shared" si="8"/>
      </c>
      <c r="CY96">
        <f t="shared" si="8"/>
      </c>
      <c r="CZ96">
        <f t="shared" si="8"/>
      </c>
      <c r="DA96">
        <f t="shared" si="8"/>
      </c>
      <c r="DB96">
        <f t="shared" si="8"/>
      </c>
      <c r="DC96">
        <f t="shared" si="8"/>
      </c>
      <c r="DD96">
        <f t="shared" si="8"/>
      </c>
      <c r="DE96">
        <f t="shared" si="8"/>
      </c>
      <c r="DF96">
        <f t="shared" si="8"/>
      </c>
      <c r="DG96">
        <f t="shared" si="8"/>
      </c>
      <c r="DH96">
        <f t="shared" si="8"/>
      </c>
      <c r="DI96">
        <f t="shared" si="8"/>
      </c>
      <c r="DJ96">
        <f t="shared" si="8"/>
      </c>
      <c r="DK96">
        <f t="shared" si="8"/>
      </c>
      <c r="DL96">
        <f t="shared" si="8"/>
      </c>
      <c r="DM96">
        <f t="shared" si="8"/>
      </c>
      <c r="DN96">
        <f t="shared" si="8"/>
      </c>
      <c r="DO96">
        <f t="shared" si="8"/>
      </c>
      <c r="DP96">
        <f t="shared" si="8"/>
      </c>
      <c r="DQ96">
        <f t="shared" si="8"/>
      </c>
      <c r="DR96">
        <f t="shared" si="8"/>
      </c>
      <c r="DS96">
        <f t="shared" si="8"/>
      </c>
      <c r="DT96">
        <f t="shared" si="8"/>
      </c>
      <c r="DU96">
        <f t="shared" si="8"/>
      </c>
      <c r="DV96">
        <f t="shared" si="8"/>
      </c>
      <c r="DW96">
        <f t="shared" si="8"/>
      </c>
      <c r="DX96">
        <f t="shared" si="8"/>
      </c>
      <c r="DY96">
        <f t="shared" si="8"/>
      </c>
      <c r="DZ96">
        <f t="shared" si="8"/>
      </c>
      <c r="EA96">
        <f t="shared" si="8"/>
      </c>
      <c r="EB96">
        <f t="shared" si="8"/>
      </c>
      <c r="EC96">
        <f t="shared" si="8"/>
      </c>
      <c r="ED96">
        <f t="shared" si="8"/>
      </c>
      <c r="EE96">
        <f t="shared" si="8"/>
      </c>
      <c r="EF96">
        <f t="shared" si="8"/>
      </c>
      <c r="EG96">
        <f t="shared" si="8"/>
      </c>
      <c r="EH96">
        <f t="shared" si="8"/>
      </c>
      <c r="EI96">
        <f t="shared" si="8"/>
      </c>
      <c r="EJ96">
        <f t="shared" si="8"/>
      </c>
      <c r="EK96">
        <f t="shared" si="8"/>
      </c>
      <c r="EL96">
        <f t="shared" si="8"/>
      </c>
      <c r="EM96">
        <f t="shared" si="8"/>
      </c>
      <c r="EN96">
        <f t="shared" si="8"/>
      </c>
      <c r="EO96">
        <f t="shared" si="8"/>
      </c>
      <c r="EP96">
        <f t="shared" si="8"/>
      </c>
      <c r="EQ96">
        <f t="shared" si="8"/>
      </c>
      <c r="ER96">
        <f t="shared" si="8"/>
      </c>
      <c r="ES96">
        <f t="shared" si="8"/>
      </c>
      <c r="ET96">
        <f t="shared" si="8"/>
      </c>
      <c r="EU96">
        <f t="shared" si="8"/>
      </c>
      <c r="EV96">
        <f t="shared" si="8"/>
      </c>
      <c r="EW96">
        <f t="shared" si="8"/>
      </c>
      <c r="EX96">
        <f t="shared" si="8"/>
      </c>
      <c r="EY96">
        <f t="shared" si="8"/>
      </c>
      <c r="EZ96">
        <f t="shared" si="8"/>
      </c>
      <c r="FA96" t="str">
        <f t="shared" si="12"/>
        <v>-</v>
      </c>
      <c r="FB96">
        <f t="shared" si="13"/>
      </c>
      <c r="FC96" cm="1">
        <f t="array" ref="FC96">_xlfn.LET(_xlpm.unit_type,$G96,_xlpm.market_rent_from_rent_roll,$E96,_xlpm.unit_type_list,RentRoll_InputArea_DesignatedUnitType,_xlpm.rent_by_unit_type,RentRoll_InputArea_MarketRent,_xlpm.use_rent_roll_market_rent,LEFT(RR_VacantUnitMktRentSource,9)="Rent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6">
        <f t="shared" si="14"/>
        <v>1180</v>
      </c>
      <c r="FE96">
        <f t="shared" si="15"/>
        <v>1180</v>
      </c>
      <c r="FF96">
        <f t="shared" si="16"/>
        <v>1180</v>
      </c>
      <c r="FH96">
        <f t="shared" si="17"/>
      </c>
      <c r="FI96">
        <f t="shared" si="18"/>
      </c>
      <c r="FK96" cm="1">
        <f t="array" ref="FK96">IF(AND(LEN($D96)&gt;0,ISNA(MATCH(TRUE,EXACT($G96,RentRoll_InputArea_DesignatedUnitType),0))),1,0)</f>
        <v>0</v>
      </c>
      <c r="FL96">
        <f t="shared" si="19"/>
        <v>73</v>
      </c>
      <c r="IO96" cm="1">
        <f t="array" ref="IO96">IF(LEN($G96)=0,"Rent Roll is incomplete",_xlfn.XLOOKUP(TRUE,EXACT(RentRoll_InputArea_DesignatedUnitType,$G96),RentRoll_InputArea_Beds,"Not Found"))</f>
        <v>1</v>
      </c>
      <c r="IQ96" t="str">
        <f t="shared" si="20"/>
        <v>1 Bedroom Unit</v>
      </c>
      <c r="IR96">
        <f t="shared" si="21"/>
        <v>1180</v>
      </c>
      <c r="IW96" t="str">
        <f t="shared" si="22"/>
        <v>6-614</v>
      </c>
      <c r="IZ96">
        <f t="shared" si="23"/>
        <v>1</v>
      </c>
      <c r="JA96">
        <f t="shared" si="24"/>
        <v>1180</v>
      </c>
      <c r="JH96">
        <f t="shared" si="25"/>
        <v>1159</v>
      </c>
      <c r="JJ96">
        <f t="shared" si="26"/>
      </c>
      <c r="JQ96" t="str">
        <f t="shared" si="27"/>
        <v>Occupied</v>
      </c>
      <c r="JR96" cm="1">
        <f t="array" ref="JR96">_xlfn.XLOOKUP(TRUE,EXACT(RentRoll_InputArea_DesignatedUnitType,$G96),RentRoll_InputArea_SquareFootage,"Not Found")</f>
        <v>704</v>
      </c>
      <c r="JS96" t="str">
        <f t="shared" si="28"/>
        <v>Apartment</v>
      </c>
      <c r="JT96">
        <f t="shared" si="29"/>
      </c>
      <c r="JY96">
        <f t="shared" si="9"/>
        <v>43533</v>
      </c>
      <c r="JZ96">
        <f t="shared" si="9"/>
        <v>43890</v>
      </c>
    </row>
    <row r="97" ht="15" customHeight="1">
      <c r="A97">
        <f t="shared" si="10"/>
        <v>74</v>
      </c>
      <c r="D97" t="s">
        <v>2890</v>
      </c>
      <c r="E97">
        <v>1139</v>
      </c>
      <c r="F97" t="s">
        <v>2891</v>
      </c>
      <c r="G97" t="s">
        <v>2529</v>
      </c>
      <c r="H97">
        <v>1197</v>
      </c>
      <c r="I97" cm="1">
        <f t="array" ref="I97">_xlfn.LET(_xlpm.has_subsidy,$N97&gt;0,_xlpm.is_chap9_sbl,$FF$20,_xlpm.contract_rent,$H97,_xlpm.unit_type_mkt_rent,_xlfn.XLOOKUP(TRUE,EXACT($G97,RentRoll_InputArea_DesignatedUnitType),RentRoll_InputArea_MarketRent,"Not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7">
        <f t="shared" si="11"/>
        <v>1197</v>
      </c>
      <c r="O97" s="1">
        <v>43476</v>
      </c>
      <c r="P97" s="1">
        <v>43677</v>
      </c>
      <c r="Q97">
        <f t="shared" si="8"/>
        <v>1197</v>
      </c>
      <c r="R97">
        <f t="shared" si="8"/>
      </c>
      <c r="S97">
        <f t="shared" si="8"/>
      </c>
      <c r="T97">
        <f t="shared" si="8"/>
      </c>
      <c r="U97">
        <f t="shared" si="8"/>
      </c>
      <c r="V97">
        <f t="shared" si="8"/>
      </c>
      <c r="W97">
        <f t="shared" si="8"/>
      </c>
      <c r="X97">
        <f t="shared" si="8"/>
      </c>
      <c r="Y97">
        <f t="shared" si="8"/>
      </c>
      <c r="Z97">
        <f t="shared" si="8"/>
      </c>
      <c r="AA97">
        <f t="shared" si="8"/>
      </c>
      <c r="AB97">
        <f t="shared" si="8"/>
      </c>
      <c r="AC97">
        <f t="shared" si="8"/>
      </c>
      <c r="AD97">
        <f t="shared" si="8"/>
      </c>
      <c r="AE97">
        <f t="shared" si="8"/>
      </c>
      <c r="AF97">
        <f t="shared" si="8"/>
      </c>
      <c r="AG97">
        <f t="shared" si="8"/>
      </c>
      <c r="AH97">
        <f t="shared" si="8"/>
      </c>
      <c r="AI97">
        <f t="shared" si="8"/>
      </c>
      <c r="AJ97">
        <f t="shared" si="8"/>
      </c>
      <c r="AK97">
        <f t="shared" si="8"/>
      </c>
      <c r="AL97">
        <f t="shared" si="8"/>
      </c>
      <c r="AM97">
        <f t="shared" si="8"/>
      </c>
      <c r="AN97">
        <f t="shared" si="8"/>
      </c>
      <c r="AO97">
        <f t="shared" si="8"/>
      </c>
      <c r="AP97">
        <f t="shared" si="8"/>
      </c>
      <c r="AQ97">
        <f t="shared" si="8"/>
      </c>
      <c r="AR97">
        <f t="shared" si="8"/>
      </c>
      <c r="AS97">
        <f t="shared" si="8"/>
      </c>
      <c r="AT97">
        <f t="shared" si="8"/>
      </c>
      <c r="AU97">
        <f t="shared" si="8"/>
      </c>
      <c r="AV97">
        <f t="shared" si="8"/>
      </c>
      <c r="AW97">
        <f t="shared" si="8"/>
      </c>
      <c r="AX97">
        <f t="shared" si="8"/>
      </c>
      <c r="AY97">
        <f t="shared" si="8"/>
      </c>
      <c r="AZ97">
        <f t="shared" si="8"/>
      </c>
      <c r="BA97">
        <f t="shared" si="8"/>
      </c>
      <c r="BB97">
        <f t="shared" si="8"/>
      </c>
      <c r="BC97">
        <f t="shared" si="8"/>
      </c>
      <c r="BD97">
        <f t="shared" si="8"/>
      </c>
      <c r="BE97">
        <f t="shared" si="8"/>
      </c>
      <c r="BF97">
        <f t="shared" si="8"/>
      </c>
      <c r="BG97">
        <f t="shared" si="8"/>
      </c>
      <c r="BH97">
        <f t="shared" si="8"/>
      </c>
      <c r="BI97">
        <f t="shared" si="8"/>
      </c>
      <c r="BJ97">
        <f t="shared" si="8"/>
      </c>
      <c r="BK97">
        <f t="shared" si="8"/>
      </c>
      <c r="BL97">
        <f t="shared" si="8"/>
      </c>
      <c r="BM97">
        <f t="shared" si="8"/>
      </c>
      <c r="BN97">
        <f t="shared" si="8"/>
      </c>
      <c r="BO97">
        <f t="shared" si="8"/>
      </c>
      <c r="BP97">
        <f t="shared" si="8"/>
      </c>
      <c r="BQ97">
        <f t="shared" si="8"/>
      </c>
      <c r="BR97">
        <f t="shared" si="8"/>
      </c>
      <c r="BS97">
        <f t="shared" si="8"/>
      </c>
      <c r="BT97">
        <f t="shared" si="8"/>
      </c>
      <c r="BU97">
        <f t="shared" si="8"/>
      </c>
      <c r="BV97">
        <f t="shared" si="8"/>
      </c>
      <c r="BW97">
        <f t="shared" si="8"/>
      </c>
      <c r="BX97">
        <f t="shared" si="8"/>
      </c>
      <c r="BY97">
        <f t="shared" si="8"/>
      </c>
      <c r="BZ97">
        <f t="shared" si="8"/>
      </c>
      <c r="CA97">
        <f t="shared" si="8"/>
      </c>
      <c r="CB97">
        <f t="shared" si="8"/>
      </c>
      <c r="CC97">
        <f t="shared" si="8"/>
      </c>
      <c r="CD97">
        <f t="shared" si="8"/>
      </c>
      <c r="CE97">
        <f t="shared" si="8"/>
      </c>
      <c r="CF97">
        <f t="shared" si="8"/>
      </c>
      <c r="CG97">
        <f t="shared" si="8"/>
      </c>
      <c r="CH97">
        <f t="shared" si="8"/>
      </c>
      <c r="CI97">
        <f t="shared" si="8"/>
      </c>
      <c r="CJ97">
        <f t="shared" si="8"/>
      </c>
      <c r="CK97">
        <f t="shared" si="8"/>
      </c>
      <c r="CL97">
        <f t="shared" si="8"/>
      </c>
      <c r="CM97">
        <f t="shared" si="8"/>
      </c>
      <c r="CN97">
        <f t="shared" si="8"/>
      </c>
      <c r="CO97">
        <f t="shared" si="8"/>
      </c>
      <c r="CP97">
        <f t="shared" si="8"/>
      </c>
      <c r="CQ97">
        <f t="shared" si="8"/>
      </c>
      <c r="CR97">
        <f t="shared" si="8"/>
      </c>
      <c r="CS97">
        <f t="shared" si="8"/>
      </c>
      <c r="CT97">
        <f t="shared" si="8"/>
      </c>
      <c r="CU97">
        <f t="shared" si="8"/>
      </c>
      <c r="CV97">
        <f t="shared" si="8"/>
      </c>
      <c r="CW97">
        <f t="shared" si="8"/>
      </c>
      <c r="CX97">
        <f t="shared" si="8"/>
      </c>
      <c r="CY97">
        <f t="shared" si="8"/>
      </c>
      <c r="CZ97">
        <f t="shared" si="8"/>
      </c>
      <c r="DA97">
        <f t="shared" si="8"/>
      </c>
      <c r="DB97">
        <f t="shared" si="8"/>
      </c>
      <c r="DC97">
        <f t="shared" si="8"/>
      </c>
      <c r="DD97">
        <f t="shared" si="8"/>
      </c>
      <c r="DE97">
        <f t="shared" si="8"/>
      </c>
      <c r="DF97">
        <f t="shared" si="8"/>
      </c>
      <c r="DG97">
        <f t="shared" si="8"/>
      </c>
      <c r="DH97">
        <f t="shared" si="8"/>
      </c>
      <c r="DI97">
        <f t="shared" si="8"/>
      </c>
      <c r="DJ97">
        <f t="shared" si="8"/>
      </c>
      <c r="DK97">
        <f t="shared" si="8"/>
      </c>
      <c r="DL97">
        <f t="shared" si="8"/>
      </c>
      <c r="DM97">
        <f t="shared" si="8"/>
      </c>
      <c r="DN97">
        <f t="shared" si="8"/>
      </c>
      <c r="DO97">
        <f t="shared" si="8"/>
      </c>
      <c r="DP97">
        <f t="shared" si="8"/>
      </c>
      <c r="DQ97">
        <f t="shared" si="8"/>
      </c>
      <c r="DR97">
        <f t="shared" si="8"/>
      </c>
      <c r="DS97">
        <f t="shared" si="8"/>
      </c>
      <c r="DT97">
        <f t="shared" si="8"/>
      </c>
      <c r="DU97">
        <f t="shared" si="8"/>
      </c>
      <c r="DV97">
        <f t="shared" si="8"/>
      </c>
      <c r="DW97">
        <f t="shared" si="8"/>
      </c>
      <c r="DX97">
        <f t="shared" si="8"/>
      </c>
      <c r="DY97">
        <f t="shared" si="8"/>
      </c>
      <c r="DZ97">
        <f t="shared" si="8"/>
      </c>
      <c r="EA97">
        <f t="shared" si="8"/>
      </c>
      <c r="EB97">
        <f t="shared" si="8"/>
      </c>
      <c r="EC97">
        <f t="shared" si="8"/>
      </c>
      <c r="ED97">
        <f t="shared" si="8"/>
      </c>
      <c r="EE97">
        <f t="shared" si="8"/>
      </c>
      <c r="EF97">
        <f t="shared" si="8"/>
      </c>
      <c r="EG97">
        <f t="shared" si="8"/>
      </c>
      <c r="EH97">
        <f t="shared" si="8"/>
      </c>
      <c r="EI97">
        <f t="shared" si="8"/>
      </c>
      <c r="EJ97">
        <f t="shared" si="8"/>
      </c>
      <c r="EK97">
        <f t="shared" si="8"/>
      </c>
      <c r="EL97">
        <f t="shared" si="8"/>
      </c>
      <c r="EM97">
        <f t="shared" si="8"/>
      </c>
      <c r="EN97">
        <f t="shared" si="8"/>
      </c>
      <c r="EO97">
        <f t="shared" si="8"/>
      </c>
      <c r="EP97">
        <f t="shared" si="8"/>
      </c>
      <c r="EQ97">
        <f t="shared" si="8"/>
      </c>
      <c r="ER97">
        <f t="shared" si="8"/>
      </c>
      <c r="ES97">
        <f t="shared" si="8"/>
      </c>
      <c r="ET97">
        <f t="shared" si="8"/>
      </c>
      <c r="EU97">
        <f t="shared" si="8"/>
      </c>
      <c r="EV97">
        <f t="shared" si="8"/>
      </c>
      <c r="EW97">
        <f t="shared" si="8"/>
      </c>
      <c r="EX97">
        <f t="shared" si="8"/>
      </c>
      <c r="EY97">
        <f t="shared" si="8"/>
      </c>
      <c r="EZ97">
        <f t="shared" si="8"/>
      </c>
      <c r="FA97" t="str">
        <f t="shared" si="12"/>
        <v>-</v>
      </c>
      <c r="FB97">
        <f t="shared" si="13"/>
      </c>
      <c r="FC97" cm="1">
        <f t="array" ref="FC97">_xlfn.LET(_xlpm.unit_type,$G97,_xlpm.market_rent_from_rent_roll,$E97,_xlpm.unit_type_list,RentRoll_InputArea_DesignatedUnitType,_xlpm.rent_by_unit_type,RentRoll_InputArea_MarketRent,_xlpm.use_rent_roll_market_rent,LEFT(RR_VacantUnitMktRentSource,9)="Rent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1159</v>
      </c>
      <c r="FD97">
        <f t="shared" si="14"/>
        <v>1197</v>
      </c>
      <c r="FE97">
        <f t="shared" si="15"/>
        <v>1197</v>
      </c>
      <c r="FF97">
        <f t="shared" si="16"/>
        <v>1197</v>
      </c>
      <c r="FH97">
        <f t="shared" si="17"/>
      </c>
      <c r="FI97">
        <f t="shared" si="18"/>
      </c>
      <c r="FK97" cm="1">
        <f t="array" ref="FK97">IF(AND(LEN($D97)&gt;0,ISNA(MATCH(TRUE,EXACT($G97,RentRoll_InputArea_DesignatedUnitType),0))),1,0)</f>
        <v>0</v>
      </c>
      <c r="FL97">
        <f t="shared" si="19"/>
        <v>74</v>
      </c>
      <c r="IO97" cm="1">
        <f t="array" ref="IO97">IF(LEN($G97)=0,"Rent Roll is incomplete",_xlfn.XLOOKUP(TRUE,EXACT(RentRoll_InputArea_DesignatedUnitType,$G97),RentRoll_InputArea_Beds,"Not Found"))</f>
        <v>1</v>
      </c>
      <c r="IQ97" t="str">
        <f t="shared" si="20"/>
        <v>1 Bedroom Unit</v>
      </c>
      <c r="IR97">
        <f t="shared" si="21"/>
        <v>1197</v>
      </c>
      <c r="IW97" t="str">
        <f t="shared" si="22"/>
        <v>6-615</v>
      </c>
      <c r="IZ97">
        <f t="shared" si="23"/>
        <v>1</v>
      </c>
      <c r="JA97">
        <f t="shared" si="24"/>
        <v>1197</v>
      </c>
      <c r="JH97">
        <f t="shared" si="25"/>
        <v>1159</v>
      </c>
      <c r="JJ97">
        <f t="shared" si="26"/>
      </c>
      <c r="JQ97" t="str">
        <f t="shared" si="27"/>
        <v>Occupied</v>
      </c>
      <c r="JR97" cm="1">
        <f t="array" ref="JR97">_xlfn.XLOOKUP(TRUE,EXACT(RentRoll_InputArea_DesignatedUnitType,$G97),RentRoll_InputArea_SquareFootage,"Not Found")</f>
        <v>704</v>
      </c>
      <c r="JS97" t="str">
        <f t="shared" si="28"/>
        <v>Apartment</v>
      </c>
      <c r="JT97">
        <f t="shared" si="29"/>
      </c>
      <c r="JY97">
        <f t="shared" si="9"/>
        <v>43476</v>
      </c>
      <c r="JZ97">
        <f t="shared" si="9"/>
        <v>43677</v>
      </c>
    </row>
    <row r="98" ht="15" customHeight="1">
      <c r="A98">
        <f t="shared" si="10"/>
        <v>75</v>
      </c>
      <c r="D98" t="s">
        <v>2892</v>
      </c>
      <c r="E98">
        <v>1164</v>
      </c>
      <c r="F98" t="s">
        <v>2893</v>
      </c>
      <c r="G98" t="s">
        <v>2530</v>
      </c>
      <c r="H98">
        <v>1127</v>
      </c>
      <c r="I98" cm="1">
        <f t="array" ref="I98">_xlfn.LET(_xlpm.has_subsidy,$N98&gt;0,_xlpm.is_chap9_sbl,$FF$20,_xlpm.contract_rent,$H98,_xlpm.unit_type_mkt_rent,_xlfn.XLOOKUP(TRUE,EXACT($G98,RentRoll_InputArea_DesignatedUnitType),RentRoll_InputArea_MarketRent,"Not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8">
        <f t="shared" si="11"/>
        <v>1127</v>
      </c>
      <c r="O98" s="1">
        <v>43497</v>
      </c>
      <c r="P98" s="1">
        <v>43890</v>
      </c>
      <c r="Q98">
        <f t="shared" si="8"/>
      </c>
      <c r="R98">
        <f t="shared" si="8"/>
        <v>1127</v>
      </c>
      <c r="S98">
        <f t="shared" si="8"/>
      </c>
      <c r="T98">
        <f t="shared" si="8"/>
      </c>
      <c r="U98">
        <f t="shared" si="8"/>
      </c>
      <c r="V98">
        <f t="shared" si="8"/>
      </c>
      <c r="W98">
        <f t="shared" si="8"/>
      </c>
      <c r="X98">
        <f t="shared" si="8"/>
      </c>
      <c r="Y98">
        <f t="shared" si="8"/>
      </c>
      <c r="Z98">
        <f t="shared" si="8"/>
      </c>
      <c r="AA98">
        <f t="shared" si="8"/>
      </c>
      <c r="AB98">
        <f t="shared" si="8"/>
      </c>
      <c r="AC98">
        <f t="shared" si="8"/>
      </c>
      <c r="AD98">
        <f t="shared" si="8"/>
      </c>
      <c r="AE98">
        <f t="shared" si="8"/>
      </c>
      <c r="AF98">
        <f t="shared" si="8"/>
      </c>
      <c r="AG98">
        <f t="shared" si="8"/>
      </c>
      <c r="AH98">
        <f t="shared" si="8"/>
      </c>
      <c r="AI98">
        <f t="shared" si="8"/>
      </c>
      <c r="AJ98">
        <f t="shared" si="8"/>
      </c>
      <c r="AK98">
        <f t="shared" si="8"/>
      </c>
      <c r="AL98">
        <f t="shared" si="8"/>
      </c>
      <c r="AM98">
        <f t="shared" si="8"/>
      </c>
      <c r="AN98">
        <f t="shared" si="8"/>
      </c>
      <c r="AO98">
        <f t="shared" si="8"/>
      </c>
      <c r="AP98">
        <f t="shared" si="8"/>
      </c>
      <c r="AQ98">
        <f t="shared" si="8"/>
      </c>
      <c r="AR98">
        <f t="shared" si="8"/>
      </c>
      <c r="AS98">
        <f t="shared" si="8"/>
      </c>
      <c r="AT98">
        <f t="shared" si="8"/>
      </c>
      <c r="AU98">
        <f t="shared" si="8"/>
      </c>
      <c r="AV98">
        <f t="shared" si="8"/>
      </c>
      <c r="AW98">
        <f t="shared" si="8"/>
      </c>
      <c r="AX98">
        <f t="shared" si="8"/>
      </c>
      <c r="AY98">
        <f t="shared" si="8"/>
      </c>
      <c r="AZ98">
        <f t="shared" si="8"/>
      </c>
      <c r="BA98">
        <f t="shared" si="8"/>
      </c>
      <c r="BB98">
        <f t="shared" si="8"/>
      </c>
      <c r="BC98">
        <f t="shared" si="8"/>
      </c>
      <c r="BD98">
        <f t="shared" si="8"/>
      </c>
      <c r="BE98">
        <f t="shared" si="8"/>
      </c>
      <c r="BF98">
        <f t="shared" si="8"/>
      </c>
      <c r="BG98">
        <f t="shared" si="8"/>
      </c>
      <c r="BH98">
        <f t="shared" si="8"/>
      </c>
      <c r="BI98">
        <f t="shared" si="8"/>
      </c>
      <c r="BJ98">
        <f t="shared" si="8"/>
      </c>
      <c r="BK98">
        <f t="shared" si="8"/>
      </c>
      <c r="BL98">
        <f t="shared" si="8"/>
      </c>
      <c r="BM98">
        <f t="shared" si="8"/>
      </c>
      <c r="BN98">
        <f t="shared" si="8"/>
      </c>
      <c r="BO98">
        <f t="shared" si="8"/>
      </c>
      <c r="BP98">
        <f t="shared" si="8"/>
      </c>
      <c r="BQ98">
        <f t="shared" si="8"/>
      </c>
      <c r="BR98">
        <f t="shared" si="8"/>
      </c>
      <c r="BS98">
        <f t="shared" si="8"/>
      </c>
      <c r="BT98">
        <f t="shared" si="8"/>
      </c>
      <c r="BU98">
        <f t="shared" si="8"/>
      </c>
      <c r="BV98">
        <f t="shared" si="8"/>
      </c>
      <c r="BW98">
        <f t="shared" si="8"/>
      </c>
      <c r="BX98">
        <f t="shared" si="8"/>
      </c>
      <c r="BY98">
        <f t="shared" si="8"/>
      </c>
      <c r="BZ98">
        <f t="shared" si="8"/>
      </c>
      <c r="CA98">
        <f t="shared" si="8"/>
      </c>
      <c r="CB98">
        <f t="shared" si="8"/>
      </c>
      <c r="CC98">
        <f t="shared" si="8"/>
      </c>
      <c r="CD98">
        <f t="shared" si="8"/>
      </c>
      <c r="CE98">
        <f t="shared" si="8"/>
      </c>
      <c r="CF98">
        <f t="shared" si="8"/>
      </c>
      <c r="CG98">
        <f t="shared" si="8"/>
      </c>
      <c r="CH98">
        <f t="shared" si="8"/>
      </c>
      <c r="CI98">
        <f t="shared" si="8"/>
      </c>
      <c r="CJ98">
        <f t="shared" si="8"/>
      </c>
      <c r="CK98">
        <f t="shared" si="8"/>
      </c>
      <c r="CL98">
        <f t="shared" si="8"/>
      </c>
      <c r="CM98">
        <f t="shared" si="8"/>
      </c>
      <c r="CN98">
        <f t="shared" si="8"/>
      </c>
      <c r="CO98">
        <f t="shared" si="8"/>
      </c>
      <c r="CP98">
        <f t="shared" si="8"/>
      </c>
      <c r="CQ98">
        <f t="shared" si="8"/>
      </c>
      <c r="CR98">
        <f t="shared" si="8"/>
      </c>
      <c r="CS98">
        <f t="shared" si="8"/>
      </c>
      <c r="CT98">
        <f t="shared" si="8"/>
      </c>
      <c r="CU98">
        <f t="shared" si="8"/>
      </c>
      <c r="CV98">
        <f t="shared" si="8"/>
      </c>
      <c r="CW98">
        <f t="shared" si="8"/>
      </c>
      <c r="CX98">
        <f t="shared" si="8"/>
      </c>
      <c r="CY98">
        <f t="shared" si="8"/>
      </c>
      <c r="CZ98">
        <f t="shared" si="8"/>
      </c>
      <c r="DA98">
        <f t="shared" si="8"/>
      </c>
      <c r="DB98">
        <f t="shared" si="8"/>
      </c>
      <c r="DC98">
        <f t="shared" si="8"/>
      </c>
      <c r="DD98">
        <f t="shared" si="8"/>
      </c>
      <c r="DE98">
        <f t="shared" si="8"/>
      </c>
      <c r="DF98">
        <f t="shared" si="8"/>
      </c>
      <c r="DG98">
        <f t="shared" si="8"/>
      </c>
      <c r="DH98">
        <f t="shared" si="8"/>
      </c>
      <c r="DI98">
        <f t="shared" si="8"/>
      </c>
      <c r="DJ98">
        <f t="shared" si="8"/>
      </c>
      <c r="DK98">
        <f t="shared" si="8"/>
      </c>
      <c r="DL98">
        <f t="shared" si="8"/>
      </c>
      <c r="DM98">
        <f t="shared" si="8"/>
      </c>
      <c r="DN98">
        <f t="shared" si="8"/>
      </c>
      <c r="DO98">
        <f t="shared" si="8"/>
      </c>
      <c r="DP98">
        <f t="shared" si="8"/>
      </c>
      <c r="DQ98">
        <f t="shared" si="8"/>
      </c>
      <c r="DR98">
        <f t="shared" si="8"/>
      </c>
      <c r="DS98">
        <f t="shared" si="8"/>
      </c>
      <c r="DT98">
        <f t="shared" si="8"/>
      </c>
      <c r="DU98">
        <f t="shared" si="8"/>
      </c>
      <c r="DV98">
        <f t="shared" si="8"/>
      </c>
      <c r="DW98">
        <f t="shared" si="8"/>
      </c>
      <c r="DX98">
        <f t="shared" si="8"/>
      </c>
      <c r="DY98">
        <f t="shared" si="8"/>
      </c>
      <c r="DZ98">
        <f t="shared" si="8"/>
      </c>
      <c r="EA98">
        <f t="shared" si="8"/>
      </c>
      <c r="EB98">
        <f t="shared" si="8"/>
      </c>
      <c r="EC98">
        <f t="shared" si="8"/>
      </c>
      <c r="ED98">
        <f t="shared" si="8"/>
      </c>
      <c r="EE98">
        <f t="shared" si="8"/>
      </c>
      <c r="EF98">
        <f t="shared" si="8"/>
      </c>
      <c r="EG98">
        <f t="shared" si="8"/>
      </c>
      <c r="EH98">
        <f t="shared" si="8"/>
      </c>
      <c r="EI98">
        <f t="shared" si="8"/>
      </c>
      <c r="EJ98">
        <f t="shared" si="8"/>
      </c>
      <c r="EK98">
        <f t="shared" si="8"/>
      </c>
      <c r="EL98">
        <f t="shared" si="8"/>
      </c>
      <c r="EM98">
        <f t="shared" si="8"/>
      </c>
      <c r="EN98">
        <f t="shared" si="8"/>
      </c>
      <c r="EO98">
        <f t="shared" si="8"/>
      </c>
      <c r="EP98">
        <f t="shared" si="8"/>
      </c>
      <c r="EQ98">
        <f t="shared" si="8"/>
      </c>
      <c r="ER98">
        <f t="shared" si="8"/>
      </c>
      <c r="ES98">
        <f t="shared" si="8"/>
      </c>
      <c r="ET98">
        <f t="shared" si="8"/>
      </c>
      <c r="EU98">
        <f t="shared" si="8"/>
      </c>
      <c r="EV98">
        <f t="shared" si="8"/>
      </c>
      <c r="EW98">
        <f t="shared" si="8"/>
      </c>
      <c r="EX98">
        <f t="shared" si="8"/>
      </c>
      <c r="EY98">
        <f t="shared" si="8"/>
      </c>
      <c r="EZ98">
        <f t="shared" si="8"/>
      </c>
      <c r="FA98" t="str">
        <f t="shared" si="12"/>
        <v>-</v>
      </c>
      <c r="FB98">
        <f t="shared" si="13"/>
      </c>
      <c r="FC98" cm="1">
        <f t="array" ref="FC98">_xlfn.LET(_xlpm.unit_type,$G98,_xlpm.market_rent_from_rent_roll,$E98,_xlpm.unit_type_list,RentRoll_InputArea_DesignatedUnitType,_xlpm.rent_by_unit_type,RentRoll_InputArea_MarketRent,_xlpm.use_rent_roll_market_rent,LEFT(RR_VacantUnitMktRentSource,9)="Rent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98">
        <f t="shared" si="14"/>
        <v>1127</v>
      </c>
      <c r="FE98">
        <f t="shared" si="15"/>
        <v>1127</v>
      </c>
      <c r="FF98">
        <f t="shared" si="16"/>
        <v>1127</v>
      </c>
      <c r="FH98">
        <f t="shared" si="17"/>
      </c>
      <c r="FI98">
        <f t="shared" si="18"/>
      </c>
      <c r="FK98" cm="1">
        <f t="array" ref="FK98">IF(AND(LEN($D98)&gt;0,ISNA(MATCH(TRUE,EXACT($G98,RentRoll_InputArea_DesignatedUnitType),0))),1,0)</f>
        <v>0</v>
      </c>
      <c r="FL98">
        <f t="shared" si="19"/>
        <v>75</v>
      </c>
      <c r="IO98" cm="1">
        <f t="array" ref="IO98">IF(LEN($G98)=0,"Rent Roll is incomplete",_xlfn.XLOOKUP(TRUE,EXACT(RentRoll_InputArea_DesignatedUnitType,$G98),RentRoll_InputArea_Beds,"Not Found"))</f>
        <v>0</v>
      </c>
      <c r="IQ98" t="str">
        <f t="shared" si="20"/>
        <v>0 Bedroom Unit (Efficiency/Studio)</v>
      </c>
      <c r="IR98">
        <f t="shared" si="21"/>
        <v>1127</v>
      </c>
      <c r="IW98" t="str">
        <f t="shared" si="22"/>
        <v>7-700</v>
      </c>
      <c r="IZ98">
        <f t="shared" si="23"/>
        <v>0</v>
      </c>
      <c r="JA98">
        <f t="shared" si="24"/>
        <v>1127</v>
      </c>
      <c r="JH98">
        <f t="shared" si="25"/>
        <v>1217</v>
      </c>
      <c r="JJ98">
        <f t="shared" si="26"/>
      </c>
      <c r="JQ98" t="str">
        <f t="shared" si="27"/>
        <v>Occupied</v>
      </c>
      <c r="JR98" cm="1">
        <f t="array" ref="JR98">_xlfn.XLOOKUP(TRUE,EXACT(RentRoll_InputArea_DesignatedUnitType,$G98),RentRoll_InputArea_SquareFootage,"Not Found")</f>
        <v>800</v>
      </c>
      <c r="JS98" t="str">
        <f t="shared" si="28"/>
        <v>Apartment</v>
      </c>
      <c r="JT98">
        <f t="shared" si="29"/>
      </c>
      <c r="JY98">
        <f t="shared" si="9"/>
        <v>43497</v>
      </c>
      <c r="JZ98">
        <f t="shared" si="9"/>
        <v>43890</v>
      </c>
    </row>
    <row r="99" ht="15" customHeight="1">
      <c r="A99">
        <f t="shared" si="10"/>
        <v>76</v>
      </c>
      <c r="D99" t="s">
        <v>2894</v>
      </c>
      <c r="E99">
        <v>1264</v>
      </c>
      <c r="F99" t="s">
        <v>2895</v>
      </c>
      <c r="G99" t="s">
        <v>2530</v>
      </c>
      <c r="H99">
        <v>1252</v>
      </c>
      <c r="I99" cm="1">
        <f t="array" ref="I99">_xlfn.LET(_xlpm.has_subsidy,$N99&gt;0,_xlpm.is_chap9_sbl,$FF$20,_xlpm.contract_rent,$H99,_xlpm.unit_type_mkt_rent,_xlfn.XLOOKUP(TRUE,EXACT($G99,RentRoll_InputArea_DesignatedUnitType),RentRoll_InputArea_MarketRent,"Not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99">
        <f t="shared" si="11"/>
        <v>1252</v>
      </c>
      <c r="O99" s="1">
        <v>43529</v>
      </c>
      <c r="P99" s="1">
        <v>43890</v>
      </c>
      <c r="Q99">
        <f t="shared" si="8"/>
      </c>
      <c r="R99">
        <f t="shared" si="8"/>
        <v>1252</v>
      </c>
      <c r="S99">
        <f t="shared" si="8"/>
      </c>
      <c r="T99">
        <f t="shared" si="8"/>
      </c>
      <c r="U99">
        <f t="shared" si="8"/>
      </c>
      <c r="V99">
        <f t="shared" si="8"/>
      </c>
      <c r="W99">
        <f t="shared" si="8"/>
      </c>
      <c r="X99">
        <f t="shared" si="8"/>
      </c>
      <c r="Y99">
        <f t="shared" si="8"/>
      </c>
      <c r="Z99">
        <f t="shared" si="8"/>
      </c>
      <c r="AA99">
        <f t="shared" si="8"/>
      </c>
      <c r="AB99">
        <f t="shared" si="8"/>
      </c>
      <c r="AC99">
        <f t="shared" si="8"/>
      </c>
      <c r="AD99">
        <f t="shared" si="8"/>
      </c>
      <c r="AE99">
        <f t="shared" si="8"/>
      </c>
      <c r="AF99">
        <f t="shared" si="8"/>
      </c>
      <c r="AG99">
        <f t="shared" si="8"/>
      </c>
      <c r="AH99">
        <f t="shared" si="8"/>
      </c>
      <c r="AI99">
        <f t="shared" si="8"/>
      </c>
      <c r="AJ99">
        <f t="shared" si="8"/>
      </c>
      <c r="AK99">
        <f t="shared" si="8"/>
      </c>
      <c r="AL99">
        <f t="shared" si="8"/>
      </c>
      <c r="AM99">
        <f t="shared" si="8"/>
      </c>
      <c r="AN99">
        <f t="shared" si="8"/>
      </c>
      <c r="AO99">
        <f t="shared" si="8"/>
      </c>
      <c r="AP99">
        <f t="shared" si="8"/>
      </c>
      <c r="AQ99">
        <f t="shared" si="8"/>
      </c>
      <c r="AR99">
        <f t="shared" si="8"/>
      </c>
      <c r="AS99">
        <f t="shared" si="8"/>
      </c>
      <c r="AT99">
        <f t="shared" si="8"/>
      </c>
      <c r="AU99">
        <f t="shared" si="8"/>
      </c>
      <c r="AV99">
        <f t="shared" si="8"/>
      </c>
      <c r="AW99">
        <f t="shared" si="8"/>
      </c>
      <c r="AX99">
        <f t="shared" si="8"/>
      </c>
      <c r="AY99">
        <f t="shared" si="8"/>
      </c>
      <c r="AZ99">
        <f t="shared" si="8"/>
      </c>
      <c r="BA99">
        <f t="shared" si="8"/>
      </c>
      <c r="BB99">
        <f t="shared" si="8"/>
      </c>
      <c r="BC99">
        <f t="shared" si="8"/>
      </c>
      <c r="BD99">
        <f t="shared" si="8"/>
      </c>
      <c r="BE99">
        <f t="shared" si="8"/>
      </c>
      <c r="BF99">
        <f t="shared" si="8"/>
      </c>
      <c r="BG99">
        <f t="shared" si="8"/>
      </c>
      <c r="BH99">
        <f t="shared" si="8"/>
      </c>
      <c r="BI99">
        <f t="shared" si="8"/>
      </c>
      <c r="BJ99">
        <f t="shared" si="8"/>
      </c>
      <c r="BK99">
        <f t="shared" si="8"/>
      </c>
      <c r="BL99">
        <f t="shared" si="8"/>
      </c>
      <c r="BM99">
        <f t="shared" si="8"/>
      </c>
      <c r="BN99">
        <f t="shared" si="8"/>
      </c>
      <c r="BO99">
        <f t="shared" si="8"/>
      </c>
      <c r="BP99">
        <f t="shared" si="8"/>
      </c>
      <c r="BQ99">
        <f t="shared" si="8"/>
      </c>
      <c r="BR99">
        <f t="shared" si="8"/>
      </c>
      <c r="BS99">
        <f t="shared" si="8"/>
      </c>
      <c r="BT99">
        <f t="shared" si="8"/>
      </c>
      <c r="BU99">
        <f t="shared" si="8"/>
      </c>
      <c r="BV99">
        <f t="shared" si="8"/>
      </c>
      <c r="BW99">
        <f t="shared" si="8"/>
      </c>
      <c r="BX99">
        <f t="shared" si="8"/>
      </c>
      <c r="BY99">
        <f t="shared" si="8"/>
      </c>
      <c r="BZ99">
        <f t="shared" si="8"/>
      </c>
      <c r="CA99">
        <f t="shared" si="8"/>
      </c>
      <c r="CB99">
        <f t="shared" si="8"/>
      </c>
      <c r="CC99">
        <f t="shared" si="8"/>
      </c>
      <c r="CD99">
        <f t="shared" si="8"/>
      </c>
      <c r="CE99">
        <f t="shared" si="8"/>
      </c>
      <c r="CF99">
        <f t="shared" si="8"/>
      </c>
      <c r="CG99">
        <f t="shared" si="8"/>
      </c>
      <c r="CH99">
        <f t="shared" si="8"/>
      </c>
      <c r="CI99">
        <f t="shared" si="8"/>
      </c>
      <c r="CJ99">
        <f t="shared" si="8"/>
      </c>
      <c r="CK99">
        <f t="shared" si="8"/>
      </c>
      <c r="CL99">
        <f t="shared" si="8"/>
      </c>
      <c r="CM99">
        <f t="shared" si="8"/>
      </c>
      <c r="CN99">
        <f t="shared" si="8"/>
      </c>
      <c r="CO99">
        <f t="shared" si="8"/>
      </c>
      <c r="CP99">
        <f t="shared" si="8"/>
      </c>
      <c r="CQ99">
        <f t="shared" si="8"/>
      </c>
      <c r="CR99">
        <f t="shared" si="8"/>
      </c>
      <c r="CS99">
        <f t="shared" si="8"/>
      </c>
      <c r="CT99">
        <f t="shared" si="8"/>
      </c>
      <c r="CU99">
        <f t="shared" si="8"/>
      </c>
      <c r="CV99">
        <f t="shared" si="8"/>
      </c>
      <c r="CW99">
        <f t="shared" si="8"/>
      </c>
      <c r="CX99">
        <f t="shared" si="8"/>
      </c>
      <c r="CY99">
        <f t="shared" si="8"/>
      </c>
      <c r="CZ99">
        <f t="shared" si="8"/>
      </c>
      <c r="DA99">
        <f t="shared" si="8"/>
      </c>
      <c r="DB99">
        <f t="shared" si="8"/>
      </c>
      <c r="DC99">
        <f t="shared" si="8"/>
      </c>
      <c r="DD99">
        <f t="shared" si="8"/>
      </c>
      <c r="DE99">
        <f t="shared" si="8"/>
      </c>
      <c r="DF99">
        <f t="shared" si="8"/>
      </c>
      <c r="DG99">
        <f t="shared" si="8"/>
      </c>
      <c r="DH99">
        <f t="shared" si="8"/>
      </c>
      <c r="DI99">
        <f t="shared" si="8"/>
      </c>
      <c r="DJ99">
        <f t="shared" si="8"/>
      </c>
      <c r="DK99">
        <f t="shared" si="8"/>
      </c>
      <c r="DL99">
        <f t="shared" si="8"/>
      </c>
      <c r="DM99">
        <f t="shared" si="8"/>
      </c>
      <c r="DN99">
        <f t="shared" si="8"/>
      </c>
      <c r="DO99">
        <f t="shared" si="8"/>
      </c>
      <c r="DP99">
        <f t="shared" si="8"/>
      </c>
      <c r="DQ99">
        <f t="shared" si="8"/>
      </c>
      <c r="DR99">
        <f t="shared" si="8"/>
      </c>
      <c r="DS99">
        <f t="shared" si="8"/>
      </c>
      <c r="DT99">
        <f t="shared" si="8"/>
      </c>
      <c r="DU99">
        <f t="shared" si="8"/>
      </c>
      <c r="DV99">
        <f t="shared" si="8"/>
      </c>
      <c r="DW99">
        <f t="shared" si="8"/>
      </c>
      <c r="DX99">
        <f t="shared" si="8"/>
      </c>
      <c r="DY99">
        <f t="shared" si="8"/>
      </c>
      <c r="DZ99">
        <f t="shared" si="8"/>
      </c>
      <c r="EA99">
        <f t="shared" si="8"/>
      </c>
      <c r="EB99">
        <f t="shared" si="8"/>
      </c>
      <c r="EC99">
        <f t="shared" si="8"/>
      </c>
      <c r="ED99">
        <f t="shared" si="8"/>
      </c>
      <c r="EE99">
        <f t="shared" si="8"/>
      </c>
      <c r="EF99">
        <f t="shared" si="8"/>
      </c>
      <c r="EG99">
        <f t="shared" si="8"/>
      </c>
      <c r="EH99">
        <f t="shared" si="8"/>
      </c>
      <c r="EI99">
        <f t="shared" si="8"/>
      </c>
      <c r="EJ99">
        <f t="shared" si="8"/>
      </c>
      <c r="EK99">
        <f t="shared" si="8"/>
      </c>
      <c r="EL99">
        <f t="shared" si="8"/>
      </c>
      <c r="EM99">
        <f t="shared" si="8"/>
      </c>
      <c r="EN99">
        <f t="shared" si="8"/>
      </c>
      <c r="EO99">
        <f t="shared" si="8"/>
      </c>
      <c r="EP99">
        <f t="shared" si="8"/>
      </c>
      <c r="EQ99">
        <f t="shared" si="8"/>
      </c>
      <c r="ER99">
        <f t="shared" si="8"/>
      </c>
      <c r="ES99">
        <f t="shared" si="8"/>
      </c>
      <c r="ET99">
        <f t="shared" si="8"/>
      </c>
      <c r="EU99">
        <f t="shared" si="8"/>
      </c>
      <c r="EV99">
        <f t="shared" si="8"/>
      </c>
      <c r="EW99">
        <f t="shared" si="8"/>
      </c>
      <c r="EX99">
        <f t="shared" si="8"/>
      </c>
      <c r="EY99">
        <f t="shared" si="8"/>
      </c>
      <c r="EZ99">
        <f t="shared" si="8"/>
      </c>
      <c r="FA99" t="str">
        <f t="shared" si="12"/>
        <v>-</v>
      </c>
      <c r="FB99">
        <f t="shared" si="13"/>
      </c>
      <c r="FC99" cm="1">
        <f t="array" ref="FC99">_xlfn.LET(_xlpm.unit_type,$G99,_xlpm.market_rent_from_rent_roll,$E99,_xlpm.unit_type_list,RentRoll_InputArea_DesignatedUnitType,_xlpm.rent_by_unit_type,RentRoll_InputArea_MarketRent,_xlpm.use_rent_roll_market_rent,LEFT(RR_VacantUnitMktRentSource,9)="Rent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99">
        <f t="shared" si="14"/>
        <v>1252</v>
      </c>
      <c r="FE99">
        <f t="shared" si="15"/>
        <v>1252</v>
      </c>
      <c r="FF99">
        <f t="shared" si="16"/>
        <v>1252</v>
      </c>
      <c r="FH99">
        <f t="shared" si="17"/>
      </c>
      <c r="FI99">
        <f t="shared" si="18"/>
      </c>
      <c r="FK99" cm="1">
        <f t="array" ref="FK99">IF(AND(LEN($D99)&gt;0,ISNA(MATCH(TRUE,EXACT($G99,RentRoll_InputArea_DesignatedUnitType),0))),1,0)</f>
        <v>0</v>
      </c>
      <c r="FL99">
        <f t="shared" si="19"/>
        <v>76</v>
      </c>
      <c r="IO99" cm="1">
        <f t="array" ref="IO99">IF(LEN($G99)=0,"Rent Roll is incomplete",_xlfn.XLOOKUP(TRUE,EXACT(RentRoll_InputArea_DesignatedUnitType,$G99),RentRoll_InputArea_Beds,"Not Found"))</f>
        <v>0</v>
      </c>
      <c r="IQ99" t="str">
        <f t="shared" si="20"/>
        <v>0 Bedroom Unit (Efficiency/Studio)</v>
      </c>
      <c r="IR99">
        <f t="shared" si="21"/>
        <v>1252</v>
      </c>
      <c r="IW99" t="str">
        <f t="shared" si="22"/>
        <v>7-701</v>
      </c>
      <c r="IZ99">
        <f t="shared" si="23"/>
        <v>0</v>
      </c>
      <c r="JA99">
        <f t="shared" si="24"/>
        <v>1252</v>
      </c>
      <c r="JH99">
        <f t="shared" si="25"/>
        <v>1217</v>
      </c>
      <c r="JJ99">
        <f t="shared" si="26"/>
      </c>
      <c r="JQ99" t="str">
        <f t="shared" si="27"/>
        <v>Occupied</v>
      </c>
      <c r="JR99" cm="1">
        <f t="array" ref="JR99">_xlfn.XLOOKUP(TRUE,EXACT(RentRoll_InputArea_DesignatedUnitType,$G99),RentRoll_InputArea_SquareFootage,"Not Found")</f>
        <v>800</v>
      </c>
      <c r="JS99" t="str">
        <f t="shared" si="28"/>
        <v>Apartment</v>
      </c>
      <c r="JT99">
        <f t="shared" si="29"/>
      </c>
      <c r="JY99">
        <f t="shared" si="9"/>
        <v>43529</v>
      </c>
      <c r="JZ99">
        <f t="shared" si="9"/>
        <v>43890</v>
      </c>
    </row>
    <row r="100" ht="15" customHeight="1">
      <c r="A100">
        <f t="shared" si="10"/>
        <v>77</v>
      </c>
      <c r="D100" t="s">
        <v>2896</v>
      </c>
      <c r="E100">
        <v>1234</v>
      </c>
      <c r="F100" t="s">
        <v>2897</v>
      </c>
      <c r="G100" t="s">
        <v>2530</v>
      </c>
      <c r="H100">
        <v>1171</v>
      </c>
      <c r="I100" cm="1">
        <f t="array" ref="I100">_xlfn.LET(_xlpm.has_subsidy,$N100&gt;0,_xlpm.is_chap9_sbl,$FF$20,_xlpm.contract_rent,$H100,_xlpm.unit_type_mkt_rent,_xlfn.XLOOKUP(TRUE,EXACT($G100,RentRoll_InputArea_DesignatedUnitType),RentRoll_InputArea_MarketRent,"Not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0">
        <f t="shared" si="11"/>
        <v>1171</v>
      </c>
      <c r="O100" s="1">
        <v>43477</v>
      </c>
      <c r="P100" s="1">
        <v>43769</v>
      </c>
      <c r="Q100">
        <f t="shared" si="8"/>
      </c>
      <c r="R100">
        <f t="shared" si="8"/>
        <v>1171</v>
      </c>
      <c r="S100">
        <f t="shared" si="8"/>
      </c>
      <c r="T100">
        <f t="shared" si="8"/>
      </c>
      <c r="U100">
        <f t="shared" si="8"/>
      </c>
      <c r="V100">
        <f t="shared" si="8"/>
      </c>
      <c r="W100">
        <f t="shared" si="8"/>
      </c>
      <c r="X100">
        <f t="shared" si="8"/>
      </c>
      <c r="Y100">
        <f t="shared" si="8"/>
      </c>
      <c r="Z100">
        <f t="shared" si="8"/>
      </c>
      <c r="AA100">
        <f t="shared" si="8"/>
      </c>
      <c r="AB100">
        <f t="shared" si="8"/>
      </c>
      <c r="AC100">
        <f t="shared" si="8"/>
      </c>
      <c r="AD100">
        <f t="shared" si="8"/>
      </c>
      <c r="AE100">
        <f t="shared" si="8"/>
      </c>
      <c r="AF100">
        <f t="shared" si="8"/>
      </c>
      <c r="AG100">
        <f t="shared" si="8"/>
      </c>
      <c r="AH100">
        <f t="shared" si="8"/>
      </c>
      <c r="AI100">
        <f t="shared" si="8"/>
      </c>
      <c r="AJ100">
        <f t="shared" si="8"/>
      </c>
      <c r="AK100">
        <f t="shared" si="8"/>
      </c>
      <c r="AL100">
        <f t="shared" si="8"/>
      </c>
      <c r="AM100">
        <f t="shared" si="8"/>
      </c>
      <c r="AN100">
        <f t="shared" si="8"/>
      </c>
      <c r="AO100">
        <f t="shared" si="8"/>
      </c>
      <c r="AP100">
        <f t="shared" si="8"/>
      </c>
      <c r="AQ100">
        <f t="shared" si="8"/>
      </c>
      <c r="AR100">
        <f t="shared" si="8"/>
      </c>
      <c r="AS100">
        <f t="shared" si="8"/>
      </c>
      <c r="AT100">
        <f t="shared" si="8"/>
      </c>
      <c r="AU100">
        <f t="shared" si="8"/>
      </c>
      <c r="AV100">
        <f t="shared" si="8"/>
      </c>
      <c r="AW100">
        <f t="shared" si="8"/>
      </c>
      <c r="AX100">
        <f t="shared" si="8"/>
      </c>
      <c r="AY100">
        <f t="shared" si="8"/>
      </c>
      <c r="AZ100">
        <f t="shared" si="8"/>
      </c>
      <c r="BA100">
        <f t="shared" si="8"/>
      </c>
      <c r="BB100">
        <f t="shared" si="8"/>
      </c>
      <c r="BC100">
        <f t="shared" si="8"/>
      </c>
      <c r="BD100">
        <f t="shared" si="8"/>
      </c>
      <c r="BE100">
        <f t="shared" si="8"/>
      </c>
      <c r="BF100">
        <f t="shared" si="8"/>
      </c>
      <c r="BG100">
        <f t="shared" si="8"/>
      </c>
      <c r="BH100">
        <f t="shared" si="8"/>
      </c>
      <c r="BI100">
        <f t="shared" si="8"/>
      </c>
      <c r="BJ100">
        <f t="shared" si="8"/>
      </c>
      <c r="BK100">
        <f t="shared" si="8"/>
      </c>
      <c r="BL100">
        <f t="shared" si="8"/>
      </c>
      <c r="BM100">
        <f t="shared" si="8"/>
      </c>
      <c r="BN100">
        <f t="shared" si="8"/>
      </c>
      <c r="BO100">
        <f t="shared" si="8"/>
      </c>
      <c r="BP100">
        <f t="shared" si="8"/>
      </c>
      <c r="BQ100">
        <f t="shared" si="8"/>
      </c>
      <c r="BR100">
        <f t="shared" si="8"/>
      </c>
      <c r="BS100">
        <f t="shared" si="8"/>
      </c>
      <c r="BT100">
        <f t="shared" si="8"/>
      </c>
      <c r="BU100">
        <f t="shared" si="8"/>
      </c>
      <c r="BV100">
        <f t="shared" si="8"/>
      </c>
      <c r="BW100">
        <f t="shared" si="8"/>
      </c>
      <c r="BX100">
        <f t="shared" si="8"/>
      </c>
      <c r="BY100">
        <f t="shared" si="8"/>
      </c>
      <c r="BZ100">
        <f t="shared" si="8"/>
      </c>
      <c r="CA100">
        <f t="shared" si="8"/>
      </c>
      <c r="CB100">
        <f t="shared" si="8"/>
      </c>
      <c r="CC100">
        <f t="shared" si="8"/>
      </c>
      <c r="CD100">
        <f t="shared" si="8"/>
      </c>
      <c r="CE100">
        <f t="shared" si="8"/>
      </c>
      <c r="CF100">
        <f t="shared" si="8"/>
      </c>
      <c r="CG100">
        <f t="shared" si="8"/>
      </c>
      <c r="CH100">
        <f t="shared" si="8"/>
      </c>
      <c r="CI100">
        <f t="shared" si="8"/>
      </c>
      <c r="CJ100">
        <f t="shared" si="8"/>
      </c>
      <c r="CK100">
        <f t="shared" si="8"/>
      </c>
      <c r="CL100">
        <f t="shared" si="8"/>
      </c>
      <c r="CM100">
        <f t="shared" si="8"/>
      </c>
      <c r="CN100">
        <f t="shared" si="8"/>
      </c>
      <c r="CO100">
        <f t="shared" si="8"/>
      </c>
      <c r="CP100">
        <f t="shared" si="8"/>
      </c>
      <c r="CQ100">
        <f t="shared" si="8"/>
      </c>
      <c r="CR100">
        <f t="shared" si="8"/>
      </c>
      <c r="CS100">
        <f t="shared" si="8"/>
      </c>
      <c r="CT100">
        <f t="shared" si="8"/>
      </c>
      <c r="CU100">
        <f t="shared" si="8"/>
      </c>
      <c r="CV100">
        <f t="shared" si="8"/>
      </c>
      <c r="CW100">
        <f t="shared" si="8"/>
      </c>
      <c r="CX100">
        <f t="shared" si="8"/>
      </c>
      <c r="CY100">
        <f t="shared" si="8"/>
      </c>
      <c r="CZ100">
        <f t="shared" si="8"/>
      </c>
      <c r="DA100">
        <f t="shared" si="8"/>
      </c>
      <c r="DB100">
        <f t="shared" si="8"/>
      </c>
      <c r="DC100">
        <f t="shared" si="8"/>
      </c>
      <c r="DD100">
        <f t="shared" si="8"/>
      </c>
      <c r="DE100">
        <f t="shared" si="8"/>
      </c>
      <c r="DF100">
        <f t="shared" si="8"/>
      </c>
      <c r="DG100">
        <f t="shared" si="8"/>
      </c>
      <c r="DH100">
        <f t="shared" si="8"/>
      </c>
      <c r="DI100">
        <f t="shared" si="8"/>
      </c>
      <c r="DJ100">
        <f t="shared" si="8"/>
      </c>
      <c r="DK100">
        <f t="shared" si="8"/>
      </c>
      <c r="DL100">
        <f t="shared" si="8"/>
      </c>
      <c r="DM100">
        <f t="shared" si="8"/>
      </c>
      <c r="DN100">
        <f t="shared" si="8"/>
      </c>
      <c r="DO100">
        <f t="shared" si="8"/>
      </c>
      <c r="DP100">
        <f t="shared" si="8"/>
      </c>
      <c r="DQ100">
        <f t="shared" si="8"/>
      </c>
      <c r="DR100">
        <f t="shared" si="8"/>
      </c>
      <c r="DS100">
        <f t="shared" si="8"/>
      </c>
      <c r="DT100">
        <f t="shared" si="8"/>
      </c>
      <c r="DU100">
        <f t="shared" si="8"/>
      </c>
      <c r="DV100">
        <f t="shared" si="8"/>
      </c>
      <c r="DW100">
        <f t="shared" si="8"/>
      </c>
      <c r="DX100">
        <f t="shared" si="8"/>
      </c>
      <c r="DY100">
        <f t="shared" si="8"/>
      </c>
      <c r="DZ100">
        <f t="shared" si="8"/>
      </c>
      <c r="EA100">
        <f t="shared" si="8"/>
      </c>
      <c r="EB100">
        <f t="shared" si="8"/>
      </c>
      <c r="EC100">
        <f t="shared" si="8"/>
      </c>
      <c r="ED100">
        <f t="shared" si="8"/>
      </c>
      <c r="EE100">
        <f t="shared" si="8"/>
      </c>
      <c r="EF100">
        <f t="shared" si="8"/>
      </c>
      <c r="EG100">
        <f t="shared" si="8"/>
      </c>
      <c r="EH100">
        <f t="shared" si="8"/>
      </c>
      <c r="EI100">
        <f t="shared" si="8"/>
      </c>
      <c r="EJ100">
        <f t="shared" si="8"/>
      </c>
      <c r="EK100">
        <f t="shared" si="8"/>
      </c>
      <c r="EL100">
        <f t="shared" si="8"/>
      </c>
      <c r="EM100">
        <f t="shared" si="8"/>
      </c>
      <c r="EN100">
        <f t="shared" si="8"/>
      </c>
      <c r="EO100">
        <f t="shared" si="8"/>
      </c>
      <c r="EP100">
        <f t="shared" si="8"/>
      </c>
      <c r="EQ100">
        <f t="shared" si="8"/>
      </c>
      <c r="ER100">
        <f t="shared" si="8"/>
      </c>
      <c r="ES100">
        <f t="shared" si="8"/>
      </c>
      <c r="ET100">
        <f t="shared" si="8"/>
      </c>
      <c r="EU100">
        <f t="shared" si="8"/>
      </c>
      <c r="EV100">
        <f t="shared" si="8"/>
      </c>
      <c r="EW100">
        <f t="shared" si="8"/>
      </c>
      <c r="EX100">
        <f t="shared" si="8"/>
      </c>
      <c r="EY100">
        <f t="shared" si="8"/>
      </c>
      <c r="EZ100">
        <f t="shared" si="8"/>
      </c>
      <c r="FA100" t="str">
        <f t="shared" si="12"/>
        <v>-</v>
      </c>
      <c r="FB100">
        <f t="shared" si="13"/>
      </c>
      <c r="FC100" cm="1">
        <f t="array" ref="FC100">_xlfn.LET(_xlpm.unit_type,$G100,_xlpm.market_rent_from_rent_roll,$E100,_xlpm.unit_type_list,RentRoll_InputArea_DesignatedUnitType,_xlpm.rent_by_unit_type,RentRoll_InputArea_MarketRent,_xlpm.use_rent_roll_market_rent,LEFT(RR_VacantUnitMktRentSource,9)="Rent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00">
        <f t="shared" si="14"/>
        <v>1171</v>
      </c>
      <c r="FE100">
        <f t="shared" si="15"/>
        <v>1171</v>
      </c>
      <c r="FF100">
        <f t="shared" si="16"/>
        <v>1171</v>
      </c>
      <c r="FH100">
        <f t="shared" si="17"/>
      </c>
      <c r="FI100">
        <f t="shared" si="18"/>
      </c>
      <c r="FK100" cm="1">
        <f t="array" ref="FK100">IF(AND(LEN($D100)&gt;0,ISNA(MATCH(TRUE,EXACT($G100,RentRoll_InputArea_DesignatedUnitType),0))),1,0)</f>
        <v>0</v>
      </c>
      <c r="FL100">
        <f t="shared" si="19"/>
        <v>77</v>
      </c>
      <c r="IO100" cm="1">
        <f t="array" ref="IO100">IF(LEN($G100)=0,"Rent Roll is incomplete",_xlfn.XLOOKUP(TRUE,EXACT(RentRoll_InputArea_DesignatedUnitType,$G100),RentRoll_InputArea_Beds,"Not Found"))</f>
        <v>0</v>
      </c>
      <c r="IQ100" t="str">
        <f t="shared" si="20"/>
        <v>0 Bedroom Unit (Efficiency/Studio)</v>
      </c>
      <c r="IR100">
        <f t="shared" si="21"/>
        <v>1171</v>
      </c>
      <c r="IW100" t="str">
        <f t="shared" si="22"/>
        <v>7-702</v>
      </c>
      <c r="IZ100">
        <f t="shared" si="23"/>
        <v>0</v>
      </c>
      <c r="JA100">
        <f t="shared" si="24"/>
        <v>1171</v>
      </c>
      <c r="JH100">
        <f t="shared" si="25"/>
        <v>1217</v>
      </c>
      <c r="JJ100">
        <f t="shared" si="26"/>
      </c>
      <c r="JQ100" t="str">
        <f t="shared" si="27"/>
        <v>Occupied</v>
      </c>
      <c r="JR100" cm="1">
        <f t="array" ref="JR100">_xlfn.XLOOKUP(TRUE,EXACT(RentRoll_InputArea_DesignatedUnitType,$G100),RentRoll_InputArea_SquareFootage,"Not Found")</f>
        <v>800</v>
      </c>
      <c r="JS100" t="str">
        <f t="shared" si="28"/>
        <v>Apartment</v>
      </c>
      <c r="JT100">
        <f t="shared" si="29"/>
      </c>
      <c r="JY100">
        <f t="shared" si="9"/>
        <v>43477</v>
      </c>
      <c r="JZ100">
        <f t="shared" si="9"/>
        <v>43769</v>
      </c>
    </row>
    <row r="101" ht="15" customHeight="1">
      <c r="A101">
        <f t="shared" si="10"/>
        <v>78</v>
      </c>
      <c r="D101" t="s">
        <v>2898</v>
      </c>
      <c r="E101">
        <v>1216</v>
      </c>
      <c r="F101" t="s">
        <v>2899</v>
      </c>
      <c r="G101" t="s">
        <v>2530</v>
      </c>
      <c r="H101">
        <v>1170</v>
      </c>
      <c r="I101" cm="1">
        <f t="array" ref="I101">_xlfn.LET(_xlpm.has_subsidy,$N101&gt;0,_xlpm.is_chap9_sbl,$FF$20,_xlpm.contract_rent,$H101,_xlpm.unit_type_mkt_rent,_xlfn.XLOOKUP(TRUE,EXACT($G101,RentRoll_InputArea_DesignatedUnitType),RentRoll_InputArea_MarketRent,"Not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1">
        <f t="shared" si="11"/>
        <v>1170</v>
      </c>
      <c r="O101" s="1">
        <v>43386</v>
      </c>
      <c r="P101" s="1">
        <v>43677</v>
      </c>
      <c r="Q101">
        <f t="shared" si="8"/>
      </c>
      <c r="R101">
        <f t="shared" si="8"/>
        <v>1170</v>
      </c>
      <c r="S101">
        <f t="shared" si="8"/>
      </c>
      <c r="T101">
        <f t="shared" si="8"/>
      </c>
      <c r="U101">
        <f t="shared" si="8"/>
      </c>
      <c r="V101">
        <f t="shared" si="8"/>
      </c>
      <c r="W101">
        <f t="shared" si="8"/>
      </c>
      <c r="X101">
        <f t="shared" si="8"/>
      </c>
      <c r="Y101">
        <f t="shared" si="8"/>
      </c>
      <c r="Z101">
        <f t="shared" si="8"/>
      </c>
      <c r="AA101">
        <f t="shared" si="8"/>
      </c>
      <c r="AB101">
        <f t="shared" si="8"/>
      </c>
      <c r="AC101">
        <f t="shared" si="8"/>
      </c>
      <c r="AD101">
        <f t="shared" si="8"/>
      </c>
      <c r="AE101">
        <f t="shared" si="8"/>
      </c>
      <c r="AF101">
        <f t="shared" si="8"/>
      </c>
      <c r="AG101">
        <f t="shared" si="8"/>
      </c>
      <c r="AH101">
        <f t="shared" si="8"/>
      </c>
      <c r="AI101">
        <f t="shared" si="8"/>
      </c>
      <c r="AJ101">
        <f t="shared" si="8"/>
      </c>
      <c r="AK101">
        <f t="shared" si="8"/>
      </c>
      <c r="AL101">
        <f t="shared" si="8"/>
      </c>
      <c r="AM101">
        <f t="shared" si="8"/>
      </c>
      <c r="AN101">
        <f t="shared" si="8"/>
      </c>
      <c r="AO101">
        <f t="shared" si="8"/>
      </c>
      <c r="AP101">
        <f t="shared" si="8"/>
      </c>
      <c r="AQ101">
        <f t="shared" si="8"/>
      </c>
      <c r="AR101">
        <f t="shared" si="8"/>
      </c>
      <c r="AS101">
        <f t="shared" si="8"/>
      </c>
      <c r="AT101">
        <f t="shared" si="8"/>
      </c>
      <c r="AU101">
        <f t="shared" si="8"/>
      </c>
      <c r="AV101">
        <f t="shared" si="8"/>
      </c>
      <c r="AW101">
        <f t="shared" si="8"/>
      </c>
      <c r="AX101">
        <f t="shared" si="8"/>
      </c>
      <c r="AY101">
        <f t="shared" si="8"/>
      </c>
      <c r="AZ101">
        <f t="shared" si="8"/>
      </c>
      <c r="BA101">
        <f t="shared" si="8"/>
      </c>
      <c r="BB101">
        <f t="shared" si="8"/>
      </c>
      <c r="BC101">
        <f t="shared" si="8"/>
      </c>
      <c r="BD101">
        <f t="shared" si="8"/>
      </c>
      <c r="BE101">
        <f t="shared" si="8"/>
      </c>
      <c r="BF101">
        <f t="shared" si="8"/>
      </c>
      <c r="BG101">
        <f t="shared" si="8"/>
      </c>
      <c r="BH101">
        <f t="shared" si="8"/>
      </c>
      <c r="BI101">
        <f t="shared" si="8"/>
      </c>
      <c r="BJ101">
        <f t="shared" si="8"/>
      </c>
      <c r="BK101">
        <f t="shared" si="8"/>
      </c>
      <c r="BL101">
        <f t="shared" si="8"/>
      </c>
      <c r="BM101">
        <f t="shared" si="8"/>
      </c>
      <c r="BN101">
        <f t="shared" si="8"/>
      </c>
      <c r="BO101">
        <f t="shared" si="8"/>
      </c>
      <c r="BP101">
        <f t="shared" si="8"/>
      </c>
      <c r="BQ101">
        <f t="shared" si="8"/>
      </c>
      <c r="BR101">
        <f t="shared" si="8"/>
      </c>
      <c r="BS101">
        <f t="shared" si="8"/>
      </c>
      <c r="BT101">
        <f t="shared" si="8"/>
      </c>
      <c r="BU101">
        <f t="shared" si="8"/>
      </c>
      <c r="BV101">
        <f t="shared" si="8"/>
      </c>
      <c r="BW101">
        <f t="shared" si="8"/>
      </c>
      <c r="BX101">
        <f t="shared" si="8"/>
      </c>
      <c r="BY101">
        <f t="shared" si="8"/>
      </c>
      <c r="BZ101">
        <f t="shared" si="8"/>
      </c>
      <c r="CA101">
        <f t="shared" si="8"/>
      </c>
      <c r="CB101">
        <f t="shared" si="8"/>
      </c>
      <c r="CC101">
        <f t="shared" si="8"/>
      </c>
      <c r="CD101">
        <f t="shared" si="8"/>
      </c>
      <c r="CE101">
        <f t="shared" si="8"/>
      </c>
      <c r="CF101">
        <f t="shared" si="8"/>
      </c>
      <c r="CG101">
        <f t="shared" si="8"/>
      </c>
      <c r="CH101">
        <f t="shared" si="8"/>
      </c>
      <c r="CI101">
        <f t="shared" si="8"/>
      </c>
      <c r="CJ101">
        <f t="shared" si="8"/>
      </c>
      <c r="CK101">
        <f t="shared" si="8"/>
      </c>
      <c r="CL101">
        <f t="shared" si="8"/>
      </c>
      <c r="CM101">
        <f t="shared" si="8"/>
      </c>
      <c r="CN101">
        <f t="shared" si="8"/>
      </c>
      <c r="CO101">
        <f t="shared" si="8"/>
      </c>
      <c r="CP101">
        <f t="shared" si="8"/>
      </c>
      <c r="CQ101">
        <f t="shared" si="8"/>
      </c>
      <c r="CR101">
        <f t="shared" si="8"/>
      </c>
      <c r="CS101">
        <f t="shared" si="8"/>
      </c>
      <c r="CT101">
        <f t="shared" si="8"/>
      </c>
      <c r="CU101">
        <f t="shared" si="8"/>
      </c>
      <c r="CV101">
        <f t="shared" si="8"/>
      </c>
      <c r="CW101">
        <f t="shared" si="8"/>
      </c>
      <c r="CX101">
        <f t="shared" si="8"/>
      </c>
      <c r="CY101">
        <f t="shared" si="8"/>
      </c>
      <c r="CZ101">
        <f t="shared" si="8"/>
      </c>
      <c r="DA101">
        <f t="shared" si="8"/>
      </c>
      <c r="DB101">
        <f t="shared" si="8"/>
      </c>
      <c r="DC101">
        <f t="shared" si="8"/>
      </c>
      <c r="DD101">
        <f t="shared" si="8"/>
      </c>
      <c r="DE101">
        <f t="shared" si="8"/>
      </c>
      <c r="DF101">
        <f t="shared" si="8"/>
      </c>
      <c r="DG101">
        <f t="shared" si="8"/>
      </c>
      <c r="DH101">
        <f t="shared" si="8"/>
      </c>
      <c r="DI101">
        <f t="shared" si="8"/>
      </c>
      <c r="DJ101">
        <f t="shared" si="8"/>
      </c>
      <c r="DK101">
        <f t="shared" si="8"/>
      </c>
      <c r="DL101">
        <f t="shared" si="8"/>
      </c>
      <c r="DM101">
        <f t="shared" si="8"/>
      </c>
      <c r="DN101">
        <f t="shared" si="8"/>
      </c>
      <c r="DO101">
        <f t="shared" si="8"/>
      </c>
      <c r="DP101">
        <f t="shared" si="8"/>
      </c>
      <c r="DQ101">
        <f t="shared" si="8"/>
      </c>
      <c r="DR101">
        <f t="shared" si="8"/>
      </c>
      <c r="DS101">
        <f t="shared" si="8"/>
      </c>
      <c r="DT101">
        <f t="shared" si="8"/>
      </c>
      <c r="DU101">
        <f t="shared" si="8"/>
      </c>
      <c r="DV101">
        <f t="shared" si="8"/>
      </c>
      <c r="DW101">
        <f t="shared" si="8"/>
      </c>
      <c r="DX101">
        <f t="shared" si="8"/>
      </c>
      <c r="DY101">
        <f t="shared" si="8"/>
      </c>
      <c r="DZ101">
        <f t="shared" si="8"/>
      </c>
      <c r="EA101">
        <f t="shared" si="8"/>
      </c>
      <c r="EB101">
        <f t="shared" si="8"/>
      </c>
      <c r="EC101">
        <f t="shared" si="8"/>
      </c>
      <c r="ED101">
        <f t="shared" si="8"/>
      </c>
      <c r="EE101">
        <f t="shared" si="8"/>
      </c>
      <c r="EF101">
        <f t="shared" si="8"/>
      </c>
      <c r="EG101">
        <f t="shared" si="8"/>
      </c>
      <c r="EH101">
        <f t="shared" si="8"/>
      </c>
      <c r="EI101">
        <f t="shared" si="8"/>
      </c>
      <c r="EJ101">
        <f t="shared" si="8"/>
      </c>
      <c r="EK101">
        <f t="shared" si="8"/>
      </c>
      <c r="EL101">
        <f t="shared" si="8"/>
      </c>
      <c r="EM101">
        <f t="shared" si="8"/>
      </c>
      <c r="EN101">
        <f t="shared" si="8"/>
      </c>
      <c r="EO101">
        <f t="shared" si="8"/>
      </c>
      <c r="EP101">
        <f t="shared" si="8"/>
      </c>
      <c r="EQ101">
        <f t="shared" si="8"/>
      </c>
      <c r="ER101">
        <f t="shared" si="8"/>
      </c>
      <c r="ES101">
        <f t="shared" si="8"/>
      </c>
      <c r="ET101">
        <f t="shared" si="8"/>
      </c>
      <c r="EU101">
        <f t="shared" si="8"/>
      </c>
      <c r="EV101">
        <f t="shared" si="8"/>
      </c>
      <c r="EW101">
        <f t="shared" si="8"/>
      </c>
      <c r="EX101">
        <f t="shared" si="8"/>
      </c>
      <c r="EY101">
        <f t="shared" si="8"/>
      </c>
      <c r="EZ101">
        <f t="shared" si="8"/>
      </c>
      <c r="FA101" t="str">
        <f t="shared" si="12"/>
        <v>-</v>
      </c>
      <c r="FB101">
        <f t="shared" si="13"/>
      </c>
      <c r="FC101" cm="1">
        <f t="array" ref="FC101">_xlfn.LET(_xlpm.unit_type,$G101,_xlpm.market_rent_from_rent_roll,$E101,_xlpm.unit_type_list,RentRoll_InputArea_DesignatedUnitType,_xlpm.rent_by_unit_type,RentRoll_InputArea_MarketRent,_xlpm.use_rent_roll_market_rent,LEFT(RR_VacantUnitMktRentSource,9)="Rent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01">
        <f t="shared" si="14"/>
        <v>1170</v>
      </c>
      <c r="FE101">
        <f t="shared" si="15"/>
        <v>1170</v>
      </c>
      <c r="FF101">
        <f t="shared" si="16"/>
        <v>1170</v>
      </c>
      <c r="FH101">
        <f t="shared" si="17"/>
      </c>
      <c r="FI101">
        <f t="shared" si="18"/>
      </c>
      <c r="FK101" cm="1">
        <f t="array" ref="FK101">IF(AND(LEN($D101)&gt;0,ISNA(MATCH(TRUE,EXACT($G101,RentRoll_InputArea_DesignatedUnitType),0))),1,0)</f>
        <v>0</v>
      </c>
      <c r="FL101">
        <f t="shared" si="19"/>
        <v>78</v>
      </c>
      <c r="IO101" cm="1">
        <f t="array" ref="IO101">IF(LEN($G101)=0,"Rent Roll is incomplete",_xlfn.XLOOKUP(TRUE,EXACT(RentRoll_InputArea_DesignatedUnitType,$G101),RentRoll_InputArea_Beds,"Not Found"))</f>
        <v>0</v>
      </c>
      <c r="IQ101" t="str">
        <f t="shared" si="20"/>
        <v>0 Bedroom Unit (Efficiency/Studio)</v>
      </c>
      <c r="IR101">
        <f t="shared" si="21"/>
        <v>1170</v>
      </c>
      <c r="IW101" t="str">
        <f t="shared" si="22"/>
        <v>7-703</v>
      </c>
      <c r="IZ101">
        <f t="shared" si="23"/>
        <v>0</v>
      </c>
      <c r="JA101">
        <f t="shared" si="24"/>
        <v>1170</v>
      </c>
      <c r="JH101">
        <f t="shared" si="25"/>
        <v>1217</v>
      </c>
      <c r="JJ101">
        <f t="shared" si="26"/>
      </c>
      <c r="JQ101" t="str">
        <f t="shared" si="27"/>
        <v>Occupied</v>
      </c>
      <c r="JR101" cm="1">
        <f t="array" ref="JR101">_xlfn.XLOOKUP(TRUE,EXACT(RentRoll_InputArea_DesignatedUnitType,$G101),RentRoll_InputArea_SquareFootage,"Not Found")</f>
        <v>800</v>
      </c>
      <c r="JS101" t="str">
        <f t="shared" si="28"/>
        <v>Apartment</v>
      </c>
      <c r="JT101">
        <f t="shared" si="29"/>
      </c>
      <c r="JY101">
        <f t="shared" si="9"/>
        <v>43386</v>
      </c>
      <c r="JZ101">
        <f t="shared" si="9"/>
        <v>43677</v>
      </c>
    </row>
    <row r="102" ht="15" customHeight="1">
      <c r="A102">
        <f t="shared" si="10"/>
        <v>79</v>
      </c>
      <c r="D102" t="s">
        <v>2900</v>
      </c>
      <c r="E102">
        <v>1479</v>
      </c>
      <c r="F102" t="s">
        <v>2901</v>
      </c>
      <c r="G102" t="s">
        <v>2532</v>
      </c>
      <c r="H102">
        <v>1525</v>
      </c>
      <c r="I102" cm="1">
        <f t="array" ref="I102">_xlfn.LET(_xlpm.has_subsidy,$N102&gt;0,_xlpm.is_chap9_sbl,$FF$20,_xlpm.contract_rent,$H102,_xlpm.unit_type_mkt_rent,_xlfn.XLOOKUP(TRUE,EXACT($G102,RentRoll_InputArea_DesignatedUnitType),RentRoll_InputArea_MarketRent,"Not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2">
        <f t="shared" si="11"/>
        <v>1525</v>
      </c>
      <c r="O102" s="1">
        <v>43577</v>
      </c>
      <c r="P102" s="1">
        <v>43951</v>
      </c>
      <c r="Q102">
        <f t="shared" si="8"/>
      </c>
      <c r="R102">
        <f t="shared" si="8"/>
      </c>
      <c r="S102">
        <f t="shared" si="8"/>
      </c>
      <c r="T102">
        <f t="shared" si="8"/>
        <v>1525</v>
      </c>
      <c r="U102">
        <f t="shared" si="8"/>
      </c>
      <c r="V102">
        <f t="shared" si="8"/>
      </c>
      <c r="W102">
        <f t="shared" si="8"/>
      </c>
      <c r="X102">
        <f t="shared" si="8"/>
      </c>
      <c r="Y102">
        <f t="shared" si="8"/>
      </c>
      <c r="Z102">
        <f t="shared" si="8"/>
      </c>
      <c r="AA102">
        <f t="shared" si="8"/>
      </c>
      <c r="AB102">
        <f t="shared" si="8"/>
      </c>
      <c r="AC102">
        <f t="shared" si="8"/>
      </c>
      <c r="AD102">
        <f t="shared" si="8"/>
      </c>
      <c r="AE102">
        <f t="shared" si="8"/>
      </c>
      <c r="AF102">
        <f t="shared" si="8"/>
      </c>
      <c r="AG102">
        <f t="shared" si="8"/>
      </c>
      <c r="AH102">
        <f t="shared" si="8"/>
      </c>
      <c r="AI102">
        <f t="shared" si="8"/>
      </c>
      <c r="AJ102">
        <f t="shared" si="8"/>
      </c>
      <c r="AK102">
        <f t="shared" si="8"/>
      </c>
      <c r="AL102">
        <f t="shared" si="8"/>
      </c>
      <c r="AM102">
        <f t="shared" si="8"/>
      </c>
      <c r="AN102">
        <f t="shared" si="8"/>
      </c>
      <c r="AO102">
        <f t="shared" si="8"/>
      </c>
      <c r="AP102">
        <f t="shared" si="8"/>
      </c>
      <c r="AQ102">
        <f t="shared" si="8"/>
      </c>
      <c r="AR102">
        <f t="shared" si="8"/>
      </c>
      <c r="AS102">
        <f t="shared" si="8"/>
      </c>
      <c r="AT102">
        <f t="shared" si="8"/>
      </c>
      <c r="AU102">
        <f t="shared" si="8"/>
      </c>
      <c r="AV102">
        <f t="shared" si="8"/>
      </c>
      <c r="AW102">
        <f t="shared" si="8"/>
      </c>
      <c r="AX102">
        <f t="shared" si="8"/>
      </c>
      <c r="AY102">
        <f t="shared" si="8"/>
      </c>
      <c r="AZ102">
        <f t="shared" si="8"/>
      </c>
      <c r="BA102">
        <f t="shared" si="8"/>
      </c>
      <c r="BB102">
        <f t="shared" si="8"/>
      </c>
      <c r="BC102">
        <f t="shared" si="8"/>
      </c>
      <c r="BD102">
        <f t="shared" si="8"/>
      </c>
      <c r="BE102">
        <f t="shared" si="8"/>
      </c>
      <c r="BF102">
        <f t="shared" si="8"/>
      </c>
      <c r="BG102">
        <f t="shared" si="8"/>
      </c>
      <c r="BH102">
        <f t="shared" si="8"/>
      </c>
      <c r="BI102">
        <f t="shared" si="8"/>
      </c>
      <c r="BJ102">
        <f t="shared" si="8"/>
      </c>
      <c r="BK102">
        <f t="shared" si="8"/>
      </c>
      <c r="BL102">
        <f t="shared" si="8"/>
      </c>
      <c r="BM102">
        <f t="shared" si="8"/>
      </c>
      <c r="BN102">
        <f t="shared" si="8"/>
      </c>
      <c r="BO102">
        <f t="shared" si="8"/>
      </c>
      <c r="BP102">
        <f t="shared" si="8"/>
      </c>
      <c r="BQ102">
        <f t="shared" si="8"/>
      </c>
      <c r="BR102">
        <f t="shared" si="8"/>
      </c>
      <c r="BS102">
        <f t="shared" si="8"/>
      </c>
      <c r="BT102">
        <f t="shared" si="8"/>
      </c>
      <c r="BU102">
        <f t="shared" si="8"/>
      </c>
      <c r="BV102">
        <f t="shared" si="8"/>
      </c>
      <c r="BW102">
        <f t="shared" si="8"/>
      </c>
      <c r="BX102">
        <f t="shared" si="8"/>
      </c>
      <c r="BY102">
        <f t="shared" si="8"/>
      </c>
      <c r="BZ102">
        <f t="shared" si="8"/>
      </c>
      <c r="CA102">
        <f t="shared" si="8"/>
      </c>
      <c r="CB102">
        <f t="shared" si="8"/>
      </c>
      <c r="CC102">
        <f t="shared" si="8"/>
      </c>
      <c r="CD102">
        <f t="shared" si="8"/>
      </c>
      <c r="CE102">
        <f t="shared" si="8"/>
      </c>
      <c r="CF102">
        <f t="shared" si="8"/>
      </c>
      <c r="CG102">
        <f t="shared" si="8"/>
      </c>
      <c r="CH102">
        <f t="shared" si="8"/>
      </c>
      <c r="CI102">
        <f t="shared" si="8"/>
      </c>
      <c r="CJ102">
        <f t="shared" si="8"/>
      </c>
      <c r="CK102">
        <f t="shared" si="8"/>
      </c>
      <c r="CL102">
        <f t="shared" si="8"/>
      </c>
      <c r="CM102">
        <f t="shared" si="8"/>
      </c>
      <c r="CN102">
        <f t="shared" si="8"/>
      </c>
      <c r="CO102">
        <f t="shared" si="8"/>
      </c>
      <c r="CP102">
        <f t="shared" si="8"/>
      </c>
      <c r="CQ102">
        <f t="shared" si="8"/>
      </c>
      <c r="CR102">
        <f t="shared" si="8"/>
      </c>
      <c r="CS102">
        <f t="shared" si="8"/>
      </c>
      <c r="CT102">
        <f t="shared" si="8"/>
      </c>
      <c r="CU102">
        <f t="shared" si="8"/>
      </c>
      <c r="CV102">
        <f t="shared" si="8"/>
      </c>
      <c r="CW102">
        <f t="shared" si="8"/>
      </c>
      <c r="CX102">
        <f t="shared" si="8"/>
      </c>
      <c r="CY102">
        <f t="shared" si="8"/>
      </c>
      <c r="CZ102">
        <f t="shared" si="8"/>
      </c>
      <c r="DA102">
        <f t="shared" si="8"/>
      </c>
      <c r="DB102">
        <f t="shared" si="8"/>
      </c>
      <c r="DC102">
        <f t="shared" si="8"/>
      </c>
      <c r="DD102">
        <f t="shared" si="8"/>
      </c>
      <c r="DE102">
        <f t="shared" si="8"/>
      </c>
      <c r="DF102">
        <f t="shared" si="8"/>
      </c>
      <c r="DG102">
        <f t="shared" si="8"/>
      </c>
      <c r="DH102">
        <f t="shared" si="8"/>
      </c>
      <c r="DI102">
        <f t="shared" si="8"/>
      </c>
      <c r="DJ102">
        <f t="shared" si="8"/>
      </c>
      <c r="DK102">
        <f t="shared" si="8"/>
      </c>
      <c r="DL102">
        <f t="shared" si="8"/>
      </c>
      <c r="DM102">
        <f t="shared" si="8"/>
      </c>
      <c r="DN102">
        <f t="shared" si="8"/>
      </c>
      <c r="DO102">
        <f t="shared" si="8"/>
      </c>
      <c r="DP102">
        <f t="shared" si="8"/>
      </c>
      <c r="DQ102">
        <f t="shared" si="8"/>
      </c>
      <c r="DR102">
        <f t="shared" si="8"/>
      </c>
      <c r="DS102">
        <f t="shared" si="8"/>
      </c>
      <c r="DT102">
        <f t="shared" si="8"/>
      </c>
      <c r="DU102">
        <f t="shared" si="8"/>
      </c>
      <c r="DV102">
        <f t="shared" si="8"/>
      </c>
      <c r="DW102">
        <f t="shared" si="8"/>
      </c>
      <c r="DX102">
        <f t="shared" si="8"/>
      </c>
      <c r="DY102">
        <f t="shared" si="8"/>
      </c>
      <c r="DZ102">
        <f t="shared" si="8"/>
      </c>
      <c r="EA102">
        <f t="shared" si="8"/>
      </c>
      <c r="EB102">
        <f t="shared" si="8"/>
      </c>
      <c r="EC102">
        <f t="shared" si="8"/>
      </c>
      <c r="ED102">
        <f t="shared" si="8"/>
      </c>
      <c r="EE102">
        <f t="shared" si="8"/>
      </c>
      <c r="EF102">
        <f t="shared" si="8"/>
      </c>
      <c r="EG102">
        <f t="shared" si="8"/>
      </c>
      <c r="EH102">
        <f t="shared" si="8"/>
      </c>
      <c r="EI102">
        <f t="shared" si="8"/>
      </c>
      <c r="EJ102">
        <f t="shared" si="8"/>
      </c>
      <c r="EK102">
        <f t="shared" si="8"/>
      </c>
      <c r="EL102">
        <f t="shared" si="8"/>
      </c>
      <c r="EM102">
        <f t="shared" si="8"/>
      </c>
      <c r="EN102">
        <f t="shared" si="8"/>
      </c>
      <c r="EO102">
        <f t="shared" si="8"/>
      </c>
      <c r="EP102">
        <f t="shared" si="8"/>
      </c>
      <c r="EQ102">
        <f t="shared" si="8"/>
      </c>
      <c r="ER102">
        <f t="shared" si="8"/>
      </c>
      <c r="ES102">
        <f t="shared" si="8"/>
      </c>
      <c r="ET102">
        <f t="shared" si="8"/>
      </c>
      <c r="EU102">
        <f t="shared" si="8"/>
      </c>
      <c r="EV102">
        <f t="shared" si="8"/>
      </c>
      <c r="EW102">
        <f t="shared" si="8"/>
      </c>
      <c r="EX102">
        <f t="shared" si="8"/>
      </c>
      <c r="EY102">
        <f t="shared" si="8"/>
      </c>
      <c r="EZ102">
        <f t="shared" si="8"/>
      </c>
      <c r="FA102" t="str">
        <f t="shared" si="12"/>
        <v>-</v>
      </c>
      <c r="FB102">
        <f t="shared" si="13"/>
      </c>
      <c r="FC102" cm="1">
        <f t="array" ref="FC102">_xlfn.LET(_xlpm.unit_type,$G102,_xlpm.market_rent_from_rent_roll,$E102,_xlpm.unit_type_list,RentRoll_InputArea_DesignatedUnitType,_xlpm.rent_by_unit_type,RentRoll_InputArea_MarketRent,_xlpm.use_rent_roll_market_rent,LEFT(RR_VacantUnitMktRentSource,9)="Rent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02">
        <f t="shared" si="14"/>
        <v>1525</v>
      </c>
      <c r="FE102">
        <f t="shared" si="15"/>
        <v>1525</v>
      </c>
      <c r="FF102">
        <f t="shared" si="16"/>
        <v>1525</v>
      </c>
      <c r="FH102">
        <f t="shared" si="17"/>
      </c>
      <c r="FI102">
        <f t="shared" si="18"/>
      </c>
      <c r="FK102" cm="1">
        <f t="array" ref="FK102">IF(AND(LEN($D102)&gt;0,ISNA(MATCH(TRUE,EXACT($G102,RentRoll_InputArea_DesignatedUnitType),0))),1,0)</f>
        <v>0</v>
      </c>
      <c r="FL102">
        <f t="shared" si="19"/>
        <v>79</v>
      </c>
      <c r="IO102" cm="1">
        <f t="array" ref="IO102">IF(LEN($G102)=0,"Rent Roll is incomplete",_xlfn.XLOOKUP(TRUE,EXACT(RentRoll_InputArea_DesignatedUnitType,$G102),RentRoll_InputArea_Beds,"Not Found"))</f>
        <v>0</v>
      </c>
      <c r="IQ102" t="str">
        <f t="shared" si="20"/>
        <v>0 Bedroom Unit (Efficiency/Studio)</v>
      </c>
      <c r="IR102">
        <f t="shared" si="21"/>
        <v>1525</v>
      </c>
      <c r="IW102" t="str">
        <f t="shared" si="22"/>
        <v>7-704</v>
      </c>
      <c r="IZ102">
        <f t="shared" si="23"/>
        <v>0</v>
      </c>
      <c r="JA102">
        <f t="shared" si="24"/>
        <v>1525</v>
      </c>
      <c r="JH102">
        <f t="shared" si="25"/>
        <v>1533</v>
      </c>
      <c r="JJ102">
        <f t="shared" si="26"/>
      </c>
      <c r="JQ102" t="str">
        <f t="shared" si="27"/>
        <v>Occupied</v>
      </c>
      <c r="JR102" cm="1">
        <f t="array" ref="JR102">_xlfn.XLOOKUP(TRUE,EXACT(RentRoll_InputArea_DesignatedUnitType,$G102),RentRoll_InputArea_SquareFootage,"Not Found")</f>
        <v>1050</v>
      </c>
      <c r="JS102" t="str">
        <f t="shared" si="28"/>
        <v>Apartment</v>
      </c>
      <c r="JT102">
        <f t="shared" si="29"/>
      </c>
      <c r="JY102">
        <f t="shared" si="9"/>
        <v>43577</v>
      </c>
      <c r="JZ102">
        <f t="shared" si="9"/>
        <v>43951</v>
      </c>
    </row>
    <row r="103" ht="15" customHeight="1">
      <c r="A103">
        <f t="shared" si="10"/>
        <v>80</v>
      </c>
      <c r="B103" t="s">
        <v>2802</v>
      </c>
      <c r="D103" t="s">
        <v>2902</v>
      </c>
      <c r="E103">
        <v>1588</v>
      </c>
      <c r="F103" t="s">
        <v>2804</v>
      </c>
      <c r="G103" t="s">
        <v>2532</v>
      </c>
      <c r="I103" cm="1">
        <f t="array" ref="I103">_xlfn.LET(_xlpm.has_subsidy,$N103&gt;0,_xlpm.is_chap9_sbl,$FF$20,_xlpm.contract_rent,$H103,_xlpm.unit_type_mkt_rent,_xlfn.XLOOKUP(TRUE,EXACT($G103,RentRoll_InputArea_DesignatedUnitType),RentRoll_InputArea_MarketRent,"Not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3">
        <f t="shared" si="11"/>
      </c>
      <c r="Q103">
        <f t="shared" si="8"/>
      </c>
      <c r="R103">
        <f t="shared" si="8"/>
      </c>
      <c r="S103">
        <f t="shared" si="8"/>
      </c>
      <c r="T103">
        <f t="shared" si="8"/>
      </c>
      <c r="U103">
        <f t="shared" si="8"/>
      </c>
      <c r="V103">
        <f t="shared" si="8"/>
      </c>
      <c r="W103">
        <f t="shared" si="8"/>
      </c>
      <c r="X103">
        <f t="shared" si="8"/>
      </c>
      <c r="Y103">
        <f t="shared" si="8"/>
      </c>
      <c r="Z103">
        <f t="shared" si="8"/>
      </c>
      <c r="AA103">
        <f t="shared" si="8"/>
      </c>
      <c r="AB103">
        <f t="shared" si="8"/>
      </c>
      <c r="AC103">
        <f t="shared" si="8"/>
      </c>
      <c r="AD103">
        <f t="shared" si="8"/>
      </c>
      <c r="AE103">
        <f t="shared" si="8"/>
      </c>
      <c r="AF103">
        <f t="shared" si="8"/>
      </c>
      <c r="AG103">
        <f t="shared" si="8"/>
      </c>
      <c r="AH103">
        <f t="shared" si="8"/>
      </c>
      <c r="AI103">
        <f t="shared" si="8"/>
      </c>
      <c r="AJ103">
        <f t="shared" si="8"/>
      </c>
      <c r="AK103">
        <f t="shared" si="8"/>
      </c>
      <c r="AL103">
        <f t="shared" si="8"/>
      </c>
      <c r="AM103">
        <f t="shared" si="8"/>
      </c>
      <c r="AN103">
        <f t="shared" si="8"/>
      </c>
      <c r="AO103">
        <f t="shared" si="8"/>
      </c>
      <c r="AP103">
        <f t="shared" si="8"/>
      </c>
      <c r="AQ103">
        <f t="shared" si="8"/>
      </c>
      <c r="AR103">
        <f t="shared" si="8"/>
      </c>
      <c r="AS103">
        <f t="shared" si="8"/>
      </c>
      <c r="AT103">
        <f t="shared" si="8"/>
      </c>
      <c r="AU103">
        <f t="shared" si="8"/>
      </c>
      <c r="AV103">
        <f t="shared" si="8"/>
      </c>
      <c r="AW103">
        <f t="shared" si="8"/>
      </c>
      <c r="AX103">
        <f t="shared" si="8"/>
      </c>
      <c r="AY103">
        <f t="shared" si="8"/>
      </c>
      <c r="AZ103">
        <f t="shared" si="8"/>
      </c>
      <c r="BA103">
        <f t="shared" si="8"/>
      </c>
      <c r="BB103">
        <f t="shared" si="8"/>
      </c>
      <c r="BC103">
        <f t="shared" si="8"/>
      </c>
      <c r="BD103">
        <f t="shared" si="8"/>
      </c>
      <c r="BE103">
        <f t="shared" si="8"/>
      </c>
      <c r="BF103">
        <f t="shared" si="8"/>
      </c>
      <c r="BG103">
        <f t="shared" si="8"/>
      </c>
      <c r="BH103">
        <f t="shared" si="8"/>
      </c>
      <c r="BI103">
        <f t="shared" si="8"/>
      </c>
      <c r="BJ103">
        <f t="shared" si="8"/>
      </c>
      <c r="BK103">
        <f t="shared" si="8"/>
      </c>
      <c r="BL103">
        <f t="shared" si="8"/>
      </c>
      <c r="BM103">
        <f t="shared" si="8"/>
      </c>
      <c r="BN103">
        <f t="shared" si="8"/>
      </c>
      <c r="BO103">
        <f t="shared" si="8"/>
      </c>
      <c r="BP103">
        <f t="shared" si="8"/>
      </c>
      <c r="BQ103">
        <f t="shared" si="8"/>
      </c>
      <c r="BR103">
        <f t="shared" si="8"/>
      </c>
      <c r="BS103">
        <f t="shared" si="8"/>
      </c>
      <c r="BT103">
        <f t="shared" si="8"/>
      </c>
      <c r="BU103">
        <f t="shared" si="8"/>
      </c>
      <c r="BV103">
        <f t="shared" si="8"/>
      </c>
      <c r="BW103">
        <f t="shared" si="8"/>
      </c>
      <c r="BX103">
        <f t="shared" si="8"/>
      </c>
      <c r="BY103">
        <f t="shared" si="8"/>
      </c>
      <c r="BZ103">
        <f t="shared" si="8"/>
      </c>
      <c r="CA103">
        <f t="shared" si="8"/>
      </c>
      <c r="CB103">
        <f t="shared" si="8"/>
      </c>
      <c r="CC103">
        <f t="shared" si="8"/>
      </c>
      <c r="CD103">
        <f t="shared" si="8"/>
      </c>
      <c r="CE103">
        <f t="shared" si="8"/>
      </c>
      <c r="CF103">
        <f t="shared" si="8"/>
      </c>
      <c r="CG103">
        <f t="shared" si="8"/>
      </c>
      <c r="CH103">
        <f t="shared" si="8"/>
      </c>
      <c r="CI103">
        <f t="shared" si="8"/>
      </c>
      <c r="CJ103">
        <f t="shared" si="8"/>
      </c>
      <c r="CK103">
        <f t="shared" si="8"/>
      </c>
      <c r="CL103">
        <f t="shared" si="8"/>
      </c>
      <c r="CM103">
        <f t="shared" si="8"/>
      </c>
      <c r="CN103">
        <f t="shared" si="8"/>
      </c>
      <c r="CO103">
        <f t="shared" si="8"/>
      </c>
      <c r="CP103">
        <f t="shared" si="8"/>
      </c>
      <c r="CQ103">
        <f t="shared" si="8"/>
      </c>
      <c r="CR103">
        <f t="shared" si="8"/>
      </c>
      <c r="CS103">
        <f t="shared" si="8"/>
      </c>
      <c r="CT103">
        <f t="shared" si="8"/>
      </c>
      <c r="CU103">
        <f t="shared" si="8"/>
      </c>
      <c r="CV103">
        <f t="shared" si="8"/>
      </c>
      <c r="CW103">
        <f t="shared" si="8"/>
      </c>
      <c r="CX103">
        <f t="shared" si="8"/>
      </c>
      <c r="CY103">
        <f t="shared" si="8"/>
      </c>
      <c r="CZ103">
        <f t="shared" si="8"/>
      </c>
      <c r="DA103">
        <f t="shared" si="8"/>
      </c>
      <c r="DB103">
        <f t="shared" si="8"/>
      </c>
      <c r="DC103">
        <f t="shared" si="8"/>
      </c>
      <c r="DD103">
        <f t="shared" si="8"/>
      </c>
      <c r="DE103">
        <f t="shared" si="8"/>
      </c>
      <c r="DF103">
        <f t="shared" si="8"/>
      </c>
      <c r="DG103">
        <f t="shared" si="8"/>
      </c>
      <c r="DH103">
        <f t="shared" si="8"/>
      </c>
      <c r="DI103">
        <f t="shared" si="8"/>
      </c>
      <c r="DJ103">
        <f t="shared" si="8"/>
      </c>
      <c r="DK103">
        <f t="shared" si="8"/>
      </c>
      <c r="DL103">
        <f t="shared" si="8"/>
      </c>
      <c r="DM103">
        <f t="shared" si="8"/>
      </c>
      <c r="DN103">
        <f t="shared" si="8"/>
      </c>
      <c r="DO103">
        <f t="shared" si="8"/>
      </c>
      <c r="DP103">
        <f t="shared" si="8"/>
      </c>
      <c r="DQ103">
        <f t="shared" si="8"/>
      </c>
      <c r="DR103">
        <f t="shared" si="8"/>
      </c>
      <c r="DS103">
        <f t="shared" si="8"/>
      </c>
      <c r="DT103">
        <f t="shared" si="8"/>
      </c>
      <c r="DU103">
        <f t="shared" si="8"/>
      </c>
      <c r="DV103">
        <f t="shared" si="8"/>
      </c>
      <c r="DW103">
        <f t="shared" si="8"/>
      </c>
      <c r="DX103">
        <f t="shared" si="8"/>
      </c>
      <c r="DY103">
        <f t="shared" si="8"/>
      </c>
      <c r="DZ103">
        <f t="shared" si="8"/>
      </c>
      <c r="EA103">
        <f t="shared" si="8"/>
      </c>
      <c r="EB103">
        <f t="shared" si="8"/>
      </c>
      <c r="EC103">
        <f t="shared" si="8"/>
      </c>
      <c r="ED103">
        <f t="shared" si="8"/>
      </c>
      <c r="EE103">
        <f t="shared" si="8"/>
      </c>
      <c r="EF103">
        <f t="shared" si="8"/>
      </c>
      <c r="EG103">
        <f t="shared" si="8"/>
      </c>
      <c r="EH103">
        <f t="shared" si="8"/>
      </c>
      <c r="EI103">
        <f t="shared" si="8"/>
      </c>
      <c r="EJ103">
        <f t="shared" si="8"/>
      </c>
      <c r="EK103">
        <f t="shared" si="8"/>
      </c>
      <c r="EL103">
        <f t="shared" si="8"/>
      </c>
      <c r="EM103">
        <f t="shared" si="8"/>
      </c>
      <c r="EN103">
        <f t="shared" si="8"/>
      </c>
      <c r="EO103">
        <f t="shared" si="8"/>
      </c>
      <c r="EP103">
        <f t="shared" si="8"/>
      </c>
      <c r="EQ103">
        <f t="shared" si="8"/>
      </c>
      <c r="ER103">
        <f t="shared" si="8"/>
      </c>
      <c r="ES103">
        <f t="shared" si="8"/>
      </c>
      <c r="ET103">
        <f t="shared" si="8"/>
      </c>
      <c r="EU103">
        <f t="shared" si="8"/>
      </c>
      <c r="EV103">
        <f t="shared" si="8"/>
      </c>
      <c r="EW103">
        <f t="shared" si="8"/>
      </c>
      <c r="EX103">
        <f t="shared" si="8"/>
      </c>
      <c r="EY103">
        <f t="shared" si="8"/>
      </c>
      <c r="EZ103">
        <f t="shared" si="8"/>
      </c>
      <c r="FA103">
        <f t="shared" si="12"/>
        <v>1533</v>
      </c>
      <c r="FB103">
        <f t="shared" si="13"/>
      </c>
      <c r="FC103" cm="1">
        <f t="array" ref="FC103">_xlfn.LET(_xlpm.unit_type,$G103,_xlpm.market_rent_from_rent_roll,$E103,_xlpm.unit_type_list,RentRoll_InputArea_DesignatedUnitType,_xlpm.rent_by_unit_type,RentRoll_InputArea_MarketRent,_xlpm.use_rent_roll_market_rent,LEFT(RR_VacantUnitMktRentSource,9)="Rent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03">
        <f t="shared" si="14"/>
      </c>
      <c r="FE103">
        <f t="shared" si="15"/>
        <v>1533</v>
      </c>
      <c r="FF103">
        <f t="shared" si="16"/>
        <v>0</v>
      </c>
      <c r="FH103">
        <f t="shared" si="17"/>
      </c>
      <c r="FI103">
        <f t="shared" si="18"/>
      </c>
      <c r="FK103" cm="1">
        <f t="array" ref="FK103">IF(AND(LEN($D103)&gt;0,ISNA(MATCH(TRUE,EXACT($G103,RentRoll_InputArea_DesignatedUnitType),0))),1,0)</f>
        <v>0</v>
      </c>
      <c r="FL103">
        <f t="shared" si="19"/>
        <v>80</v>
      </c>
      <c r="IO103" cm="1">
        <f t="array" ref="IO103">IF(LEN($G103)=0,"Rent Roll is incomplete",_xlfn.XLOOKUP(TRUE,EXACT(RentRoll_InputArea_DesignatedUnitType,$G103),RentRoll_InputArea_Beds,"Not Found"))</f>
        <v>0</v>
      </c>
      <c r="IQ103" t="str">
        <f t="shared" si="20"/>
        <v>0 Bedroom Unit (Efficiency/Studio)</v>
      </c>
      <c r="IR103">
        <f t="shared" si="21"/>
        <v>1533</v>
      </c>
      <c r="IW103" t="str">
        <f t="shared" si="22"/>
        <v>7-705</v>
      </c>
      <c r="IZ103">
        <f t="shared" si="23"/>
        <v>0</v>
      </c>
      <c r="JA103">
        <f t="shared" si="24"/>
        <v>0</v>
      </c>
      <c r="JH103">
        <f t="shared" si="25"/>
        <v>1533</v>
      </c>
      <c r="JJ103">
        <f t="shared" si="26"/>
      </c>
      <c r="JQ103" t="str">
        <f t="shared" si="27"/>
        <v>Vacant</v>
      </c>
      <c r="JR103" cm="1">
        <f t="array" ref="JR103">_xlfn.XLOOKUP(TRUE,EXACT(RentRoll_InputArea_DesignatedUnitType,$G103),RentRoll_InputArea_SquareFootage,"Not Found")</f>
        <v>1050</v>
      </c>
      <c r="JS103" t="str">
        <f t="shared" si="28"/>
        <v>Apartment</v>
      </c>
      <c r="JT103">
        <f t="shared" si="29"/>
      </c>
      <c r="JY103">
        <f t="shared" si="9"/>
      </c>
      <c r="JZ103">
        <f t="shared" si="9"/>
      </c>
    </row>
    <row r="104" ht="15" customHeight="1">
      <c r="A104">
        <f t="shared" si="10"/>
        <v>81</v>
      </c>
      <c r="D104" t="s">
        <v>2903</v>
      </c>
      <c r="E104">
        <v>1541</v>
      </c>
      <c r="F104" t="s">
        <v>2904</v>
      </c>
      <c r="G104" t="s">
        <v>2532</v>
      </c>
      <c r="H104">
        <v>1401</v>
      </c>
      <c r="I104" cm="1">
        <f t="array" ref="I104">_xlfn.LET(_xlpm.has_subsidy,$N104&gt;0,_xlpm.is_chap9_sbl,$FF$20,_xlpm.contract_rent,$H104,_xlpm.unit_type_mkt_rent,_xlfn.XLOOKUP(TRUE,EXACT($G104,RentRoll_InputArea_DesignatedUnitType),RentRoll_InputArea_MarketRent,"Not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4">
        <f t="shared" si="11"/>
        <v>1401</v>
      </c>
      <c r="O104" s="1">
        <v>43478</v>
      </c>
      <c r="P104" s="1">
        <v>43738</v>
      </c>
      <c r="Q104">
        <f t="shared" si="8"/>
      </c>
      <c r="R104">
        <f t="shared" si="8"/>
      </c>
      <c r="S104">
        <f t="shared" si="8"/>
      </c>
      <c r="T104">
        <f t="shared" si="8"/>
        <v>1401</v>
      </c>
      <c r="U104">
        <f t="shared" si="8"/>
      </c>
      <c r="V104">
        <f t="shared" si="8"/>
      </c>
      <c r="W104">
        <f t="shared" si="8"/>
      </c>
      <c r="X104">
        <f t="shared" si="8"/>
      </c>
      <c r="Y104">
        <f t="shared" si="8"/>
      </c>
      <c r="Z104">
        <f t="shared" si="8"/>
      </c>
      <c r="AA104">
        <f t="shared" si="8"/>
      </c>
      <c r="AB104">
        <f t="shared" si="8"/>
      </c>
      <c r="AC104">
        <f t="shared" si="8"/>
      </c>
      <c r="AD104">
        <f t="shared" si="8"/>
      </c>
      <c r="AE104">
        <f t="shared" si="8"/>
      </c>
      <c r="AF104">
        <f t="shared" si="8"/>
      </c>
      <c r="AG104">
        <f t="shared" si="8"/>
      </c>
      <c r="AH104">
        <f t="shared" si="8"/>
      </c>
      <c r="AI104">
        <f t="shared" si="8"/>
      </c>
      <c r="AJ104">
        <f t="shared" si="8"/>
      </c>
      <c r="AK104">
        <f t="shared" si="8"/>
      </c>
      <c r="AL104">
        <f t="shared" si="8"/>
      </c>
      <c r="AM104">
        <f t="shared" si="8"/>
      </c>
      <c r="AN104">
        <f t="shared" si="8"/>
      </c>
      <c r="AO104">
        <f t="shared" si="8"/>
      </c>
      <c r="AP104">
        <f t="shared" si="8"/>
      </c>
      <c r="AQ104">
        <f t="shared" si="8"/>
      </c>
      <c r="AR104">
        <f t="shared" si="8"/>
      </c>
      <c r="AS104">
        <f t="shared" si="8"/>
      </c>
      <c r="AT104">
        <f t="shared" si="8"/>
      </c>
      <c r="AU104">
        <f t="shared" si="8"/>
      </c>
      <c r="AV104">
        <f t="shared" si="8"/>
      </c>
      <c r="AW104">
        <f t="shared" si="8"/>
      </c>
      <c r="AX104">
        <f t="shared" si="8"/>
      </c>
      <c r="AY104">
        <f t="shared" si="8"/>
      </c>
      <c r="AZ104">
        <f t="shared" si="8"/>
      </c>
      <c r="BA104">
        <f t="shared" si="8"/>
      </c>
      <c r="BB104">
        <f t="shared" si="8"/>
      </c>
      <c r="BC104">
        <f t="shared" si="8"/>
      </c>
      <c r="BD104">
        <f t="shared" si="8"/>
      </c>
      <c r="BE104">
        <f t="shared" si="8"/>
      </c>
      <c r="BF104">
        <f t="shared" si="8"/>
      </c>
      <c r="BG104">
        <f t="shared" si="8"/>
      </c>
      <c r="BH104">
        <f t="shared" si="8"/>
      </c>
      <c r="BI104">
        <f t="shared" si="8"/>
      </c>
      <c r="BJ104">
        <f t="shared" si="8"/>
      </c>
      <c r="BK104">
        <f t="shared" si="8"/>
      </c>
      <c r="BL104">
        <f t="shared" si="8"/>
      </c>
      <c r="BM104">
        <f t="shared" si="8"/>
      </c>
      <c r="BN104">
        <f t="shared" si="8"/>
      </c>
      <c r="BO104">
        <f t="shared" si="8"/>
      </c>
      <c r="BP104">
        <f t="shared" si="8"/>
      </c>
      <c r="BQ104">
        <f t="shared" si="8"/>
      </c>
      <c r="BR104">
        <f t="shared" si="8"/>
      </c>
      <c r="BS104">
        <f t="shared" si="8"/>
      </c>
      <c r="BT104">
        <f t="shared" si="8"/>
      </c>
      <c r="BU104">
        <f t="shared" si="8"/>
      </c>
      <c r="BV104">
        <f t="shared" si="8"/>
      </c>
      <c r="BW104">
        <f t="shared" si="8"/>
      </c>
      <c r="BX104">
        <f t="shared" si="8"/>
      </c>
      <c r="BY104">
        <f t="shared" si="8"/>
      </c>
      <c r="BZ104">
        <f t="shared" si="8"/>
      </c>
      <c r="CA104">
        <f t="shared" si="8"/>
      </c>
      <c r="CB104">
        <f t="shared" si="8"/>
      </c>
      <c r="CC104">
        <f t="shared" si="8"/>
      </c>
      <c r="CD104">
        <f t="shared" si="8"/>
      </c>
      <c r="CE104">
        <f t="shared" si="8"/>
      </c>
      <c r="CF104">
        <f t="shared" si="8"/>
      </c>
      <c r="CG104">
        <f t="shared" si="8"/>
      </c>
      <c r="CH104">
        <f t="shared" si="8"/>
      </c>
      <c r="CI104">
        <f t="shared" si="8"/>
      </c>
      <c r="CJ104">
        <f t="shared" si="8"/>
      </c>
      <c r="CK104">
        <f t="shared" si="8"/>
      </c>
      <c r="CL104">
        <f t="shared" si="8"/>
      </c>
      <c r="CM104">
        <f t="shared" si="8"/>
      </c>
      <c r="CN104">
        <f t="shared" si="8"/>
      </c>
      <c r="CO104">
        <f t="shared" si="8"/>
      </c>
      <c r="CP104">
        <f t="shared" si="8"/>
      </c>
      <c r="CQ104">
        <f t="shared" si="8"/>
      </c>
      <c r="CR104">
        <f t="shared" si="8"/>
      </c>
      <c r="CS104">
        <f t="shared" si="8"/>
      </c>
      <c r="CT104">
        <f t="shared" si="8"/>
      </c>
      <c r="CU104">
        <f t="shared" si="8"/>
      </c>
      <c r="CV104">
        <f t="shared" si="8"/>
      </c>
      <c r="CW104">
        <f t="shared" si="8"/>
      </c>
      <c r="CX104">
        <f t="shared" si="8"/>
      </c>
      <c r="CY104">
        <f t="shared" si="8"/>
      </c>
      <c r="CZ104">
        <f t="shared" si="8"/>
      </c>
      <c r="DA104">
        <f t="shared" si="8"/>
      </c>
      <c r="DB104">
        <f t="shared" si="8"/>
      </c>
      <c r="DC104">
        <f t="shared" si="8"/>
      </c>
      <c r="DD104">
        <f t="shared" si="8"/>
      </c>
      <c r="DE104">
        <f t="shared" si="8"/>
      </c>
      <c r="DF104">
        <f t="shared" si="8"/>
      </c>
      <c r="DG104">
        <f t="shared" si="8"/>
      </c>
      <c r="DH104">
        <f t="shared" si="8"/>
      </c>
      <c r="DI104">
        <f t="shared" si="8"/>
      </c>
      <c r="DJ104">
        <f t="shared" si="8"/>
      </c>
      <c r="DK104">
        <f t="shared" si="8"/>
      </c>
      <c r="DL104">
        <f t="shared" si="8"/>
      </c>
      <c r="DM104">
        <f t="shared" si="8"/>
      </c>
      <c r="DN104">
        <f t="shared" si="8"/>
      </c>
      <c r="DO104">
        <f t="shared" si="8"/>
      </c>
      <c r="DP104">
        <f t="shared" si="8"/>
      </c>
      <c r="DQ104">
        <f t="shared" si="8"/>
      </c>
      <c r="DR104">
        <f t="shared" si="8"/>
      </c>
      <c r="DS104">
        <f t="shared" si="8"/>
      </c>
      <c r="DT104">
        <f t="shared" si="8"/>
      </c>
      <c r="DU104">
        <f t="shared" si="8"/>
      </c>
      <c r="DV104">
        <f t="shared" si="8"/>
      </c>
      <c r="DW104">
        <f t="shared" si="8"/>
      </c>
      <c r="DX104">
        <f t="shared" si="8"/>
      </c>
      <c r="DY104">
        <f t="shared" si="8"/>
      </c>
      <c r="DZ104">
        <f t="shared" si="8"/>
      </c>
      <c r="EA104">
        <f t="shared" si="8"/>
      </c>
      <c r="EB104">
        <f t="shared" si="8"/>
      </c>
      <c r="EC104">
        <f t="shared" si="8"/>
      </c>
      <c r="ED104">
        <f t="shared" si="8"/>
      </c>
      <c r="EE104">
        <f t="shared" si="8"/>
      </c>
      <c r="EF104">
        <f t="shared" si="8"/>
      </c>
      <c r="EG104">
        <f t="shared" si="8"/>
      </c>
      <c r="EH104">
        <f t="shared" si="8"/>
      </c>
      <c r="EI104">
        <f t="shared" si="8"/>
      </c>
      <c r="EJ104">
        <f t="shared" si="8"/>
      </c>
      <c r="EK104">
        <f t="shared" si="8"/>
      </c>
      <c r="EL104">
        <f t="shared" si="8"/>
      </c>
      <c r="EM104">
        <f t="shared" si="8"/>
      </c>
      <c r="EN104">
        <f t="shared" si="8"/>
      </c>
      <c r="EO104">
        <f t="shared" si="8"/>
      </c>
      <c r="EP104">
        <f t="shared" si="8"/>
      </c>
      <c r="EQ104">
        <f t="shared" si="8"/>
      </c>
      <c r="ER104">
        <f t="shared" si="8"/>
      </c>
      <c r="ES104">
        <f t="shared" si="8"/>
      </c>
      <c r="ET104">
        <f t="shared" si="8"/>
      </c>
      <c r="EU104">
        <f t="shared" si="8"/>
      </c>
      <c r="EV104">
        <f t="shared" si="8"/>
      </c>
      <c r="EW104">
        <f t="shared" si="8"/>
      </c>
      <c r="EX104">
        <f t="shared" si="8"/>
      </c>
      <c r="EY104">
        <f t="shared" si="8"/>
      </c>
      <c r="EZ104">
        <f t="shared" si="8"/>
      </c>
      <c r="FA104" t="str">
        <f t="shared" si="12"/>
        <v>-</v>
      </c>
      <c r="FB104">
        <f t="shared" si="13"/>
      </c>
      <c r="FC104" cm="1">
        <f t="array" ref="FC104">_xlfn.LET(_xlpm.unit_type,$G104,_xlpm.market_rent_from_rent_roll,$E104,_xlpm.unit_type_list,RentRoll_InputArea_DesignatedUnitType,_xlpm.rent_by_unit_type,RentRoll_InputArea_MarketRent,_xlpm.use_rent_roll_market_rent,LEFT(RR_VacantUnitMktRentSource,9)="Rent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04">
        <f t="shared" si="14"/>
        <v>1401</v>
      </c>
      <c r="FE104">
        <f t="shared" si="15"/>
        <v>1401</v>
      </c>
      <c r="FF104">
        <f t="shared" si="16"/>
        <v>1401</v>
      </c>
      <c r="FH104">
        <f t="shared" si="17"/>
      </c>
      <c r="FI104">
        <f t="shared" si="18"/>
      </c>
      <c r="FK104" cm="1">
        <f t="array" ref="FK104">IF(AND(LEN($D104)&gt;0,ISNA(MATCH(TRUE,EXACT($G104,RentRoll_InputArea_DesignatedUnitType),0))),1,0)</f>
        <v>0</v>
      </c>
      <c r="FL104">
        <f t="shared" si="19"/>
        <v>81</v>
      </c>
      <c r="IO104" cm="1">
        <f t="array" ref="IO104">IF(LEN($G104)=0,"Rent Roll is incomplete",_xlfn.XLOOKUP(TRUE,EXACT(RentRoll_InputArea_DesignatedUnitType,$G104),RentRoll_InputArea_Beds,"Not Found"))</f>
        <v>0</v>
      </c>
      <c r="IQ104" t="str">
        <f t="shared" si="20"/>
        <v>0 Bedroom Unit (Efficiency/Studio)</v>
      </c>
      <c r="IR104">
        <f t="shared" si="21"/>
        <v>1401</v>
      </c>
      <c r="IW104" t="str">
        <f t="shared" si="22"/>
        <v>7-706</v>
      </c>
      <c r="IZ104">
        <f t="shared" si="23"/>
        <v>0</v>
      </c>
      <c r="JA104">
        <f t="shared" si="24"/>
        <v>1401</v>
      </c>
      <c r="JH104">
        <f t="shared" si="25"/>
        <v>1533</v>
      </c>
      <c r="JJ104">
        <f t="shared" si="26"/>
      </c>
      <c r="JQ104" t="str">
        <f t="shared" si="27"/>
        <v>Occupied</v>
      </c>
      <c r="JR104" cm="1">
        <f t="array" ref="JR104">_xlfn.XLOOKUP(TRUE,EXACT(RentRoll_InputArea_DesignatedUnitType,$G104),RentRoll_InputArea_SquareFootage,"Not Found")</f>
        <v>1050</v>
      </c>
      <c r="JS104" t="str">
        <f t="shared" si="28"/>
        <v>Apartment</v>
      </c>
      <c r="JT104">
        <f t="shared" si="29"/>
      </c>
      <c r="JY104">
        <f t="shared" si="9"/>
        <v>43478</v>
      </c>
      <c r="JZ104">
        <f t="shared" si="9"/>
        <v>43738</v>
      </c>
    </row>
    <row r="105" ht="15" customHeight="1">
      <c r="A105">
        <f t="shared" si="10"/>
        <v>82</v>
      </c>
      <c r="D105" t="s">
        <v>2905</v>
      </c>
      <c r="E105">
        <v>1481</v>
      </c>
      <c r="F105" t="s">
        <v>2906</v>
      </c>
      <c r="G105" t="s">
        <v>2532</v>
      </c>
      <c r="H105">
        <v>1550</v>
      </c>
      <c r="I105" cm="1">
        <f t="array" ref="I105">_xlfn.LET(_xlpm.has_subsidy,$N105&gt;0,_xlpm.is_chap9_sbl,$FF$20,_xlpm.contract_rent,$H105,_xlpm.unit_type_mkt_rent,_xlfn.XLOOKUP(TRUE,EXACT($G105,RentRoll_InputArea_DesignatedUnitType),RentRoll_InputArea_MarketRent,"Not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5">
        <f t="shared" si="11"/>
        <v>1550</v>
      </c>
      <c r="O105" s="1">
        <v>43577</v>
      </c>
      <c r="P105" s="1">
        <v>43951</v>
      </c>
      <c r="Q105">
        <f t="shared" si="8"/>
      </c>
      <c r="R105">
        <f t="shared" si="8"/>
      </c>
      <c r="S105">
        <f t="shared" si="8"/>
      </c>
      <c r="T105">
        <f t="shared" si="8"/>
        <v>1550</v>
      </c>
      <c r="U105">
        <f t="shared" si="8"/>
      </c>
      <c r="V105">
        <f t="shared" si="8"/>
      </c>
      <c r="W105">
        <f t="shared" si="8"/>
      </c>
      <c r="X105">
        <f t="shared" si="8"/>
      </c>
      <c r="Y105">
        <f t="shared" si="8"/>
      </c>
      <c r="Z105">
        <f t="shared" si="8"/>
      </c>
      <c r="AA105">
        <f t="shared" si="8"/>
      </c>
      <c r="AB105">
        <f t="shared" si="8"/>
      </c>
      <c r="AC105">
        <f t="shared" si="8"/>
      </c>
      <c r="AD105">
        <f t="shared" si="8"/>
      </c>
      <c r="AE105">
        <f t="shared" si="8"/>
      </c>
      <c r="AF105">
        <f t="shared" si="8"/>
      </c>
      <c r="AG105">
        <f t="shared" si="8"/>
      </c>
      <c r="AH105">
        <f t="shared" si="8"/>
      </c>
      <c r="AI105">
        <f t="shared" si="8"/>
      </c>
      <c r="AJ105">
        <f t="shared" si="8"/>
      </c>
      <c r="AK105">
        <f t="shared" si="8"/>
      </c>
      <c r="AL105">
        <f t="shared" si="8"/>
      </c>
      <c r="AM105">
        <f t="shared" si="8"/>
      </c>
      <c r="AN105">
        <f t="shared" si="8"/>
      </c>
      <c r="AO105">
        <f t="shared" si="8"/>
      </c>
      <c r="AP105">
        <f t="shared" si="8"/>
      </c>
      <c r="AQ105">
        <f t="shared" si="8"/>
      </c>
      <c r="AR105">
        <f t="shared" si="8"/>
      </c>
      <c r="AS105">
        <f t="shared" si="8"/>
      </c>
      <c r="AT105">
        <f t="shared" si="8"/>
      </c>
      <c r="AU105">
        <f t="shared" si="8"/>
      </c>
      <c r="AV105">
        <f t="shared" si="8"/>
      </c>
      <c r="AW105">
        <f t="shared" si="8"/>
      </c>
      <c r="AX105">
        <f t="shared" si="8"/>
      </c>
      <c r="AY105">
        <f t="shared" si="8"/>
      </c>
      <c r="AZ105">
        <f t="shared" si="8"/>
      </c>
      <c r="BA105">
        <f t="shared" si="8"/>
      </c>
      <c r="BB105">
        <f t="shared" si="8"/>
      </c>
      <c r="BC105">
        <f t="shared" si="8"/>
      </c>
      <c r="BD105">
        <f t="shared" si="8"/>
      </c>
      <c r="BE105">
        <f t="shared" si="8"/>
      </c>
      <c r="BF105">
        <f t="shared" si="8"/>
      </c>
      <c r="BG105">
        <f t="shared" si="8"/>
      </c>
      <c r="BH105">
        <f t="shared" si="8"/>
      </c>
      <c r="BI105">
        <f t="shared" si="8"/>
      </c>
      <c r="BJ105">
        <f t="shared" si="8"/>
      </c>
      <c r="BK105">
        <f t="shared" si="8"/>
      </c>
      <c r="BL105">
        <f t="shared" si="8"/>
      </c>
      <c r="BM105">
        <f t="shared" si="8"/>
      </c>
      <c r="BN105">
        <f t="shared" si="8"/>
      </c>
      <c r="BO105">
        <f t="shared" si="8"/>
      </c>
      <c r="BP105">
        <f t="shared" si="8"/>
      </c>
      <c r="BQ105">
        <f t="shared" si="8"/>
      </c>
      <c r="BR105">
        <f t="shared" si="8"/>
      </c>
      <c r="BS105">
        <f t="shared" si="8"/>
      </c>
      <c r="BT105">
        <f t="shared" si="8"/>
      </c>
      <c r="BU105">
        <f t="shared" si="8"/>
      </c>
      <c r="BV105">
        <f t="shared" si="8"/>
      </c>
      <c r="BW105">
        <f t="shared" si="8"/>
      </c>
      <c r="BX105">
        <f t="shared" si="8"/>
      </c>
      <c r="BY105">
        <f t="shared" si="8"/>
      </c>
      <c r="BZ105">
        <f t="shared" si="8"/>
      </c>
      <c r="CA105">
        <f t="shared" si="8"/>
      </c>
      <c r="CB105">
        <f t="shared" si="8"/>
      </c>
      <c r="CC105">
        <f t="shared" si="8"/>
      </c>
      <c r="CD105">
        <f t="shared" si="8"/>
      </c>
      <c r="CE105">
        <f t="shared" si="8"/>
      </c>
      <c r="CF105">
        <f t="shared" si="8"/>
      </c>
      <c r="CG105">
        <f t="shared" si="8"/>
      </c>
      <c r="CH105">
        <f t="shared" si="8"/>
      </c>
      <c r="CI105">
        <f t="shared" si="8"/>
      </c>
      <c r="CJ105">
        <f t="shared" si="8"/>
      </c>
      <c r="CK105">
        <f t="shared" si="8"/>
      </c>
      <c r="CL105">
        <f t="shared" si="8"/>
      </c>
      <c r="CM105">
        <f t="shared" si="8"/>
      </c>
      <c r="CN105">
        <f t="shared" si="8"/>
      </c>
      <c r="CO105">
        <f t="shared" si="8"/>
      </c>
      <c r="CP105">
        <f t="shared" si="8"/>
      </c>
      <c r="CQ105">
        <f t="shared" si="8"/>
      </c>
      <c r="CR105">
        <f t="shared" si="8"/>
      </c>
      <c r="CS105">
        <f t="shared" si="8"/>
      </c>
      <c r="CT105">
        <f t="shared" si="8"/>
      </c>
      <c r="CU105">
        <f t="shared" si="8"/>
      </c>
      <c r="CV105">
        <f t="shared" si="8"/>
      </c>
      <c r="CW105">
        <f t="shared" si="8"/>
      </c>
      <c r="CX105">
        <f t="shared" si="8"/>
      </c>
      <c r="CY105">
        <f t="shared" si="8"/>
      </c>
      <c r="CZ105">
        <f t="shared" si="8"/>
      </c>
      <c r="DA105">
        <f t="shared" si="8"/>
      </c>
      <c r="DB105">
        <f t="shared" si="8"/>
      </c>
      <c r="DC105">
        <f t="shared" si="8"/>
      </c>
      <c r="DD105">
        <f t="shared" si="8"/>
      </c>
      <c r="DE105">
        <f t="shared" si="8"/>
      </c>
      <c r="DF105">
        <f t="shared" si="8"/>
      </c>
      <c r="DG105">
        <f t="shared" si="8"/>
      </c>
      <c r="DH105">
        <f t="shared" si="8"/>
      </c>
      <c r="DI105">
        <f t="shared" si="8"/>
      </c>
      <c r="DJ105">
        <f t="shared" si="8"/>
      </c>
      <c r="DK105">
        <f t="shared" si="8"/>
      </c>
      <c r="DL105">
        <f t="shared" si="8"/>
      </c>
      <c r="DM105">
        <f t="shared" si="8"/>
      </c>
      <c r="DN105">
        <f t="shared" si="8"/>
      </c>
      <c r="DO105">
        <f t="shared" si="8"/>
      </c>
      <c r="DP105">
        <f t="shared" si="8"/>
      </c>
      <c r="DQ105">
        <f t="shared" si="8"/>
      </c>
      <c r="DR105">
        <f t="shared" si="8"/>
      </c>
      <c r="DS105">
        <f t="shared" si="8"/>
      </c>
      <c r="DT105">
        <f t="shared" si="8"/>
      </c>
      <c r="DU105">
        <f t="shared" si="8"/>
      </c>
      <c r="DV105">
        <f t="shared" si="8"/>
      </c>
      <c r="DW105">
        <f t="shared" si="8"/>
      </c>
      <c r="DX105">
        <f t="shared" si="8"/>
      </c>
      <c r="DY105">
        <f t="shared" si="8"/>
      </c>
      <c r="DZ105">
        <f t="shared" si="8"/>
      </c>
      <c r="EA105">
        <f t="shared" si="8"/>
      </c>
      <c r="EB105">
        <f t="shared" si="8"/>
      </c>
      <c r="EC105">
        <f t="shared" si="8"/>
      </c>
      <c r="ED105">
        <f t="shared" si="8"/>
      </c>
      <c r="EE105">
        <f t="shared" si="8"/>
      </c>
      <c r="EF105">
        <f t="shared" si="8"/>
      </c>
      <c r="EG105">
        <f t="shared" si="8"/>
      </c>
      <c r="EH105">
        <f t="shared" si="8"/>
      </c>
      <c r="EI105">
        <f t="shared" si="8"/>
      </c>
      <c r="EJ105">
        <f t="shared" si="8"/>
      </c>
      <c r="EK105">
        <f t="shared" si="8"/>
      </c>
      <c r="EL105">
        <f t="shared" si="8"/>
      </c>
      <c r="EM105">
        <f t="shared" si="8"/>
      </c>
      <c r="EN105">
        <f t="shared" si="8"/>
      </c>
      <c r="EO105">
        <f t="shared" si="8"/>
      </c>
      <c r="EP105">
        <f t="shared" si="8"/>
      </c>
      <c r="EQ105">
        <f t="shared" si="8"/>
      </c>
      <c r="ER105">
        <f t="shared" si="8"/>
      </c>
      <c r="ES105">
        <f t="shared" si="8"/>
      </c>
      <c r="ET105">
        <f t="shared" si="8"/>
      </c>
      <c r="EU105">
        <f t="shared" si="8"/>
      </c>
      <c r="EV105">
        <f t="shared" si="8"/>
      </c>
      <c r="EW105">
        <f t="shared" si="8"/>
      </c>
      <c r="EX105">
        <f t="shared" si="8"/>
      </c>
      <c r="EY105">
        <f t="shared" si="8"/>
      </c>
      <c r="EZ105">
        <f t="shared" si="8"/>
      </c>
      <c r="FA105" t="str">
        <f t="shared" si="12"/>
        <v>-</v>
      </c>
      <c r="FB105">
        <f t="shared" si="13"/>
      </c>
      <c r="FC105" cm="1">
        <f t="array" ref="FC105">_xlfn.LET(_xlpm.unit_type,$G105,_xlpm.market_rent_from_rent_roll,$E105,_xlpm.unit_type_list,RentRoll_InputArea_DesignatedUnitType,_xlpm.rent_by_unit_type,RentRoll_InputArea_MarketRent,_xlpm.use_rent_roll_market_rent,LEFT(RR_VacantUnitMktRentSource,9)="Rent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05">
        <f t="shared" si="14"/>
        <v>1550</v>
      </c>
      <c r="FE105">
        <f t="shared" si="15"/>
        <v>1550</v>
      </c>
      <c r="FF105">
        <f t="shared" si="16"/>
        <v>1550</v>
      </c>
      <c r="FH105">
        <f t="shared" si="17"/>
      </c>
      <c r="FI105">
        <f t="shared" si="18"/>
      </c>
      <c r="FK105" cm="1">
        <f t="array" ref="FK105">IF(AND(LEN($D105)&gt;0,ISNA(MATCH(TRUE,EXACT($G105,RentRoll_InputArea_DesignatedUnitType),0))),1,0)</f>
        <v>0</v>
      </c>
      <c r="FL105">
        <f t="shared" si="19"/>
        <v>82</v>
      </c>
      <c r="IO105" cm="1">
        <f t="array" ref="IO105">IF(LEN($G105)=0,"Rent Roll is incomplete",_xlfn.XLOOKUP(TRUE,EXACT(RentRoll_InputArea_DesignatedUnitType,$G105),RentRoll_InputArea_Beds,"Not Found"))</f>
        <v>0</v>
      </c>
      <c r="IQ105" t="str">
        <f t="shared" si="20"/>
        <v>0 Bedroom Unit (Efficiency/Studio)</v>
      </c>
      <c r="IR105">
        <f t="shared" si="21"/>
        <v>1550</v>
      </c>
      <c r="IW105" t="str">
        <f t="shared" si="22"/>
        <v>7-707</v>
      </c>
      <c r="IZ105">
        <f t="shared" si="23"/>
        <v>0</v>
      </c>
      <c r="JA105">
        <f t="shared" si="24"/>
        <v>1550</v>
      </c>
      <c r="JH105">
        <f t="shared" si="25"/>
        <v>1533</v>
      </c>
      <c r="JJ105">
        <f t="shared" si="26"/>
      </c>
      <c r="JQ105" t="str">
        <f t="shared" si="27"/>
        <v>Occupied</v>
      </c>
      <c r="JR105" cm="1">
        <f t="array" ref="JR105">_xlfn.XLOOKUP(TRUE,EXACT(RentRoll_InputArea_DesignatedUnitType,$G105),RentRoll_InputArea_SquareFootage,"Not Found")</f>
        <v>1050</v>
      </c>
      <c r="JS105" t="str">
        <f t="shared" si="28"/>
        <v>Apartment</v>
      </c>
      <c r="JT105">
        <f t="shared" si="29"/>
      </c>
      <c r="JY105">
        <f t="shared" si="9"/>
        <v>43577</v>
      </c>
      <c r="JZ105">
        <f t="shared" si="9"/>
        <v>43951</v>
      </c>
    </row>
    <row r="106" ht="15" customHeight="1">
      <c r="A106">
        <f t="shared" si="10"/>
        <v>83</v>
      </c>
      <c r="D106" t="s">
        <v>2907</v>
      </c>
      <c r="E106">
        <v>1225</v>
      </c>
      <c r="F106" t="s">
        <v>2908</v>
      </c>
      <c r="G106" t="s">
        <v>2530</v>
      </c>
      <c r="H106">
        <v>1154</v>
      </c>
      <c r="I106" cm="1">
        <f t="array" ref="I106">_xlfn.LET(_xlpm.has_subsidy,$N106&gt;0,_xlpm.is_chap9_sbl,$FF$20,_xlpm.contract_rent,$H106,_xlpm.unit_type_mkt_rent,_xlfn.XLOOKUP(TRUE,EXACT($G106,RentRoll_InputArea_DesignatedUnitType),RentRoll_InputArea_MarketRent,"Not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6">
        <f t="shared" si="11"/>
        <v>1154</v>
      </c>
      <c r="O106" s="1">
        <v>43427</v>
      </c>
      <c r="P106" s="1">
        <v>43708</v>
      </c>
      <c r="Q106">
        <f t="shared" si="8"/>
      </c>
      <c r="R106">
        <f t="shared" si="8"/>
        <v>1154</v>
      </c>
      <c r="S106">
        <f t="shared" si="8"/>
      </c>
      <c r="T106">
        <f t="shared" si="8"/>
      </c>
      <c r="U106">
        <f t="shared" si="8"/>
      </c>
      <c r="V106">
        <f t="shared" si="8"/>
      </c>
      <c r="W106">
        <f t="shared" si="8"/>
      </c>
      <c r="X106">
        <f t="shared" si="8"/>
      </c>
      <c r="Y106">
        <f t="shared" si="8"/>
      </c>
      <c r="Z106">
        <f t="shared" si="8"/>
      </c>
      <c r="AA106">
        <f t="shared" si="8"/>
      </c>
      <c r="AB106">
        <f t="shared" si="8"/>
      </c>
      <c r="AC106">
        <f t="shared" si="8"/>
      </c>
      <c r="AD106">
        <f t="shared" si="8"/>
      </c>
      <c r="AE106">
        <f t="shared" si="8"/>
      </c>
      <c r="AF106">
        <f t="shared" si="8"/>
      </c>
      <c r="AG106">
        <f t="shared" si="8"/>
      </c>
      <c r="AH106">
        <f t="shared" si="8"/>
      </c>
      <c r="AI106">
        <f t="shared" si="8"/>
      </c>
      <c r="AJ106">
        <f t="shared" si="8"/>
      </c>
      <c r="AK106">
        <f t="shared" si="8"/>
      </c>
      <c r="AL106">
        <f t="shared" si="8"/>
      </c>
      <c r="AM106">
        <f t="shared" si="8"/>
      </c>
      <c r="AN106">
        <f t="shared" si="8"/>
      </c>
      <c r="AO106">
        <f t="shared" si="8"/>
      </c>
      <c r="AP106">
        <f t="shared" si="8"/>
      </c>
      <c r="AQ106">
        <f t="shared" si="8"/>
      </c>
      <c r="AR106">
        <f t="shared" si="8"/>
      </c>
      <c r="AS106">
        <f t="shared" si="8"/>
      </c>
      <c r="AT106">
        <f t="shared" si="8"/>
      </c>
      <c r="AU106">
        <f t="shared" si="8"/>
      </c>
      <c r="AV106">
        <f t="shared" si="8"/>
      </c>
      <c r="AW106">
        <f t="shared" si="8"/>
      </c>
      <c r="AX106">
        <f t="shared" si="8"/>
      </c>
      <c r="AY106">
        <f t="shared" si="8"/>
      </c>
      <c r="AZ106">
        <f t="shared" si="8"/>
      </c>
      <c r="BA106">
        <f t="shared" si="8"/>
      </c>
      <c r="BB106">
        <f t="shared" si="8"/>
      </c>
      <c r="BC106">
        <f t="shared" si="8"/>
      </c>
      <c r="BD106">
        <f t="shared" si="8"/>
      </c>
      <c r="BE106">
        <f t="shared" si="8"/>
      </c>
      <c r="BF106">
        <f t="shared" si="8"/>
      </c>
      <c r="BG106">
        <f t="shared" si="8"/>
      </c>
      <c r="BH106">
        <f t="shared" si="8"/>
      </c>
      <c r="BI106">
        <f t="shared" si="8"/>
      </c>
      <c r="BJ106">
        <f t="shared" si="8"/>
      </c>
      <c r="BK106">
        <f t="shared" si="8"/>
      </c>
      <c r="BL106">
        <f t="shared" si="8"/>
      </c>
      <c r="BM106">
        <f t="shared" si="8"/>
      </c>
      <c r="BN106">
        <f t="shared" si="8"/>
      </c>
      <c r="BO106">
        <f t="shared" si="8"/>
      </c>
      <c r="BP106">
        <f t="shared" si="8"/>
      </c>
      <c r="BQ106">
        <f t="shared" si="8"/>
      </c>
      <c r="BR106">
        <f t="shared" si="8"/>
      </c>
      <c r="BS106">
        <f t="shared" si="8"/>
      </c>
      <c r="BT106">
        <f t="shared" si="8"/>
      </c>
      <c r="BU106">
        <f t="shared" si="8"/>
      </c>
      <c r="BV106">
        <f t="shared" si="8"/>
      </c>
      <c r="BW106">
        <f t="shared" si="8"/>
      </c>
      <c r="BX106">
        <f t="shared" si="8"/>
      </c>
      <c r="BY106">
        <f t="shared" si="8"/>
      </c>
      <c r="BZ106">
        <f t="shared" si="8"/>
      </c>
      <c r="CA106">
        <f t="shared" si="8"/>
      </c>
      <c r="CB106">
        <f t="shared" si="8"/>
      </c>
      <c r="CC106">
        <f t="shared" si="8"/>
      </c>
      <c r="CD106">
        <f t="shared" si="8"/>
      </c>
      <c r="CE106">
        <f t="shared" si="8"/>
      </c>
      <c r="CF106">
        <f t="shared" si="8"/>
      </c>
      <c r="CG106">
        <f t="shared" si="8"/>
      </c>
      <c r="CH106">
        <f t="shared" si="8"/>
      </c>
      <c r="CI106">
        <f t="shared" si="8"/>
      </c>
      <c r="CJ106">
        <f t="shared" si="8"/>
      </c>
      <c r="CK106">
        <f t="shared" si="8"/>
      </c>
      <c r="CL106">
        <f t="shared" si="8"/>
      </c>
      <c r="CM106">
        <f t="shared" si="8"/>
      </c>
      <c r="CN106">
        <f t="shared" si="8"/>
      </c>
      <c r="CO106">
        <f t="shared" si="8"/>
      </c>
      <c r="CP106">
        <f t="shared" si="8"/>
      </c>
      <c r="CQ106">
        <f t="shared" si="8"/>
      </c>
      <c r="CR106">
        <f t="shared" si="8"/>
      </c>
      <c r="CS106">
        <f t="shared" si="8"/>
      </c>
      <c r="CT106">
        <f t="shared" si="8"/>
      </c>
      <c r="CU106">
        <f t="shared" si="8"/>
      </c>
      <c r="CV106">
        <f t="shared" si="8"/>
      </c>
      <c r="CW106">
        <f t="shared" si="8"/>
      </c>
      <c r="CX106">
        <f t="shared" si="8"/>
      </c>
      <c r="CY106">
        <f t="shared" si="8"/>
      </c>
      <c r="CZ106">
        <f t="shared" si="8"/>
      </c>
      <c r="DA106">
        <f t="shared" si="8"/>
      </c>
      <c r="DB106">
        <f t="shared" si="8"/>
      </c>
      <c r="DC106">
        <f t="shared" si="8"/>
      </c>
      <c r="DD106">
        <f t="shared" si="8"/>
      </c>
      <c r="DE106">
        <f t="shared" si="8"/>
      </c>
      <c r="DF106">
        <f t="shared" si="8"/>
      </c>
      <c r="DG106">
        <f t="shared" si="8"/>
      </c>
      <c r="DH106">
        <f t="shared" si="8"/>
      </c>
      <c r="DI106">
        <f t="shared" si="8"/>
      </c>
      <c r="DJ106">
        <f t="shared" si="8"/>
      </c>
      <c r="DK106">
        <f t="shared" si="8"/>
      </c>
      <c r="DL106">
        <f t="shared" si="8"/>
      </c>
      <c r="DM106">
        <f t="shared" si="8"/>
      </c>
      <c r="DN106">
        <f t="shared" si="8"/>
      </c>
      <c r="DO106">
        <f t="shared" si="8"/>
      </c>
      <c r="DP106">
        <f t="shared" si="8"/>
      </c>
      <c r="DQ106">
        <f t="shared" si="8"/>
      </c>
      <c r="DR106">
        <f t="shared" si="8"/>
      </c>
      <c r="DS106">
        <f t="shared" si="8"/>
      </c>
      <c r="DT106">
        <f t="shared" si="8"/>
      </c>
      <c r="DU106">
        <f t="shared" si="8"/>
      </c>
      <c r="DV106">
        <f t="shared" si="8"/>
      </c>
      <c r="DW106">
        <f t="shared" si="8"/>
      </c>
      <c r="DX106">
        <f t="shared" si="8"/>
      </c>
      <c r="DY106">
        <f t="shared" si="8"/>
      </c>
      <c r="DZ106">
        <f t="shared" si="8"/>
      </c>
      <c r="EA106">
        <f t="shared" si="8"/>
      </c>
      <c r="EB106">
        <f t="shared" si="8"/>
      </c>
      <c r="EC106">
        <f t="shared" si="8"/>
      </c>
      <c r="ED106">
        <f t="shared" si="8"/>
      </c>
      <c r="EE106">
        <f t="shared" si="8"/>
      </c>
      <c r="EF106">
        <f t="shared" si="8"/>
      </c>
      <c r="EG106">
        <f t="shared" si="8"/>
      </c>
      <c r="EH106">
        <f t="shared" si="8"/>
      </c>
      <c r="EI106">
        <f t="shared" si="8"/>
      </c>
      <c r="EJ106">
        <f t="shared" si="8"/>
      </c>
      <c r="EK106">
        <f t="shared" si="8"/>
      </c>
      <c r="EL106">
        <f t="shared" si="8"/>
      </c>
      <c r="EM106">
        <f t="shared" si="8"/>
      </c>
      <c r="EN106">
        <f t="shared" si="8"/>
      </c>
      <c r="EO106">
        <f t="shared" si="8"/>
      </c>
      <c r="EP106">
        <f t="shared" si="8"/>
      </c>
      <c r="EQ106">
        <f t="shared" si="8"/>
      </c>
      <c r="ER106">
        <f t="shared" si="8"/>
      </c>
      <c r="ES106">
        <f t="shared" si="8"/>
      </c>
      <c r="ET106">
        <f t="shared" si="8"/>
      </c>
      <c r="EU106">
        <f t="shared" si="8"/>
      </c>
      <c r="EV106">
        <f t="shared" si="8"/>
      </c>
      <c r="EW106">
        <f t="shared" si="8"/>
      </c>
      <c r="EX106">
        <f t="shared" si="8"/>
      </c>
      <c r="EY106">
        <f t="shared" si="8"/>
      </c>
      <c r="EZ106">
        <f t="shared" si="8"/>
      </c>
      <c r="FA106" t="str">
        <f t="shared" si="12"/>
        <v>-</v>
      </c>
      <c r="FB106">
        <f t="shared" si="13"/>
      </c>
      <c r="FC106" cm="1">
        <f t="array" ref="FC106">_xlfn.LET(_xlpm.unit_type,$G106,_xlpm.market_rent_from_rent_roll,$E106,_xlpm.unit_type_list,RentRoll_InputArea_DesignatedUnitType,_xlpm.rent_by_unit_type,RentRoll_InputArea_MarketRent,_xlpm.use_rent_roll_market_rent,LEFT(RR_VacantUnitMktRentSource,9)="Rent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06">
        <f t="shared" si="14"/>
        <v>1154</v>
      </c>
      <c r="FE106">
        <f t="shared" si="15"/>
        <v>1154</v>
      </c>
      <c r="FF106">
        <f t="shared" si="16"/>
        <v>1154</v>
      </c>
      <c r="FH106">
        <f t="shared" si="17"/>
      </c>
      <c r="FI106">
        <f t="shared" si="18"/>
      </c>
      <c r="FK106" cm="1">
        <f t="array" ref="FK106">IF(AND(LEN($D106)&gt;0,ISNA(MATCH(TRUE,EXACT($G106,RentRoll_InputArea_DesignatedUnitType),0))),1,0)</f>
        <v>0</v>
      </c>
      <c r="FL106">
        <f t="shared" si="19"/>
        <v>83</v>
      </c>
      <c r="IO106" cm="1">
        <f t="array" ref="IO106">IF(LEN($G106)=0,"Rent Roll is incomplete",_xlfn.XLOOKUP(TRUE,EXACT(RentRoll_InputArea_DesignatedUnitType,$G106),RentRoll_InputArea_Beds,"Not Found"))</f>
        <v>0</v>
      </c>
      <c r="IQ106" t="str">
        <f t="shared" si="20"/>
        <v>0 Bedroom Unit (Efficiency/Studio)</v>
      </c>
      <c r="IR106">
        <f t="shared" si="21"/>
        <v>1154</v>
      </c>
      <c r="IW106" t="str">
        <f t="shared" si="22"/>
        <v>7-708</v>
      </c>
      <c r="IZ106">
        <f t="shared" si="23"/>
        <v>0</v>
      </c>
      <c r="JA106">
        <f t="shared" si="24"/>
        <v>1154</v>
      </c>
      <c r="JH106">
        <f t="shared" si="25"/>
        <v>1217</v>
      </c>
      <c r="JJ106">
        <f t="shared" si="26"/>
      </c>
      <c r="JQ106" t="str">
        <f t="shared" si="27"/>
        <v>Occupied</v>
      </c>
      <c r="JR106" cm="1">
        <f t="array" ref="JR106">_xlfn.XLOOKUP(TRUE,EXACT(RentRoll_InputArea_DesignatedUnitType,$G106),RentRoll_InputArea_SquareFootage,"Not Found")</f>
        <v>800</v>
      </c>
      <c r="JS106" t="str">
        <f t="shared" si="28"/>
        <v>Apartment</v>
      </c>
      <c r="JT106">
        <f t="shared" si="29"/>
      </c>
      <c r="JY106">
        <f t="shared" si="9"/>
        <v>43427</v>
      </c>
      <c r="JZ106">
        <f t="shared" si="9"/>
        <v>43708</v>
      </c>
    </row>
    <row r="107" ht="15" customHeight="1">
      <c r="A107">
        <f t="shared" si="10"/>
        <v>84</v>
      </c>
      <c r="D107" t="s">
        <v>2909</v>
      </c>
      <c r="E107">
        <v>1259</v>
      </c>
      <c r="F107" t="s">
        <v>2910</v>
      </c>
      <c r="G107" t="s">
        <v>2530</v>
      </c>
      <c r="H107">
        <v>1146</v>
      </c>
      <c r="I107" cm="1">
        <f t="array" ref="I107">_xlfn.LET(_xlpm.has_subsidy,$N107&gt;0,_xlpm.is_chap9_sbl,$FF$20,_xlpm.contract_rent,$H107,_xlpm.unit_type_mkt_rent,_xlfn.XLOOKUP(TRUE,EXACT($G107,RentRoll_InputArea_DesignatedUnitType),RentRoll_InputArea_MarketRent,"Not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7">
        <f t="shared" si="11"/>
        <v>1146</v>
      </c>
      <c r="O107" s="1">
        <v>43420</v>
      </c>
      <c r="P107" s="1">
        <v>43646</v>
      </c>
      <c r="Q107">
        <f t="shared" si="8"/>
      </c>
      <c r="R107">
        <f t="shared" si="8"/>
        <v>1146</v>
      </c>
      <c r="S107">
        <f t="shared" si="8"/>
      </c>
      <c r="T107">
        <f t="shared" si="8"/>
      </c>
      <c r="U107">
        <f t="shared" si="8"/>
      </c>
      <c r="V107">
        <f t="shared" si="8"/>
      </c>
      <c r="W107">
        <f t="shared" si="8"/>
      </c>
      <c r="X107">
        <f t="shared" si="8"/>
      </c>
      <c r="Y107">
        <f t="shared" si="8"/>
      </c>
      <c r="Z107">
        <f t="shared" si="8"/>
      </c>
      <c r="AA107">
        <f t="shared" si="8"/>
      </c>
      <c r="AB107">
        <f t="shared" si="8"/>
      </c>
      <c r="AC107">
        <f t="shared" si="8"/>
      </c>
      <c r="AD107">
        <f t="shared" si="8"/>
      </c>
      <c r="AE107">
        <f t="shared" si="8"/>
      </c>
      <c r="AF107">
        <f t="shared" si="8"/>
      </c>
      <c r="AG107">
        <f t="shared" si="8"/>
      </c>
      <c r="AH107">
        <f t="shared" si="8"/>
      </c>
      <c r="AI107">
        <f t="shared" si="8"/>
      </c>
      <c r="AJ107">
        <f t="shared" si="8"/>
      </c>
      <c r="AK107">
        <f t="shared" si="8"/>
      </c>
      <c r="AL107">
        <f t="shared" si="8"/>
      </c>
      <c r="AM107">
        <f t="shared" si="8"/>
      </c>
      <c r="AN107">
        <f t="shared" si="8"/>
      </c>
      <c r="AO107">
        <f t="shared" si="8"/>
      </c>
      <c r="AP107">
        <f t="shared" si="8"/>
      </c>
      <c r="AQ107">
        <f t="shared" si="8"/>
      </c>
      <c r="AR107">
        <f t="shared" si="8"/>
      </c>
      <c r="AS107">
        <f t="shared" si="8"/>
      </c>
      <c r="AT107">
        <f t="shared" si="8"/>
      </c>
      <c r="AU107">
        <f t="shared" si="8"/>
      </c>
      <c r="AV107">
        <f t="shared" si="8"/>
      </c>
      <c r="AW107">
        <f t="shared" si="8"/>
      </c>
      <c r="AX107">
        <f t="shared" si="8"/>
      </c>
      <c r="AY107">
        <f t="shared" si="8"/>
      </c>
      <c r="AZ107">
        <f t="shared" si="8"/>
      </c>
      <c r="BA107">
        <f t="shared" si="8"/>
      </c>
      <c r="BB107">
        <f t="shared" si="8"/>
      </c>
      <c r="BC107">
        <f t="shared" si="8"/>
      </c>
      <c r="BD107">
        <f t="shared" si="8"/>
      </c>
      <c r="BE107">
        <f t="shared" si="8"/>
      </c>
      <c r="BF107">
        <f t="shared" si="8"/>
      </c>
      <c r="BG107">
        <f t="shared" si="8"/>
      </c>
      <c r="BH107">
        <f t="shared" si="8"/>
      </c>
      <c r="BI107">
        <f t="shared" si="8"/>
      </c>
      <c r="BJ107">
        <f t="shared" si="8"/>
      </c>
      <c r="BK107">
        <f t="shared" si="8"/>
      </c>
      <c r="BL107">
        <f t="shared" si="8"/>
      </c>
      <c r="BM107">
        <f t="shared" si="8"/>
      </c>
      <c r="BN107">
        <f t="shared" si="8"/>
      </c>
      <c r="BO107">
        <f t="shared" si="8"/>
      </c>
      <c r="BP107">
        <f t="shared" si="8"/>
      </c>
      <c r="BQ107">
        <f t="shared" si="8"/>
      </c>
      <c r="BR107">
        <f t="shared" si="8"/>
      </c>
      <c r="BS107">
        <f t="shared" si="8"/>
      </c>
      <c r="BT107">
        <f t="shared" si="8"/>
      </c>
      <c r="BU107">
        <f t="shared" si="8"/>
      </c>
      <c r="BV107">
        <f t="shared" si="8"/>
      </c>
      <c r="BW107">
        <f t="shared" si="8"/>
      </c>
      <c r="BX107">
        <f t="shared" si="8"/>
      </c>
      <c r="BY107">
        <f t="shared" si="8"/>
      </c>
      <c r="BZ107">
        <f t="shared" si="8"/>
      </c>
      <c r="CA107">
        <f t="shared" si="8"/>
      </c>
      <c r="CB107">
        <f t="shared" si="8"/>
      </c>
      <c r="CC107">
        <f t="shared" si="8"/>
      </c>
      <c r="CD107">
        <f t="shared" si="8"/>
      </c>
      <c r="CE107">
        <f t="shared" si="8"/>
      </c>
      <c r="CF107">
        <f t="shared" si="8"/>
      </c>
      <c r="CG107">
        <f t="shared" si="8"/>
      </c>
      <c r="CH107">
        <f t="shared" si="8"/>
      </c>
      <c r="CI107">
        <f t="shared" si="8"/>
      </c>
      <c r="CJ107">
        <f t="shared" si="8"/>
      </c>
      <c r="CK107">
        <f t="shared" si="8"/>
      </c>
      <c r="CL107">
        <f t="shared" si="8"/>
      </c>
      <c r="CM107">
        <f t="shared" si="8"/>
      </c>
      <c r="CN107">
        <f t="shared" si="8"/>
      </c>
      <c r="CO107">
        <f t="shared" si="8"/>
      </c>
      <c r="CP107">
        <f t="shared" si="8"/>
      </c>
      <c r="CQ107">
        <f t="shared" si="8"/>
      </c>
      <c r="CR107">
        <f t="shared" si="8"/>
      </c>
      <c r="CS107">
        <f t="shared" si="8"/>
      </c>
      <c r="CT107">
        <f t="shared" si="8"/>
      </c>
      <c r="CU107">
        <f t="shared" si="8"/>
      </c>
      <c r="CV107">
        <f t="shared" si="8"/>
      </c>
      <c r="CW107">
        <f t="shared" si="8"/>
      </c>
      <c r="CX107">
        <f t="shared" si="8"/>
      </c>
      <c r="CY107">
        <f t="shared" si="8"/>
      </c>
      <c r="CZ107">
        <f t="shared" si="8"/>
      </c>
      <c r="DA107">
        <f t="shared" si="8"/>
      </c>
      <c r="DB107">
        <f t="shared" si="8"/>
      </c>
      <c r="DC107">
        <f t="shared" si="8"/>
      </c>
      <c r="DD107">
        <f t="shared" si="8"/>
      </c>
      <c r="DE107">
        <f t="shared" si="8"/>
      </c>
      <c r="DF107">
        <f t="shared" si="8"/>
      </c>
      <c r="DG107">
        <f t="shared" si="8"/>
      </c>
      <c r="DH107">
        <f t="shared" si="8"/>
      </c>
      <c r="DI107">
        <f t="shared" si="8"/>
      </c>
      <c r="DJ107">
        <f t="shared" si="8"/>
      </c>
      <c r="DK107">
        <f t="shared" si="8"/>
      </c>
      <c r="DL107">
        <f t="shared" si="8"/>
      </c>
      <c r="DM107">
        <f t="shared" si="8"/>
      </c>
      <c r="DN107">
        <f t="shared" si="8"/>
      </c>
      <c r="DO107">
        <f t="shared" si="8"/>
      </c>
      <c r="DP107">
        <f t="shared" si="8"/>
      </c>
      <c r="DQ107">
        <f t="shared" si="8"/>
      </c>
      <c r="DR107">
        <f t="shared" si="8"/>
      </c>
      <c r="DS107">
        <f t="shared" si="8"/>
      </c>
      <c r="DT107">
        <f t="shared" si="8"/>
      </c>
      <c r="DU107">
        <f t="shared" si="8"/>
      </c>
      <c r="DV107">
        <f t="shared" si="8"/>
      </c>
      <c r="DW107">
        <f t="shared" si="8"/>
      </c>
      <c r="DX107">
        <f t="shared" si="8"/>
      </c>
      <c r="DY107">
        <f t="shared" si="8"/>
      </c>
      <c r="DZ107">
        <f t="shared" si="8"/>
      </c>
      <c r="EA107">
        <f t="shared" si="8"/>
      </c>
      <c r="EB107">
        <f t="shared" si="8"/>
      </c>
      <c r="EC107">
        <f t="shared" si="8"/>
      </c>
      <c r="ED107">
        <f t="shared" si="8"/>
      </c>
      <c r="EE107">
        <f t="shared" si="8"/>
      </c>
      <c r="EF107">
        <f t="shared" si="8"/>
      </c>
      <c r="EG107">
        <f t="shared" si="8"/>
      </c>
      <c r="EH107">
        <f t="shared" si="8"/>
      </c>
      <c r="EI107">
        <f t="shared" si="8"/>
      </c>
      <c r="EJ107">
        <f t="shared" si="8"/>
      </c>
      <c r="EK107">
        <f t="shared" si="8"/>
      </c>
      <c r="EL107">
        <f t="shared" si="8"/>
      </c>
      <c r="EM107">
        <f t="shared" si="8"/>
      </c>
      <c r="EN107">
        <f t="shared" si="8"/>
      </c>
      <c r="EO107">
        <f t="shared" si="8"/>
      </c>
      <c r="EP107">
        <f t="shared" si="8"/>
      </c>
      <c r="EQ107">
        <f t="shared" si="8"/>
      </c>
      <c r="ER107">
        <f t="shared" si="8"/>
      </c>
      <c r="ES107">
        <f t="shared" si="8"/>
      </c>
      <c r="ET107">
        <f t="shared" si="8"/>
      </c>
      <c r="EU107">
        <f t="shared" si="8"/>
      </c>
      <c r="EV107">
        <f t="shared" si="8"/>
      </c>
      <c r="EW107">
        <f t="shared" si="8"/>
      </c>
      <c r="EX107">
        <f t="shared" si="8"/>
      </c>
      <c r="EY107">
        <f t="shared" si="8"/>
      </c>
      <c r="EZ107">
        <f t="shared" si="8"/>
      </c>
      <c r="FA107" t="str">
        <f t="shared" si="12"/>
        <v>-</v>
      </c>
      <c r="FB107">
        <f t="shared" si="13"/>
      </c>
      <c r="FC107" cm="1">
        <f t="array" ref="FC107">_xlfn.LET(_xlpm.unit_type,$G107,_xlpm.market_rent_from_rent_roll,$E107,_xlpm.unit_type_list,RentRoll_InputArea_DesignatedUnitType,_xlpm.rent_by_unit_type,RentRoll_InputArea_MarketRent,_xlpm.use_rent_roll_market_rent,LEFT(RR_VacantUnitMktRentSource,9)="Rent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07">
        <f t="shared" si="14"/>
        <v>1146</v>
      </c>
      <c r="FE107">
        <f t="shared" si="15"/>
        <v>1146</v>
      </c>
      <c r="FF107">
        <f t="shared" si="16"/>
        <v>1146</v>
      </c>
      <c r="FH107">
        <f t="shared" si="17"/>
      </c>
      <c r="FI107">
        <f t="shared" si="18"/>
      </c>
      <c r="FK107" cm="1">
        <f t="array" ref="FK107">IF(AND(LEN($D107)&gt;0,ISNA(MATCH(TRUE,EXACT($G107,RentRoll_InputArea_DesignatedUnitType),0))),1,0)</f>
        <v>0</v>
      </c>
      <c r="FL107">
        <f t="shared" si="19"/>
        <v>84</v>
      </c>
      <c r="IO107" cm="1">
        <f t="array" ref="IO107">IF(LEN($G107)=0,"Rent Roll is incomplete",_xlfn.XLOOKUP(TRUE,EXACT(RentRoll_InputArea_DesignatedUnitType,$G107),RentRoll_InputArea_Beds,"Not Found"))</f>
        <v>0</v>
      </c>
      <c r="IQ107" t="str">
        <f t="shared" si="20"/>
        <v>0 Bedroom Unit (Efficiency/Studio)</v>
      </c>
      <c r="IR107">
        <f t="shared" si="21"/>
        <v>1146</v>
      </c>
      <c r="IW107" t="str">
        <f t="shared" si="22"/>
        <v>7-709</v>
      </c>
      <c r="IZ107">
        <f t="shared" si="23"/>
        <v>0</v>
      </c>
      <c r="JA107">
        <f t="shared" si="24"/>
        <v>1146</v>
      </c>
      <c r="JH107">
        <f t="shared" si="25"/>
        <v>1217</v>
      </c>
      <c r="JJ107">
        <f t="shared" si="26"/>
      </c>
      <c r="JQ107" t="str">
        <f t="shared" si="27"/>
        <v>Occupied</v>
      </c>
      <c r="JR107" cm="1">
        <f t="array" ref="JR107">_xlfn.XLOOKUP(TRUE,EXACT(RentRoll_InputArea_DesignatedUnitType,$G107),RentRoll_InputArea_SquareFootage,"Not Found")</f>
        <v>800</v>
      </c>
      <c r="JS107" t="str">
        <f t="shared" si="28"/>
        <v>Apartment</v>
      </c>
      <c r="JT107">
        <f t="shared" si="29"/>
      </c>
      <c r="JY107">
        <f t="shared" si="9"/>
        <v>43420</v>
      </c>
      <c r="JZ107">
        <f t="shared" si="9"/>
        <v>43646</v>
      </c>
    </row>
    <row r="108" ht="15" customHeight="1">
      <c r="A108">
        <f t="shared" si="10"/>
        <v>85</v>
      </c>
      <c r="D108" t="s">
        <v>2911</v>
      </c>
      <c r="E108">
        <v>1262</v>
      </c>
      <c r="F108" t="s">
        <v>2912</v>
      </c>
      <c r="G108" t="s">
        <v>2530</v>
      </c>
      <c r="H108">
        <v>1235</v>
      </c>
      <c r="I108" cm="1">
        <f t="array" ref="I108">_xlfn.LET(_xlpm.has_subsidy,$N108&gt;0,_xlpm.is_chap9_sbl,$FF$20,_xlpm.contract_rent,$H108,_xlpm.unit_type_mkt_rent,_xlfn.XLOOKUP(TRUE,EXACT($G108,RentRoll_InputArea_DesignatedUnitType),RentRoll_InputArea_MarketRent,"Not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8">
        <f t="shared" si="11"/>
        <v>1235</v>
      </c>
      <c r="O108" s="1">
        <v>43487</v>
      </c>
      <c r="P108" s="1">
        <v>43769</v>
      </c>
      <c r="Q108">
        <f t="shared" si="8"/>
      </c>
      <c r="R108">
        <f t="shared" si="8"/>
        <v>1235</v>
      </c>
      <c r="S108">
        <f t="shared" si="8"/>
      </c>
      <c r="T108">
        <f t="shared" si="8"/>
      </c>
      <c r="U108">
        <f t="shared" si="8"/>
      </c>
      <c r="V108">
        <f t="shared" si="8"/>
      </c>
      <c r="W108">
        <f t="shared" si="8"/>
      </c>
      <c r="X108">
        <f t="shared" si="8"/>
      </c>
      <c r="Y108">
        <f t="shared" si="8"/>
      </c>
      <c r="Z108">
        <f t="shared" si="8"/>
      </c>
      <c r="AA108">
        <f t="shared" si="8"/>
      </c>
      <c r="AB108">
        <f t="shared" si="8"/>
      </c>
      <c r="AC108">
        <f t="shared" si="8"/>
      </c>
      <c r="AD108">
        <f t="shared" si="8"/>
      </c>
      <c r="AE108">
        <f t="shared" si="8"/>
      </c>
      <c r="AF108">
        <f t="shared" si="8"/>
      </c>
      <c r="AG108">
        <f t="shared" si="8"/>
      </c>
      <c r="AH108">
        <f t="shared" si="8"/>
      </c>
      <c r="AI108">
        <f t="shared" si="8"/>
      </c>
      <c r="AJ108">
        <f t="shared" si="8"/>
      </c>
      <c r="AK108">
        <f t="shared" si="8"/>
      </c>
      <c r="AL108">
        <f t="shared" si="8"/>
      </c>
      <c r="AM108">
        <f t="shared" si="8"/>
      </c>
      <c r="AN108">
        <f t="shared" si="8"/>
      </c>
      <c r="AO108">
        <f t="shared" si="8"/>
      </c>
      <c r="AP108">
        <f t="shared" si="8"/>
      </c>
      <c r="AQ108">
        <f t="shared" si="8"/>
      </c>
      <c r="AR108">
        <f t="shared" si="8"/>
      </c>
      <c r="AS108">
        <f t="shared" si="8"/>
      </c>
      <c r="AT108">
        <f t="shared" si="8"/>
      </c>
      <c r="AU108">
        <f t="shared" si="8"/>
      </c>
      <c r="AV108">
        <f t="shared" si="8"/>
      </c>
      <c r="AW108">
        <f t="shared" si="8"/>
      </c>
      <c r="AX108">
        <f t="shared" si="8"/>
      </c>
      <c r="AY108">
        <f t="shared" si="8"/>
      </c>
      <c r="AZ108">
        <f t="shared" si="8"/>
      </c>
      <c r="BA108">
        <f t="shared" si="8"/>
      </c>
      <c r="BB108">
        <f t="shared" si="8"/>
      </c>
      <c r="BC108">
        <f t="shared" si="8"/>
      </c>
      <c r="BD108">
        <f t="shared" si="8"/>
      </c>
      <c r="BE108">
        <f t="shared" si="8"/>
      </c>
      <c r="BF108">
        <f t="shared" si="8"/>
      </c>
      <c r="BG108">
        <f t="shared" si="8"/>
      </c>
      <c r="BH108">
        <f t="shared" si="8"/>
      </c>
      <c r="BI108">
        <f t="shared" si="8"/>
      </c>
      <c r="BJ108">
        <f t="shared" si="8"/>
      </c>
      <c r="BK108">
        <f t="shared" si="8"/>
      </c>
      <c r="BL108">
        <f t="shared" si="8"/>
      </c>
      <c r="BM108">
        <f t="shared" si="8"/>
      </c>
      <c r="BN108">
        <f t="shared" si="8"/>
      </c>
      <c r="BO108">
        <f t="shared" si="8"/>
      </c>
      <c r="BP108">
        <f t="shared" si="8"/>
      </c>
      <c r="BQ108">
        <f t="shared" si="8"/>
      </c>
      <c r="BR108">
        <f t="shared" si="8"/>
      </c>
      <c r="BS108">
        <f t="shared" si="8"/>
      </c>
      <c r="BT108">
        <f t="shared" si="8"/>
      </c>
      <c r="BU108">
        <f t="shared" si="8"/>
      </c>
      <c r="BV108">
        <f t="shared" si="8"/>
      </c>
      <c r="BW108">
        <f t="shared" si="8"/>
      </c>
      <c r="BX108">
        <f t="shared" si="8"/>
      </c>
      <c r="BY108">
        <f t="shared" si="8"/>
      </c>
      <c r="BZ108">
        <f t="shared" si="8"/>
      </c>
      <c r="CA108">
        <f t="shared" si="8"/>
      </c>
      <c r="CB108">
        <f t="shared" si="8"/>
      </c>
      <c r="CC108">
        <f t="shared" si="8"/>
      </c>
      <c r="CD108">
        <f t="shared" si="8"/>
      </c>
      <c r="CE108">
        <f t="shared" si="8"/>
      </c>
      <c r="CF108">
        <f t="shared" si="8"/>
      </c>
      <c r="CG108">
        <f t="shared" si="8"/>
      </c>
      <c r="CH108">
        <f t="shared" si="8"/>
      </c>
      <c r="CI108">
        <f t="shared" si="8"/>
      </c>
      <c r="CJ108">
        <f t="shared" si="8"/>
      </c>
      <c r="CK108">
        <f t="shared" si="8"/>
      </c>
      <c r="CL108">
        <f t="shared" si="8"/>
      </c>
      <c r="CM108">
        <f t="shared" si="8"/>
      </c>
      <c r="CN108">
        <f t="shared" si="8"/>
      </c>
      <c r="CO108">
        <f t="shared" si="8"/>
      </c>
      <c r="CP108">
        <f t="shared" si="8"/>
      </c>
      <c r="CQ108">
        <f t="shared" si="8"/>
      </c>
      <c r="CR108">
        <f t="shared" si="8"/>
      </c>
      <c r="CS108">
        <f t="shared" si="8"/>
      </c>
      <c r="CT108">
        <f t="shared" si="8"/>
      </c>
      <c r="CU108">
        <f t="shared" si="8"/>
      </c>
      <c r="CV108">
        <f t="shared" si="8"/>
      </c>
      <c r="CW108">
        <f t="shared" si="8"/>
      </c>
      <c r="CX108">
        <f t="shared" si="8"/>
      </c>
      <c r="CY108">
        <f t="shared" si="8"/>
      </c>
      <c r="CZ108">
        <f t="shared" si="8"/>
      </c>
      <c r="DA108">
        <f t="shared" si="8"/>
      </c>
      <c r="DB108">
        <f t="shared" si="8"/>
      </c>
      <c r="DC108">
        <f t="shared" si="8"/>
      </c>
      <c r="DD108">
        <f t="shared" si="8"/>
      </c>
      <c r="DE108">
        <f t="shared" si="8"/>
      </c>
      <c r="DF108">
        <f t="shared" si="8"/>
      </c>
      <c r="DG108">
        <f t="shared" si="8"/>
      </c>
      <c r="DH108">
        <f t="shared" si="8"/>
      </c>
      <c r="DI108">
        <f t="shared" si="8"/>
      </c>
      <c r="DJ108">
        <f t="shared" si="8"/>
      </c>
      <c r="DK108">
        <f t="shared" si="8"/>
      </c>
      <c r="DL108">
        <f t="shared" si="8"/>
      </c>
      <c r="DM108">
        <f t="shared" si="8"/>
      </c>
      <c r="DN108">
        <f t="shared" si="8"/>
      </c>
      <c r="DO108">
        <f t="shared" si="8"/>
      </c>
      <c r="DP108">
        <f t="shared" si="8"/>
      </c>
      <c r="DQ108">
        <f t="shared" si="8"/>
      </c>
      <c r="DR108">
        <f t="shared" si="8"/>
      </c>
      <c r="DS108">
        <f t="shared" si="8"/>
      </c>
      <c r="DT108">
        <f t="shared" si="8"/>
      </c>
      <c r="DU108">
        <f t="shared" si="8"/>
      </c>
      <c r="DV108">
        <f t="shared" si="8"/>
      </c>
      <c r="DW108">
        <f t="shared" si="8"/>
      </c>
      <c r="DX108">
        <f t="shared" si="8"/>
      </c>
      <c r="DY108">
        <f t="shared" si="8"/>
      </c>
      <c r="DZ108">
        <f t="shared" si="8"/>
      </c>
      <c r="EA108">
        <f t="shared" si="8"/>
      </c>
      <c r="EB108">
        <f t="shared" si="8"/>
      </c>
      <c r="EC108">
        <f t="shared" si="8"/>
      </c>
      <c r="ED108">
        <f t="shared" si="8"/>
      </c>
      <c r="EE108">
        <f t="shared" si="8"/>
      </c>
      <c r="EF108">
        <f t="shared" si="8"/>
      </c>
      <c r="EG108">
        <f t="shared" si="8"/>
      </c>
      <c r="EH108">
        <f t="shared" si="8"/>
      </c>
      <c r="EI108">
        <f t="shared" si="8"/>
      </c>
      <c r="EJ108">
        <f t="shared" si="8"/>
      </c>
      <c r="EK108">
        <f t="shared" si="8"/>
      </c>
      <c r="EL108">
        <f t="shared" si="8"/>
      </c>
      <c r="EM108">
        <f t="shared" si="8"/>
      </c>
      <c r="EN108">
        <f t="shared" si="8"/>
      </c>
      <c r="EO108">
        <f t="shared" si="8"/>
      </c>
      <c r="EP108">
        <f t="shared" si="8"/>
      </c>
      <c r="EQ108">
        <f t="shared" si="8"/>
      </c>
      <c r="ER108">
        <f t="shared" si="8"/>
      </c>
      <c r="ES108">
        <f t="shared" si="8"/>
      </c>
      <c r="ET108">
        <f t="shared" si="8"/>
      </c>
      <c r="EU108">
        <f t="shared" si="8"/>
      </c>
      <c r="EV108">
        <f t="shared" si="8"/>
      </c>
      <c r="EW108">
        <f t="shared" si="8"/>
      </c>
      <c r="EX108">
        <f t="shared" si="8"/>
      </c>
      <c r="EY108">
        <f t="shared" si="8"/>
      </c>
      <c r="EZ108">
        <f t="shared" si="8"/>
      </c>
      <c r="FA108" t="str">
        <f t="shared" si="12"/>
        <v>-</v>
      </c>
      <c r="FB108">
        <f t="shared" si="13"/>
      </c>
      <c r="FC108" cm="1">
        <f t="array" ref="FC108">_xlfn.LET(_xlpm.unit_type,$G108,_xlpm.market_rent_from_rent_roll,$E108,_xlpm.unit_type_list,RentRoll_InputArea_DesignatedUnitType,_xlpm.rent_by_unit_type,RentRoll_InputArea_MarketRent,_xlpm.use_rent_roll_market_rent,LEFT(RR_VacantUnitMktRentSource,9)="Rent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08">
        <f t="shared" si="14"/>
        <v>1235</v>
      </c>
      <c r="FE108">
        <f t="shared" si="15"/>
        <v>1235</v>
      </c>
      <c r="FF108">
        <f t="shared" si="16"/>
        <v>1235</v>
      </c>
      <c r="FH108">
        <f t="shared" si="17"/>
      </c>
      <c r="FI108">
        <f t="shared" si="18"/>
      </c>
      <c r="FK108" cm="1">
        <f t="array" ref="FK108">IF(AND(LEN($D108)&gt;0,ISNA(MATCH(TRUE,EXACT($G108,RentRoll_InputArea_DesignatedUnitType),0))),1,0)</f>
        <v>0</v>
      </c>
      <c r="FL108">
        <f t="shared" si="19"/>
        <v>85</v>
      </c>
      <c r="IO108" cm="1">
        <f t="array" ref="IO108">IF(LEN($G108)=0,"Rent Roll is incomplete",_xlfn.XLOOKUP(TRUE,EXACT(RentRoll_InputArea_DesignatedUnitType,$G108),RentRoll_InputArea_Beds,"Not Found"))</f>
        <v>0</v>
      </c>
      <c r="IQ108" t="str">
        <f t="shared" si="20"/>
        <v>0 Bedroom Unit (Efficiency/Studio)</v>
      </c>
      <c r="IR108">
        <f t="shared" si="21"/>
        <v>1235</v>
      </c>
      <c r="IW108" t="str">
        <f t="shared" si="22"/>
        <v>7-710</v>
      </c>
      <c r="IZ108">
        <f t="shared" si="23"/>
        <v>0</v>
      </c>
      <c r="JA108">
        <f t="shared" si="24"/>
        <v>1235</v>
      </c>
      <c r="JH108">
        <f t="shared" si="25"/>
        <v>1217</v>
      </c>
      <c r="JJ108">
        <f t="shared" si="26"/>
      </c>
      <c r="JQ108" t="str">
        <f t="shared" si="27"/>
        <v>Occupied</v>
      </c>
      <c r="JR108" cm="1">
        <f t="array" ref="JR108">_xlfn.XLOOKUP(TRUE,EXACT(RentRoll_InputArea_DesignatedUnitType,$G108),RentRoll_InputArea_SquareFootage,"Not Found")</f>
        <v>800</v>
      </c>
      <c r="JS108" t="str">
        <f t="shared" si="28"/>
        <v>Apartment</v>
      </c>
      <c r="JT108">
        <f t="shared" si="29"/>
      </c>
      <c r="JY108">
        <f t="shared" si="9"/>
        <v>43487</v>
      </c>
      <c r="JZ108">
        <f t="shared" si="9"/>
        <v>43769</v>
      </c>
    </row>
    <row r="109" ht="15" customHeight="1">
      <c r="A109">
        <f t="shared" si="10"/>
        <v>86</v>
      </c>
      <c r="D109" t="s">
        <v>2913</v>
      </c>
      <c r="E109">
        <v>1190</v>
      </c>
      <c r="F109" t="s">
        <v>2914</v>
      </c>
      <c r="G109" t="s">
        <v>2530</v>
      </c>
      <c r="H109">
        <v>1216</v>
      </c>
      <c r="I109" cm="1">
        <f t="array" ref="I109">_xlfn.LET(_xlpm.has_subsidy,$N109&gt;0,_xlpm.is_chap9_sbl,$FF$20,_xlpm.contract_rent,$H109,_xlpm.unit_type_mkt_rent,_xlfn.XLOOKUP(TRUE,EXACT($G109,RentRoll_InputArea_DesignatedUnitType),RentRoll_InputArea_MarketRent,"Not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09">
        <f t="shared" si="11"/>
        <v>1216</v>
      </c>
      <c r="O109" s="1">
        <v>43525</v>
      </c>
      <c r="P109" s="1">
        <v>43738</v>
      </c>
      <c r="Q109">
        <f t="shared" si="8"/>
      </c>
      <c r="R109">
        <f t="shared" si="8"/>
        <v>1216</v>
      </c>
      <c r="S109">
        <f t="shared" si="8"/>
      </c>
      <c r="T109">
        <f t="shared" si="8"/>
      </c>
      <c r="U109">
        <f t="shared" si="8"/>
      </c>
      <c r="V109">
        <f t="shared" si="8"/>
      </c>
      <c r="W109">
        <f t="shared" si="8"/>
      </c>
      <c r="X109">
        <f t="shared" si="8"/>
      </c>
      <c r="Y109">
        <f t="shared" si="8"/>
      </c>
      <c r="Z109">
        <f t="shared" si="8"/>
      </c>
      <c r="AA109">
        <f t="shared" si="8"/>
      </c>
      <c r="AB109">
        <f t="shared" si="8"/>
      </c>
      <c r="AC109">
        <f t="shared" si="8"/>
      </c>
      <c r="AD109">
        <f t="shared" si="8"/>
      </c>
      <c r="AE109">
        <f t="shared" si="8"/>
      </c>
      <c r="AF109">
        <f t="shared" si="8"/>
      </c>
      <c r="AG109">
        <f t="shared" si="8"/>
      </c>
      <c r="AH109">
        <f t="shared" si="8"/>
      </c>
      <c r="AI109">
        <f t="shared" si="8"/>
      </c>
      <c r="AJ109">
        <f t="shared" si="8"/>
      </c>
      <c r="AK109">
        <f t="shared" si="8"/>
      </c>
      <c r="AL109">
        <f t="shared" si="8"/>
      </c>
      <c r="AM109">
        <f t="shared" si="8"/>
      </c>
      <c r="AN109">
        <f t="shared" si="8"/>
      </c>
      <c r="AO109">
        <f t="shared" si="8"/>
      </c>
      <c r="AP109">
        <f t="shared" si="8"/>
      </c>
      <c r="AQ109">
        <f t="shared" si="8"/>
      </c>
      <c r="AR109">
        <f t="shared" si="8"/>
      </c>
      <c r="AS109">
        <f t="shared" si="8"/>
      </c>
      <c r="AT109">
        <f t="shared" si="8"/>
      </c>
      <c r="AU109">
        <f t="shared" si="8"/>
      </c>
      <c r="AV109">
        <f t="shared" si="8"/>
      </c>
      <c r="AW109">
        <f t="shared" si="8"/>
      </c>
      <c r="AX109">
        <f t="shared" si="8"/>
      </c>
      <c r="AY109">
        <f t="shared" si="8"/>
      </c>
      <c r="AZ109">
        <f t="shared" si="8"/>
      </c>
      <c r="BA109">
        <f t="shared" si="8"/>
      </c>
      <c r="BB109">
        <f t="shared" si="8"/>
      </c>
      <c r="BC109">
        <f t="shared" si="8"/>
      </c>
      <c r="BD109">
        <f t="shared" si="8"/>
      </c>
      <c r="BE109">
        <f t="shared" si="8"/>
      </c>
      <c r="BF109">
        <f t="shared" si="8"/>
      </c>
      <c r="BG109">
        <f t="shared" si="8"/>
      </c>
      <c r="BH109">
        <f t="shared" si="8"/>
      </c>
      <c r="BI109">
        <f t="shared" si="8"/>
      </c>
      <c r="BJ109">
        <f t="shared" si="8"/>
      </c>
      <c r="BK109">
        <f t="shared" si="8"/>
      </c>
      <c r="BL109">
        <f t="shared" si="8"/>
      </c>
      <c r="BM109">
        <f t="shared" si="8"/>
      </c>
      <c r="BN109">
        <f t="shared" si="8"/>
      </c>
      <c r="BO109">
        <f t="shared" si="8"/>
      </c>
      <c r="BP109">
        <f t="shared" si="8"/>
      </c>
      <c r="BQ109">
        <f t="shared" si="8"/>
      </c>
      <c r="BR109">
        <f t="shared" si="8"/>
      </c>
      <c r="BS109">
        <f t="shared" si="8"/>
      </c>
      <c r="BT109">
        <f t="shared" si="8"/>
      </c>
      <c r="BU109">
        <f t="shared" si="8"/>
      </c>
      <c r="BV109">
        <f t="shared" si="8"/>
      </c>
      <c r="BW109">
        <f t="shared" si="8"/>
      </c>
      <c r="BX109">
        <f t="shared" si="8"/>
      </c>
      <c r="BY109">
        <f t="shared" si="8"/>
      </c>
      <c r="BZ109">
        <f t="shared" si="8"/>
      </c>
      <c r="CA109">
        <f t="shared" si="8"/>
      </c>
      <c r="CB109">
        <f t="shared" si="8"/>
      </c>
      <c r="CC109">
        <f t="shared" si="8"/>
      </c>
      <c r="CD109">
        <f t="shared" si="8"/>
      </c>
      <c r="CE109">
        <f t="shared" si="8"/>
      </c>
      <c r="CF109">
        <f t="shared" si="8"/>
      </c>
      <c r="CG109">
        <f t="shared" si="8"/>
      </c>
      <c r="CH109">
        <f t="shared" si="8"/>
      </c>
      <c r="CI109">
        <f t="shared" si="8"/>
      </c>
      <c r="CJ109">
        <f t="shared" si="8"/>
      </c>
      <c r="CK109">
        <f t="shared" si="8"/>
      </c>
      <c r="CL109">
        <f t="shared" si="8"/>
      </c>
      <c r="CM109">
        <f t="shared" si="8"/>
      </c>
      <c r="CN109">
        <f t="shared" si="8"/>
      </c>
      <c r="CO109">
        <f t="shared" si="8"/>
      </c>
      <c r="CP109">
        <f t="shared" si="8"/>
      </c>
      <c r="CQ109">
        <f t="shared" si="8"/>
      </c>
      <c r="CR109">
        <f t="shared" si="8"/>
      </c>
      <c r="CS109">
        <f t="shared" si="8"/>
      </c>
      <c r="CT109">
        <f t="shared" si="8"/>
      </c>
      <c r="CU109">
        <f t="shared" si="8"/>
      </c>
      <c r="CV109">
        <f t="shared" si="8"/>
      </c>
      <c r="CW109">
        <f t="shared" si="8"/>
      </c>
      <c r="CX109">
        <f t="shared" si="8"/>
      </c>
      <c r="CY109">
        <f t="shared" si="8"/>
      </c>
      <c r="CZ109">
        <f t="shared" si="8"/>
      </c>
      <c r="DA109">
        <f t="shared" si="8"/>
      </c>
      <c r="DB109">
        <f t="shared" si="8"/>
      </c>
      <c r="DC109">
        <f t="shared" si="8"/>
      </c>
      <c r="DD109">
        <f t="shared" si="8"/>
      </c>
      <c r="DE109">
        <f t="shared" si="8"/>
      </c>
      <c r="DF109">
        <f t="shared" si="8"/>
      </c>
      <c r="DG109">
        <f t="shared" si="8"/>
      </c>
      <c r="DH109">
        <f t="shared" si="8"/>
      </c>
      <c r="DI109">
        <f t="shared" si="8"/>
      </c>
      <c r="DJ109">
        <f t="shared" si="8"/>
      </c>
      <c r="DK109">
        <f t="shared" si="8"/>
      </c>
      <c r="DL109">
        <f t="shared" si="8"/>
      </c>
      <c r="DM109">
        <f t="shared" si="8"/>
      </c>
      <c r="DN109">
        <f t="shared" si="8"/>
      </c>
      <c r="DO109">
        <f t="shared" si="8"/>
      </c>
      <c r="DP109">
        <f t="shared" si="8"/>
      </c>
      <c r="DQ109">
        <f t="shared" si="8"/>
      </c>
      <c r="DR109">
        <f t="shared" si="8"/>
      </c>
      <c r="DS109">
        <f t="shared" si="8"/>
      </c>
      <c r="DT109">
        <f t="shared" si="8"/>
      </c>
      <c r="DU109">
        <f t="shared" si="8"/>
      </c>
      <c r="DV109">
        <f t="shared" si="8"/>
      </c>
      <c r="DW109">
        <f t="shared" si="8"/>
      </c>
      <c r="DX109">
        <f t="shared" si="8"/>
      </c>
      <c r="DY109">
        <f t="shared" si="8"/>
      </c>
      <c r="DZ109">
        <f t="shared" si="8"/>
      </c>
      <c r="EA109">
        <f t="shared" si="8"/>
      </c>
      <c r="EB109">
        <f t="shared" si="8"/>
      </c>
      <c r="EC109">
        <f t="shared" si="8"/>
      </c>
      <c r="ED109">
        <f t="shared" si="8"/>
      </c>
      <c r="EE109">
        <f t="shared" si="8"/>
      </c>
      <c r="EF109">
        <f t="shared" si="8"/>
      </c>
      <c r="EG109">
        <f t="shared" si="8"/>
      </c>
      <c r="EH109">
        <f t="shared" si="8"/>
      </c>
      <c r="EI109">
        <f t="shared" si="8"/>
      </c>
      <c r="EJ109">
        <f t="shared" si="8"/>
      </c>
      <c r="EK109">
        <f t="shared" si="8"/>
      </c>
      <c r="EL109">
        <f t="shared" si="8"/>
      </c>
      <c r="EM109">
        <f t="shared" si="8"/>
      </c>
      <c r="EN109">
        <f t="shared" si="8"/>
      </c>
      <c r="EO109">
        <f t="shared" si="8"/>
      </c>
      <c r="EP109">
        <f t="shared" si="8"/>
      </c>
      <c r="EQ109">
        <f t="shared" si="8"/>
      </c>
      <c r="ER109">
        <f t="shared" si="8"/>
      </c>
      <c r="ES109">
        <f t="shared" si="8"/>
      </c>
      <c r="ET109">
        <f t="shared" si="8"/>
      </c>
      <c r="EU109">
        <f t="shared" si="8"/>
      </c>
      <c r="EV109">
        <f t="shared" si="8"/>
      </c>
      <c r="EW109">
        <f t="shared" si="8"/>
      </c>
      <c r="EX109">
        <f t="shared" si="8"/>
      </c>
      <c r="EY109">
        <f t="shared" si="8"/>
      </c>
      <c r="EZ109">
        <f t="shared" si="8"/>
      </c>
      <c r="FA109" t="str">
        <f t="shared" si="12"/>
        <v>-</v>
      </c>
      <c r="FB109">
        <f t="shared" si="13"/>
      </c>
      <c r="FC109" cm="1">
        <f t="array" ref="FC109">_xlfn.LET(_xlpm.unit_type,$G109,_xlpm.market_rent_from_rent_roll,$E109,_xlpm.unit_type_list,RentRoll_InputArea_DesignatedUnitType,_xlpm.rent_by_unit_type,RentRoll_InputArea_MarketRent,_xlpm.use_rent_roll_market_rent,LEFT(RR_VacantUnitMktRentSource,9)="Rent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09">
        <f t="shared" si="14"/>
        <v>1216</v>
      </c>
      <c r="FE109">
        <f t="shared" si="15"/>
        <v>1216</v>
      </c>
      <c r="FF109">
        <f t="shared" si="16"/>
        <v>1216</v>
      </c>
      <c r="FH109">
        <f t="shared" si="17"/>
      </c>
      <c r="FI109">
        <f t="shared" si="18"/>
      </c>
      <c r="FK109" cm="1">
        <f t="array" ref="FK109">IF(AND(LEN($D109)&gt;0,ISNA(MATCH(TRUE,EXACT($G109,RentRoll_InputArea_DesignatedUnitType),0))),1,0)</f>
        <v>0</v>
      </c>
      <c r="FL109">
        <f t="shared" si="19"/>
        <v>86</v>
      </c>
      <c r="IO109" cm="1">
        <f t="array" ref="IO109">IF(LEN($G109)=0,"Rent Roll is incomplete",_xlfn.XLOOKUP(TRUE,EXACT(RentRoll_InputArea_DesignatedUnitType,$G109),RentRoll_InputArea_Beds,"Not Found"))</f>
        <v>0</v>
      </c>
      <c r="IQ109" t="str">
        <f t="shared" si="20"/>
        <v>0 Bedroom Unit (Efficiency/Studio)</v>
      </c>
      <c r="IR109">
        <f t="shared" si="21"/>
        <v>1216</v>
      </c>
      <c r="IW109" t="str">
        <f t="shared" si="22"/>
        <v>7-711</v>
      </c>
      <c r="IZ109">
        <f t="shared" si="23"/>
        <v>0</v>
      </c>
      <c r="JA109">
        <f t="shared" si="24"/>
        <v>1216</v>
      </c>
      <c r="JH109">
        <f t="shared" si="25"/>
        <v>1217</v>
      </c>
      <c r="JJ109">
        <f t="shared" si="26"/>
      </c>
      <c r="JQ109" t="str">
        <f t="shared" si="27"/>
        <v>Occupied</v>
      </c>
      <c r="JR109" cm="1">
        <f t="array" ref="JR109">_xlfn.XLOOKUP(TRUE,EXACT(RentRoll_InputArea_DesignatedUnitType,$G109),RentRoll_InputArea_SquareFootage,"Not Found")</f>
        <v>800</v>
      </c>
      <c r="JS109" t="str">
        <f t="shared" si="28"/>
        <v>Apartment</v>
      </c>
      <c r="JT109">
        <f t="shared" si="29"/>
      </c>
      <c r="JY109">
        <f t="shared" si="9"/>
        <v>43525</v>
      </c>
      <c r="JZ109">
        <f t="shared" si="9"/>
        <v>43738</v>
      </c>
    </row>
    <row r="110" ht="15" customHeight="1">
      <c r="A110">
        <f t="shared" si="10"/>
        <v>87</v>
      </c>
      <c r="D110" t="s">
        <v>2915</v>
      </c>
      <c r="E110">
        <v>1544</v>
      </c>
      <c r="F110" t="s">
        <v>2916</v>
      </c>
      <c r="G110" t="s">
        <v>2532</v>
      </c>
      <c r="H110">
        <v>1551</v>
      </c>
      <c r="I110" cm="1">
        <f t="array" ref="I110">_xlfn.LET(_xlpm.has_subsidy,$N110&gt;0,_xlpm.is_chap9_sbl,$FF$20,_xlpm.contract_rent,$H110,_xlpm.unit_type_mkt_rent,_xlfn.XLOOKUP(TRUE,EXACT($G110,RentRoll_InputArea_DesignatedUnitType),RentRoll_InputArea_MarketRent,"Not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0">
        <f t="shared" si="11"/>
        <v>1551</v>
      </c>
      <c r="O110" s="1">
        <v>43455</v>
      </c>
      <c r="P110" s="1">
        <v>43738</v>
      </c>
      <c r="Q110">
        <f t="shared" si="8"/>
      </c>
      <c r="R110">
        <f t="shared" si="8"/>
      </c>
      <c r="S110">
        <f t="shared" si="8"/>
      </c>
      <c r="T110">
        <f t="shared" si="8"/>
        <v>1551</v>
      </c>
      <c r="U110">
        <f t="shared" si="8"/>
      </c>
      <c r="V110">
        <f t="shared" si="8"/>
      </c>
      <c r="W110">
        <f t="shared" si="8"/>
      </c>
      <c r="X110">
        <f t="shared" si="8"/>
      </c>
      <c r="Y110">
        <f t="shared" si="8"/>
      </c>
      <c r="Z110">
        <f t="shared" si="8"/>
      </c>
      <c r="AA110">
        <f t="shared" si="8"/>
      </c>
      <c r="AB110">
        <f t="shared" si="8"/>
      </c>
      <c r="AC110">
        <f t="shared" si="8"/>
      </c>
      <c r="AD110">
        <f t="shared" si="8"/>
      </c>
      <c r="AE110">
        <f t="shared" si="8"/>
      </c>
      <c r="AF110">
        <f t="shared" si="8"/>
      </c>
      <c r="AG110">
        <f t="shared" si="8"/>
      </c>
      <c r="AH110">
        <f t="shared" si="8"/>
      </c>
      <c r="AI110">
        <f t="shared" si="8"/>
      </c>
      <c r="AJ110">
        <f t="shared" si="8"/>
      </c>
      <c r="AK110">
        <f t="shared" si="8"/>
      </c>
      <c r="AL110">
        <f t="shared" si="8"/>
      </c>
      <c r="AM110">
        <f t="shared" si="8"/>
      </c>
      <c r="AN110">
        <f t="shared" si="8"/>
      </c>
      <c r="AO110">
        <f t="shared" si="8"/>
      </c>
      <c r="AP110">
        <f t="shared" si="8"/>
      </c>
      <c r="AQ110">
        <f t="shared" si="8"/>
      </c>
      <c r="AR110">
        <f t="shared" si="8"/>
      </c>
      <c r="AS110">
        <f t="shared" si="8"/>
      </c>
      <c r="AT110">
        <f t="shared" si="8"/>
      </c>
      <c r="AU110">
        <f t="shared" si="8"/>
      </c>
      <c r="AV110">
        <f t="shared" si="8"/>
      </c>
      <c r="AW110">
        <f t="shared" si="8"/>
      </c>
      <c r="AX110">
        <f t="shared" si="8"/>
      </c>
      <c r="AY110">
        <f t="shared" si="8"/>
      </c>
      <c r="AZ110">
        <f t="shared" si="8"/>
      </c>
      <c r="BA110">
        <f t="shared" si="8"/>
      </c>
      <c r="BB110">
        <f t="shared" si="8"/>
      </c>
      <c r="BC110">
        <f t="shared" si="8"/>
      </c>
      <c r="BD110">
        <f t="shared" si="8"/>
      </c>
      <c r="BE110">
        <f t="shared" si="8"/>
      </c>
      <c r="BF110">
        <f t="shared" si="8"/>
      </c>
      <c r="BG110">
        <f t="shared" si="8"/>
      </c>
      <c r="BH110">
        <f t="shared" si="8"/>
      </c>
      <c r="BI110">
        <f t="shared" si="8"/>
      </c>
      <c r="BJ110">
        <f t="shared" si="8"/>
      </c>
      <c r="BK110">
        <f t="shared" si="8"/>
      </c>
      <c r="BL110">
        <f t="shared" si="8"/>
      </c>
      <c r="BM110">
        <f t="shared" si="8"/>
      </c>
      <c r="BN110">
        <f t="shared" si="8"/>
      </c>
      <c r="BO110">
        <f t="shared" si="8"/>
      </c>
      <c r="BP110">
        <f t="shared" si="8"/>
      </c>
      <c r="BQ110">
        <f t="shared" si="8"/>
      </c>
      <c r="BR110">
        <f t="shared" si="8"/>
      </c>
      <c r="BS110">
        <f t="shared" si="8"/>
      </c>
      <c r="BT110">
        <f t="shared" si="8"/>
      </c>
      <c r="BU110">
        <f t="shared" si="8"/>
      </c>
      <c r="BV110">
        <f t="shared" si="8"/>
      </c>
      <c r="BW110">
        <f t="shared" si="8"/>
      </c>
      <c r="BX110">
        <f t="shared" si="8"/>
      </c>
      <c r="BY110">
        <f t="shared" si="8"/>
      </c>
      <c r="BZ110">
        <f t="shared" si="8"/>
      </c>
      <c r="CA110">
        <f t="shared" si="8"/>
      </c>
      <c r="CB110">
        <f t="shared" si="8"/>
      </c>
      <c r="CC110">
        <f t="shared" si="8"/>
      </c>
      <c r="CD110">
        <f t="shared" si="8"/>
      </c>
      <c r="CE110">
        <f t="shared" si="8"/>
      </c>
      <c r="CF110">
        <f t="shared" si="8"/>
      </c>
      <c r="CG110">
        <f t="shared" si="8"/>
      </c>
      <c r="CH110">
        <f t="shared" si="8"/>
      </c>
      <c r="CI110">
        <f t="shared" si="8"/>
      </c>
      <c r="CJ110">
        <f t="shared" si="8"/>
      </c>
      <c r="CK110">
        <f t="shared" si="8"/>
      </c>
      <c r="CL110">
        <f t="shared" si="8"/>
      </c>
      <c r="CM110">
        <f t="shared" si="8"/>
      </c>
      <c r="CN110">
        <f t="shared" si="8"/>
      </c>
      <c r="CO110">
        <f t="shared" si="8"/>
      </c>
      <c r="CP110">
        <f t="shared" si="8"/>
      </c>
      <c r="CQ110">
        <f t="shared" si="8"/>
      </c>
      <c r="CR110">
        <f t="shared" si="8"/>
      </c>
      <c r="CS110">
        <f t="shared" si="8"/>
      </c>
      <c r="CT110">
        <f t="shared" si="8"/>
      </c>
      <c r="CU110">
        <f t="shared" si="8"/>
      </c>
      <c r="CV110">
        <f t="shared" si="8"/>
      </c>
      <c r="CW110">
        <f t="shared" si="8"/>
      </c>
      <c r="CX110">
        <f t="shared" si="8"/>
      </c>
      <c r="CY110">
        <f t="shared" si="8"/>
      </c>
      <c r="CZ110">
        <f t="shared" si="8"/>
      </c>
      <c r="DA110">
        <f t="shared" si="8"/>
      </c>
      <c r="DB110">
        <f t="shared" si="8"/>
      </c>
      <c r="DC110">
        <f t="shared" si="8"/>
      </c>
      <c r="DD110">
        <f t="shared" si="8"/>
      </c>
      <c r="DE110">
        <f t="shared" si="8"/>
      </c>
      <c r="DF110">
        <f t="shared" si="8"/>
      </c>
      <c r="DG110">
        <f t="shared" si="8"/>
      </c>
      <c r="DH110">
        <f t="shared" si="8"/>
      </c>
      <c r="DI110">
        <f t="shared" si="8"/>
      </c>
      <c r="DJ110">
        <f t="shared" si="8"/>
      </c>
      <c r="DK110">
        <f t="shared" si="8"/>
      </c>
      <c r="DL110">
        <f t="shared" si="8"/>
      </c>
      <c r="DM110">
        <f t="shared" si="8"/>
      </c>
      <c r="DN110">
        <f t="shared" si="8"/>
      </c>
      <c r="DO110">
        <f t="shared" si="8"/>
      </c>
      <c r="DP110">
        <f t="shared" si="8"/>
      </c>
      <c r="DQ110">
        <f t="shared" si="8"/>
      </c>
      <c r="DR110">
        <f t="shared" si="8"/>
      </c>
      <c r="DS110">
        <f t="shared" si="8"/>
      </c>
      <c r="DT110">
        <f t="shared" si="8"/>
      </c>
      <c r="DU110">
        <f t="shared" si="8"/>
      </c>
      <c r="DV110">
        <f t="shared" si="8"/>
      </c>
      <c r="DW110">
        <f t="shared" si="8"/>
      </c>
      <c r="DX110">
        <f t="shared" si="8"/>
      </c>
      <c r="DY110">
        <f t="shared" si="8"/>
      </c>
      <c r="DZ110">
        <f t="shared" si="8"/>
      </c>
      <c r="EA110">
        <f t="shared" si="8"/>
      </c>
      <c r="EB110">
        <f t="shared" si="8"/>
      </c>
      <c r="EC110">
        <f t="shared" si="8"/>
      </c>
      <c r="ED110">
        <f t="shared" si="8"/>
      </c>
      <c r="EE110">
        <f t="shared" si="8"/>
      </c>
      <c r="EF110">
        <f t="shared" si="8"/>
      </c>
      <c r="EG110">
        <f t="shared" si="8"/>
      </c>
      <c r="EH110">
        <f t="shared" si="8"/>
      </c>
      <c r="EI110">
        <f t="shared" si="8"/>
      </c>
      <c r="EJ110">
        <f t="shared" si="8"/>
      </c>
      <c r="EK110">
        <f t="shared" si="8"/>
      </c>
      <c r="EL110">
        <f t="shared" si="8"/>
      </c>
      <c r="EM110">
        <f t="shared" si="8"/>
      </c>
      <c r="EN110">
        <f t="shared" si="8"/>
      </c>
      <c r="EO110">
        <f t="shared" si="8"/>
      </c>
      <c r="EP110">
        <f t="shared" si="8"/>
      </c>
      <c r="EQ110">
        <f t="shared" si="8"/>
      </c>
      <c r="ER110">
        <f t="shared" si="8"/>
      </c>
      <c r="ES110">
        <f t="shared" si="8"/>
      </c>
      <c r="ET110">
        <f t="shared" si="8"/>
      </c>
      <c r="EU110">
        <f t="shared" si="8"/>
      </c>
      <c r="EV110">
        <f t="shared" si="8"/>
      </c>
      <c r="EW110">
        <f t="shared" si="8"/>
      </c>
      <c r="EX110">
        <f t="shared" si="8"/>
      </c>
      <c r="EY110">
        <f t="shared" si="8"/>
      </c>
      <c r="EZ110">
        <f t="shared" si="8"/>
      </c>
      <c r="FA110" t="str">
        <f t="shared" si="12"/>
        <v>-</v>
      </c>
      <c r="FB110">
        <f t="shared" si="13"/>
      </c>
      <c r="FC110" cm="1">
        <f t="array" ref="FC110">_xlfn.LET(_xlpm.unit_type,$G110,_xlpm.market_rent_from_rent_roll,$E110,_xlpm.unit_type_list,RentRoll_InputArea_DesignatedUnitType,_xlpm.rent_by_unit_type,RentRoll_InputArea_MarketRent,_xlpm.use_rent_roll_market_rent,LEFT(RR_VacantUnitMktRentSource,9)="Rent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10">
        <f t="shared" si="14"/>
        <v>1551</v>
      </c>
      <c r="FE110">
        <f t="shared" si="15"/>
        <v>1551</v>
      </c>
      <c r="FF110">
        <f t="shared" si="16"/>
        <v>1551</v>
      </c>
      <c r="FH110">
        <f t="shared" si="17"/>
      </c>
      <c r="FI110">
        <f t="shared" si="18"/>
      </c>
      <c r="FK110" cm="1">
        <f t="array" ref="FK110">IF(AND(LEN($D110)&gt;0,ISNA(MATCH(TRUE,EXACT($G110,RentRoll_InputArea_DesignatedUnitType),0))),1,0)</f>
        <v>0</v>
      </c>
      <c r="FL110">
        <f t="shared" si="19"/>
        <v>87</v>
      </c>
      <c r="IO110" cm="1">
        <f t="array" ref="IO110">IF(LEN($G110)=0,"Rent Roll is incomplete",_xlfn.XLOOKUP(TRUE,EXACT(RentRoll_InputArea_DesignatedUnitType,$G110),RentRoll_InputArea_Beds,"Not Found"))</f>
        <v>0</v>
      </c>
      <c r="IQ110" t="str">
        <f t="shared" si="20"/>
        <v>0 Bedroom Unit (Efficiency/Studio)</v>
      </c>
      <c r="IR110">
        <f t="shared" si="21"/>
        <v>1551</v>
      </c>
      <c r="IW110" t="str">
        <f t="shared" si="22"/>
        <v>7-712</v>
      </c>
      <c r="IZ110">
        <f t="shared" si="23"/>
        <v>0</v>
      </c>
      <c r="JA110">
        <f t="shared" si="24"/>
        <v>1551</v>
      </c>
      <c r="JH110">
        <f t="shared" si="25"/>
        <v>1533</v>
      </c>
      <c r="JJ110">
        <f t="shared" si="26"/>
      </c>
      <c r="JQ110" t="str">
        <f t="shared" si="27"/>
        <v>Occupied</v>
      </c>
      <c r="JR110" cm="1">
        <f t="array" ref="JR110">_xlfn.XLOOKUP(TRUE,EXACT(RentRoll_InputArea_DesignatedUnitType,$G110),RentRoll_InputArea_SquareFootage,"Not Found")</f>
        <v>1050</v>
      </c>
      <c r="JS110" t="str">
        <f t="shared" si="28"/>
        <v>Apartment</v>
      </c>
      <c r="JT110">
        <f t="shared" si="29"/>
      </c>
      <c r="JY110">
        <f t="shared" si="9"/>
        <v>43455</v>
      </c>
      <c r="JZ110">
        <f t="shared" si="9"/>
        <v>43738</v>
      </c>
    </row>
    <row r="111" ht="15" customHeight="1">
      <c r="A111">
        <f t="shared" si="10"/>
        <v>88</v>
      </c>
      <c r="D111" t="s">
        <v>2917</v>
      </c>
      <c r="E111">
        <v>1494</v>
      </c>
      <c r="F111" t="s">
        <v>2918</v>
      </c>
      <c r="G111" t="s">
        <v>2532</v>
      </c>
      <c r="H111">
        <v>1458</v>
      </c>
      <c r="I111" cm="1">
        <f t="array" ref="I111">_xlfn.LET(_xlpm.has_subsidy,$N111&gt;0,_xlpm.is_chap9_sbl,$FF$20,_xlpm.contract_rent,$H111,_xlpm.unit_type_mkt_rent,_xlfn.XLOOKUP(TRUE,EXACT($G111,RentRoll_InputArea_DesignatedUnitType),RentRoll_InputArea_MarketRent,"Not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1">
        <f t="shared" si="11"/>
        <v>1458</v>
      </c>
      <c r="O111" s="1">
        <v>43414</v>
      </c>
      <c r="P111" s="1">
        <v>43708</v>
      </c>
      <c r="Q111">
        <f t="shared" si="8"/>
      </c>
      <c r="R111">
        <f t="shared" si="8"/>
      </c>
      <c r="S111">
        <f t="shared" si="8"/>
      </c>
      <c r="T111">
        <f t="shared" si="8"/>
        <v>1458</v>
      </c>
      <c r="U111">
        <f t="shared" si="8"/>
      </c>
      <c r="V111">
        <f t="shared" si="8"/>
      </c>
      <c r="W111">
        <f t="shared" si="8"/>
      </c>
      <c r="X111">
        <f t="shared" si="8"/>
      </c>
      <c r="Y111">
        <f t="shared" si="8"/>
      </c>
      <c r="Z111">
        <f t="shared" si="8"/>
      </c>
      <c r="AA111">
        <f t="shared" si="8"/>
      </c>
      <c r="AB111">
        <f t="shared" si="8"/>
      </c>
      <c r="AC111">
        <f t="shared" si="8"/>
      </c>
      <c r="AD111">
        <f t="shared" si="8"/>
      </c>
      <c r="AE111">
        <f t="shared" si="8"/>
      </c>
      <c r="AF111">
        <f t="shared" si="8"/>
      </c>
      <c r="AG111">
        <f t="shared" si="8"/>
      </c>
      <c r="AH111">
        <f t="shared" si="8"/>
      </c>
      <c r="AI111">
        <f t="shared" si="8"/>
      </c>
      <c r="AJ111">
        <f t="shared" si="8"/>
      </c>
      <c r="AK111">
        <f t="shared" si="8"/>
      </c>
      <c r="AL111">
        <f t="shared" si="8"/>
      </c>
      <c r="AM111">
        <f t="shared" si="8"/>
      </c>
      <c r="AN111">
        <f t="shared" si="8"/>
      </c>
      <c r="AO111">
        <f t="shared" si="8"/>
      </c>
      <c r="AP111">
        <f t="shared" si="8"/>
      </c>
      <c r="AQ111">
        <f t="shared" si="8"/>
      </c>
      <c r="AR111">
        <f t="shared" si="8"/>
      </c>
      <c r="AS111">
        <f t="shared" si="8"/>
      </c>
      <c r="AT111">
        <f t="shared" si="8"/>
      </c>
      <c r="AU111">
        <f t="shared" si="8"/>
      </c>
      <c r="AV111">
        <f t="shared" si="8"/>
      </c>
      <c r="AW111">
        <f t="shared" si="8"/>
      </c>
      <c r="AX111">
        <f t="shared" si="8"/>
      </c>
      <c r="AY111">
        <f t="shared" si="8"/>
      </c>
      <c r="AZ111">
        <f t="shared" si="8"/>
      </c>
      <c r="BA111">
        <f t="shared" si="8"/>
      </c>
      <c r="BB111">
        <f t="shared" si="8"/>
      </c>
      <c r="BC111">
        <f t="shared" si="8"/>
      </c>
      <c r="BD111">
        <f t="shared" si="8"/>
      </c>
      <c r="BE111">
        <f t="shared" si="8"/>
      </c>
      <c r="BF111">
        <f t="shared" si="8"/>
      </c>
      <c r="BG111">
        <f t="shared" si="8"/>
      </c>
      <c r="BH111">
        <f t="shared" si="8"/>
      </c>
      <c r="BI111">
        <f t="shared" si="8"/>
      </c>
      <c r="BJ111">
        <f t="shared" si="8"/>
      </c>
      <c r="BK111">
        <f t="shared" si="8"/>
      </c>
      <c r="BL111">
        <f t="shared" si="8"/>
      </c>
      <c r="BM111">
        <f t="shared" si="8"/>
      </c>
      <c r="BN111">
        <f t="shared" si="8"/>
      </c>
      <c r="BO111">
        <f t="shared" si="8"/>
      </c>
      <c r="BP111">
        <f t="shared" si="8"/>
      </c>
      <c r="BQ111">
        <f t="shared" si="8"/>
      </c>
      <c r="BR111">
        <f t="shared" si="8"/>
      </c>
      <c r="BS111">
        <f t="shared" si="8"/>
      </c>
      <c r="BT111">
        <f t="shared" si="8"/>
      </c>
      <c r="BU111">
        <f t="shared" si="8"/>
      </c>
      <c r="BV111">
        <f t="shared" si="8"/>
      </c>
      <c r="BW111">
        <f t="shared" si="8"/>
      </c>
      <c r="BX111">
        <f t="shared" si="8"/>
      </c>
      <c r="BY111">
        <f t="shared" si="8"/>
      </c>
      <c r="BZ111">
        <f t="shared" si="8"/>
      </c>
      <c r="CA111">
        <f t="shared" si="8"/>
      </c>
      <c r="CB111">
        <f t="shared" si="8"/>
      </c>
      <c r="CC111">
        <f t="shared" si="8"/>
      </c>
      <c r="CD111">
        <f t="shared" si="8"/>
      </c>
      <c r="CE111">
        <f t="shared" si="8"/>
      </c>
      <c r="CF111">
        <f t="shared" si="8"/>
      </c>
      <c r="CG111">
        <f t="shared" si="8"/>
      </c>
      <c r="CH111">
        <f t="shared" si="8"/>
      </c>
      <c r="CI111">
        <f t="shared" si="8"/>
      </c>
      <c r="CJ111">
        <f t="shared" si="8"/>
      </c>
      <c r="CK111">
        <f t="shared" si="8"/>
      </c>
      <c r="CL111">
        <f t="shared" si="8"/>
      </c>
      <c r="CM111">
        <f t="shared" si="8"/>
      </c>
      <c r="CN111">
        <f t="shared" si="8"/>
      </c>
      <c r="CO111">
        <f t="shared" si="8"/>
      </c>
      <c r="CP111">
        <f t="shared" si="8"/>
      </c>
      <c r="CQ111">
        <f t="shared" si="8"/>
      </c>
      <c r="CR111">
        <f t="shared" si="8"/>
      </c>
      <c r="CS111">
        <f t="shared" si="8"/>
      </c>
      <c r="CT111">
        <f t="shared" si="8"/>
      </c>
      <c r="CU111">
        <f t="shared" si="8"/>
      </c>
      <c r="CV111">
        <f t="shared" si="8"/>
      </c>
      <c r="CW111">
        <f t="shared" si="8"/>
      </c>
      <c r="CX111">
        <f t="shared" si="8"/>
      </c>
      <c r="CY111">
        <f t="shared" si="8"/>
      </c>
      <c r="CZ111">
        <f t="shared" si="8"/>
      </c>
      <c r="DA111">
        <f t="shared" si="8"/>
      </c>
      <c r="DB111">
        <f t="shared" si="8"/>
      </c>
      <c r="DC111">
        <f t="shared" si="8"/>
      </c>
      <c r="DD111">
        <f t="shared" si="8"/>
      </c>
      <c r="DE111">
        <f t="shared" si="8"/>
      </c>
      <c r="DF111">
        <f t="shared" si="8"/>
      </c>
      <c r="DG111">
        <f t="shared" si="8"/>
      </c>
      <c r="DH111">
        <f t="shared" si="8"/>
      </c>
      <c r="DI111">
        <f t="shared" si="8"/>
      </c>
      <c r="DJ111">
        <f t="shared" si="8"/>
      </c>
      <c r="DK111">
        <f t="shared" si="8"/>
      </c>
      <c r="DL111">
        <f t="shared" si="8"/>
      </c>
      <c r="DM111">
        <f t="shared" si="8"/>
      </c>
      <c r="DN111">
        <f t="shared" si="8"/>
      </c>
      <c r="DO111">
        <f t="shared" si="8"/>
      </c>
      <c r="DP111">
        <f t="shared" si="8"/>
      </c>
      <c r="DQ111">
        <f t="shared" si="8"/>
      </c>
      <c r="DR111">
        <f t="shared" si="8"/>
      </c>
      <c r="DS111">
        <f t="shared" si="8"/>
      </c>
      <c r="DT111">
        <f t="shared" si="8"/>
      </c>
      <c r="DU111">
        <f t="shared" si="8"/>
      </c>
      <c r="DV111">
        <f t="shared" si="8"/>
      </c>
      <c r="DW111">
        <f t="shared" si="8"/>
      </c>
      <c r="DX111">
        <f t="shared" si="8"/>
      </c>
      <c r="DY111">
        <f t="shared" si="8"/>
      </c>
      <c r="DZ111">
        <f t="shared" si="8"/>
      </c>
      <c r="EA111">
        <f t="shared" si="8"/>
      </c>
      <c r="EB111">
        <f t="shared" si="8"/>
      </c>
      <c r="EC111">
        <f t="shared" si="8"/>
      </c>
      <c r="ED111">
        <f t="shared" si="8"/>
      </c>
      <c r="EE111">
        <f t="shared" si="8"/>
      </c>
      <c r="EF111">
        <f t="shared" si="8"/>
      </c>
      <c r="EG111">
        <f t="shared" si="8"/>
      </c>
      <c r="EH111">
        <f t="shared" si="8"/>
      </c>
      <c r="EI111">
        <f t="shared" si="8"/>
      </c>
      <c r="EJ111">
        <f t="shared" si="8"/>
      </c>
      <c r="EK111">
        <f t="shared" si="8"/>
      </c>
      <c r="EL111">
        <f t="shared" si="8"/>
      </c>
      <c r="EM111">
        <f t="shared" si="8"/>
      </c>
      <c r="EN111">
        <f t="shared" si="8"/>
      </c>
      <c r="EO111">
        <f t="shared" si="8"/>
      </c>
      <c r="EP111">
        <f t="shared" si="8"/>
      </c>
      <c r="EQ111">
        <f t="shared" si="8"/>
      </c>
      <c r="ER111">
        <f t="shared" si="8"/>
      </c>
      <c r="ES111">
        <f t="shared" si="8"/>
      </c>
      <c r="ET111">
        <f t="shared" si="8"/>
      </c>
      <c r="EU111">
        <f t="shared" si="8"/>
      </c>
      <c r="EV111">
        <f t="shared" si="8"/>
      </c>
      <c r="EW111">
        <f t="shared" si="8"/>
      </c>
      <c r="EX111">
        <f t="shared" si="8"/>
      </c>
      <c r="EY111">
        <f t="shared" si="8"/>
      </c>
      <c r="EZ111">
        <f t="shared" si="8"/>
      </c>
      <c r="FA111" t="str">
        <f t="shared" si="12"/>
        <v>-</v>
      </c>
      <c r="FB111">
        <f t="shared" si="13"/>
      </c>
      <c r="FC111" cm="1">
        <f t="array" ref="FC111">_xlfn.LET(_xlpm.unit_type,$G111,_xlpm.market_rent_from_rent_roll,$E111,_xlpm.unit_type_list,RentRoll_InputArea_DesignatedUnitType,_xlpm.rent_by_unit_type,RentRoll_InputArea_MarketRent,_xlpm.use_rent_roll_market_rent,LEFT(RR_VacantUnitMktRentSource,9)="Rent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11">
        <f t="shared" si="14"/>
        <v>1458</v>
      </c>
      <c r="FE111">
        <f t="shared" si="15"/>
        <v>1458</v>
      </c>
      <c r="FF111">
        <f t="shared" si="16"/>
        <v>1458</v>
      </c>
      <c r="FH111">
        <f t="shared" si="17"/>
      </c>
      <c r="FI111">
        <f t="shared" si="18"/>
      </c>
      <c r="FK111" cm="1">
        <f t="array" ref="FK111">IF(AND(LEN($D111)&gt;0,ISNA(MATCH(TRUE,EXACT($G111,RentRoll_InputArea_DesignatedUnitType),0))),1,0)</f>
        <v>0</v>
      </c>
      <c r="FL111">
        <f t="shared" si="19"/>
        <v>88</v>
      </c>
      <c r="IO111" cm="1">
        <f t="array" ref="IO111">IF(LEN($G111)=0,"Rent Roll is incomplete",_xlfn.XLOOKUP(TRUE,EXACT(RentRoll_InputArea_DesignatedUnitType,$G111),RentRoll_InputArea_Beds,"Not Found"))</f>
        <v>0</v>
      </c>
      <c r="IQ111" t="str">
        <f t="shared" si="20"/>
        <v>0 Bedroom Unit (Efficiency/Studio)</v>
      </c>
      <c r="IR111">
        <f t="shared" si="21"/>
        <v>1458</v>
      </c>
      <c r="IW111" t="str">
        <f t="shared" si="22"/>
        <v>7-713</v>
      </c>
      <c r="IZ111">
        <f t="shared" si="23"/>
        <v>0</v>
      </c>
      <c r="JA111">
        <f t="shared" si="24"/>
        <v>1458</v>
      </c>
      <c r="JH111">
        <f t="shared" si="25"/>
        <v>1533</v>
      </c>
      <c r="JJ111">
        <f t="shared" si="26"/>
      </c>
      <c r="JQ111" t="str">
        <f t="shared" si="27"/>
        <v>Occupied</v>
      </c>
      <c r="JR111" cm="1">
        <f t="array" ref="JR111">_xlfn.XLOOKUP(TRUE,EXACT(RentRoll_InputArea_DesignatedUnitType,$G111),RentRoll_InputArea_SquareFootage,"Not Found")</f>
        <v>1050</v>
      </c>
      <c r="JS111" t="str">
        <f t="shared" si="28"/>
        <v>Apartment</v>
      </c>
      <c r="JT111">
        <f t="shared" si="29"/>
      </c>
      <c r="JY111">
        <f t="shared" si="9"/>
        <v>43414</v>
      </c>
      <c r="JZ111">
        <f t="shared" si="9"/>
        <v>43708</v>
      </c>
    </row>
    <row r="112" ht="15" customHeight="1">
      <c r="A112">
        <f t="shared" si="10"/>
        <v>89</v>
      </c>
      <c r="D112" t="s">
        <v>2919</v>
      </c>
      <c r="E112">
        <v>1530</v>
      </c>
      <c r="F112" t="s">
        <v>2920</v>
      </c>
      <c r="G112" t="s">
        <v>2532</v>
      </c>
      <c r="H112">
        <v>1559</v>
      </c>
      <c r="I112" cm="1">
        <f t="array" ref="I112">_xlfn.LET(_xlpm.has_subsidy,$N112&gt;0,_xlpm.is_chap9_sbl,$FF$20,_xlpm.contract_rent,$H112,_xlpm.unit_type_mkt_rent,_xlfn.XLOOKUP(TRUE,EXACT($G112,RentRoll_InputArea_DesignatedUnitType),RentRoll_InputArea_MarketRent,"Not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2">
        <f t="shared" si="11"/>
        <v>1559</v>
      </c>
      <c r="O112" s="1">
        <v>43525</v>
      </c>
      <c r="P112" s="1">
        <v>43890</v>
      </c>
      <c r="Q112">
        <f t="shared" si="8"/>
      </c>
      <c r="R112">
        <f t="shared" si="8"/>
      </c>
      <c r="S112">
        <f t="shared" si="8"/>
      </c>
      <c r="T112">
        <f t="shared" si="8"/>
        <v>1559</v>
      </c>
      <c r="U112">
        <f t="shared" si="8"/>
      </c>
      <c r="V112">
        <f t="shared" si="8"/>
      </c>
      <c r="W112">
        <f t="shared" si="8"/>
      </c>
      <c r="X112">
        <f t="shared" si="8"/>
      </c>
      <c r="Y112">
        <f t="shared" si="8"/>
      </c>
      <c r="Z112">
        <f t="shared" si="8"/>
      </c>
      <c r="AA112">
        <f t="shared" si="8"/>
      </c>
      <c r="AB112">
        <f t="shared" si="8"/>
      </c>
      <c r="AC112">
        <f t="shared" si="8"/>
      </c>
      <c r="AD112">
        <f t="shared" si="8"/>
      </c>
      <c r="AE112">
        <f t="shared" si="8"/>
      </c>
      <c r="AF112">
        <f t="shared" si="8"/>
      </c>
      <c r="AG112">
        <f t="shared" si="8"/>
      </c>
      <c r="AH112">
        <f t="shared" si="8"/>
      </c>
      <c r="AI112">
        <f t="shared" si="8"/>
      </c>
      <c r="AJ112">
        <f t="shared" si="8"/>
      </c>
      <c r="AK112">
        <f t="shared" si="8"/>
      </c>
      <c r="AL112">
        <f t="shared" si="8"/>
      </c>
      <c r="AM112">
        <f t="shared" si="8"/>
      </c>
      <c r="AN112">
        <f t="shared" si="8"/>
      </c>
      <c r="AO112">
        <f t="shared" si="8"/>
      </c>
      <c r="AP112">
        <f t="shared" si="8"/>
      </c>
      <c r="AQ112">
        <f t="shared" si="8"/>
      </c>
      <c r="AR112">
        <f t="shared" si="8"/>
      </c>
      <c r="AS112">
        <f t="shared" si="8"/>
      </c>
      <c r="AT112">
        <f t="shared" si="8"/>
      </c>
      <c r="AU112">
        <f t="shared" si="8"/>
      </c>
      <c r="AV112">
        <f t="shared" si="8"/>
      </c>
      <c r="AW112">
        <f t="shared" si="8"/>
      </c>
      <c r="AX112">
        <f t="shared" si="8"/>
      </c>
      <c r="AY112">
        <f t="shared" si="8"/>
      </c>
      <c r="AZ112">
        <f t="shared" si="8"/>
      </c>
      <c r="BA112">
        <f t="shared" si="8"/>
      </c>
      <c r="BB112">
        <f t="shared" si="8"/>
      </c>
      <c r="BC112">
        <f t="shared" si="8"/>
      </c>
      <c r="BD112">
        <f t="shared" si="8"/>
      </c>
      <c r="BE112">
        <f t="shared" si="8"/>
      </c>
      <c r="BF112">
        <f t="shared" si="8"/>
      </c>
      <c r="BG112">
        <f t="shared" si="8"/>
      </c>
      <c r="BH112">
        <f t="shared" si="8"/>
      </c>
      <c r="BI112">
        <f t="shared" si="8"/>
      </c>
      <c r="BJ112">
        <f t="shared" si="8"/>
      </c>
      <c r="BK112">
        <f t="shared" si="8"/>
      </c>
      <c r="BL112">
        <f t="shared" si="8"/>
      </c>
      <c r="BM112">
        <f t="shared" si="8"/>
      </c>
      <c r="BN112">
        <f t="shared" si="8"/>
      </c>
      <c r="BO112">
        <f t="shared" si="8"/>
      </c>
      <c r="BP112">
        <f t="shared" si="8"/>
      </c>
      <c r="BQ112">
        <f t="shared" si="8"/>
      </c>
      <c r="BR112">
        <f t="shared" si="8"/>
      </c>
      <c r="BS112">
        <f t="shared" si="8"/>
      </c>
      <c r="BT112">
        <f t="shared" si="8"/>
      </c>
      <c r="BU112">
        <f t="shared" si="8"/>
      </c>
      <c r="BV112">
        <f t="shared" si="8"/>
      </c>
      <c r="BW112">
        <f t="shared" si="8"/>
      </c>
      <c r="BX112">
        <f t="shared" si="8"/>
      </c>
      <c r="BY112">
        <f t="shared" si="8"/>
      </c>
      <c r="BZ112">
        <f t="shared" si="8"/>
      </c>
      <c r="CA112">
        <f t="shared" si="8"/>
      </c>
      <c r="CB112">
        <f t="shared" si="8"/>
      </c>
      <c r="CC112">
        <f t="shared" si="8"/>
      </c>
      <c r="CD112">
        <f t="shared" si="8"/>
      </c>
      <c r="CE112">
        <f t="shared" si="8"/>
      </c>
      <c r="CF112">
        <f t="shared" si="8"/>
      </c>
      <c r="CG112">
        <f t="shared" si="8"/>
      </c>
      <c r="CH112">
        <f t="shared" si="8"/>
      </c>
      <c r="CI112">
        <f t="shared" si="8"/>
      </c>
      <c r="CJ112">
        <f t="shared" si="8"/>
      </c>
      <c r="CK112">
        <f t="shared" si="8"/>
      </c>
      <c r="CL112">
        <f t="shared" si="8"/>
      </c>
      <c r="CM112">
        <f t="shared" si="8"/>
      </c>
      <c r="CN112">
        <f t="shared" si="8"/>
      </c>
      <c r="CO112">
        <f t="shared" si="8"/>
      </c>
      <c r="CP112">
        <f t="shared" si="8"/>
      </c>
      <c r="CQ112">
        <f t="shared" si="8"/>
      </c>
      <c r="CR112">
        <f t="shared" si="8"/>
      </c>
      <c r="CS112">
        <f t="shared" si="8"/>
      </c>
      <c r="CT112">
        <f t="shared" si="8"/>
      </c>
      <c r="CU112">
        <f t="shared" si="8"/>
      </c>
      <c r="CV112">
        <f t="shared" si="8"/>
      </c>
      <c r="CW112">
        <f t="shared" si="8"/>
      </c>
      <c r="CX112">
        <f t="shared" si="8"/>
      </c>
      <c r="CY112">
        <f t="shared" si="8"/>
      </c>
      <c r="CZ112">
        <f t="shared" si="8"/>
      </c>
      <c r="DA112">
        <f t="shared" si="8"/>
      </c>
      <c r="DB112">
        <f t="shared" si="8"/>
      </c>
      <c r="DC112">
        <f t="shared" si="8"/>
      </c>
      <c r="DD112">
        <f t="shared" si="8"/>
      </c>
      <c r="DE112">
        <f t="shared" si="8"/>
      </c>
      <c r="DF112">
        <f t="shared" si="8"/>
      </c>
      <c r="DG112">
        <f t="shared" si="8"/>
      </c>
      <c r="DH112">
        <f t="shared" si="8"/>
      </c>
      <c r="DI112">
        <f t="shared" si="8"/>
      </c>
      <c r="DJ112">
        <f t="shared" si="8"/>
      </c>
      <c r="DK112">
        <f t="shared" si="8"/>
      </c>
      <c r="DL112">
        <f t="shared" si="8"/>
      </c>
      <c r="DM112">
        <f t="shared" si="8"/>
      </c>
      <c r="DN112">
        <f t="shared" si="8"/>
      </c>
      <c r="DO112">
        <f t="shared" si="8"/>
      </c>
      <c r="DP112">
        <f t="shared" si="8"/>
      </c>
      <c r="DQ112">
        <f t="shared" si="8"/>
      </c>
      <c r="DR112">
        <f t="shared" si="8"/>
      </c>
      <c r="DS112">
        <f t="shared" si="8"/>
      </c>
      <c r="DT112">
        <f t="shared" si="8"/>
      </c>
      <c r="DU112">
        <f t="shared" si="8"/>
      </c>
      <c r="DV112">
        <f t="shared" si="8"/>
      </c>
      <c r="DW112">
        <f t="shared" si="8"/>
      </c>
      <c r="DX112">
        <f t="shared" si="8"/>
      </c>
      <c r="DY112">
        <f t="shared" si="8"/>
      </c>
      <c r="DZ112">
        <f t="shared" si="8"/>
      </c>
      <c r="EA112">
        <f t="shared" si="8"/>
      </c>
      <c r="EB112">
        <f t="shared" si="8"/>
      </c>
      <c r="EC112">
        <f t="shared" si="8"/>
      </c>
      <c r="ED112">
        <f t="shared" si="8"/>
      </c>
      <c r="EE112">
        <f t="shared" si="8"/>
      </c>
      <c r="EF112">
        <f t="shared" si="8"/>
      </c>
      <c r="EG112">
        <f t="shared" si="8"/>
      </c>
      <c r="EH112">
        <f t="shared" si="8"/>
      </c>
      <c r="EI112">
        <f t="shared" si="8"/>
      </c>
      <c r="EJ112">
        <f t="shared" si="8"/>
      </c>
      <c r="EK112">
        <f t="shared" si="8"/>
      </c>
      <c r="EL112">
        <f t="shared" si="8"/>
      </c>
      <c r="EM112">
        <f t="shared" si="8"/>
      </c>
      <c r="EN112">
        <f t="shared" si="8"/>
      </c>
      <c r="EO112">
        <f t="shared" si="8"/>
      </c>
      <c r="EP112">
        <f t="shared" si="8"/>
      </c>
      <c r="EQ112">
        <f t="shared" si="8"/>
      </c>
      <c r="ER112">
        <f t="shared" si="8"/>
      </c>
      <c r="ES112">
        <f t="shared" si="8"/>
      </c>
      <c r="ET112">
        <f t="shared" si="8"/>
      </c>
      <c r="EU112">
        <f t="shared" si="8"/>
      </c>
      <c r="EV112">
        <f t="shared" si="8"/>
      </c>
      <c r="EW112">
        <f t="shared" si="8"/>
      </c>
      <c r="EX112">
        <f t="shared" si="8"/>
      </c>
      <c r="EY112">
        <f t="shared" si="8"/>
      </c>
      <c r="EZ112">
        <f t="shared" si="8"/>
      </c>
      <c r="FA112" t="str">
        <f t="shared" si="12"/>
        <v>-</v>
      </c>
      <c r="FB112">
        <f t="shared" si="13"/>
      </c>
      <c r="FC112" cm="1">
        <f t="array" ref="FC112">_xlfn.LET(_xlpm.unit_type,$G112,_xlpm.market_rent_from_rent_roll,$E112,_xlpm.unit_type_list,RentRoll_InputArea_DesignatedUnitType,_xlpm.rent_by_unit_type,RentRoll_InputArea_MarketRent,_xlpm.use_rent_roll_market_rent,LEFT(RR_VacantUnitMktRentSource,9)="Rent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12">
        <f t="shared" si="14"/>
        <v>1559</v>
      </c>
      <c r="FE112">
        <f t="shared" si="15"/>
        <v>1559</v>
      </c>
      <c r="FF112">
        <f t="shared" si="16"/>
        <v>1559</v>
      </c>
      <c r="FH112">
        <f t="shared" si="17"/>
      </c>
      <c r="FI112">
        <f t="shared" si="18"/>
      </c>
      <c r="FK112" cm="1">
        <f t="array" ref="FK112">IF(AND(LEN($D112)&gt;0,ISNA(MATCH(TRUE,EXACT($G112,RentRoll_InputArea_DesignatedUnitType),0))),1,0)</f>
        <v>0</v>
      </c>
      <c r="FL112">
        <f t="shared" si="19"/>
        <v>89</v>
      </c>
      <c r="IO112" cm="1">
        <f t="array" ref="IO112">IF(LEN($G112)=0,"Rent Roll is incomplete",_xlfn.XLOOKUP(TRUE,EXACT(RentRoll_InputArea_DesignatedUnitType,$G112),RentRoll_InputArea_Beds,"Not Found"))</f>
        <v>0</v>
      </c>
      <c r="IQ112" t="str">
        <f t="shared" si="20"/>
        <v>0 Bedroom Unit (Efficiency/Studio)</v>
      </c>
      <c r="IR112">
        <f t="shared" si="21"/>
        <v>1559</v>
      </c>
      <c r="IW112" t="str">
        <f t="shared" si="22"/>
        <v>8-800</v>
      </c>
      <c r="IZ112">
        <f t="shared" si="23"/>
        <v>0</v>
      </c>
      <c r="JA112">
        <f t="shared" si="24"/>
        <v>1559</v>
      </c>
      <c r="JH112">
        <f t="shared" si="25"/>
        <v>1533</v>
      </c>
      <c r="JJ112">
        <f t="shared" si="26"/>
      </c>
      <c r="JQ112" t="str">
        <f t="shared" si="27"/>
        <v>Occupied</v>
      </c>
      <c r="JR112" cm="1">
        <f t="array" ref="JR112">_xlfn.XLOOKUP(TRUE,EXACT(RentRoll_InputArea_DesignatedUnitType,$G112),RentRoll_InputArea_SquareFootage,"Not Found")</f>
        <v>1050</v>
      </c>
      <c r="JS112" t="str">
        <f t="shared" si="28"/>
        <v>Apartment</v>
      </c>
      <c r="JT112">
        <f t="shared" si="29"/>
      </c>
      <c r="JY112">
        <f t="shared" si="9"/>
        <v>43525</v>
      </c>
      <c r="JZ112">
        <f t="shared" si="9"/>
        <v>43890</v>
      </c>
    </row>
    <row r="113" ht="15" customHeight="1">
      <c r="A113">
        <f t="shared" si="10"/>
        <v>90</v>
      </c>
      <c r="D113" t="s">
        <v>2921</v>
      </c>
      <c r="E113">
        <v>1491</v>
      </c>
      <c r="F113" t="s">
        <v>2922</v>
      </c>
      <c r="G113" t="s">
        <v>2532</v>
      </c>
      <c r="H113">
        <v>1555</v>
      </c>
      <c r="I113" cm="1">
        <f t="array" ref="I113">_xlfn.LET(_xlpm.has_subsidy,$N113&gt;0,_xlpm.is_chap9_sbl,$FF$20,_xlpm.contract_rent,$H113,_xlpm.unit_type_mkt_rent,_xlfn.XLOOKUP(TRUE,EXACT($G113,RentRoll_InputArea_DesignatedUnitType),RentRoll_InputArea_MarketRent,"Not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3">
        <f t="shared" si="11"/>
        <v>1555</v>
      </c>
      <c r="O113" s="1">
        <v>43596</v>
      </c>
      <c r="P113" s="1">
        <v>43951</v>
      </c>
      <c r="Q113">
        <f t="shared" si="8"/>
      </c>
      <c r="R113">
        <f t="shared" si="8"/>
      </c>
      <c r="S113">
        <f t="shared" si="8"/>
      </c>
      <c r="T113">
        <f t="shared" si="8"/>
        <v>1555</v>
      </c>
      <c r="U113">
        <f t="shared" si="8"/>
      </c>
      <c r="V113">
        <f t="shared" si="8"/>
      </c>
      <c r="W113">
        <f t="shared" si="8"/>
      </c>
      <c r="X113">
        <f t="shared" si="8"/>
      </c>
      <c r="Y113">
        <f t="shared" si="8"/>
      </c>
      <c r="Z113">
        <f t="shared" si="8"/>
      </c>
      <c r="AA113">
        <f t="shared" si="8"/>
      </c>
      <c r="AB113">
        <f t="shared" si="8"/>
      </c>
      <c r="AC113">
        <f t="shared" si="8"/>
      </c>
      <c r="AD113">
        <f t="shared" si="8"/>
      </c>
      <c r="AE113">
        <f t="shared" si="8"/>
      </c>
      <c r="AF113">
        <f t="shared" si="8"/>
      </c>
      <c r="AG113">
        <f t="shared" si="8"/>
      </c>
      <c r="AH113">
        <f t="shared" si="8"/>
      </c>
      <c r="AI113">
        <f t="shared" si="8"/>
      </c>
      <c r="AJ113">
        <f t="shared" si="8"/>
      </c>
      <c r="AK113">
        <f t="shared" si="8"/>
      </c>
      <c r="AL113">
        <f t="shared" si="8"/>
      </c>
      <c r="AM113">
        <f t="shared" si="8"/>
      </c>
      <c r="AN113">
        <f t="shared" si="8"/>
      </c>
      <c r="AO113">
        <f t="shared" si="8"/>
      </c>
      <c r="AP113">
        <f t="shared" si="8"/>
      </c>
      <c r="AQ113">
        <f t="shared" si="8"/>
      </c>
      <c r="AR113">
        <f t="shared" si="8"/>
      </c>
      <c r="AS113">
        <f t="shared" si="8"/>
      </c>
      <c r="AT113">
        <f t="shared" si="8"/>
      </c>
      <c r="AU113">
        <f t="shared" si="8"/>
      </c>
      <c r="AV113">
        <f t="shared" si="8"/>
      </c>
      <c r="AW113">
        <f t="shared" si="8"/>
      </c>
      <c r="AX113">
        <f t="shared" si="8"/>
      </c>
      <c r="AY113">
        <f t="shared" si="8"/>
      </c>
      <c r="AZ113">
        <f t="shared" si="8"/>
      </c>
      <c r="BA113">
        <f t="shared" si="8"/>
      </c>
      <c r="BB113">
        <f t="shared" si="8"/>
      </c>
      <c r="BC113">
        <f t="shared" si="8"/>
      </c>
      <c r="BD113">
        <f t="shared" si="8"/>
      </c>
      <c r="BE113">
        <f t="shared" si="8"/>
      </c>
      <c r="BF113">
        <f t="shared" si="8"/>
      </c>
      <c r="BG113">
        <f t="shared" si="8"/>
      </c>
      <c r="BH113">
        <f t="shared" si="8"/>
      </c>
      <c r="BI113">
        <f t="shared" si="8"/>
      </c>
      <c r="BJ113">
        <f t="shared" si="8"/>
      </c>
      <c r="BK113">
        <f t="shared" si="8"/>
      </c>
      <c r="BL113">
        <f t="shared" si="8"/>
      </c>
      <c r="BM113">
        <f t="shared" si="8"/>
      </c>
      <c r="BN113">
        <f t="shared" si="8"/>
      </c>
      <c r="BO113">
        <f t="shared" si="8"/>
      </c>
      <c r="BP113">
        <f t="shared" si="8"/>
      </c>
      <c r="BQ113">
        <f t="shared" si="8"/>
      </c>
      <c r="BR113">
        <f t="shared" si="8"/>
      </c>
      <c r="BS113">
        <f t="shared" si="8"/>
      </c>
      <c r="BT113">
        <f t="shared" si="8"/>
      </c>
      <c r="BU113">
        <f t="shared" si="8"/>
      </c>
      <c r="BV113">
        <f t="shared" si="8"/>
      </c>
      <c r="BW113">
        <f t="shared" si="8"/>
      </c>
      <c r="BX113">
        <f t="shared" si="8"/>
      </c>
      <c r="BY113">
        <f t="shared" si="8"/>
      </c>
      <c r="BZ113">
        <f t="shared" si="8"/>
      </c>
      <c r="CA113">
        <f t="shared" si="8"/>
      </c>
      <c r="CB113">
        <f t="shared" si="8"/>
      </c>
      <c r="CC113">
        <f t="shared" si="8"/>
      </c>
      <c r="CD113">
        <f t="shared" si="8"/>
      </c>
      <c r="CE113">
        <f t="shared" si="8"/>
      </c>
      <c r="CF113">
        <f t="shared" si="8"/>
      </c>
      <c r="CG113">
        <f t="shared" si="8"/>
      </c>
      <c r="CH113">
        <f t="shared" si="8"/>
      </c>
      <c r="CI113">
        <f t="shared" si="8"/>
      </c>
      <c r="CJ113">
        <f t="shared" si="8"/>
      </c>
      <c r="CK113">
        <f t="shared" si="8"/>
      </c>
      <c r="CL113">
        <f t="shared" si="8"/>
      </c>
      <c r="CM113">
        <f t="shared" si="8"/>
      </c>
      <c r="CN113">
        <f t="shared" si="8"/>
      </c>
      <c r="CO113">
        <f t="shared" si="8"/>
      </c>
      <c r="CP113">
        <f t="shared" si="8"/>
      </c>
      <c r="CQ113">
        <f t="shared" si="8"/>
      </c>
      <c r="CR113">
        <f t="shared" si="8"/>
      </c>
      <c r="CS113">
        <f t="shared" si="8"/>
      </c>
      <c r="CT113">
        <f t="shared" si="8"/>
      </c>
      <c r="CU113">
        <f t="shared" si="8"/>
      </c>
      <c r="CV113">
        <f t="shared" si="8"/>
      </c>
      <c r="CW113">
        <f t="shared" si="8"/>
      </c>
      <c r="CX113">
        <f t="shared" si="8"/>
      </c>
      <c r="CY113">
        <f t="shared" si="8"/>
      </c>
      <c r="CZ113">
        <f t="shared" si="8"/>
      </c>
      <c r="DA113">
        <f t="shared" si="8"/>
      </c>
      <c r="DB113">
        <f t="shared" si="8"/>
      </c>
      <c r="DC113">
        <f t="shared" si="8"/>
      </c>
      <c r="DD113">
        <f t="shared" si="8"/>
      </c>
      <c r="DE113">
        <f t="shared" si="8"/>
      </c>
      <c r="DF113">
        <f t="shared" si="8"/>
      </c>
      <c r="DG113">
        <f t="shared" si="8"/>
      </c>
      <c r="DH113">
        <f t="shared" si="8"/>
      </c>
      <c r="DI113">
        <f t="shared" si="8"/>
      </c>
      <c r="DJ113">
        <f t="shared" si="8"/>
      </c>
      <c r="DK113">
        <f t="shared" si="8"/>
      </c>
      <c r="DL113">
        <f t="shared" si="8"/>
      </c>
      <c r="DM113">
        <f t="shared" si="8"/>
      </c>
      <c r="DN113">
        <f t="shared" si="8"/>
      </c>
      <c r="DO113">
        <f t="shared" si="8"/>
      </c>
      <c r="DP113">
        <f t="shared" si="8"/>
      </c>
      <c r="DQ113">
        <f t="shared" si="8"/>
      </c>
      <c r="DR113">
        <f t="shared" si="8"/>
      </c>
      <c r="DS113">
        <f t="shared" si="8"/>
      </c>
      <c r="DT113">
        <f t="shared" si="8"/>
      </c>
      <c r="DU113">
        <f t="shared" si="8"/>
      </c>
      <c r="DV113">
        <f t="shared" si="8"/>
      </c>
      <c r="DW113">
        <f t="shared" si="8"/>
      </c>
      <c r="DX113">
        <f t="shared" si="8"/>
      </c>
      <c r="DY113">
        <f t="shared" si="8"/>
      </c>
      <c r="DZ113">
        <f t="shared" si="8"/>
      </c>
      <c r="EA113">
        <f t="shared" si="8"/>
      </c>
      <c r="EB113">
        <f t="shared" si="8"/>
      </c>
      <c r="EC113">
        <f t="shared" si="8"/>
      </c>
      <c r="ED113">
        <f t="shared" si="8"/>
      </c>
      <c r="EE113">
        <f t="shared" si="8"/>
      </c>
      <c r="EF113">
        <f t="shared" si="8"/>
      </c>
      <c r="EG113">
        <f t="shared" si="8"/>
      </c>
      <c r="EH113">
        <f t="shared" si="8"/>
      </c>
      <c r="EI113">
        <f t="shared" si="8"/>
      </c>
      <c r="EJ113">
        <f t="shared" si="8"/>
      </c>
      <c r="EK113">
        <f t="shared" si="8"/>
      </c>
      <c r="EL113">
        <f t="shared" si="8"/>
      </c>
      <c r="EM113">
        <f t="shared" si="8"/>
      </c>
      <c r="EN113">
        <f t="shared" si="8"/>
      </c>
      <c r="EO113">
        <f t="shared" si="8"/>
      </c>
      <c r="EP113">
        <f t="shared" si="8"/>
      </c>
      <c r="EQ113">
        <f t="shared" si="8"/>
      </c>
      <c r="ER113">
        <f t="shared" si="8"/>
      </c>
      <c r="ES113">
        <f t="shared" si="8"/>
      </c>
      <c r="ET113">
        <f t="shared" si="8"/>
      </c>
      <c r="EU113">
        <f t="shared" si="8"/>
      </c>
      <c r="EV113">
        <f t="shared" si="8"/>
      </c>
      <c r="EW113">
        <f t="shared" si="8"/>
      </c>
      <c r="EX113">
        <f t="shared" si="8"/>
      </c>
      <c r="EY113">
        <f t="shared" si="8"/>
      </c>
      <c r="EZ113">
        <f t="shared" si="8"/>
      </c>
      <c r="FA113" t="str">
        <f t="shared" si="12"/>
        <v>-</v>
      </c>
      <c r="FB113">
        <f t="shared" si="13"/>
      </c>
      <c r="FC113" cm="1">
        <f t="array" ref="FC113">_xlfn.LET(_xlpm.unit_type,$G113,_xlpm.market_rent_from_rent_roll,$E113,_xlpm.unit_type_list,RentRoll_InputArea_DesignatedUnitType,_xlpm.rent_by_unit_type,RentRoll_InputArea_MarketRent,_xlpm.use_rent_roll_market_rent,LEFT(RR_VacantUnitMktRentSource,9)="Rent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13">
        <f t="shared" si="14"/>
        <v>1555</v>
      </c>
      <c r="FE113">
        <f t="shared" si="15"/>
        <v>1555</v>
      </c>
      <c r="FF113">
        <f t="shared" si="16"/>
        <v>1555</v>
      </c>
      <c r="FH113">
        <f t="shared" si="17"/>
      </c>
      <c r="FI113">
        <f t="shared" si="18"/>
      </c>
      <c r="FK113" cm="1">
        <f t="array" ref="FK113">IF(AND(LEN($D113)&gt;0,ISNA(MATCH(TRUE,EXACT($G113,RentRoll_InputArea_DesignatedUnitType),0))),1,0)</f>
        <v>0</v>
      </c>
      <c r="FL113">
        <f t="shared" si="19"/>
        <v>90</v>
      </c>
      <c r="IO113" cm="1">
        <f t="array" ref="IO113">IF(LEN($G113)=0,"Rent Roll is incomplete",_xlfn.XLOOKUP(TRUE,EXACT(RentRoll_InputArea_DesignatedUnitType,$G113),RentRoll_InputArea_Beds,"Not Found"))</f>
        <v>0</v>
      </c>
      <c r="IQ113" t="str">
        <f t="shared" si="20"/>
        <v>0 Bedroom Unit (Efficiency/Studio)</v>
      </c>
      <c r="IR113">
        <f t="shared" si="21"/>
        <v>1555</v>
      </c>
      <c r="IW113" t="str">
        <f t="shared" si="22"/>
        <v>8-801</v>
      </c>
      <c r="IZ113">
        <f t="shared" si="23"/>
        <v>0</v>
      </c>
      <c r="JA113">
        <f t="shared" si="24"/>
        <v>1555</v>
      </c>
      <c r="JH113">
        <f t="shared" si="25"/>
        <v>1533</v>
      </c>
      <c r="JJ113">
        <f t="shared" si="26"/>
      </c>
      <c r="JQ113" t="str">
        <f t="shared" si="27"/>
        <v>Occupied</v>
      </c>
      <c r="JR113" cm="1">
        <f t="array" ref="JR113">_xlfn.XLOOKUP(TRUE,EXACT(RentRoll_InputArea_DesignatedUnitType,$G113),RentRoll_InputArea_SquareFootage,"Not Found")</f>
        <v>1050</v>
      </c>
      <c r="JS113" t="str">
        <f t="shared" si="28"/>
        <v>Apartment</v>
      </c>
      <c r="JT113">
        <f t="shared" si="29"/>
      </c>
      <c r="JY113">
        <f t="shared" si="9"/>
        <v>43596</v>
      </c>
      <c r="JZ113">
        <f t="shared" si="9"/>
        <v>43951</v>
      </c>
    </row>
    <row r="114" ht="15" customHeight="1">
      <c r="A114">
        <f t="shared" si="10"/>
        <v>91</v>
      </c>
      <c r="D114" t="s">
        <v>2923</v>
      </c>
      <c r="E114">
        <v>1252</v>
      </c>
      <c r="F114" t="s">
        <v>2924</v>
      </c>
      <c r="G114" t="s">
        <v>2530</v>
      </c>
      <c r="H114">
        <v>1218</v>
      </c>
      <c r="I114" cm="1">
        <f t="array" ref="I114">_xlfn.LET(_xlpm.has_subsidy,$N114&gt;0,_xlpm.is_chap9_sbl,$FF$20,_xlpm.contract_rent,$H114,_xlpm.unit_type_mkt_rent,_xlfn.XLOOKUP(TRUE,EXACT($G114,RentRoll_InputArea_DesignatedUnitType),RentRoll_InputArea_MarketRent,"Not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4">
        <f t="shared" si="11"/>
        <v>1218</v>
      </c>
      <c r="O114" s="1">
        <v>43582</v>
      </c>
      <c r="P114" s="1">
        <v>43951</v>
      </c>
      <c r="Q114">
        <f t="shared" si="8"/>
      </c>
      <c r="R114">
        <f t="shared" si="8"/>
        <v>1218</v>
      </c>
      <c r="S114">
        <f t="shared" si="8"/>
      </c>
      <c r="T114">
        <f t="shared" si="8"/>
      </c>
      <c r="U114">
        <f t="shared" si="8"/>
      </c>
      <c r="V114">
        <f t="shared" si="8"/>
      </c>
      <c r="W114">
        <f t="shared" si="8"/>
      </c>
      <c r="X114">
        <f t="shared" si="8"/>
      </c>
      <c r="Y114">
        <f t="shared" si="8"/>
      </c>
      <c r="Z114">
        <f t="shared" si="8"/>
      </c>
      <c r="AA114">
        <f t="shared" si="8"/>
      </c>
      <c r="AB114">
        <f t="shared" si="8"/>
      </c>
      <c r="AC114">
        <f t="shared" si="8"/>
      </c>
      <c r="AD114">
        <f t="shared" si="8"/>
      </c>
      <c r="AE114">
        <f t="shared" si="8"/>
      </c>
      <c r="AF114">
        <f t="shared" si="8"/>
      </c>
      <c r="AG114">
        <f t="shared" si="8"/>
      </c>
      <c r="AH114">
        <f t="shared" si="8"/>
      </c>
      <c r="AI114">
        <f t="shared" si="8"/>
      </c>
      <c r="AJ114">
        <f t="shared" si="8"/>
      </c>
      <c r="AK114">
        <f t="shared" si="8"/>
      </c>
      <c r="AL114">
        <f t="shared" si="8"/>
      </c>
      <c r="AM114">
        <f t="shared" si="8"/>
      </c>
      <c r="AN114">
        <f t="shared" si="8"/>
      </c>
      <c r="AO114">
        <f t="shared" si="8"/>
      </c>
      <c r="AP114">
        <f t="shared" si="8"/>
      </c>
      <c r="AQ114">
        <f t="shared" si="8"/>
      </c>
      <c r="AR114">
        <f t="shared" si="8"/>
      </c>
      <c r="AS114">
        <f t="shared" si="8"/>
      </c>
      <c r="AT114">
        <f t="shared" si="8"/>
      </c>
      <c r="AU114">
        <f t="shared" si="8"/>
      </c>
      <c r="AV114">
        <f t="shared" si="8"/>
      </c>
      <c r="AW114">
        <f t="shared" si="8"/>
      </c>
      <c r="AX114">
        <f t="shared" si="8"/>
      </c>
      <c r="AY114">
        <f t="shared" si="8"/>
      </c>
      <c r="AZ114">
        <f t="shared" si="8"/>
      </c>
      <c r="BA114">
        <f t="shared" si="8"/>
      </c>
      <c r="BB114">
        <f t="shared" si="8"/>
      </c>
      <c r="BC114">
        <f t="shared" si="8"/>
      </c>
      <c r="BD114">
        <f t="shared" si="8"/>
      </c>
      <c r="BE114">
        <f t="shared" si="8"/>
      </c>
      <c r="BF114">
        <f t="shared" si="8"/>
      </c>
      <c r="BG114">
        <f t="shared" si="8"/>
      </c>
      <c r="BH114">
        <f t="shared" si="8"/>
      </c>
      <c r="BI114">
        <f t="shared" si="8"/>
      </c>
      <c r="BJ114">
        <f t="shared" si="8"/>
      </c>
      <c r="BK114">
        <f t="shared" si="8"/>
      </c>
      <c r="BL114">
        <f t="shared" si="8"/>
      </c>
      <c r="BM114">
        <f t="shared" si="8"/>
      </c>
      <c r="BN114">
        <f t="shared" si="8"/>
      </c>
      <c r="BO114">
        <f t="shared" si="8"/>
      </c>
      <c r="BP114">
        <f t="shared" si="8"/>
      </c>
      <c r="BQ114">
        <f t="shared" si="8"/>
      </c>
      <c r="BR114">
        <f t="shared" si="8"/>
      </c>
      <c r="BS114">
        <f t="shared" si="8"/>
      </c>
      <c r="BT114">
        <f t="shared" si="8"/>
      </c>
      <c r="BU114">
        <f t="shared" si="8"/>
      </c>
      <c r="BV114">
        <f t="shared" si="8"/>
      </c>
      <c r="BW114">
        <f t="shared" si="8"/>
      </c>
      <c r="BX114">
        <f t="shared" si="8"/>
      </c>
      <c r="BY114">
        <f t="shared" si="8"/>
      </c>
      <c r="BZ114">
        <f t="shared" si="8"/>
      </c>
      <c r="CA114">
        <f t="shared" si="8"/>
      </c>
      <c r="CB114">
        <f t="shared" si="8"/>
      </c>
      <c r="CC114">
        <f t="shared" si="8"/>
      </c>
      <c r="CD114">
        <f t="shared" si="8"/>
      </c>
      <c r="CE114">
        <f t="shared" si="8"/>
      </c>
      <c r="CF114">
        <f t="shared" si="8"/>
      </c>
      <c r="CG114">
        <f t="shared" si="8"/>
      </c>
      <c r="CH114">
        <f t="shared" si="8"/>
      </c>
      <c r="CI114">
        <f t="shared" si="8"/>
      </c>
      <c r="CJ114">
        <f t="shared" si="8"/>
      </c>
      <c r="CK114">
        <f t="shared" si="8"/>
      </c>
      <c r="CL114">
        <f t="shared" si="8"/>
      </c>
      <c r="CM114">
        <f t="shared" si="8"/>
      </c>
      <c r="CN114">
        <f t="shared" si="8"/>
      </c>
      <c r="CO114">
        <f t="shared" si="8"/>
      </c>
      <c r="CP114">
        <f t="shared" si="8"/>
      </c>
      <c r="CQ114">
        <f t="shared" si="8"/>
      </c>
      <c r="CR114">
        <f t="shared" si="8"/>
      </c>
      <c r="CS114">
        <f t="shared" si="8"/>
      </c>
      <c r="CT114">
        <f t="shared" si="8"/>
      </c>
      <c r="CU114">
        <f t="shared" si="8"/>
      </c>
      <c r="CV114">
        <f t="shared" si="8"/>
      </c>
      <c r="CW114">
        <f t="shared" si="8"/>
      </c>
      <c r="CX114">
        <f t="shared" si="8"/>
      </c>
      <c r="CY114">
        <f t="shared" si="8"/>
      </c>
      <c r="CZ114">
        <f t="shared" si="8"/>
      </c>
      <c r="DA114">
        <f t="shared" si="8"/>
      </c>
      <c r="DB114">
        <f t="shared" si="8"/>
      </c>
      <c r="DC114">
        <f t="shared" si="8"/>
      </c>
      <c r="DD114">
        <f t="shared" si="8"/>
      </c>
      <c r="DE114">
        <f t="shared" si="8"/>
      </c>
      <c r="DF114">
        <f t="shared" si="8"/>
      </c>
      <c r="DG114">
        <f t="shared" si="8"/>
      </c>
      <c r="DH114">
        <f t="shared" si="8"/>
      </c>
      <c r="DI114">
        <f t="shared" si="8"/>
      </c>
      <c r="DJ114">
        <f t="shared" si="8"/>
      </c>
      <c r="DK114">
        <f t="shared" si="8"/>
      </c>
      <c r="DL114">
        <f t="shared" si="8"/>
      </c>
      <c r="DM114">
        <f t="shared" si="8"/>
      </c>
      <c r="DN114">
        <f t="shared" si="8"/>
      </c>
      <c r="DO114">
        <f t="shared" si="8"/>
      </c>
      <c r="DP114">
        <f t="shared" si="8"/>
      </c>
      <c r="DQ114">
        <f t="shared" si="8"/>
      </c>
      <c r="DR114">
        <f t="shared" si="8"/>
      </c>
      <c r="DS114">
        <f t="shared" si="8"/>
      </c>
      <c r="DT114">
        <f t="shared" si="8"/>
      </c>
      <c r="DU114">
        <f t="shared" si="8"/>
      </c>
      <c r="DV114">
        <f t="shared" si="8"/>
      </c>
      <c r="DW114">
        <f t="shared" si="8"/>
      </c>
      <c r="DX114">
        <f t="shared" si="8"/>
      </c>
      <c r="DY114">
        <f t="shared" si="8"/>
      </c>
      <c r="DZ114">
        <f t="shared" si="8"/>
      </c>
      <c r="EA114">
        <f t="shared" si="8"/>
      </c>
      <c r="EB114">
        <f t="shared" si="8"/>
      </c>
      <c r="EC114">
        <f t="shared" si="8"/>
      </c>
      <c r="ED114">
        <f t="shared" si="8"/>
      </c>
      <c r="EE114">
        <f t="shared" si="8"/>
      </c>
      <c r="EF114">
        <f t="shared" si="8"/>
      </c>
      <c r="EG114">
        <f t="shared" si="8"/>
      </c>
      <c r="EH114">
        <f t="shared" si="8"/>
      </c>
      <c r="EI114">
        <f t="shared" si="8"/>
      </c>
      <c r="EJ114">
        <f t="shared" si="8"/>
      </c>
      <c r="EK114">
        <f t="shared" si="8"/>
      </c>
      <c r="EL114">
        <f t="shared" si="8"/>
      </c>
      <c r="EM114">
        <f t="shared" si="8"/>
      </c>
      <c r="EN114">
        <f t="shared" si="8"/>
      </c>
      <c r="EO114">
        <f t="shared" si="8"/>
      </c>
      <c r="EP114">
        <f t="shared" si="8"/>
      </c>
      <c r="EQ114">
        <f t="shared" si="8"/>
      </c>
      <c r="ER114">
        <f t="shared" si="8"/>
      </c>
      <c r="ES114">
        <f t="shared" si="8"/>
      </c>
      <c r="ET114">
        <f t="shared" si="8"/>
      </c>
      <c r="EU114">
        <f t="shared" si="8"/>
      </c>
      <c r="EV114">
        <f t="shared" si="8"/>
      </c>
      <c r="EW114">
        <f t="shared" si="8"/>
      </c>
      <c r="EX114">
        <f t="shared" si="8"/>
      </c>
      <c r="EY114">
        <f t="shared" si="8"/>
      </c>
      <c r="EZ114">
        <f t="shared" si="8"/>
      </c>
      <c r="FA114" t="str">
        <f t="shared" si="12"/>
        <v>-</v>
      </c>
      <c r="FB114">
        <f t="shared" si="13"/>
      </c>
      <c r="FC114" cm="1">
        <f t="array" ref="FC114">_xlfn.LET(_xlpm.unit_type,$G114,_xlpm.market_rent_from_rent_roll,$E114,_xlpm.unit_type_list,RentRoll_InputArea_DesignatedUnitType,_xlpm.rent_by_unit_type,RentRoll_InputArea_MarketRent,_xlpm.use_rent_roll_market_rent,LEFT(RR_VacantUnitMktRentSource,9)="Rent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14">
        <f t="shared" si="14"/>
        <v>1218</v>
      </c>
      <c r="FE114">
        <f t="shared" si="15"/>
        <v>1218</v>
      </c>
      <c r="FF114">
        <f t="shared" si="16"/>
        <v>1218</v>
      </c>
      <c r="FH114">
        <f t="shared" si="17"/>
      </c>
      <c r="FI114">
        <f t="shared" si="18"/>
      </c>
      <c r="FK114" cm="1">
        <f t="array" ref="FK114">IF(AND(LEN($D114)&gt;0,ISNA(MATCH(TRUE,EXACT($G114,RentRoll_InputArea_DesignatedUnitType),0))),1,0)</f>
        <v>0</v>
      </c>
      <c r="FL114">
        <f t="shared" si="19"/>
        <v>91</v>
      </c>
      <c r="IO114" cm="1">
        <f t="array" ref="IO114">IF(LEN($G114)=0,"Rent Roll is incomplete",_xlfn.XLOOKUP(TRUE,EXACT(RentRoll_InputArea_DesignatedUnitType,$G114),RentRoll_InputArea_Beds,"Not Found"))</f>
        <v>0</v>
      </c>
      <c r="IQ114" t="str">
        <f t="shared" si="20"/>
        <v>0 Bedroom Unit (Efficiency/Studio)</v>
      </c>
      <c r="IR114">
        <f t="shared" si="21"/>
        <v>1218</v>
      </c>
      <c r="IW114" t="str">
        <f t="shared" si="22"/>
        <v>8-802</v>
      </c>
      <c r="IZ114">
        <f t="shared" si="23"/>
        <v>0</v>
      </c>
      <c r="JA114">
        <f t="shared" si="24"/>
        <v>1218</v>
      </c>
      <c r="JH114">
        <f t="shared" si="25"/>
        <v>1217</v>
      </c>
      <c r="JJ114">
        <f t="shared" si="26"/>
      </c>
      <c r="JQ114" t="str">
        <f t="shared" si="27"/>
        <v>Occupied</v>
      </c>
      <c r="JR114" cm="1">
        <f t="array" ref="JR114">_xlfn.XLOOKUP(TRUE,EXACT(RentRoll_InputArea_DesignatedUnitType,$G114),RentRoll_InputArea_SquareFootage,"Not Found")</f>
        <v>800</v>
      </c>
      <c r="JS114" t="str">
        <f t="shared" si="28"/>
        <v>Apartment</v>
      </c>
      <c r="JT114">
        <f t="shared" si="29"/>
      </c>
      <c r="JY114">
        <f t="shared" si="9"/>
        <v>43582</v>
      </c>
      <c r="JZ114">
        <f t="shared" si="9"/>
        <v>43951</v>
      </c>
    </row>
    <row r="115" ht="15" customHeight="1">
      <c r="A115">
        <f t="shared" si="10"/>
        <v>92</v>
      </c>
      <c r="D115" t="s">
        <v>2925</v>
      </c>
      <c r="E115">
        <v>1200</v>
      </c>
      <c r="F115" t="s">
        <v>2926</v>
      </c>
      <c r="G115" t="s">
        <v>2530</v>
      </c>
      <c r="H115">
        <v>1176</v>
      </c>
      <c r="I115" cm="1">
        <f t="array" ref="I115">_xlfn.LET(_xlpm.has_subsidy,$N115&gt;0,_xlpm.is_chap9_sbl,$FF$20,_xlpm.contract_rent,$H115,_xlpm.unit_type_mkt_rent,_xlfn.XLOOKUP(TRUE,EXACT($G115,RentRoll_InputArea_DesignatedUnitType),RentRoll_InputArea_MarketRent,"Not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5">
        <f t="shared" si="11"/>
        <v>1176</v>
      </c>
      <c r="O115" s="1">
        <v>43586</v>
      </c>
      <c r="P115" s="1">
        <v>43951</v>
      </c>
      <c r="Q115">
        <f t="shared" si="8"/>
      </c>
      <c r="R115">
        <f t="shared" si="8"/>
        <v>1176</v>
      </c>
      <c r="S115">
        <f t="shared" si="8"/>
      </c>
      <c r="T115">
        <f t="shared" si="8"/>
      </c>
      <c r="U115">
        <f t="shared" si="8"/>
      </c>
      <c r="V115">
        <f t="shared" si="8"/>
      </c>
      <c r="W115">
        <f t="shared" si="8"/>
      </c>
      <c r="X115">
        <f t="shared" si="8"/>
      </c>
      <c r="Y115">
        <f t="shared" si="8"/>
      </c>
      <c r="Z115">
        <f t="shared" si="8"/>
      </c>
      <c r="AA115">
        <f t="shared" si="8"/>
      </c>
      <c r="AB115">
        <f t="shared" si="8"/>
      </c>
      <c r="AC115">
        <f t="shared" si="8"/>
      </c>
      <c r="AD115">
        <f t="shared" si="8"/>
      </c>
      <c r="AE115">
        <f t="shared" si="8"/>
      </c>
      <c r="AF115">
        <f t="shared" si="8"/>
      </c>
      <c r="AG115">
        <f t="shared" si="8"/>
      </c>
      <c r="AH115">
        <f t="shared" si="8"/>
      </c>
      <c r="AI115">
        <f t="shared" si="8"/>
      </c>
      <c r="AJ115">
        <f t="shared" si="8"/>
      </c>
      <c r="AK115">
        <f t="shared" si="8"/>
      </c>
      <c r="AL115">
        <f t="shared" si="8"/>
      </c>
      <c r="AM115">
        <f t="shared" si="8"/>
      </c>
      <c r="AN115">
        <f t="shared" si="8"/>
      </c>
      <c r="AO115">
        <f t="shared" si="8"/>
      </c>
      <c r="AP115">
        <f t="shared" si="8"/>
      </c>
      <c r="AQ115">
        <f t="shared" si="8"/>
      </c>
      <c r="AR115">
        <f t="shared" si="8"/>
      </c>
      <c r="AS115">
        <f t="shared" si="8"/>
      </c>
      <c r="AT115">
        <f t="shared" si="8"/>
      </c>
      <c r="AU115">
        <f t="shared" si="8"/>
      </c>
      <c r="AV115">
        <f t="shared" si="8"/>
      </c>
      <c r="AW115">
        <f t="shared" si="8"/>
      </c>
      <c r="AX115">
        <f t="shared" si="8"/>
      </c>
      <c r="AY115">
        <f t="shared" si="8"/>
      </c>
      <c r="AZ115">
        <f t="shared" si="8"/>
      </c>
      <c r="BA115">
        <f t="shared" si="8"/>
      </c>
      <c r="BB115">
        <f t="shared" si="8"/>
      </c>
      <c r="BC115">
        <f t="shared" si="8"/>
      </c>
      <c r="BD115">
        <f t="shared" si="8"/>
      </c>
      <c r="BE115">
        <f t="shared" si="8"/>
      </c>
      <c r="BF115">
        <f t="shared" si="8"/>
      </c>
      <c r="BG115">
        <f t="shared" si="8"/>
      </c>
      <c r="BH115">
        <f t="shared" si="8"/>
      </c>
      <c r="BI115">
        <f t="shared" si="8"/>
      </c>
      <c r="BJ115">
        <f t="shared" si="8"/>
      </c>
      <c r="BK115">
        <f t="shared" si="8"/>
      </c>
      <c r="BL115">
        <f t="shared" si="8"/>
      </c>
      <c r="BM115">
        <f t="shared" si="8"/>
      </c>
      <c r="BN115">
        <f t="shared" si="8"/>
      </c>
      <c r="BO115">
        <f t="shared" si="8"/>
      </c>
      <c r="BP115">
        <f t="shared" si="8"/>
      </c>
      <c r="BQ115">
        <f t="shared" si="8"/>
      </c>
      <c r="BR115">
        <f t="shared" si="8"/>
      </c>
      <c r="BS115">
        <f t="shared" si="8"/>
      </c>
      <c r="BT115">
        <f t="shared" si="8"/>
      </c>
      <c r="BU115">
        <f t="shared" si="8"/>
      </c>
      <c r="BV115">
        <f t="shared" si="8"/>
      </c>
      <c r="BW115">
        <f t="shared" si="8"/>
      </c>
      <c r="BX115">
        <f t="shared" si="8"/>
      </c>
      <c r="BY115">
        <f t="shared" si="8"/>
      </c>
      <c r="BZ115">
        <f t="shared" si="8"/>
      </c>
      <c r="CA115">
        <f t="shared" si="8"/>
      </c>
      <c r="CB115">
        <f t="shared" si="8"/>
      </c>
      <c r="CC115">
        <f t="shared" si="8"/>
      </c>
      <c r="CD115">
        <f t="shared" si="8"/>
      </c>
      <c r="CE115">
        <f t="shared" si="8"/>
      </c>
      <c r="CF115">
        <f t="shared" si="8"/>
      </c>
      <c r="CG115">
        <f t="shared" si="8"/>
      </c>
      <c r="CH115">
        <f t="shared" si="8"/>
      </c>
      <c r="CI115">
        <f t="shared" si="8"/>
      </c>
      <c r="CJ115">
        <f t="shared" si="8"/>
      </c>
      <c r="CK115">
        <f t="shared" si="8"/>
      </c>
      <c r="CL115">
        <f t="shared" si="8"/>
      </c>
      <c r="CM115">
        <f t="shared" si="8"/>
      </c>
      <c r="CN115">
        <f t="shared" si="8"/>
      </c>
      <c r="CO115">
        <f t="shared" si="8"/>
      </c>
      <c r="CP115">
        <f t="shared" si="8"/>
      </c>
      <c r="CQ115">
        <f t="shared" si="8"/>
      </c>
      <c r="CR115">
        <f t="shared" si="8"/>
      </c>
      <c r="CS115">
        <f t="shared" si="8"/>
      </c>
      <c r="CT115">
        <f t="shared" si="8"/>
      </c>
      <c r="CU115">
        <f t="shared" si="8"/>
      </c>
      <c r="CV115">
        <f t="shared" si="8"/>
      </c>
      <c r="CW115">
        <f t="shared" si="8"/>
      </c>
      <c r="CX115">
        <f t="shared" si="8"/>
      </c>
      <c r="CY115">
        <f t="shared" si="8"/>
      </c>
      <c r="CZ115">
        <f t="shared" si="8"/>
      </c>
      <c r="DA115">
        <f t="shared" si="8"/>
      </c>
      <c r="DB115">
        <f t="shared" si="8"/>
      </c>
      <c r="DC115">
        <f t="shared" si="8"/>
      </c>
      <c r="DD115">
        <f t="shared" si="8"/>
      </c>
      <c r="DE115">
        <f t="shared" si="8"/>
      </c>
      <c r="DF115">
        <f t="shared" si="8"/>
      </c>
      <c r="DG115">
        <f t="shared" si="8"/>
      </c>
      <c r="DH115">
        <f t="shared" si="8"/>
      </c>
      <c r="DI115">
        <f t="shared" si="8"/>
      </c>
      <c r="DJ115">
        <f t="shared" si="8"/>
      </c>
      <c r="DK115">
        <f t="shared" si="8"/>
      </c>
      <c r="DL115">
        <f t="shared" si="8"/>
      </c>
      <c r="DM115">
        <f t="shared" si="8"/>
      </c>
      <c r="DN115">
        <f t="shared" si="8"/>
      </c>
      <c r="DO115">
        <f t="shared" si="8"/>
      </c>
      <c r="DP115">
        <f t="shared" si="8"/>
      </c>
      <c r="DQ115">
        <f t="shared" si="8"/>
      </c>
      <c r="DR115">
        <f t="shared" si="8"/>
      </c>
      <c r="DS115">
        <f t="shared" si="8"/>
      </c>
      <c r="DT115">
        <f t="shared" si="8"/>
      </c>
      <c r="DU115">
        <f t="shared" si="8"/>
      </c>
      <c r="DV115">
        <f t="shared" si="8"/>
      </c>
      <c r="DW115">
        <f t="shared" si="8"/>
      </c>
      <c r="DX115">
        <f t="shared" si="8"/>
      </c>
      <c r="DY115">
        <f t="shared" si="8"/>
      </c>
      <c r="DZ115">
        <f t="shared" si="8"/>
      </c>
      <c r="EA115">
        <f t="shared" si="8"/>
      </c>
      <c r="EB115">
        <f t="shared" si="8"/>
      </c>
      <c r="EC115">
        <f t="shared" si="8"/>
      </c>
      <c r="ED115">
        <f t="shared" si="8"/>
      </c>
      <c r="EE115">
        <f t="shared" si="8"/>
      </c>
      <c r="EF115">
        <f t="shared" si="8"/>
      </c>
      <c r="EG115">
        <f t="shared" si="8"/>
      </c>
      <c r="EH115">
        <f t="shared" si="8"/>
      </c>
      <c r="EI115">
        <f t="shared" si="8"/>
      </c>
      <c r="EJ115">
        <f t="shared" si="8"/>
      </c>
      <c r="EK115">
        <f t="shared" si="8"/>
      </c>
      <c r="EL115">
        <f t="shared" si="8"/>
      </c>
      <c r="EM115">
        <f t="shared" si="8"/>
      </c>
      <c r="EN115">
        <f t="shared" si="8"/>
      </c>
      <c r="EO115">
        <f t="shared" si="8"/>
      </c>
      <c r="EP115">
        <f t="shared" si="8"/>
      </c>
      <c r="EQ115">
        <f t="shared" si="8"/>
      </c>
      <c r="ER115">
        <f t="shared" si="8"/>
      </c>
      <c r="ES115">
        <f t="shared" si="8"/>
      </c>
      <c r="ET115">
        <f t="shared" si="8"/>
      </c>
      <c r="EU115">
        <f t="shared" si="8"/>
      </c>
      <c r="EV115">
        <f t="shared" si="8"/>
      </c>
      <c r="EW115">
        <f t="shared" si="8"/>
      </c>
      <c r="EX115">
        <f t="shared" si="8"/>
      </c>
      <c r="EY115">
        <f t="shared" si="8"/>
      </c>
      <c r="EZ115">
        <f t="shared" si="8"/>
      </c>
      <c r="FA115" t="str">
        <f t="shared" si="12"/>
        <v>-</v>
      </c>
      <c r="FB115">
        <f t="shared" si="13"/>
      </c>
      <c r="FC115" cm="1">
        <f t="array" ref="FC115">_xlfn.LET(_xlpm.unit_type,$G115,_xlpm.market_rent_from_rent_roll,$E115,_xlpm.unit_type_list,RentRoll_InputArea_DesignatedUnitType,_xlpm.rent_by_unit_type,RentRoll_InputArea_MarketRent,_xlpm.use_rent_roll_market_rent,LEFT(RR_VacantUnitMktRentSource,9)="Rent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15">
        <f t="shared" si="14"/>
        <v>1176</v>
      </c>
      <c r="FE115">
        <f t="shared" si="15"/>
        <v>1176</v>
      </c>
      <c r="FF115">
        <f t="shared" si="16"/>
        <v>1176</v>
      </c>
      <c r="FH115">
        <f t="shared" si="17"/>
      </c>
      <c r="FI115">
        <f t="shared" si="18"/>
      </c>
      <c r="FK115" cm="1">
        <f t="array" ref="FK115">IF(AND(LEN($D115)&gt;0,ISNA(MATCH(TRUE,EXACT($G115,RentRoll_InputArea_DesignatedUnitType),0))),1,0)</f>
        <v>0</v>
      </c>
      <c r="FL115">
        <f t="shared" si="19"/>
        <v>92</v>
      </c>
      <c r="IO115" cm="1">
        <f t="array" ref="IO115">IF(LEN($G115)=0,"Rent Roll is incomplete",_xlfn.XLOOKUP(TRUE,EXACT(RentRoll_InputArea_DesignatedUnitType,$G115),RentRoll_InputArea_Beds,"Not Found"))</f>
        <v>0</v>
      </c>
      <c r="IQ115" t="str">
        <f t="shared" si="20"/>
        <v>0 Bedroom Unit (Efficiency/Studio)</v>
      </c>
      <c r="IR115">
        <f t="shared" si="21"/>
        <v>1176</v>
      </c>
      <c r="IW115" t="str">
        <f t="shared" si="22"/>
        <v>8-803</v>
      </c>
      <c r="IZ115">
        <f t="shared" si="23"/>
        <v>0</v>
      </c>
      <c r="JA115">
        <f t="shared" si="24"/>
        <v>1176</v>
      </c>
      <c r="JH115">
        <f t="shared" si="25"/>
        <v>1217</v>
      </c>
      <c r="JJ115">
        <f t="shared" si="26"/>
      </c>
      <c r="JQ115" t="str">
        <f t="shared" si="27"/>
        <v>Occupied</v>
      </c>
      <c r="JR115" cm="1">
        <f t="array" ref="JR115">_xlfn.XLOOKUP(TRUE,EXACT(RentRoll_InputArea_DesignatedUnitType,$G115),RentRoll_InputArea_SquareFootage,"Not Found")</f>
        <v>800</v>
      </c>
      <c r="JS115" t="str">
        <f t="shared" si="28"/>
        <v>Apartment</v>
      </c>
      <c r="JT115">
        <f t="shared" si="29"/>
      </c>
      <c r="JY115">
        <f t="shared" si="9"/>
        <v>43586</v>
      </c>
      <c r="JZ115">
        <f t="shared" si="9"/>
        <v>43951</v>
      </c>
    </row>
    <row r="116" ht="15" customHeight="1">
      <c r="A116">
        <f t="shared" si="10"/>
        <v>93</v>
      </c>
      <c r="D116" t="s">
        <v>2927</v>
      </c>
      <c r="E116">
        <v>1230</v>
      </c>
      <c r="F116" t="s">
        <v>2928</v>
      </c>
      <c r="G116" t="s">
        <v>2530</v>
      </c>
      <c r="H116">
        <v>1263</v>
      </c>
      <c r="I116" cm="1">
        <f t="array" ref="I116">_xlfn.LET(_xlpm.has_subsidy,$N116&gt;0,_xlpm.is_chap9_sbl,$FF$20,_xlpm.contract_rent,$H116,_xlpm.unit_type_mkt_rent,_xlfn.XLOOKUP(TRUE,EXACT($G116,RentRoll_InputArea_DesignatedUnitType),RentRoll_InputArea_MarketRent,"Not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6">
        <f t="shared" si="11"/>
        <v>1263</v>
      </c>
      <c r="O116" s="1">
        <v>43442</v>
      </c>
      <c r="P116" s="1">
        <v>43708</v>
      </c>
      <c r="Q116">
        <f t="shared" si="8"/>
      </c>
      <c r="R116">
        <f t="shared" si="8"/>
        <v>1263</v>
      </c>
      <c r="S116">
        <f t="shared" si="8"/>
      </c>
      <c r="T116">
        <f t="shared" si="8"/>
      </c>
      <c r="U116">
        <f t="shared" si="8"/>
      </c>
      <c r="V116">
        <f t="shared" si="8"/>
      </c>
      <c r="W116">
        <f t="shared" si="8"/>
      </c>
      <c r="X116">
        <f t="shared" si="8"/>
      </c>
      <c r="Y116">
        <f t="shared" si="8"/>
      </c>
      <c r="Z116">
        <f t="shared" si="8"/>
      </c>
      <c r="AA116">
        <f t="shared" si="8"/>
      </c>
      <c r="AB116">
        <f t="shared" si="8"/>
      </c>
      <c r="AC116">
        <f t="shared" si="8"/>
      </c>
      <c r="AD116">
        <f t="shared" si="8"/>
      </c>
      <c r="AE116">
        <f t="shared" si="8"/>
      </c>
      <c r="AF116">
        <f t="shared" si="8"/>
      </c>
      <c r="AG116">
        <f t="shared" si="8"/>
      </c>
      <c r="AH116">
        <f t="shared" si="8"/>
      </c>
      <c r="AI116">
        <f t="shared" si="8"/>
      </c>
      <c r="AJ116">
        <f t="shared" si="8"/>
      </c>
      <c r="AK116">
        <f t="shared" si="8"/>
      </c>
      <c r="AL116">
        <f t="shared" si="8"/>
      </c>
      <c r="AM116">
        <f t="shared" si="8"/>
      </c>
      <c r="AN116">
        <f t="shared" si="8"/>
      </c>
      <c r="AO116">
        <f t="shared" si="8"/>
      </c>
      <c r="AP116">
        <f t="shared" si="8"/>
      </c>
      <c r="AQ116">
        <f t="shared" si="8"/>
      </c>
      <c r="AR116">
        <f t="shared" si="8"/>
      </c>
      <c r="AS116">
        <f t="shared" si="8"/>
      </c>
      <c r="AT116">
        <f t="shared" si="8"/>
      </c>
      <c r="AU116">
        <f t="shared" si="8"/>
      </c>
      <c r="AV116">
        <f t="shared" si="8"/>
      </c>
      <c r="AW116">
        <f t="shared" si="8"/>
      </c>
      <c r="AX116">
        <f t="shared" si="8"/>
      </c>
      <c r="AY116">
        <f t="shared" si="8"/>
      </c>
      <c r="AZ116">
        <f t="shared" si="8"/>
      </c>
      <c r="BA116">
        <f t="shared" si="8"/>
      </c>
      <c r="BB116">
        <f t="shared" si="8"/>
      </c>
      <c r="BC116">
        <f t="shared" si="8"/>
      </c>
      <c r="BD116">
        <f t="shared" si="8"/>
      </c>
      <c r="BE116">
        <f t="shared" si="8"/>
      </c>
      <c r="BF116">
        <f t="shared" si="8"/>
      </c>
      <c r="BG116">
        <f t="shared" si="8"/>
      </c>
      <c r="BH116">
        <f t="shared" si="8"/>
      </c>
      <c r="BI116">
        <f t="shared" si="8"/>
      </c>
      <c r="BJ116">
        <f t="shared" si="8"/>
      </c>
      <c r="BK116">
        <f t="shared" si="8"/>
      </c>
      <c r="BL116">
        <f t="shared" si="8"/>
      </c>
      <c r="BM116">
        <f t="shared" si="8"/>
      </c>
      <c r="BN116">
        <f t="shared" si="8"/>
      </c>
      <c r="BO116">
        <f t="shared" si="8"/>
      </c>
      <c r="BP116">
        <f t="shared" si="8"/>
      </c>
      <c r="BQ116">
        <f t="shared" si="8"/>
      </c>
      <c r="BR116">
        <f t="shared" si="8"/>
      </c>
      <c r="BS116">
        <f t="shared" si="8"/>
      </c>
      <c r="BT116">
        <f t="shared" si="8"/>
      </c>
      <c r="BU116">
        <f t="shared" si="8"/>
      </c>
      <c r="BV116">
        <f t="shared" si="8"/>
      </c>
      <c r="BW116">
        <f t="shared" si="8"/>
      </c>
      <c r="BX116">
        <f t="shared" si="8"/>
      </c>
      <c r="BY116">
        <f t="shared" si="8"/>
      </c>
      <c r="BZ116">
        <f t="shared" si="8"/>
      </c>
      <c r="CA116">
        <f t="shared" si="8"/>
      </c>
      <c r="CB116">
        <f t="shared" si="8"/>
      </c>
      <c r="CC116">
        <f t="shared" si="8"/>
      </c>
      <c r="CD116">
        <f t="shared" si="8"/>
      </c>
      <c r="CE116">
        <f t="shared" si="8"/>
      </c>
      <c r="CF116">
        <f t="shared" si="8"/>
      </c>
      <c r="CG116">
        <f t="shared" si="8"/>
      </c>
      <c r="CH116">
        <f t="shared" si="8"/>
      </c>
      <c r="CI116">
        <f t="shared" si="8"/>
      </c>
      <c r="CJ116">
        <f t="shared" si="8"/>
      </c>
      <c r="CK116">
        <f t="shared" si="8"/>
      </c>
      <c r="CL116">
        <f t="shared" si="8"/>
      </c>
      <c r="CM116">
        <f t="shared" si="8"/>
      </c>
      <c r="CN116">
        <f t="shared" si="8"/>
      </c>
      <c r="CO116">
        <f t="shared" si="8"/>
      </c>
      <c r="CP116">
        <f t="shared" si="8"/>
      </c>
      <c r="CQ116">
        <f t="shared" si="8"/>
      </c>
      <c r="CR116">
        <f t="shared" si="8"/>
      </c>
      <c r="CS116">
        <f t="shared" si="8"/>
      </c>
      <c r="CT116">
        <f t="shared" si="8"/>
      </c>
      <c r="CU116">
        <f t="shared" si="8"/>
      </c>
      <c r="CV116">
        <f t="shared" si="8"/>
      </c>
      <c r="CW116">
        <f t="shared" si="8"/>
      </c>
      <c r="CX116">
        <f t="shared" si="8"/>
      </c>
      <c r="CY116">
        <f t="shared" si="8"/>
      </c>
      <c r="CZ116">
        <f t="shared" si="8"/>
      </c>
      <c r="DA116">
        <f t="shared" si="8"/>
      </c>
      <c r="DB116">
        <f t="shared" si="8"/>
      </c>
      <c r="DC116">
        <f t="shared" si="8"/>
      </c>
      <c r="DD116">
        <f t="shared" si="8"/>
      </c>
      <c r="DE116">
        <f t="shared" si="8"/>
      </c>
      <c r="DF116">
        <f t="shared" si="8"/>
      </c>
      <c r="DG116">
        <f t="shared" si="8"/>
      </c>
      <c r="DH116">
        <f t="shared" si="8"/>
      </c>
      <c r="DI116">
        <f t="shared" si="8"/>
      </c>
      <c r="DJ116">
        <f t="shared" si="8"/>
      </c>
      <c r="DK116">
        <f t="shared" si="8"/>
      </c>
      <c r="DL116">
        <f t="shared" si="8"/>
      </c>
      <c r="DM116">
        <f t="shared" si="8"/>
      </c>
      <c r="DN116">
        <f t="shared" si="8"/>
      </c>
      <c r="DO116">
        <f t="shared" si="8"/>
      </c>
      <c r="DP116">
        <f t="shared" si="8"/>
      </c>
      <c r="DQ116">
        <f t="shared" si="8"/>
      </c>
      <c r="DR116">
        <f t="shared" si="8"/>
      </c>
      <c r="DS116">
        <f t="shared" si="8"/>
      </c>
      <c r="DT116">
        <f t="shared" si="8"/>
      </c>
      <c r="DU116">
        <f t="shared" si="8"/>
      </c>
      <c r="DV116">
        <f t="shared" si="8"/>
      </c>
      <c r="DW116">
        <f t="shared" si="8"/>
      </c>
      <c r="DX116">
        <f t="shared" si="8"/>
      </c>
      <c r="DY116">
        <f t="shared" si="8"/>
      </c>
      <c r="DZ116">
        <f t="shared" si="8"/>
      </c>
      <c r="EA116">
        <f t="shared" si="8"/>
      </c>
      <c r="EB116">
        <f t="shared" si="8"/>
      </c>
      <c r="EC116">
        <f t="shared" si="8"/>
      </c>
      <c r="ED116">
        <f t="shared" si="8"/>
      </c>
      <c r="EE116">
        <f t="shared" si="8"/>
      </c>
      <c r="EF116">
        <f t="shared" si="8"/>
      </c>
      <c r="EG116">
        <f t="shared" si="8"/>
      </c>
      <c r="EH116">
        <f t="shared" si="8"/>
      </c>
      <c r="EI116">
        <f t="shared" si="8"/>
      </c>
      <c r="EJ116">
        <f t="shared" si="8"/>
      </c>
      <c r="EK116">
        <f t="shared" si="8"/>
      </c>
      <c r="EL116">
        <f t="shared" si="8"/>
      </c>
      <c r="EM116">
        <f t="shared" si="8"/>
      </c>
      <c r="EN116">
        <f t="shared" si="8"/>
      </c>
      <c r="EO116">
        <f t="shared" si="8"/>
      </c>
      <c r="EP116">
        <f t="shared" si="8"/>
      </c>
      <c r="EQ116">
        <f t="shared" si="8"/>
      </c>
      <c r="ER116">
        <f t="shared" si="8"/>
      </c>
      <c r="ES116">
        <f t="shared" si="8"/>
      </c>
      <c r="ET116">
        <f t="shared" si="8"/>
      </c>
      <c r="EU116">
        <f t="shared" si="8"/>
      </c>
      <c r="EV116">
        <f t="shared" si="8"/>
      </c>
      <c r="EW116">
        <f t="shared" si="8"/>
      </c>
      <c r="EX116">
        <f t="shared" si="8"/>
      </c>
      <c r="EY116">
        <f t="shared" si="8"/>
      </c>
      <c r="EZ116">
        <f t="shared" si="8"/>
      </c>
      <c r="FA116" t="str">
        <f t="shared" si="12"/>
        <v>-</v>
      </c>
      <c r="FB116">
        <f t="shared" si="13"/>
      </c>
      <c r="FC116" cm="1">
        <f t="array" ref="FC116">_xlfn.LET(_xlpm.unit_type,$G116,_xlpm.market_rent_from_rent_roll,$E116,_xlpm.unit_type_list,RentRoll_InputArea_DesignatedUnitType,_xlpm.rent_by_unit_type,RentRoll_InputArea_MarketRent,_xlpm.use_rent_roll_market_rent,LEFT(RR_VacantUnitMktRentSource,9)="Rent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16">
        <f t="shared" si="14"/>
        <v>1263</v>
      </c>
      <c r="FE116">
        <f t="shared" si="15"/>
        <v>1263</v>
      </c>
      <c r="FF116">
        <f t="shared" si="16"/>
        <v>1263</v>
      </c>
      <c r="FH116">
        <f t="shared" si="17"/>
      </c>
      <c r="FI116">
        <f t="shared" si="18"/>
      </c>
      <c r="FK116" cm="1">
        <f t="array" ref="FK116">IF(AND(LEN($D116)&gt;0,ISNA(MATCH(TRUE,EXACT($G116,RentRoll_InputArea_DesignatedUnitType),0))),1,0)</f>
        <v>0</v>
      </c>
      <c r="FL116">
        <f t="shared" si="19"/>
        <v>93</v>
      </c>
      <c r="IO116" cm="1">
        <f t="array" ref="IO116">IF(LEN($G116)=0,"Rent Roll is incomplete",_xlfn.XLOOKUP(TRUE,EXACT(RentRoll_InputArea_DesignatedUnitType,$G116),RentRoll_InputArea_Beds,"Not Found"))</f>
        <v>0</v>
      </c>
      <c r="IQ116" t="str">
        <f t="shared" si="20"/>
        <v>0 Bedroom Unit (Efficiency/Studio)</v>
      </c>
      <c r="IR116">
        <f t="shared" si="21"/>
        <v>1263</v>
      </c>
      <c r="IW116" t="str">
        <f t="shared" si="22"/>
        <v>8-804</v>
      </c>
      <c r="IZ116">
        <f t="shared" si="23"/>
        <v>0</v>
      </c>
      <c r="JA116">
        <f t="shared" si="24"/>
        <v>1263</v>
      </c>
      <c r="JH116">
        <f t="shared" si="25"/>
        <v>1217</v>
      </c>
      <c r="JJ116">
        <f t="shared" si="26"/>
      </c>
      <c r="JQ116" t="str">
        <f t="shared" si="27"/>
        <v>Occupied</v>
      </c>
      <c r="JR116" cm="1">
        <f t="array" ref="JR116">_xlfn.XLOOKUP(TRUE,EXACT(RentRoll_InputArea_DesignatedUnitType,$G116),RentRoll_InputArea_SquareFootage,"Not Found")</f>
        <v>800</v>
      </c>
      <c r="JS116" t="str">
        <f t="shared" si="28"/>
        <v>Apartment</v>
      </c>
      <c r="JT116">
        <f t="shared" si="29"/>
      </c>
      <c r="JY116">
        <f t="shared" si="9"/>
        <v>43442</v>
      </c>
      <c r="JZ116">
        <f t="shared" si="9"/>
        <v>43708</v>
      </c>
    </row>
    <row r="117" ht="15" customHeight="1">
      <c r="A117">
        <f t="shared" si="10"/>
        <v>94</v>
      </c>
      <c r="D117" t="s">
        <v>2929</v>
      </c>
      <c r="E117">
        <v>1219</v>
      </c>
      <c r="F117" t="s">
        <v>2930</v>
      </c>
      <c r="G117" t="s">
        <v>2530</v>
      </c>
      <c r="H117">
        <v>1218</v>
      </c>
      <c r="I117" cm="1">
        <f t="array" ref="I117">_xlfn.LET(_xlpm.has_subsidy,$N117&gt;0,_xlpm.is_chap9_sbl,$FF$20,_xlpm.contract_rent,$H117,_xlpm.unit_type_mkt_rent,_xlfn.XLOOKUP(TRUE,EXACT($G117,RentRoll_InputArea_DesignatedUnitType),RentRoll_InputArea_MarketRent,"Not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7">
        <f t="shared" si="11"/>
        <v>1218</v>
      </c>
      <c r="O117" s="1">
        <v>43281</v>
      </c>
      <c r="P117" s="1">
        <v>43555</v>
      </c>
      <c r="Q117">
        <f t="shared" si="8"/>
      </c>
      <c r="R117">
        <f t="shared" si="8"/>
        <v>1218</v>
      </c>
      <c r="S117">
        <f t="shared" si="8"/>
      </c>
      <c r="T117">
        <f t="shared" si="8"/>
      </c>
      <c r="U117">
        <f t="shared" si="8"/>
      </c>
      <c r="V117">
        <f t="shared" si="8"/>
      </c>
      <c r="W117">
        <f t="shared" si="8"/>
      </c>
      <c r="X117">
        <f t="shared" si="8"/>
      </c>
      <c r="Y117">
        <f t="shared" si="8"/>
      </c>
      <c r="Z117">
        <f t="shared" si="8"/>
      </c>
      <c r="AA117">
        <f t="shared" si="8"/>
      </c>
      <c r="AB117">
        <f t="shared" si="8"/>
      </c>
      <c r="AC117">
        <f t="shared" si="8"/>
      </c>
      <c r="AD117">
        <f t="shared" si="8"/>
      </c>
      <c r="AE117">
        <f t="shared" si="8"/>
      </c>
      <c r="AF117">
        <f t="shared" si="8"/>
      </c>
      <c r="AG117">
        <f t="shared" si="8"/>
      </c>
      <c r="AH117">
        <f t="shared" si="8"/>
      </c>
      <c r="AI117">
        <f t="shared" si="8"/>
      </c>
      <c r="AJ117">
        <f t="shared" si="8"/>
      </c>
      <c r="AK117">
        <f t="shared" si="8"/>
      </c>
      <c r="AL117">
        <f t="shared" si="8"/>
      </c>
      <c r="AM117">
        <f t="shared" si="8"/>
      </c>
      <c r="AN117">
        <f t="shared" si="8"/>
      </c>
      <c r="AO117">
        <f t="shared" si="8"/>
      </c>
      <c r="AP117">
        <f t="shared" si="8"/>
      </c>
      <c r="AQ117">
        <f t="shared" si="8"/>
      </c>
      <c r="AR117">
        <f t="shared" si="8"/>
      </c>
      <c r="AS117">
        <f t="shared" si="8"/>
      </c>
      <c r="AT117">
        <f t="shared" si="8"/>
      </c>
      <c r="AU117">
        <f t="shared" si="8"/>
      </c>
      <c r="AV117">
        <f t="shared" si="8"/>
      </c>
      <c r="AW117">
        <f t="shared" si="8"/>
      </c>
      <c r="AX117">
        <f t="shared" si="8"/>
      </c>
      <c r="AY117">
        <f t="shared" si="8"/>
      </c>
      <c r="AZ117">
        <f t="shared" si="8"/>
      </c>
      <c r="BA117">
        <f t="shared" si="8"/>
      </c>
      <c r="BB117">
        <f t="shared" si="8"/>
      </c>
      <c r="BC117">
        <f t="shared" si="8"/>
      </c>
      <c r="BD117">
        <f t="shared" si="8"/>
      </c>
      <c r="BE117">
        <f t="shared" si="8"/>
      </c>
      <c r="BF117">
        <f t="shared" si="8"/>
      </c>
      <c r="BG117">
        <f t="shared" si="8"/>
      </c>
      <c r="BH117">
        <f t="shared" si="8"/>
      </c>
      <c r="BI117">
        <f t="shared" si="8"/>
      </c>
      <c r="BJ117">
        <f t="shared" si="8"/>
      </c>
      <c r="BK117">
        <f t="shared" si="8"/>
      </c>
      <c r="BL117">
        <f t="shared" si="8"/>
      </c>
      <c r="BM117">
        <f t="shared" si="8"/>
      </c>
      <c r="BN117">
        <f t="shared" si="8"/>
      </c>
      <c r="BO117">
        <f t="shared" si="8"/>
      </c>
      <c r="BP117">
        <f t="shared" si="8"/>
      </c>
      <c r="BQ117">
        <f t="shared" si="8"/>
      </c>
      <c r="BR117">
        <f t="shared" si="8"/>
      </c>
      <c r="BS117">
        <f t="shared" si="8"/>
      </c>
      <c r="BT117">
        <f t="shared" si="8"/>
      </c>
      <c r="BU117">
        <f t="shared" si="8"/>
      </c>
      <c r="BV117">
        <f t="shared" si="8"/>
      </c>
      <c r="BW117">
        <f t="shared" si="8"/>
      </c>
      <c r="BX117">
        <f t="shared" si="8"/>
      </c>
      <c r="BY117">
        <f t="shared" si="8"/>
      </c>
      <c r="BZ117">
        <f t="shared" si="8"/>
      </c>
      <c r="CA117">
        <f t="shared" si="8"/>
      </c>
      <c r="CB117">
        <f t="shared" si="8"/>
      </c>
      <c r="CC117">
        <f t="shared" si="8"/>
      </c>
      <c r="CD117">
        <f t="shared" si="8"/>
      </c>
      <c r="CE117">
        <f t="shared" si="8"/>
      </c>
      <c r="CF117">
        <f t="shared" si="8"/>
      </c>
      <c r="CG117">
        <f t="shared" si="8"/>
      </c>
      <c r="CH117">
        <f t="shared" si="8"/>
      </c>
      <c r="CI117">
        <f t="shared" si="8"/>
      </c>
      <c r="CJ117">
        <f t="shared" si="8"/>
      </c>
      <c r="CK117">
        <f t="shared" si="8"/>
      </c>
      <c r="CL117">
        <f t="shared" si="8"/>
      </c>
      <c r="CM117">
        <f t="shared" si="8"/>
      </c>
      <c r="CN117">
        <f t="shared" si="8"/>
      </c>
      <c r="CO117">
        <f t="shared" si="8"/>
      </c>
      <c r="CP117">
        <f t="shared" si="8"/>
      </c>
      <c r="CQ117">
        <f t="shared" si="8"/>
      </c>
      <c r="CR117">
        <f t="shared" si="8"/>
      </c>
      <c r="CS117">
        <f t="shared" si="8"/>
      </c>
      <c r="CT117">
        <f t="shared" si="8"/>
      </c>
      <c r="CU117">
        <f t="shared" si="8"/>
      </c>
      <c r="CV117">
        <f t="shared" si="8"/>
      </c>
      <c r="CW117">
        <f t="shared" si="8"/>
      </c>
      <c r="CX117">
        <f t="shared" si="8"/>
      </c>
      <c r="CY117">
        <f t="shared" si="8"/>
      </c>
      <c r="CZ117">
        <f t="shared" si="8"/>
      </c>
      <c r="DA117">
        <f t="shared" si="8"/>
      </c>
      <c r="DB117">
        <f t="shared" si="8"/>
      </c>
      <c r="DC117">
        <f t="shared" si="8"/>
      </c>
      <c r="DD117">
        <f t="shared" si="8"/>
      </c>
      <c r="DE117">
        <f t="shared" si="8"/>
      </c>
      <c r="DF117">
        <f t="shared" si="8"/>
      </c>
      <c r="DG117">
        <f t="shared" si="8"/>
      </c>
      <c r="DH117">
        <f t="shared" si="8"/>
      </c>
      <c r="DI117">
        <f t="shared" si="8"/>
      </c>
      <c r="DJ117">
        <f t="shared" si="8"/>
      </c>
      <c r="DK117">
        <f t="shared" si="8"/>
      </c>
      <c r="DL117">
        <f t="shared" si="8"/>
      </c>
      <c r="DM117">
        <f t="shared" si="8"/>
      </c>
      <c r="DN117">
        <f t="shared" si="8"/>
      </c>
      <c r="DO117">
        <f t="shared" si="8"/>
      </c>
      <c r="DP117">
        <f t="shared" si="8"/>
      </c>
      <c r="DQ117">
        <f t="shared" si="8"/>
      </c>
      <c r="DR117">
        <f t="shared" si="8"/>
      </c>
      <c r="DS117">
        <f t="shared" si="8"/>
      </c>
      <c r="DT117">
        <f t="shared" si="8"/>
      </c>
      <c r="DU117">
        <f t="shared" si="8"/>
      </c>
      <c r="DV117">
        <f t="shared" si="8"/>
      </c>
      <c r="DW117">
        <f t="shared" si="8"/>
      </c>
      <c r="DX117">
        <f t="shared" si="8"/>
      </c>
      <c r="DY117">
        <f t="shared" si="8"/>
      </c>
      <c r="DZ117">
        <f t="shared" si="8"/>
      </c>
      <c r="EA117">
        <f t="shared" si="8"/>
      </c>
      <c r="EB117">
        <f t="shared" si="8"/>
      </c>
      <c r="EC117">
        <f t="shared" si="8"/>
      </c>
      <c r="ED117">
        <f t="shared" si="8"/>
      </c>
      <c r="EE117">
        <f t="shared" si="8"/>
      </c>
      <c r="EF117">
        <f t="shared" si="8"/>
      </c>
      <c r="EG117">
        <f t="shared" si="8"/>
      </c>
      <c r="EH117">
        <f t="shared" si="8"/>
      </c>
      <c r="EI117">
        <f t="shared" si="8"/>
      </c>
      <c r="EJ117">
        <f t="shared" si="8"/>
      </c>
      <c r="EK117">
        <f t="shared" si="8"/>
      </c>
      <c r="EL117">
        <f t="shared" si="8"/>
      </c>
      <c r="EM117">
        <f t="shared" si="8"/>
      </c>
      <c r="EN117">
        <f t="shared" si="8"/>
      </c>
      <c r="EO117">
        <f t="shared" si="8"/>
      </c>
      <c r="EP117">
        <f t="shared" si="8"/>
      </c>
      <c r="EQ117">
        <f t="shared" si="8"/>
      </c>
      <c r="ER117">
        <f t="shared" si="8"/>
      </c>
      <c r="ES117">
        <f t="shared" si="8"/>
      </c>
      <c r="ET117">
        <f t="shared" si="8"/>
      </c>
      <c r="EU117">
        <f t="shared" si="8"/>
      </c>
      <c r="EV117">
        <f t="shared" si="8"/>
      </c>
      <c r="EW117">
        <f t="shared" si="8"/>
      </c>
      <c r="EX117">
        <f t="shared" si="8"/>
      </c>
      <c r="EY117">
        <f t="shared" si="8"/>
      </c>
      <c r="EZ117">
        <f t="shared" si="8"/>
      </c>
      <c r="FA117" t="str">
        <f t="shared" si="12"/>
        <v>-</v>
      </c>
      <c r="FB117">
        <f t="shared" si="13"/>
      </c>
      <c r="FC117" cm="1">
        <f t="array" ref="FC117">_xlfn.LET(_xlpm.unit_type,$G117,_xlpm.market_rent_from_rent_roll,$E117,_xlpm.unit_type_list,RentRoll_InputArea_DesignatedUnitType,_xlpm.rent_by_unit_type,RentRoll_InputArea_MarketRent,_xlpm.use_rent_roll_market_rent,LEFT(RR_VacantUnitMktRentSource,9)="Rent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17">
        <f t="shared" si="14"/>
        <v>1218</v>
      </c>
      <c r="FE117">
        <f t="shared" si="15"/>
        <v>1218</v>
      </c>
      <c r="FF117">
        <f t="shared" si="16"/>
        <v>1218</v>
      </c>
      <c r="FH117">
        <f t="shared" si="17"/>
      </c>
      <c r="FI117">
        <f t="shared" si="18"/>
      </c>
      <c r="FK117" cm="1">
        <f t="array" ref="FK117">IF(AND(LEN($D117)&gt;0,ISNA(MATCH(TRUE,EXACT($G117,RentRoll_InputArea_DesignatedUnitType),0))),1,0)</f>
        <v>0</v>
      </c>
      <c r="FL117">
        <f t="shared" si="19"/>
        <v>94</v>
      </c>
      <c r="IO117" cm="1">
        <f t="array" ref="IO117">IF(LEN($G117)=0,"Rent Roll is incomplete",_xlfn.XLOOKUP(TRUE,EXACT(RentRoll_InputArea_DesignatedUnitType,$G117),RentRoll_InputArea_Beds,"Not Found"))</f>
        <v>0</v>
      </c>
      <c r="IQ117" t="str">
        <f t="shared" si="20"/>
        <v>0 Bedroom Unit (Efficiency/Studio)</v>
      </c>
      <c r="IR117">
        <f t="shared" si="21"/>
        <v>1218</v>
      </c>
      <c r="IW117" t="str">
        <f t="shared" si="22"/>
        <v>8-805</v>
      </c>
      <c r="IZ117">
        <f t="shared" si="23"/>
        <v>0</v>
      </c>
      <c r="JA117">
        <f t="shared" si="24"/>
        <v>1218</v>
      </c>
      <c r="JH117">
        <f t="shared" si="25"/>
        <v>1217</v>
      </c>
      <c r="JJ117">
        <f t="shared" si="26"/>
      </c>
      <c r="JQ117" t="str">
        <f t="shared" si="27"/>
        <v>Occupied</v>
      </c>
      <c r="JR117" cm="1">
        <f t="array" ref="JR117">_xlfn.XLOOKUP(TRUE,EXACT(RentRoll_InputArea_DesignatedUnitType,$G117),RentRoll_InputArea_SquareFootage,"Not Found")</f>
        <v>800</v>
      </c>
      <c r="JS117" t="str">
        <f t="shared" si="28"/>
        <v>Apartment</v>
      </c>
      <c r="JT117">
        <f t="shared" si="29"/>
      </c>
      <c r="JY117">
        <f t="shared" si="9"/>
        <v>43281</v>
      </c>
      <c r="JZ117">
        <f t="shared" si="9"/>
        <v>43555</v>
      </c>
    </row>
    <row r="118" ht="15" customHeight="1">
      <c r="A118">
        <f t="shared" si="10"/>
        <v>95</v>
      </c>
      <c r="D118" t="s">
        <v>2931</v>
      </c>
      <c r="E118">
        <v>1490</v>
      </c>
      <c r="F118" t="s">
        <v>2932</v>
      </c>
      <c r="G118" t="s">
        <v>2532</v>
      </c>
      <c r="H118">
        <v>1605</v>
      </c>
      <c r="I118" cm="1">
        <f t="array" ref="I118">_xlfn.LET(_xlpm.has_subsidy,$N118&gt;0,_xlpm.is_chap9_sbl,$FF$20,_xlpm.contract_rent,$H118,_xlpm.unit_type_mkt_rent,_xlfn.XLOOKUP(TRUE,EXACT($G118,RentRoll_InputArea_DesignatedUnitType),RentRoll_InputArea_MarketRent,"Not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8">
        <f t="shared" si="11"/>
        <v>1605</v>
      </c>
      <c r="O118" s="1">
        <v>43505</v>
      </c>
      <c r="P118" s="1">
        <v>43708</v>
      </c>
      <c r="Q118">
        <f t="shared" si="8"/>
      </c>
      <c r="R118">
        <f t="shared" si="8"/>
      </c>
      <c r="S118">
        <f t="shared" si="8"/>
      </c>
      <c r="T118">
        <f t="shared" si="8"/>
        <v>1605</v>
      </c>
      <c r="U118">
        <f t="shared" si="8"/>
      </c>
      <c r="V118">
        <f t="shared" si="8"/>
      </c>
      <c r="W118">
        <f t="shared" si="8"/>
      </c>
      <c r="X118">
        <f t="shared" si="8"/>
      </c>
      <c r="Y118">
        <f t="shared" si="8"/>
      </c>
      <c r="Z118">
        <f t="shared" si="8"/>
      </c>
      <c r="AA118">
        <f t="shared" si="8"/>
      </c>
      <c r="AB118">
        <f t="shared" si="8"/>
      </c>
      <c r="AC118">
        <f t="shared" si="8"/>
      </c>
      <c r="AD118">
        <f t="shared" si="8"/>
      </c>
      <c r="AE118">
        <f t="shared" si="8"/>
      </c>
      <c r="AF118">
        <f t="shared" si="8"/>
      </c>
      <c r="AG118">
        <f t="shared" si="8"/>
      </c>
      <c r="AH118">
        <f t="shared" si="8"/>
      </c>
      <c r="AI118">
        <f t="shared" si="8"/>
      </c>
      <c r="AJ118">
        <f t="shared" si="8"/>
      </c>
      <c r="AK118">
        <f t="shared" si="8"/>
      </c>
      <c r="AL118">
        <f t="shared" si="8"/>
      </c>
      <c r="AM118">
        <f t="shared" si="8"/>
      </c>
      <c r="AN118">
        <f t="shared" si="8"/>
      </c>
      <c r="AO118">
        <f t="shared" si="8"/>
      </c>
      <c r="AP118">
        <f t="shared" si="8"/>
      </c>
      <c r="AQ118">
        <f t="shared" si="8"/>
      </c>
      <c r="AR118">
        <f t="shared" si="8"/>
      </c>
      <c r="AS118">
        <f t="shared" si="8"/>
      </c>
      <c r="AT118">
        <f t="shared" si="8"/>
      </c>
      <c r="AU118">
        <f t="shared" si="8"/>
      </c>
      <c r="AV118">
        <f t="shared" si="8"/>
      </c>
      <c r="AW118">
        <f t="shared" si="8"/>
      </c>
      <c r="AX118">
        <f t="shared" si="8"/>
      </c>
      <c r="AY118">
        <f t="shared" si="8"/>
      </c>
      <c r="AZ118">
        <f t="shared" si="8"/>
      </c>
      <c r="BA118">
        <f t="shared" si="8"/>
      </c>
      <c r="BB118">
        <f t="shared" si="8"/>
      </c>
      <c r="BC118">
        <f t="shared" si="8"/>
      </c>
      <c r="BD118">
        <f t="shared" si="8"/>
      </c>
      <c r="BE118">
        <f t="shared" si="8"/>
      </c>
      <c r="BF118">
        <f t="shared" si="8"/>
      </c>
      <c r="BG118">
        <f t="shared" si="8"/>
      </c>
      <c r="BH118">
        <f t="shared" si="8"/>
      </c>
      <c r="BI118">
        <f t="shared" si="8"/>
      </c>
      <c r="BJ118">
        <f t="shared" si="8"/>
      </c>
      <c r="BK118">
        <f t="shared" si="8"/>
      </c>
      <c r="BL118">
        <f t="shared" si="8"/>
      </c>
      <c r="BM118">
        <f t="shared" si="8"/>
      </c>
      <c r="BN118">
        <f t="shared" si="8"/>
      </c>
      <c r="BO118">
        <f t="shared" si="8"/>
      </c>
      <c r="BP118">
        <f t="shared" si="8"/>
      </c>
      <c r="BQ118">
        <f t="shared" si="8"/>
      </c>
      <c r="BR118">
        <f t="shared" si="8"/>
      </c>
      <c r="BS118">
        <f t="shared" si="8"/>
      </c>
      <c r="BT118">
        <f t="shared" si="8"/>
      </c>
      <c r="BU118">
        <f t="shared" si="8"/>
      </c>
      <c r="BV118">
        <f t="shared" si="8"/>
      </c>
      <c r="BW118">
        <f t="shared" si="8"/>
      </c>
      <c r="BX118">
        <f t="shared" si="8"/>
      </c>
      <c r="BY118">
        <f t="shared" si="8"/>
      </c>
      <c r="BZ118">
        <f t="shared" si="8"/>
      </c>
      <c r="CA118">
        <f t="shared" si="8"/>
      </c>
      <c r="CB118">
        <f t="shared" si="8"/>
      </c>
      <c r="CC118">
        <f t="shared" si="8"/>
      </c>
      <c r="CD118">
        <f t="shared" si="8"/>
      </c>
      <c r="CE118">
        <f t="shared" si="8"/>
      </c>
      <c r="CF118">
        <f t="shared" si="8"/>
      </c>
      <c r="CG118">
        <f t="shared" si="8"/>
      </c>
      <c r="CH118">
        <f t="shared" si="8"/>
      </c>
      <c r="CI118">
        <f t="shared" si="8"/>
      </c>
      <c r="CJ118">
        <f t="shared" si="8"/>
      </c>
      <c r="CK118">
        <f t="shared" si="8"/>
      </c>
      <c r="CL118">
        <f t="shared" si="8"/>
      </c>
      <c r="CM118">
        <f t="shared" si="8"/>
      </c>
      <c r="CN118">
        <f t="shared" si="8"/>
      </c>
      <c r="CO118">
        <f t="shared" si="8"/>
      </c>
      <c r="CP118">
        <f t="shared" si="8"/>
      </c>
      <c r="CQ118">
        <f t="shared" si="8"/>
      </c>
      <c r="CR118">
        <f t="shared" si="8"/>
      </c>
      <c r="CS118">
        <f t="shared" si="8"/>
      </c>
      <c r="CT118">
        <f t="shared" si="8"/>
      </c>
      <c r="CU118">
        <f t="shared" si="8"/>
      </c>
      <c r="CV118">
        <f t="shared" si="8"/>
      </c>
      <c r="CW118">
        <f t="shared" si="8"/>
      </c>
      <c r="CX118">
        <f t="shared" si="8"/>
      </c>
      <c r="CY118">
        <f t="shared" si="8"/>
      </c>
      <c r="CZ118">
        <f t="shared" si="8"/>
      </c>
      <c r="DA118">
        <f t="shared" si="8"/>
      </c>
      <c r="DB118">
        <f t="shared" si="8"/>
      </c>
      <c r="DC118">
        <f t="shared" si="8"/>
      </c>
      <c r="DD118">
        <f t="shared" si="8"/>
      </c>
      <c r="DE118">
        <f t="shared" si="8"/>
      </c>
      <c r="DF118">
        <f t="shared" si="8"/>
      </c>
      <c r="DG118">
        <f t="shared" si="8"/>
      </c>
      <c r="DH118">
        <f t="shared" si="8"/>
      </c>
      <c r="DI118">
        <f t="shared" si="8"/>
      </c>
      <c r="DJ118">
        <f t="shared" si="8"/>
      </c>
      <c r="DK118">
        <f t="shared" si="8"/>
      </c>
      <c r="DL118">
        <f t="shared" si="8"/>
      </c>
      <c r="DM118">
        <f t="shared" si="8"/>
      </c>
      <c r="DN118">
        <f t="shared" si="8"/>
      </c>
      <c r="DO118">
        <f t="shared" si="8"/>
      </c>
      <c r="DP118">
        <f t="shared" si="8"/>
      </c>
      <c r="DQ118">
        <f t="shared" si="8"/>
      </c>
      <c r="DR118">
        <f t="shared" si="8"/>
      </c>
      <c r="DS118">
        <f t="shared" si="8"/>
      </c>
      <c r="DT118">
        <f t="shared" si="8"/>
      </c>
      <c r="DU118">
        <f t="shared" si="8"/>
      </c>
      <c r="DV118">
        <f t="shared" si="8"/>
      </c>
      <c r="DW118">
        <f t="shared" si="8"/>
      </c>
      <c r="DX118">
        <f t="shared" si="8"/>
      </c>
      <c r="DY118">
        <f t="shared" si="8"/>
      </c>
      <c r="DZ118">
        <f t="shared" si="8"/>
      </c>
      <c r="EA118">
        <f t="shared" si="8"/>
      </c>
      <c r="EB118">
        <f t="shared" si="8"/>
      </c>
      <c r="EC118">
        <f t="shared" si="8"/>
      </c>
      <c r="ED118">
        <f t="shared" si="8"/>
      </c>
      <c r="EE118">
        <f t="shared" si="8"/>
      </c>
      <c r="EF118">
        <f t="shared" si="8"/>
      </c>
      <c r="EG118">
        <f t="shared" si="8"/>
      </c>
      <c r="EH118">
        <f t="shared" si="8"/>
      </c>
      <c r="EI118">
        <f t="shared" si="8"/>
      </c>
      <c r="EJ118">
        <f t="shared" si="8"/>
      </c>
      <c r="EK118">
        <f t="shared" si="8"/>
      </c>
      <c r="EL118">
        <f t="shared" si="8"/>
      </c>
      <c r="EM118">
        <f t="shared" si="8"/>
      </c>
      <c r="EN118">
        <f t="shared" si="8"/>
      </c>
      <c r="EO118">
        <f t="shared" si="8"/>
      </c>
      <c r="EP118">
        <f t="shared" si="8"/>
      </c>
      <c r="EQ118">
        <f t="shared" si="8"/>
      </c>
      <c r="ER118">
        <f t="shared" si="8"/>
      </c>
      <c r="ES118">
        <f t="shared" si="8"/>
      </c>
      <c r="ET118">
        <f t="shared" si="8"/>
      </c>
      <c r="EU118">
        <f t="shared" si="8"/>
      </c>
      <c r="EV118">
        <f t="shared" si="8"/>
      </c>
      <c r="EW118">
        <f t="shared" si="8"/>
      </c>
      <c r="EX118">
        <f t="shared" si="8"/>
      </c>
      <c r="EY118">
        <f t="shared" si="8"/>
      </c>
      <c r="EZ118">
        <f t="shared" si="8"/>
      </c>
      <c r="FA118" t="str">
        <f t="shared" si="12"/>
        <v>-</v>
      </c>
      <c r="FB118">
        <f t="shared" si="13"/>
      </c>
      <c r="FC118" cm="1">
        <f t="array" ref="FC118">_xlfn.LET(_xlpm.unit_type,$G118,_xlpm.market_rent_from_rent_roll,$E118,_xlpm.unit_type_list,RentRoll_InputArea_DesignatedUnitType,_xlpm.rent_by_unit_type,RentRoll_InputArea_MarketRent,_xlpm.use_rent_roll_market_rent,LEFT(RR_VacantUnitMktRentSource,9)="Rent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18">
        <f t="shared" si="14"/>
        <v>1605</v>
      </c>
      <c r="FE118">
        <f t="shared" si="15"/>
        <v>1605</v>
      </c>
      <c r="FF118">
        <f t="shared" si="16"/>
        <v>1605</v>
      </c>
      <c r="FH118">
        <f t="shared" si="17"/>
      </c>
      <c r="FI118">
        <f t="shared" si="18"/>
      </c>
      <c r="FK118" cm="1">
        <f t="array" ref="FK118">IF(AND(LEN($D118)&gt;0,ISNA(MATCH(TRUE,EXACT($G118,RentRoll_InputArea_DesignatedUnitType),0))),1,0)</f>
        <v>0</v>
      </c>
      <c r="FL118">
        <f t="shared" si="19"/>
        <v>95</v>
      </c>
      <c r="IO118" cm="1">
        <f t="array" ref="IO118">IF(LEN($G118)=0,"Rent Roll is incomplete",_xlfn.XLOOKUP(TRUE,EXACT(RentRoll_InputArea_DesignatedUnitType,$G118),RentRoll_InputArea_Beds,"Not Found"))</f>
        <v>0</v>
      </c>
      <c r="IQ118" t="str">
        <f t="shared" si="20"/>
        <v>0 Bedroom Unit (Efficiency/Studio)</v>
      </c>
      <c r="IR118">
        <f t="shared" si="21"/>
        <v>1605</v>
      </c>
      <c r="IW118" t="str">
        <f t="shared" si="22"/>
        <v>8-806</v>
      </c>
      <c r="IZ118">
        <f t="shared" si="23"/>
        <v>0</v>
      </c>
      <c r="JA118">
        <f t="shared" si="24"/>
        <v>1605</v>
      </c>
      <c r="JH118">
        <f t="shared" si="25"/>
        <v>1533</v>
      </c>
      <c r="JJ118">
        <f t="shared" si="26"/>
      </c>
      <c r="JQ118" t="str">
        <f t="shared" si="27"/>
        <v>Occupied</v>
      </c>
      <c r="JR118" cm="1">
        <f t="array" ref="JR118">_xlfn.XLOOKUP(TRUE,EXACT(RentRoll_InputArea_DesignatedUnitType,$G118),RentRoll_InputArea_SquareFootage,"Not Found")</f>
        <v>1050</v>
      </c>
      <c r="JS118" t="str">
        <f t="shared" si="28"/>
        <v>Apartment</v>
      </c>
      <c r="JT118">
        <f t="shared" si="29"/>
      </c>
      <c r="JY118">
        <f t="shared" si="9"/>
        <v>43505</v>
      </c>
      <c r="JZ118">
        <f t="shared" si="9"/>
        <v>43708</v>
      </c>
    </row>
    <row r="119" ht="15" customHeight="1">
      <c r="A119">
        <f t="shared" si="10"/>
        <v>96</v>
      </c>
      <c r="B119" t="s">
        <v>2802</v>
      </c>
      <c r="D119" t="s">
        <v>2933</v>
      </c>
      <c r="E119">
        <v>1502</v>
      </c>
      <c r="F119" t="s">
        <v>2804</v>
      </c>
      <c r="G119" t="s">
        <v>2532</v>
      </c>
      <c r="I119" cm="1">
        <f t="array" ref="I119">_xlfn.LET(_xlpm.has_subsidy,$N119&gt;0,_xlpm.is_chap9_sbl,$FF$20,_xlpm.contract_rent,$H119,_xlpm.unit_type_mkt_rent,_xlfn.XLOOKUP(TRUE,EXACT($G119,RentRoll_InputArea_DesignatedUnitType),RentRoll_InputArea_MarketRent,"Not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19">
        <f t="shared" si="11"/>
      </c>
      <c r="Q119">
        <f t="shared" si="8"/>
      </c>
      <c r="R119">
        <f t="shared" si="8"/>
      </c>
      <c r="S119">
        <f t="shared" si="8"/>
      </c>
      <c r="T119">
        <f t="shared" si="8"/>
      </c>
      <c r="U119">
        <f t="shared" si="8"/>
      </c>
      <c r="V119">
        <f t="shared" si="8"/>
      </c>
      <c r="W119">
        <f t="shared" si="8"/>
      </c>
      <c r="X119">
        <f t="shared" si="8"/>
      </c>
      <c r="Y119">
        <f t="shared" si="8"/>
      </c>
      <c r="Z119">
        <f t="shared" si="8"/>
      </c>
      <c r="AA119">
        <f t="shared" si="8"/>
      </c>
      <c r="AB119">
        <f t="shared" si="8"/>
      </c>
      <c r="AC119">
        <f t="shared" si="8"/>
      </c>
      <c r="AD119">
        <f t="shared" si="8"/>
      </c>
      <c r="AE119">
        <f t="shared" si="8"/>
      </c>
      <c r="AF119">
        <f t="shared" si="8"/>
      </c>
      <c r="AG119">
        <f t="shared" si="8"/>
      </c>
      <c r="AH119">
        <f t="shared" si="8"/>
      </c>
      <c r="AI119">
        <f t="shared" si="8"/>
      </c>
      <c r="AJ119">
        <f t="shared" si="8"/>
      </c>
      <c r="AK119">
        <f t="shared" si="8"/>
      </c>
      <c r="AL119">
        <f t="shared" si="8"/>
      </c>
      <c r="AM119">
        <f t="shared" si="8"/>
      </c>
      <c r="AN119">
        <f t="shared" si="8"/>
      </c>
      <c r="AO119">
        <f t="shared" si="8"/>
      </c>
      <c r="AP119">
        <f t="shared" si="8"/>
      </c>
      <c r="AQ119">
        <f t="shared" si="8"/>
      </c>
      <c r="AR119">
        <f t="shared" si="8"/>
      </c>
      <c r="AS119">
        <f t="shared" si="8"/>
      </c>
      <c r="AT119">
        <f t="shared" si="8"/>
      </c>
      <c r="AU119">
        <f t="shared" si="8"/>
      </c>
      <c r="AV119">
        <f t="shared" si="8"/>
      </c>
      <c r="AW119">
        <f t="shared" si="8"/>
      </c>
      <c r="AX119">
        <f t="shared" si="8"/>
      </c>
      <c r="AY119">
        <f t="shared" si="8"/>
      </c>
      <c r="AZ119">
        <f t="shared" si="8"/>
      </c>
      <c r="BA119">
        <f t="shared" si="8"/>
      </c>
      <c r="BB119">
        <f t="shared" si="8"/>
      </c>
      <c r="BC119">
        <f t="shared" si="8"/>
      </c>
      <c r="BD119">
        <f t="shared" si="8"/>
      </c>
      <c r="BE119">
        <f t="shared" si="8"/>
      </c>
      <c r="BF119">
        <f t="shared" si="8"/>
      </c>
      <c r="BG119">
        <f t="shared" si="8"/>
      </c>
      <c r="BH119">
        <f t="shared" si="8"/>
      </c>
      <c r="BI119">
        <f t="shared" si="8"/>
      </c>
      <c r="BJ119">
        <f t="shared" si="8"/>
      </c>
      <c r="BK119">
        <f t="shared" si="8"/>
      </c>
      <c r="BL119">
        <f t="shared" si="8"/>
      </c>
      <c r="BM119">
        <f t="shared" si="8"/>
      </c>
      <c r="BN119">
        <f t="shared" si="8"/>
      </c>
      <c r="BO119">
        <f t="shared" si="8"/>
      </c>
      <c r="BP119">
        <f t="shared" si="8"/>
      </c>
      <c r="BQ119">
        <f t="shared" si="8"/>
      </c>
      <c r="BR119">
        <f t="shared" si="8"/>
      </c>
      <c r="BS119">
        <f t="shared" si="8"/>
      </c>
      <c r="BT119">
        <f t="shared" si="8"/>
      </c>
      <c r="BU119">
        <f t="shared" si="8"/>
      </c>
      <c r="BV119">
        <f t="shared" si="8"/>
      </c>
      <c r="BW119">
        <f t="shared" si="8"/>
      </c>
      <c r="BX119">
        <f t="shared" si="8"/>
      </c>
      <c r="BY119">
        <f t="shared" si="8"/>
      </c>
      <c r="BZ119">
        <f t="shared" si="8"/>
      </c>
      <c r="CA119">
        <f t="shared" si="8"/>
      </c>
      <c r="CB119">
        <f t="shared" si="8"/>
      </c>
      <c r="CC119">
        <f t="shared" si="8"/>
      </c>
      <c r="CD119">
        <f t="shared" si="8"/>
      </c>
      <c r="CE119">
        <f t="shared" si="8"/>
      </c>
      <c r="CF119">
        <f t="shared" si="8"/>
      </c>
      <c r="CG119">
        <f t="shared" si="8"/>
      </c>
      <c r="CH119">
        <f t="shared" si="8"/>
      </c>
      <c r="CI119">
        <f t="shared" si="8"/>
      </c>
      <c r="CJ119">
        <f t="shared" si="8"/>
      </c>
      <c r="CK119">
        <f t="shared" si="8"/>
      </c>
      <c r="CL119">
        <f t="shared" si="8"/>
      </c>
      <c r="CM119">
        <f t="shared" si="8"/>
      </c>
      <c r="CN119">
        <f t="shared" si="8"/>
      </c>
      <c r="CO119">
        <f t="shared" si="8"/>
      </c>
      <c r="CP119">
        <f t="shared" si="8"/>
      </c>
      <c r="CQ119">
        <f t="shared" si="8"/>
      </c>
      <c r="CR119">
        <f t="shared" si="8"/>
      </c>
      <c r="CS119">
        <f t="shared" si="8"/>
      </c>
      <c r="CT119">
        <f t="shared" si="8"/>
      </c>
      <c r="CU119">
        <f t="shared" si="8"/>
      </c>
      <c r="CV119">
        <f t="shared" si="8"/>
      </c>
      <c r="CW119">
        <f t="shared" si="8"/>
      </c>
      <c r="CX119">
        <f t="shared" si="8"/>
      </c>
      <c r="CY119">
        <f t="shared" si="8"/>
      </c>
      <c r="CZ119">
        <f t="shared" si="8"/>
      </c>
      <c r="DA119">
        <f t="shared" si="8"/>
      </c>
      <c r="DB119">
        <f t="shared" si="8"/>
      </c>
      <c r="DC119">
        <f t="shared" si="8"/>
      </c>
      <c r="DD119">
        <f t="shared" si="8"/>
      </c>
      <c r="DE119">
        <f t="shared" si="8"/>
      </c>
      <c r="DF119">
        <f t="shared" si="8"/>
      </c>
      <c r="DG119">
        <f t="shared" si="8"/>
      </c>
      <c r="DH119">
        <f t="shared" si="8"/>
      </c>
      <c r="DI119">
        <f t="shared" si="8"/>
      </c>
      <c r="DJ119">
        <f t="shared" si="8"/>
      </c>
      <c r="DK119">
        <f t="shared" si="8"/>
      </c>
      <c r="DL119">
        <f t="shared" si="8"/>
      </c>
      <c r="DM119">
        <f t="shared" si="8"/>
      </c>
      <c r="DN119">
        <f t="shared" si="8"/>
      </c>
      <c r="DO119">
        <f t="shared" si="8"/>
      </c>
      <c r="DP119">
        <f t="shared" si="8"/>
      </c>
      <c r="DQ119">
        <f t="shared" si="8"/>
      </c>
      <c r="DR119">
        <f t="shared" si="8"/>
      </c>
      <c r="DS119">
        <f t="shared" si="8"/>
      </c>
      <c r="DT119">
        <f t="shared" si="8"/>
      </c>
      <c r="DU119">
        <f t="shared" si="8"/>
      </c>
      <c r="DV119">
        <f t="shared" si="8"/>
      </c>
      <c r="DW119">
        <f t="shared" si="8"/>
      </c>
      <c r="DX119">
        <f t="shared" si="8"/>
      </c>
      <c r="DY119">
        <f t="shared" si="8"/>
      </c>
      <c r="DZ119">
        <f t="shared" si="8"/>
      </c>
      <c r="EA119">
        <f t="shared" si="8"/>
      </c>
      <c r="EB119">
        <f t="shared" si="8"/>
      </c>
      <c r="EC119">
        <f t="shared" si="8"/>
      </c>
      <c r="ED119">
        <f t="shared" si="8"/>
      </c>
      <c r="EE119">
        <f t="shared" si="8"/>
      </c>
      <c r="EF119">
        <f t="shared" si="8"/>
      </c>
      <c r="EG119">
        <f t="shared" si="8"/>
      </c>
      <c r="EH119">
        <f t="shared" si="8"/>
      </c>
      <c r="EI119">
        <f t="shared" si="8"/>
      </c>
      <c r="EJ119">
        <f t="shared" si="8"/>
      </c>
      <c r="EK119">
        <f t="shared" si="8"/>
      </c>
      <c r="EL119">
        <f t="shared" si="8"/>
      </c>
      <c r="EM119">
        <f t="shared" si="8"/>
      </c>
      <c r="EN119">
        <f t="shared" si="8"/>
      </c>
      <c r="EO119">
        <f t="shared" si="8"/>
      </c>
      <c r="EP119">
        <f t="shared" si="8"/>
      </c>
      <c r="EQ119">
        <f t="shared" si="8"/>
      </c>
      <c r="ER119">
        <f t="shared" si="8"/>
      </c>
      <c r="ES119">
        <f t="shared" si="8"/>
      </c>
      <c r="ET119">
        <f t="shared" si="8"/>
      </c>
      <c r="EU119">
        <f t="shared" si="8"/>
      </c>
      <c r="EV119">
        <f t="shared" si="8"/>
      </c>
      <c r="EW119">
        <f t="shared" si="8"/>
      </c>
      <c r="EX119">
        <f t="shared" si="8"/>
      </c>
      <c r="EY119">
        <f t="shared" si="8"/>
      </c>
      <c r="EZ119">
        <f t="shared" si="8"/>
      </c>
      <c r="FA119">
        <f t="shared" si="12"/>
        <v>1533</v>
      </c>
      <c r="FB119">
        <f t="shared" si="13"/>
      </c>
      <c r="FC119" cm="1">
        <f t="array" ref="FC119">_xlfn.LET(_xlpm.unit_type,$G119,_xlpm.market_rent_from_rent_roll,$E119,_xlpm.unit_type_list,RentRoll_InputArea_DesignatedUnitType,_xlpm.rent_by_unit_type,RentRoll_InputArea_MarketRent,_xlpm.use_rent_roll_market_rent,LEFT(RR_VacantUnitMktRentSource,9)="Rent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19">
        <f t="shared" si="14"/>
      </c>
      <c r="FE119">
        <f t="shared" si="15"/>
        <v>1533</v>
      </c>
      <c r="FF119">
        <f t="shared" si="16"/>
        <v>0</v>
      </c>
      <c r="FH119">
        <f t="shared" si="17"/>
      </c>
      <c r="FI119">
        <f t="shared" si="18"/>
      </c>
      <c r="FK119" cm="1">
        <f t="array" ref="FK119">IF(AND(LEN($D119)&gt;0,ISNA(MATCH(TRUE,EXACT($G119,RentRoll_InputArea_DesignatedUnitType),0))),1,0)</f>
        <v>0</v>
      </c>
      <c r="FL119">
        <f t="shared" si="19"/>
        <v>96</v>
      </c>
      <c r="IO119" cm="1">
        <f t="array" ref="IO119">IF(LEN($G119)=0,"Rent Roll is incomplete",_xlfn.XLOOKUP(TRUE,EXACT(RentRoll_InputArea_DesignatedUnitType,$G119),RentRoll_InputArea_Beds,"Not Found"))</f>
        <v>0</v>
      </c>
      <c r="IQ119" t="str">
        <f t="shared" si="20"/>
        <v>0 Bedroom Unit (Efficiency/Studio)</v>
      </c>
      <c r="IR119">
        <f t="shared" si="21"/>
        <v>1533</v>
      </c>
      <c r="IW119" t="str">
        <f t="shared" si="22"/>
        <v>8-807</v>
      </c>
      <c r="IZ119">
        <f t="shared" si="23"/>
        <v>0</v>
      </c>
      <c r="JA119">
        <f t="shared" si="24"/>
        <v>0</v>
      </c>
      <c r="JH119">
        <f t="shared" si="25"/>
        <v>1533</v>
      </c>
      <c r="JJ119">
        <f t="shared" si="26"/>
      </c>
      <c r="JQ119" t="str">
        <f t="shared" si="27"/>
        <v>Vacant</v>
      </c>
      <c r="JR119" cm="1">
        <f t="array" ref="JR119">_xlfn.XLOOKUP(TRUE,EXACT(RentRoll_InputArea_DesignatedUnitType,$G119),RentRoll_InputArea_SquareFootage,"Not Found")</f>
        <v>1050</v>
      </c>
      <c r="JS119" t="str">
        <f t="shared" si="28"/>
        <v>Apartment</v>
      </c>
      <c r="JT119">
        <f t="shared" si="29"/>
      </c>
      <c r="JY119">
        <f t="shared" si="9"/>
      </c>
      <c r="JZ119">
        <f t="shared" si="9"/>
      </c>
    </row>
    <row r="120" ht="15" customHeight="1">
      <c r="A120">
        <f t="shared" si="10"/>
        <v>97</v>
      </c>
      <c r="D120" t="s">
        <v>2934</v>
      </c>
      <c r="E120">
        <v>1584</v>
      </c>
      <c r="F120" t="s">
        <v>2935</v>
      </c>
      <c r="G120" t="s">
        <v>2532</v>
      </c>
      <c r="H120">
        <v>1506</v>
      </c>
      <c r="I120" cm="1">
        <f t="array" ref="I120">_xlfn.LET(_xlpm.has_subsidy,$N120&gt;0,_xlpm.is_chap9_sbl,$FF$20,_xlpm.contract_rent,$H120,_xlpm.unit_type_mkt_rent,_xlfn.XLOOKUP(TRUE,EXACT($G120,RentRoll_InputArea_DesignatedUnitType),RentRoll_InputArea_MarketRent,"Not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20">
        <f t="shared" si="11"/>
        <v>1506</v>
      </c>
      <c r="O120" s="1">
        <v>43484</v>
      </c>
      <c r="P120" s="1">
        <v>43769</v>
      </c>
      <c r="Q120">
        <f t="shared" si="8"/>
      </c>
      <c r="R120">
        <f t="shared" si="8"/>
      </c>
      <c r="S120">
        <f t="shared" si="8"/>
      </c>
      <c r="T120">
        <f t="shared" si="8"/>
        <v>1506</v>
      </c>
      <c r="U120">
        <f t="shared" si="8"/>
      </c>
      <c r="V120">
        <f t="shared" si="8"/>
      </c>
      <c r="W120">
        <f t="shared" si="8"/>
      </c>
      <c r="X120">
        <f t="shared" si="8"/>
      </c>
      <c r="Y120">
        <f t="shared" si="8"/>
      </c>
      <c r="Z120">
        <f t="shared" si="8"/>
      </c>
      <c r="AA120">
        <f t="shared" si="8"/>
      </c>
      <c r="AB120">
        <f t="shared" si="8"/>
      </c>
      <c r="AC120">
        <f t="shared" si="8"/>
      </c>
      <c r="AD120">
        <f t="shared" si="8"/>
      </c>
      <c r="AE120">
        <f t="shared" si="8"/>
      </c>
      <c r="AF120">
        <f t="shared" si="8"/>
      </c>
      <c r="AG120">
        <f t="shared" si="8"/>
      </c>
      <c r="AH120">
        <f t="shared" si="8"/>
      </c>
      <c r="AI120">
        <f t="shared" si="8"/>
      </c>
      <c r="AJ120">
        <f t="shared" si="8"/>
      </c>
      <c r="AK120">
        <f t="shared" si="8"/>
      </c>
      <c r="AL120">
        <f t="shared" si="8"/>
      </c>
      <c r="AM120">
        <f t="shared" si="8"/>
      </c>
      <c r="AN120">
        <f t="shared" si="8"/>
      </c>
      <c r="AO120">
        <f t="shared" si="8"/>
      </c>
      <c r="AP120">
        <f t="shared" si="8"/>
      </c>
      <c r="AQ120">
        <f t="shared" si="8"/>
      </c>
      <c r="AR120">
        <f t="shared" si="8"/>
      </c>
      <c r="AS120">
        <f t="shared" si="8"/>
      </c>
      <c r="AT120">
        <f t="shared" si="8"/>
      </c>
      <c r="AU120">
        <f t="shared" si="8"/>
      </c>
      <c r="AV120">
        <f t="shared" si="8"/>
      </c>
      <c r="AW120">
        <f t="shared" si="8"/>
      </c>
      <c r="AX120">
        <f t="shared" si="8"/>
      </c>
      <c r="AY120">
        <f t="shared" si="8"/>
      </c>
      <c r="AZ120">
        <f t="shared" si="8"/>
      </c>
      <c r="BA120">
        <f t="shared" si="8"/>
      </c>
      <c r="BB120">
        <f t="shared" si="8"/>
      </c>
      <c r="BC120">
        <f t="shared" si="8"/>
      </c>
      <c r="BD120">
        <f t="shared" si="8"/>
      </c>
      <c r="BE120">
        <f t="shared" si="8"/>
      </c>
      <c r="BF120">
        <f t="shared" si="8"/>
      </c>
      <c r="BG120">
        <f t="shared" si="8"/>
      </c>
      <c r="BH120">
        <f t="shared" si="8"/>
      </c>
      <c r="BI120">
        <f t="shared" si="8"/>
      </c>
      <c r="BJ120">
        <f t="shared" si="8"/>
      </c>
      <c r="BK120">
        <f t="shared" si="8"/>
      </c>
      <c r="BL120">
        <f t="shared" si="8"/>
      </c>
      <c r="BM120">
        <f t="shared" si="8"/>
      </c>
      <c r="BN120">
        <f t="shared" si="8"/>
      </c>
      <c r="BO120">
        <f t="shared" si="8"/>
      </c>
      <c r="BP120">
        <f t="shared" si="8"/>
      </c>
      <c r="BQ120">
        <f t="shared" si="8"/>
      </c>
      <c r="BR120">
        <f t="shared" si="8"/>
      </c>
      <c r="BS120">
        <f t="shared" si="8"/>
      </c>
      <c r="BT120">
        <f t="shared" si="8"/>
      </c>
      <c r="BU120">
        <f t="shared" si="8"/>
      </c>
      <c r="BV120">
        <f t="shared" si="8"/>
      </c>
      <c r="BW120">
        <f t="shared" si="8"/>
      </c>
      <c r="BX120">
        <f t="shared" si="8"/>
      </c>
      <c r="BY120">
        <f t="shared" si="8"/>
      </c>
      <c r="BZ120">
        <f t="shared" si="8"/>
      </c>
      <c r="CA120">
        <f t="shared" si="8"/>
      </c>
      <c r="CB120">
        <f t="shared" si="8"/>
      </c>
      <c r="CC120">
        <f t="shared" si="8"/>
      </c>
      <c r="CD120">
        <f t="shared" si="8"/>
      </c>
      <c r="CE120">
        <f t="shared" si="8"/>
      </c>
      <c r="CF120">
        <f t="shared" si="8"/>
      </c>
      <c r="CG120">
        <f t="shared" si="8"/>
      </c>
      <c r="CH120">
        <f t="shared" si="8"/>
      </c>
      <c r="CI120">
        <f t="shared" si="8"/>
      </c>
      <c r="CJ120">
        <f t="shared" si="8"/>
      </c>
      <c r="CK120">
        <f t="shared" si="8"/>
      </c>
      <c r="CL120">
        <f t="shared" si="8"/>
      </c>
      <c r="CM120">
        <f t="shared" si="8"/>
      </c>
      <c r="CN120">
        <f t="shared" si="8"/>
      </c>
      <c r="CO120">
        <f t="shared" si="8"/>
      </c>
      <c r="CP120">
        <f t="shared" si="8"/>
      </c>
      <c r="CQ120">
        <f t="shared" si="8"/>
      </c>
      <c r="CR120">
        <f t="shared" si="8"/>
      </c>
      <c r="CS120">
        <f t="shared" si="8"/>
      </c>
      <c r="CT120">
        <f t="shared" si="8"/>
      </c>
      <c r="CU120">
        <f t="shared" si="8"/>
      </c>
      <c r="CV120">
        <f t="shared" si="8"/>
      </c>
      <c r="CW120">
        <f t="shared" si="8"/>
      </c>
      <c r="CX120">
        <f t="shared" si="8"/>
      </c>
      <c r="CY120">
        <f t="shared" si="8"/>
      </c>
      <c r="CZ120">
        <f t="shared" si="8"/>
      </c>
      <c r="DA120">
        <f t="shared" si="8"/>
      </c>
      <c r="DB120">
        <f t="shared" si="8"/>
      </c>
      <c r="DC120">
        <f t="shared" si="8"/>
      </c>
      <c r="DD120">
        <f t="shared" si="8"/>
      </c>
      <c r="DE120">
        <f t="shared" si="8"/>
      </c>
      <c r="DF120">
        <f t="shared" si="8"/>
      </c>
      <c r="DG120">
        <f t="shared" si="8"/>
      </c>
      <c r="DH120">
        <f t="shared" si="8"/>
      </c>
      <c r="DI120">
        <f t="shared" si="8"/>
      </c>
      <c r="DJ120">
        <f t="shared" si="8"/>
      </c>
      <c r="DK120">
        <f t="shared" si="8"/>
      </c>
      <c r="DL120">
        <f t="shared" si="8"/>
      </c>
      <c r="DM120">
        <f t="shared" si="8"/>
      </c>
      <c r="DN120">
        <f t="shared" si="8"/>
      </c>
      <c r="DO120">
        <f t="shared" si="8"/>
      </c>
      <c r="DP120">
        <f t="shared" si="8"/>
      </c>
      <c r="DQ120">
        <f t="shared" si="8"/>
      </c>
      <c r="DR120">
        <f t="shared" si="8"/>
      </c>
      <c r="DS120">
        <f t="shared" si="8"/>
      </c>
      <c r="DT120">
        <f t="shared" si="8"/>
      </c>
      <c r="DU120">
        <f t="shared" si="8"/>
      </c>
      <c r="DV120">
        <f t="shared" si="8"/>
      </c>
      <c r="DW120">
        <f t="shared" si="8"/>
      </c>
      <c r="DX120">
        <f t="shared" si="8"/>
      </c>
      <c r="DY120">
        <f t="shared" si="8"/>
      </c>
      <c r="DZ120">
        <f t="shared" si="8"/>
      </c>
      <c r="EA120">
        <f t="shared" si="8"/>
      </c>
      <c r="EB120">
        <f t="shared" si="8"/>
      </c>
      <c r="EC120">
        <f t="shared" si="8"/>
      </c>
      <c r="ED120">
        <f t="shared" si="8"/>
      </c>
      <c r="EE120">
        <f t="shared" si="8"/>
      </c>
      <c r="EF120">
        <f t="shared" si="8"/>
      </c>
      <c r="EG120">
        <f t="shared" si="8"/>
      </c>
      <c r="EH120">
        <f t="shared" si="8"/>
      </c>
      <c r="EI120">
        <f t="shared" si="8"/>
      </c>
      <c r="EJ120">
        <f t="shared" si="8"/>
      </c>
      <c r="EK120">
        <f t="shared" si="8"/>
      </c>
      <c r="EL120">
        <f t="shared" si="8"/>
      </c>
      <c r="EM120">
        <f t="shared" si="8"/>
      </c>
      <c r="EN120">
        <f t="shared" si="8"/>
      </c>
      <c r="EO120">
        <f t="shared" si="8"/>
      </c>
      <c r="EP120">
        <f t="shared" si="8"/>
      </c>
      <c r="EQ120">
        <f t="shared" si="8"/>
      </c>
      <c r="ER120">
        <f t="shared" si="8"/>
      </c>
      <c r="ES120">
        <f t="shared" si="8"/>
      </c>
      <c r="ET120">
        <f t="shared" si="8"/>
      </c>
      <c r="EU120">
        <f t="shared" si="8"/>
      </c>
      <c r="EV120">
        <f t="shared" si="8"/>
      </c>
      <c r="EW120">
        <f t="shared" si="8"/>
      </c>
      <c r="EX120">
        <f t="shared" si="8"/>
      </c>
      <c r="EY120">
        <f t="shared" si="8"/>
      </c>
      <c r="EZ120">
        <f t="shared" si="8"/>
      </c>
      <c r="FA120" t="str">
        <f t="shared" si="12"/>
        <v>-</v>
      </c>
      <c r="FB120">
        <f t="shared" si="13"/>
      </c>
      <c r="FC120" cm="1">
        <f t="array" ref="FC120">_xlfn.LET(_xlpm.unit_type,$G120,_xlpm.market_rent_from_rent_roll,$E120,_xlpm.unit_type_list,RentRoll_InputArea_DesignatedUnitType,_xlpm.rent_by_unit_type,RentRoll_InputArea_MarketRent,_xlpm.use_rent_roll_market_rent,LEFT(RR_VacantUnitMktRentSource,9)="Rent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20">
        <f t="shared" si="14"/>
        <v>1506</v>
      </c>
      <c r="FE120">
        <f t="shared" si="15"/>
        <v>1506</v>
      </c>
      <c r="FF120">
        <f t="shared" si="16"/>
        <v>1506</v>
      </c>
      <c r="FH120">
        <f t="shared" si="17"/>
      </c>
      <c r="FI120">
        <f t="shared" si="18"/>
      </c>
      <c r="FK120" cm="1">
        <f t="array" ref="FK120">IF(AND(LEN($D120)&gt;0,ISNA(MATCH(TRUE,EXACT($G120,RentRoll_InputArea_DesignatedUnitType),0))),1,0)</f>
        <v>0</v>
      </c>
      <c r="FL120">
        <f t="shared" si="19"/>
        <v>97</v>
      </c>
      <c r="IO120" cm="1">
        <f t="array" ref="IO120">IF(LEN($G120)=0,"Rent Roll is incomplete",_xlfn.XLOOKUP(TRUE,EXACT(RentRoll_InputArea_DesignatedUnitType,$G120),RentRoll_InputArea_Beds,"Not Found"))</f>
        <v>0</v>
      </c>
      <c r="IQ120" t="str">
        <f t="shared" si="20"/>
        <v>0 Bedroom Unit (Efficiency/Studio)</v>
      </c>
      <c r="IR120">
        <f t="shared" si="21"/>
        <v>1506</v>
      </c>
      <c r="IW120" t="str">
        <f t="shared" si="22"/>
        <v>8-808</v>
      </c>
      <c r="IZ120">
        <f t="shared" si="23"/>
        <v>0</v>
      </c>
      <c r="JA120">
        <f t="shared" si="24"/>
        <v>1506</v>
      </c>
      <c r="JH120">
        <f t="shared" si="25"/>
        <v>1533</v>
      </c>
      <c r="JJ120">
        <f t="shared" si="26"/>
      </c>
      <c r="JQ120" t="str">
        <f t="shared" si="27"/>
        <v>Occupied</v>
      </c>
      <c r="JR120" cm="1">
        <f t="array" ref="JR120">_xlfn.XLOOKUP(TRUE,EXACT(RentRoll_InputArea_DesignatedUnitType,$G120),RentRoll_InputArea_SquareFootage,"Not Found")</f>
        <v>1050</v>
      </c>
      <c r="JS120" t="str">
        <f t="shared" si="28"/>
        <v>Apartment</v>
      </c>
      <c r="JT120">
        <f t="shared" si="29"/>
      </c>
      <c r="JY120">
        <f t="shared" si="9"/>
        <v>43484</v>
      </c>
      <c r="JZ120">
        <f t="shared" si="9"/>
        <v>43769</v>
      </c>
    </row>
    <row r="121" ht="15" customHeight="1">
      <c r="A121">
        <f t="shared" si="10"/>
        <v>98</v>
      </c>
      <c r="D121" t="s">
        <v>2936</v>
      </c>
      <c r="E121">
        <v>1485</v>
      </c>
      <c r="F121" t="s">
        <v>2937</v>
      </c>
      <c r="G121" t="s">
        <v>2532</v>
      </c>
      <c r="H121">
        <v>1593</v>
      </c>
      <c r="I121" cm="1">
        <f t="array" ref="I121">_xlfn.LET(_xlpm.has_subsidy,$N121&gt;0,_xlpm.is_chap9_sbl,$FF$20,_xlpm.contract_rent,$H121,_xlpm.unit_type_mkt_rent,_xlfn.XLOOKUP(TRUE,EXACT($G121,RentRoll_InputArea_DesignatedUnitType),RentRoll_InputArea_MarketRent,"Not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21">
        <f t="shared" si="11"/>
        <v>1593</v>
      </c>
      <c r="O121" s="1">
        <v>43330</v>
      </c>
      <c r="P121" s="1">
        <v>43616</v>
      </c>
      <c r="Q121">
        <f t="shared" si="8"/>
      </c>
      <c r="R121">
        <f t="shared" si="8"/>
      </c>
      <c r="S121">
        <f t="shared" si="8"/>
      </c>
      <c r="T121">
        <f t="shared" si="8"/>
        <v>1593</v>
      </c>
      <c r="U121">
        <f t="shared" si="8"/>
      </c>
      <c r="V121">
        <f t="shared" si="8"/>
      </c>
      <c r="W121">
        <f t="shared" si="8"/>
      </c>
      <c r="X121">
        <f t="shared" si="8"/>
      </c>
      <c r="Y121">
        <f t="shared" si="8"/>
      </c>
      <c r="Z121">
        <f t="shared" si="8"/>
      </c>
      <c r="AA121">
        <f t="shared" si="8"/>
      </c>
      <c r="AB121">
        <f t="shared" si="8"/>
      </c>
      <c r="AC121">
        <f t="shared" si="8"/>
      </c>
      <c r="AD121">
        <f t="shared" si="8"/>
      </c>
      <c r="AE121">
        <f t="shared" si="8"/>
      </c>
      <c r="AF121">
        <f t="shared" si="8"/>
      </c>
      <c r="AG121">
        <f t="shared" si="8"/>
      </c>
      <c r="AH121">
        <f t="shared" si="8"/>
      </c>
      <c r="AI121">
        <f t="shared" si="8"/>
      </c>
      <c r="AJ121">
        <f t="shared" si="8"/>
      </c>
      <c r="AK121">
        <f t="shared" si="8"/>
      </c>
      <c r="AL121">
        <f t="shared" si="8"/>
      </c>
      <c r="AM121">
        <f t="shared" si="8"/>
      </c>
      <c r="AN121">
        <f t="shared" si="8"/>
      </c>
      <c r="AO121">
        <f t="shared" si="8"/>
      </c>
      <c r="AP121">
        <f t="shared" si="8"/>
      </c>
      <c r="AQ121">
        <f t="shared" si="8"/>
      </c>
      <c r="AR121">
        <f t="shared" si="8"/>
      </c>
      <c r="AS121">
        <f t="shared" si="8"/>
      </c>
      <c r="AT121">
        <f t="shared" si="8"/>
      </c>
      <c r="AU121">
        <f t="shared" si="8"/>
      </c>
      <c r="AV121">
        <f t="shared" si="8"/>
      </c>
      <c r="AW121">
        <f t="shared" si="8"/>
      </c>
      <c r="AX121">
        <f t="shared" si="8"/>
      </c>
      <c r="AY121">
        <f t="shared" si="8"/>
      </c>
      <c r="AZ121">
        <f t="shared" si="8"/>
      </c>
      <c r="BA121">
        <f t="shared" si="8"/>
      </c>
      <c r="BB121">
        <f t="shared" si="8"/>
      </c>
      <c r="BC121">
        <f t="shared" si="8"/>
      </c>
      <c r="BD121">
        <f t="shared" si="8"/>
      </c>
      <c r="BE121">
        <f t="shared" si="8"/>
      </c>
      <c r="BF121">
        <f t="shared" si="8"/>
      </c>
      <c r="BG121">
        <f t="shared" si="8"/>
      </c>
      <c r="BH121">
        <f t="shared" si="8"/>
      </c>
      <c r="BI121">
        <f t="shared" si="8"/>
      </c>
      <c r="BJ121">
        <f t="shared" si="8"/>
      </c>
      <c r="BK121">
        <f t="shared" si="8"/>
      </c>
      <c r="BL121">
        <f t="shared" si="8"/>
      </c>
      <c r="BM121">
        <f t="shared" si="8"/>
      </c>
      <c r="BN121">
        <f t="shared" si="8"/>
      </c>
      <c r="BO121">
        <f t="shared" si="8"/>
      </c>
      <c r="BP121">
        <f t="shared" si="8"/>
      </c>
      <c r="BQ121">
        <f t="shared" si="8"/>
      </c>
      <c r="BR121">
        <f t="shared" si="8"/>
      </c>
      <c r="BS121">
        <f t="shared" si="8"/>
      </c>
      <c r="BT121">
        <f t="shared" si="8"/>
      </c>
      <c r="BU121">
        <f t="shared" si="8"/>
      </c>
      <c r="BV121">
        <f t="shared" si="8"/>
      </c>
      <c r="BW121">
        <f t="shared" si="8"/>
      </c>
      <c r="BX121">
        <f t="shared" si="8"/>
      </c>
      <c r="BY121">
        <f t="shared" si="8"/>
      </c>
      <c r="BZ121">
        <f t="shared" si="8"/>
      </c>
      <c r="CA121">
        <f t="shared" si="8"/>
      </c>
      <c r="CB121">
        <f t="shared" si="8"/>
      </c>
      <c r="CC121">
        <f t="shared" si="8"/>
      </c>
      <c r="CD121">
        <f t="shared" si="8"/>
      </c>
      <c r="CE121">
        <f t="shared" si="8"/>
      </c>
      <c r="CF121">
        <f t="shared" si="8"/>
      </c>
      <c r="CG121">
        <f t="shared" si="8"/>
      </c>
      <c r="CH121">
        <f t="shared" si="8"/>
      </c>
      <c r="CI121">
        <f t="shared" si="8"/>
      </c>
      <c r="CJ121">
        <f t="shared" si="8"/>
      </c>
      <c r="CK121">
        <f t="shared" si="8"/>
      </c>
      <c r="CL121">
        <f t="shared" si="8"/>
      </c>
      <c r="CM121">
        <f t="shared" si="8"/>
      </c>
      <c r="CN121">
        <f t="shared" si="8"/>
      </c>
      <c r="CO121">
        <f t="shared" si="8"/>
      </c>
      <c r="CP121">
        <f t="shared" si="8"/>
      </c>
      <c r="CQ121">
        <f t="shared" si="8"/>
      </c>
      <c r="CR121">
        <f t="shared" si="8"/>
      </c>
      <c r="CS121">
        <f t="shared" si="8"/>
      </c>
      <c r="CT121">
        <f t="shared" si="8"/>
      </c>
      <c r="CU121">
        <f t="shared" si="8"/>
      </c>
      <c r="CV121">
        <f t="shared" si="8"/>
      </c>
      <c r="CW121">
        <f t="shared" si="8"/>
      </c>
      <c r="CX121">
        <f t="shared" si="8"/>
      </c>
      <c r="CY121">
        <f t="shared" si="8"/>
      </c>
      <c r="CZ121">
        <f t="shared" si="8"/>
      </c>
      <c r="DA121">
        <f t="shared" si="8"/>
      </c>
      <c r="DB121">
        <f t="shared" si="8"/>
      </c>
      <c r="DC121">
        <f t="shared" si="8"/>
      </c>
      <c r="DD121">
        <f t="shared" si="8"/>
      </c>
      <c r="DE121">
        <f t="shared" si="8"/>
      </c>
      <c r="DF121">
        <f t="shared" si="8"/>
      </c>
      <c r="DG121">
        <f t="shared" si="8"/>
      </c>
      <c r="DH121">
        <f t="shared" si="8"/>
      </c>
      <c r="DI121">
        <f t="shared" si="8"/>
      </c>
      <c r="DJ121">
        <f t="shared" si="8"/>
      </c>
      <c r="DK121">
        <f t="shared" si="8"/>
      </c>
      <c r="DL121">
        <f t="shared" si="8"/>
      </c>
      <c r="DM121">
        <f t="shared" si="8"/>
      </c>
      <c r="DN121">
        <f t="shared" si="8"/>
      </c>
      <c r="DO121">
        <f t="shared" si="8"/>
      </c>
      <c r="DP121">
        <f t="shared" si="8"/>
      </c>
      <c r="DQ121">
        <f t="shared" si="8"/>
      </c>
      <c r="DR121">
        <f t="shared" si="8"/>
      </c>
      <c r="DS121">
        <f t="shared" si="8"/>
      </c>
      <c r="DT121">
        <f t="shared" si="8"/>
      </c>
      <c r="DU121">
        <f t="shared" si="8"/>
      </c>
      <c r="DV121">
        <f t="shared" si="8"/>
      </c>
      <c r="DW121">
        <f t="shared" si="8"/>
      </c>
      <c r="DX121">
        <f t="shared" si="8"/>
      </c>
      <c r="DY121">
        <f t="shared" si="8"/>
      </c>
      <c r="DZ121">
        <f t="shared" si="8"/>
      </c>
      <c r="EA121">
        <f t="shared" si="8"/>
      </c>
      <c r="EB121">
        <f t="shared" si="8"/>
      </c>
      <c r="EC121">
        <f t="shared" si="8"/>
      </c>
      <c r="ED121">
        <f t="shared" si="8"/>
      </c>
      <c r="EE121">
        <f t="shared" si="8"/>
      </c>
      <c r="EF121">
        <f t="shared" si="8"/>
      </c>
      <c r="EG121">
        <f t="shared" si="8"/>
      </c>
      <c r="EH121">
        <f t="shared" si="8"/>
      </c>
      <c r="EI121">
        <f t="shared" si="8"/>
      </c>
      <c r="EJ121">
        <f t="shared" si="8"/>
      </c>
      <c r="EK121">
        <f t="shared" si="8"/>
      </c>
      <c r="EL121">
        <f t="shared" si="8"/>
      </c>
      <c r="EM121">
        <f t="shared" si="8"/>
      </c>
      <c r="EN121">
        <f t="shared" si="8"/>
      </c>
      <c r="EO121">
        <f t="shared" si="8"/>
      </c>
      <c r="EP121">
        <f t="shared" si="8"/>
      </c>
      <c r="EQ121">
        <f t="shared" si="8"/>
      </c>
      <c r="ER121">
        <f t="shared" si="8"/>
      </c>
      <c r="ES121">
        <f t="shared" si="8"/>
      </c>
      <c r="ET121">
        <f t="shared" si="8"/>
      </c>
      <c r="EU121">
        <f t="shared" si="8"/>
      </c>
      <c r="EV121">
        <f t="shared" si="8"/>
      </c>
      <c r="EW121">
        <f t="shared" si="8"/>
      </c>
      <c r="EX121">
        <f t="shared" si="8"/>
      </c>
      <c r="EY121">
        <f t="shared" si="8"/>
      </c>
      <c r="EZ121">
        <f t="shared" si="8"/>
      </c>
      <c r="FA121" t="str">
        <f t="shared" si="12"/>
        <v>-</v>
      </c>
      <c r="FB121">
        <f t="shared" si="13"/>
      </c>
      <c r="FC121" cm="1">
        <f t="array" ref="FC121">_xlfn.LET(_xlpm.unit_type,$G121,_xlpm.market_rent_from_rent_roll,$E121,_xlpm.unit_type_list,RentRoll_InputArea_DesignatedUnitType,_xlpm.rent_by_unit_type,RentRoll_InputArea_MarketRent,_xlpm.use_rent_roll_market_rent,LEFT(RR_VacantUnitMktRentSource,9)="Rent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1533</v>
      </c>
      <c r="FD121">
        <f t="shared" si="14"/>
        <v>1593</v>
      </c>
      <c r="FE121">
        <f t="shared" si="15"/>
        <v>1593</v>
      </c>
      <c r="FF121">
        <f t="shared" si="16"/>
        <v>1593</v>
      </c>
      <c r="FH121">
        <f t="shared" si="17"/>
      </c>
      <c r="FI121">
        <f t="shared" si="18"/>
      </c>
      <c r="FK121" cm="1">
        <f t="array" ref="FK121">IF(AND(LEN($D121)&gt;0,ISNA(MATCH(TRUE,EXACT($G121,RentRoll_InputArea_DesignatedUnitType),0))),1,0)</f>
        <v>0</v>
      </c>
      <c r="FL121">
        <f t="shared" si="19"/>
        <v>98</v>
      </c>
      <c r="IO121" cm="1">
        <f t="array" ref="IO121">IF(LEN($G121)=0,"Rent Roll is incomplete",_xlfn.XLOOKUP(TRUE,EXACT(RentRoll_InputArea_DesignatedUnitType,$G121),RentRoll_InputArea_Beds,"Not Found"))</f>
        <v>0</v>
      </c>
      <c r="IQ121" t="str">
        <f t="shared" si="20"/>
        <v>0 Bedroom Unit (Efficiency/Studio)</v>
      </c>
      <c r="IR121">
        <f t="shared" si="21"/>
        <v>1593</v>
      </c>
      <c r="IW121" t="str">
        <f t="shared" si="22"/>
        <v>8-809</v>
      </c>
      <c r="IZ121">
        <f t="shared" si="23"/>
        <v>0</v>
      </c>
      <c r="JA121">
        <f t="shared" si="24"/>
        <v>1593</v>
      </c>
      <c r="JH121">
        <f t="shared" si="25"/>
        <v>1533</v>
      </c>
      <c r="JJ121">
        <f t="shared" si="26"/>
      </c>
      <c r="JQ121" t="str">
        <f t="shared" si="27"/>
        <v>Occupied</v>
      </c>
      <c r="JR121" cm="1">
        <f t="array" ref="JR121">_xlfn.XLOOKUP(TRUE,EXACT(RentRoll_InputArea_DesignatedUnitType,$G121),RentRoll_InputArea_SquareFootage,"Not Found")</f>
        <v>1050</v>
      </c>
      <c r="JS121" t="str">
        <f t="shared" si="28"/>
        <v>Apartment</v>
      </c>
      <c r="JT121">
        <f t="shared" si="29"/>
      </c>
      <c r="JY121">
        <f t="shared" si="9"/>
        <v>43330</v>
      </c>
      <c r="JZ121">
        <f t="shared" si="9"/>
        <v>43616</v>
      </c>
    </row>
    <row r="122" ht="15" customHeight="1">
      <c r="A122">
        <f t="shared" si="10"/>
        <v>99</v>
      </c>
      <c r="D122" t="s">
        <v>2938</v>
      </c>
      <c r="E122">
        <v>1245</v>
      </c>
      <c r="F122" t="s">
        <v>2939</v>
      </c>
      <c r="G122" t="s">
        <v>2530</v>
      </c>
      <c r="H122">
        <v>1189</v>
      </c>
      <c r="I122" cm="1">
        <f t="array" ref="I122">_xlfn.LET(_xlpm.has_subsidy,$N122&gt;0,_xlpm.is_chap9_sbl,$FF$20,_xlpm.contract_rent,$H122,_xlpm.unit_type_mkt_rent,_xlfn.XLOOKUP(TRUE,EXACT($G122,RentRoll_InputArea_DesignatedUnitType),RentRoll_InputArea_MarketRent,"Not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22">
        <f t="shared" si="11"/>
        <v>1189</v>
      </c>
      <c r="O122" s="1">
        <v>43317</v>
      </c>
      <c r="P122" s="1">
        <v>43708</v>
      </c>
      <c r="Q122">
        <f t="shared" si="8"/>
      </c>
      <c r="R122">
        <f t="shared" si="8"/>
        <v>1189</v>
      </c>
      <c r="S122">
        <f t="shared" si="8"/>
      </c>
      <c r="T122">
        <f t="shared" si="8"/>
      </c>
      <c r="U122">
        <f t="shared" si="8"/>
      </c>
      <c r="V122">
        <f t="shared" si="8"/>
      </c>
      <c r="W122">
        <f t="shared" si="8"/>
      </c>
      <c r="X122">
        <f t="shared" si="8"/>
      </c>
      <c r="Y122">
        <f t="shared" si="8"/>
      </c>
      <c r="Z122">
        <f t="shared" si="8"/>
      </c>
      <c r="AA122">
        <f t="shared" si="8"/>
      </c>
      <c r="AB122">
        <f t="shared" si="8"/>
      </c>
      <c r="AC122">
        <f t="shared" si="8"/>
      </c>
      <c r="AD122">
        <f t="shared" si="8"/>
      </c>
      <c r="AE122">
        <f t="shared" si="8"/>
      </c>
      <c r="AF122">
        <f t="shared" si="8"/>
      </c>
      <c r="AG122">
        <f t="shared" si="8"/>
      </c>
      <c r="AH122">
        <f t="shared" si="8"/>
      </c>
      <c r="AI122">
        <f t="shared" si="8"/>
      </c>
      <c r="AJ122">
        <f t="shared" si="8"/>
      </c>
      <c r="AK122">
        <f t="shared" si="8"/>
      </c>
      <c r="AL122">
        <f t="shared" si="8"/>
      </c>
      <c r="AM122">
        <f t="shared" si="8"/>
      </c>
      <c r="AN122">
        <f t="shared" si="8"/>
      </c>
      <c r="AO122">
        <f t="shared" si="8"/>
      </c>
      <c r="AP122">
        <f t="shared" si="8"/>
      </c>
      <c r="AQ122">
        <f t="shared" si="8"/>
      </c>
      <c r="AR122">
        <f t="shared" si="8"/>
      </c>
      <c r="AS122">
        <f t="shared" si="8"/>
      </c>
      <c r="AT122">
        <f t="shared" si="8"/>
      </c>
      <c r="AU122">
        <f t="shared" si="8"/>
      </c>
      <c r="AV122">
        <f t="shared" si="8"/>
      </c>
      <c r="AW122">
        <f t="shared" si="8"/>
      </c>
      <c r="AX122">
        <f t="shared" si="8"/>
      </c>
      <c r="AY122">
        <f t="shared" si="8"/>
      </c>
      <c r="AZ122">
        <f t="shared" si="8"/>
      </c>
      <c r="BA122">
        <f t="shared" si="8"/>
      </c>
      <c r="BB122">
        <f t="shared" si="8"/>
      </c>
      <c r="BC122">
        <f t="shared" si="8"/>
      </c>
      <c r="BD122">
        <f t="shared" si="8"/>
      </c>
      <c r="BE122">
        <f t="shared" si="8"/>
      </c>
      <c r="BF122">
        <f t="shared" si="8"/>
      </c>
      <c r="BG122">
        <f t="shared" si="8"/>
      </c>
      <c r="BH122">
        <f t="shared" si="8"/>
      </c>
      <c r="BI122">
        <f t="shared" si="8"/>
      </c>
      <c r="BJ122">
        <f t="shared" si="8"/>
      </c>
      <c r="BK122">
        <f t="shared" si="8"/>
      </c>
      <c r="BL122">
        <f t="shared" si="8"/>
      </c>
      <c r="BM122">
        <f t="shared" si="8"/>
      </c>
      <c r="BN122">
        <f t="shared" si="8"/>
      </c>
      <c r="BO122">
        <f t="shared" si="8"/>
      </c>
      <c r="BP122">
        <f t="shared" si="8"/>
      </c>
      <c r="BQ122">
        <f t="shared" si="8"/>
      </c>
      <c r="BR122">
        <f t="shared" si="8"/>
      </c>
      <c r="BS122">
        <f t="shared" si="8"/>
      </c>
      <c r="BT122">
        <f t="shared" si="8"/>
      </c>
      <c r="BU122">
        <f t="shared" si="8"/>
      </c>
      <c r="BV122">
        <f t="shared" si="8"/>
      </c>
      <c r="BW122">
        <f t="shared" si="8"/>
      </c>
      <c r="BX122">
        <f t="shared" si="8"/>
      </c>
      <c r="BY122">
        <f t="shared" si="8"/>
      </c>
      <c r="BZ122">
        <f t="shared" si="8"/>
      </c>
      <c r="CA122">
        <f t="shared" si="8"/>
      </c>
      <c r="CB122">
        <f t="shared" si="8"/>
      </c>
      <c r="CC122">
        <f t="shared" si="8"/>
      </c>
      <c r="CD122">
        <f t="shared" si="8"/>
      </c>
      <c r="CE122">
        <f t="shared" si="8"/>
      </c>
      <c r="CF122">
        <f t="shared" si="8"/>
      </c>
      <c r="CG122">
        <f t="shared" si="8"/>
      </c>
      <c r="CH122">
        <f t="shared" si="8"/>
      </c>
      <c r="CI122">
        <f t="shared" si="8"/>
      </c>
      <c r="CJ122">
        <f t="shared" si="8"/>
      </c>
      <c r="CK122">
        <f t="shared" si="8"/>
      </c>
      <c r="CL122">
        <f t="shared" si="8"/>
      </c>
      <c r="CM122">
        <f t="shared" si="8"/>
      </c>
      <c r="CN122">
        <f t="shared" si="8"/>
      </c>
      <c r="CO122">
        <f t="shared" si="8"/>
      </c>
      <c r="CP122">
        <f t="shared" si="8"/>
      </c>
      <c r="CQ122">
        <f t="shared" si="8"/>
      </c>
      <c r="CR122">
        <f t="shared" si="8"/>
      </c>
      <c r="CS122">
        <f t="shared" si="8"/>
      </c>
      <c r="CT122">
        <f t="shared" si="8"/>
      </c>
      <c r="CU122">
        <f t="shared" si="8"/>
      </c>
      <c r="CV122">
        <f t="shared" si="8"/>
      </c>
      <c r="CW122">
        <f t="shared" si="8"/>
      </c>
      <c r="CX122">
        <f t="shared" si="8"/>
      </c>
      <c r="CY122">
        <f t="shared" si="8"/>
      </c>
      <c r="CZ122">
        <f t="shared" si="8"/>
      </c>
      <c r="DA122">
        <f t="shared" si="8"/>
      </c>
      <c r="DB122">
        <f t="shared" si="8"/>
      </c>
      <c r="DC122">
        <f t="shared" si="8"/>
      </c>
      <c r="DD122">
        <f t="shared" si="8"/>
      </c>
      <c r="DE122">
        <f t="shared" si="8"/>
      </c>
      <c r="DF122">
        <f t="shared" si="8"/>
      </c>
      <c r="DG122">
        <f t="shared" si="8"/>
      </c>
      <c r="DH122">
        <f t="shared" si="8"/>
      </c>
      <c r="DI122">
        <f t="shared" si="8"/>
      </c>
      <c r="DJ122">
        <f t="shared" si="8"/>
      </c>
      <c r="DK122">
        <f t="shared" si="8"/>
      </c>
      <c r="DL122">
        <f t="shared" si="8"/>
      </c>
      <c r="DM122">
        <f t="shared" si="8"/>
      </c>
      <c r="DN122">
        <f t="shared" si="8"/>
      </c>
      <c r="DO122">
        <f t="shared" si="8"/>
      </c>
      <c r="DP122">
        <f t="shared" si="8"/>
      </c>
      <c r="DQ122">
        <f t="shared" si="8"/>
      </c>
      <c r="DR122">
        <f t="shared" si="8"/>
      </c>
      <c r="DS122">
        <f t="shared" si="8"/>
      </c>
      <c r="DT122">
        <f t="shared" si="8"/>
      </c>
      <c r="DU122">
        <f t="shared" si="8"/>
      </c>
      <c r="DV122">
        <f t="shared" si="8"/>
      </c>
      <c r="DW122">
        <f t="shared" si="8"/>
      </c>
      <c r="DX122">
        <f t="shared" si="8"/>
      </c>
      <c r="DY122">
        <f t="shared" si="8"/>
      </c>
      <c r="DZ122">
        <f t="shared" si="8"/>
      </c>
      <c r="EA122">
        <f t="shared" si="8"/>
      </c>
      <c r="EB122">
        <f t="shared" si="8"/>
      </c>
      <c r="EC122">
        <f t="shared" si="8"/>
      </c>
      <c r="ED122">
        <f t="shared" si="8"/>
      </c>
      <c r="EE122">
        <f t="shared" si="8"/>
      </c>
      <c r="EF122">
        <f t="shared" si="8"/>
      </c>
      <c r="EG122">
        <f t="shared" si="8"/>
      </c>
      <c r="EH122">
        <f t="shared" si="8"/>
      </c>
      <c r="EI122">
        <f t="shared" si="8"/>
      </c>
      <c r="EJ122">
        <f t="shared" si="8"/>
      </c>
      <c r="EK122">
        <f t="shared" si="8"/>
      </c>
      <c r="EL122">
        <f t="shared" si="8"/>
      </c>
      <c r="EM122">
        <f t="shared" si="8"/>
      </c>
      <c r="EN122">
        <f t="shared" si="8"/>
      </c>
      <c r="EO122">
        <f t="shared" si="8"/>
      </c>
      <c r="EP122">
        <f t="shared" si="8"/>
      </c>
      <c r="EQ122">
        <f t="shared" si="8"/>
      </c>
      <c r="ER122">
        <f t="shared" si="8"/>
      </c>
      <c r="ES122">
        <f t="shared" si="8"/>
      </c>
      <c r="ET122">
        <f t="shared" si="8"/>
      </c>
      <c r="EU122">
        <f t="shared" si="8"/>
      </c>
      <c r="EV122">
        <f t="shared" si="8"/>
      </c>
      <c r="EW122">
        <f t="shared" si="8"/>
      </c>
      <c r="EX122">
        <f t="shared" si="8"/>
      </c>
      <c r="EY122">
        <f t="shared" si="8"/>
      </c>
      <c r="EZ122">
        <f t="shared" si="8"/>
      </c>
      <c r="FA122" t="str">
        <f t="shared" si="12"/>
        <v>-</v>
      </c>
      <c r="FB122">
        <f t="shared" si="13"/>
      </c>
      <c r="FC122" cm="1">
        <f t="array" ref="FC122">_xlfn.LET(_xlpm.unit_type,$G122,_xlpm.market_rent_from_rent_roll,$E122,_xlpm.unit_type_list,RentRoll_InputArea_DesignatedUnitType,_xlpm.rent_by_unit_type,RentRoll_InputArea_MarketRent,_xlpm.use_rent_roll_market_rent,LEFT(RR_VacantUnitMktRentSource,9)="Rent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22">
        <f t="shared" si="14"/>
        <v>1189</v>
      </c>
      <c r="FE122">
        <f t="shared" si="15"/>
        <v>1189</v>
      </c>
      <c r="FF122">
        <f t="shared" si="16"/>
        <v>1189</v>
      </c>
      <c r="FH122">
        <f t="shared" si="17"/>
      </c>
      <c r="FI122">
        <f t="shared" si="18"/>
      </c>
      <c r="FK122" cm="1">
        <f t="array" ref="FK122">IF(AND(LEN($D122)&gt;0,ISNA(MATCH(TRUE,EXACT($G122,RentRoll_InputArea_DesignatedUnitType),0))),1,0)</f>
        <v>0</v>
      </c>
      <c r="FL122">
        <f t="shared" si="19"/>
        <v>99</v>
      </c>
      <c r="IO122" cm="1">
        <f t="array" ref="IO122">IF(LEN($G122)=0,"Rent Roll is incomplete",_xlfn.XLOOKUP(TRUE,EXACT(RentRoll_InputArea_DesignatedUnitType,$G122),RentRoll_InputArea_Beds,"Not Found"))</f>
        <v>0</v>
      </c>
      <c r="IQ122" t="str">
        <f t="shared" si="20"/>
        <v>0 Bedroom Unit (Efficiency/Studio)</v>
      </c>
      <c r="IR122">
        <f t="shared" si="21"/>
        <v>1189</v>
      </c>
      <c r="IW122" t="str">
        <f t="shared" si="22"/>
        <v>8-810</v>
      </c>
      <c r="IZ122">
        <f t="shared" si="23"/>
        <v>0</v>
      </c>
      <c r="JA122">
        <f t="shared" si="24"/>
        <v>1189</v>
      </c>
      <c r="JH122">
        <f t="shared" si="25"/>
        <v>1217</v>
      </c>
      <c r="JJ122">
        <f t="shared" si="26"/>
      </c>
      <c r="JQ122" t="str">
        <f t="shared" si="27"/>
        <v>Occupied</v>
      </c>
      <c r="JR122" cm="1">
        <f t="array" ref="JR122">_xlfn.XLOOKUP(TRUE,EXACT(RentRoll_InputArea_DesignatedUnitType,$G122),RentRoll_InputArea_SquareFootage,"Not Found")</f>
        <v>800</v>
      </c>
      <c r="JS122" t="str">
        <f t="shared" si="28"/>
        <v>Apartment</v>
      </c>
      <c r="JT122">
        <f t="shared" si="29"/>
      </c>
      <c r="JY122">
        <f t="shared" si="9"/>
        <v>43317</v>
      </c>
      <c r="JZ122">
        <f t="shared" si="9"/>
        <v>43708</v>
      </c>
    </row>
    <row r="123" ht="15" customHeight="1">
      <c r="A123">
        <f t="shared" si="10"/>
        <v>100</v>
      </c>
      <c r="D123" t="s">
        <v>2940</v>
      </c>
      <c r="E123">
        <v>1263</v>
      </c>
      <c r="F123" t="s">
        <v>2941</v>
      </c>
      <c r="G123" t="s">
        <v>2530</v>
      </c>
      <c r="H123">
        <v>1226</v>
      </c>
      <c r="I123" cm="1">
        <f t="array" ref="I123">_xlfn.LET(_xlpm.has_subsidy,$N123&gt;0,_xlpm.is_chap9_sbl,$FF$20,_xlpm.contract_rent,$H123,_xlpm.unit_type_mkt_rent,_xlfn.XLOOKUP(TRUE,EXACT($G123,RentRoll_InputArea_DesignatedUnitType),RentRoll_InputArea_MarketRent,"Not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23">
        <f t="shared" si="11"/>
        <v>1226</v>
      </c>
      <c r="O123" s="1">
        <v>43484</v>
      </c>
      <c r="P123" s="1">
        <v>43769</v>
      </c>
      <c r="Q123">
        <f t="shared" si="8"/>
      </c>
      <c r="R123">
        <f t="shared" si="8"/>
        <v>1226</v>
      </c>
      <c r="S123">
        <f t="shared" si="8"/>
      </c>
      <c r="T123">
        <f t="shared" si="8"/>
      </c>
      <c r="U123">
        <f t="shared" si="8"/>
      </c>
      <c r="V123">
        <f t="shared" si="8"/>
      </c>
      <c r="W123">
        <f t="shared" si="8"/>
      </c>
      <c r="X123">
        <f t="shared" si="8"/>
      </c>
      <c r="Y123">
        <f t="shared" si="8"/>
      </c>
      <c r="Z123">
        <f t="shared" si="8"/>
      </c>
      <c r="AA123">
        <f t="shared" si="8"/>
      </c>
      <c r="AB123">
        <f t="shared" si="8"/>
      </c>
      <c r="AC123">
        <f t="shared" si="8"/>
      </c>
      <c r="AD123">
        <f t="shared" si="8"/>
      </c>
      <c r="AE123">
        <f t="shared" si="8"/>
      </c>
      <c r="AF123">
        <f t="shared" si="8"/>
      </c>
      <c r="AG123">
        <f t="shared" si="8"/>
      </c>
      <c r="AH123">
        <f t="shared" si="8"/>
      </c>
      <c r="AI123">
        <f t="shared" si="8"/>
      </c>
      <c r="AJ123">
        <f t="shared" si="8"/>
      </c>
      <c r="AK123">
        <f t="shared" si="8"/>
      </c>
      <c r="AL123">
        <f t="shared" si="8"/>
      </c>
      <c r="AM123">
        <f t="shared" si="8"/>
      </c>
      <c r="AN123">
        <f t="shared" si="8"/>
      </c>
      <c r="AO123">
        <f t="shared" si="8"/>
      </c>
      <c r="AP123">
        <f t="shared" si="8"/>
      </c>
      <c r="AQ123">
        <f t="shared" si="8"/>
      </c>
      <c r="AR123">
        <f t="shared" si="8"/>
      </c>
      <c r="AS123">
        <f t="shared" si="8"/>
      </c>
      <c r="AT123">
        <f t="shared" si="8"/>
      </c>
      <c r="AU123">
        <f t="shared" si="8"/>
      </c>
      <c r="AV123">
        <f t="shared" si="8"/>
      </c>
      <c r="AW123">
        <f t="shared" si="8"/>
      </c>
      <c r="AX123">
        <f t="shared" si="8"/>
      </c>
      <c r="AY123">
        <f t="shared" si="8"/>
      </c>
      <c r="AZ123">
        <f t="shared" si="8"/>
      </c>
      <c r="BA123">
        <f t="shared" si="8"/>
      </c>
      <c r="BB123">
        <f t="shared" si="8"/>
      </c>
      <c r="BC123">
        <f t="shared" si="8"/>
      </c>
      <c r="BD123">
        <f t="shared" si="8"/>
      </c>
      <c r="BE123">
        <f t="shared" si="8"/>
      </c>
      <c r="BF123">
        <f t="shared" si="8"/>
      </c>
      <c r="BG123">
        <f t="shared" si="8"/>
      </c>
      <c r="BH123">
        <f t="shared" si="8"/>
      </c>
      <c r="BI123">
        <f t="shared" si="8"/>
      </c>
      <c r="BJ123">
        <f t="shared" si="8"/>
      </c>
      <c r="BK123">
        <f t="shared" si="8"/>
      </c>
      <c r="BL123">
        <f t="shared" si="8"/>
      </c>
      <c r="BM123">
        <f t="shared" si="8"/>
      </c>
      <c r="BN123">
        <f t="shared" si="8"/>
      </c>
      <c r="BO123">
        <f t="shared" si="8"/>
      </c>
      <c r="BP123">
        <f t="shared" si="8"/>
      </c>
      <c r="BQ123">
        <f t="shared" si="8"/>
      </c>
      <c r="BR123">
        <f t="shared" si="8"/>
      </c>
      <c r="BS123">
        <f t="shared" si="8"/>
      </c>
      <c r="BT123">
        <f t="shared" si="8"/>
      </c>
      <c r="BU123">
        <f t="shared" si="8"/>
      </c>
      <c r="BV123">
        <f t="shared" si="8"/>
      </c>
      <c r="BW123">
        <f t="shared" si="8"/>
      </c>
      <c r="BX123">
        <f t="shared" si="8"/>
      </c>
      <c r="BY123">
        <f t="shared" si="8"/>
      </c>
      <c r="BZ123">
        <f t="shared" si="8"/>
      </c>
      <c r="CA123">
        <f t="shared" si="8"/>
      </c>
      <c r="CB123">
        <f t="shared" si="8"/>
      </c>
      <c r="CC123">
        <f t="shared" si="8"/>
      </c>
      <c r="CD123">
        <f t="shared" si="8"/>
      </c>
      <c r="CE123">
        <f t="shared" si="8"/>
      </c>
      <c r="CF123">
        <f t="shared" si="8"/>
      </c>
      <c r="CG123">
        <f t="shared" si="8"/>
      </c>
      <c r="CH123">
        <f t="shared" si="8"/>
      </c>
      <c r="CI123">
        <f t="shared" si="8"/>
      </c>
      <c r="CJ123">
        <f t="shared" si="8"/>
      </c>
      <c r="CK123">
        <f t="shared" si="8"/>
      </c>
      <c r="CL123">
        <f t="shared" si="8"/>
      </c>
      <c r="CM123">
        <f t="shared" si="8"/>
      </c>
      <c r="CN123">
        <f t="shared" si="8"/>
      </c>
      <c r="CO123">
        <f t="shared" si="8"/>
      </c>
      <c r="CP123">
        <f t="shared" si="8"/>
      </c>
      <c r="CQ123">
        <f t="shared" si="8"/>
      </c>
      <c r="CR123">
        <f t="shared" si="8"/>
      </c>
      <c r="CS123">
        <f t="shared" si="8"/>
      </c>
      <c r="CT123">
        <f t="shared" si="8"/>
      </c>
      <c r="CU123">
        <f t="shared" si="8"/>
      </c>
      <c r="CV123">
        <f t="shared" si="8"/>
      </c>
      <c r="CW123">
        <f t="shared" si="8"/>
      </c>
      <c r="CX123">
        <f t="shared" si="8"/>
      </c>
      <c r="CY123">
        <f t="shared" si="8"/>
      </c>
      <c r="CZ123">
        <f t="shared" si="8"/>
      </c>
      <c r="DA123">
        <f t="shared" si="8"/>
      </c>
      <c r="DB123">
        <f t="shared" si="8"/>
      </c>
      <c r="DC123">
        <f t="shared" si="8"/>
      </c>
      <c r="DD123">
        <f t="shared" si="8"/>
      </c>
      <c r="DE123">
        <f t="shared" si="8"/>
      </c>
      <c r="DF123">
        <f t="shared" si="8"/>
      </c>
      <c r="DG123">
        <f t="shared" si="8"/>
      </c>
      <c r="DH123">
        <f t="shared" si="8"/>
      </c>
      <c r="DI123">
        <f t="shared" si="8"/>
      </c>
      <c r="DJ123">
        <f t="shared" si="8"/>
      </c>
      <c r="DK123">
        <f t="shared" si="8"/>
      </c>
      <c r="DL123">
        <f t="shared" si="8"/>
      </c>
      <c r="DM123">
        <f t="shared" si="8"/>
      </c>
      <c r="DN123">
        <f t="shared" si="8"/>
      </c>
      <c r="DO123">
        <f t="shared" si="8"/>
      </c>
      <c r="DP123">
        <f t="shared" si="8"/>
      </c>
      <c r="DQ123">
        <f t="shared" si="8"/>
      </c>
      <c r="DR123">
        <f t="shared" si="8"/>
      </c>
      <c r="DS123">
        <f t="shared" si="8"/>
      </c>
      <c r="DT123">
        <f t="shared" si="8"/>
      </c>
      <c r="DU123">
        <f t="shared" si="8"/>
      </c>
      <c r="DV123">
        <f t="shared" si="8"/>
      </c>
      <c r="DW123">
        <f t="shared" si="8"/>
      </c>
      <c r="DX123">
        <f t="shared" si="8"/>
      </c>
      <c r="DY123">
        <f t="shared" si="8"/>
      </c>
      <c r="DZ123">
        <f t="shared" si="8"/>
      </c>
      <c r="EA123">
        <f t="shared" si="8"/>
      </c>
      <c r="EB123">
        <f t="shared" si="8"/>
      </c>
      <c r="EC123">
        <f t="shared" si="8"/>
      </c>
      <c r="ED123">
        <f t="shared" si="8"/>
      </c>
      <c r="EE123">
        <f t="shared" si="8"/>
      </c>
      <c r="EF123">
        <f t="shared" si="8"/>
      </c>
      <c r="EG123">
        <f t="shared" si="8"/>
      </c>
      <c r="EH123">
        <f t="shared" si="8"/>
      </c>
      <c r="EI123">
        <f t="shared" si="8"/>
      </c>
      <c r="EJ123">
        <f t="shared" si="8"/>
      </c>
      <c r="EK123">
        <f t="shared" si="8"/>
      </c>
      <c r="EL123">
        <f t="shared" si="8"/>
      </c>
      <c r="EM123">
        <f t="shared" si="8"/>
      </c>
      <c r="EN123">
        <f t="shared" si="8"/>
      </c>
      <c r="EO123">
        <f t="shared" si="8"/>
      </c>
      <c r="EP123">
        <f t="shared" si="8"/>
      </c>
      <c r="EQ123">
        <f t="shared" si="8"/>
      </c>
      <c r="ER123">
        <f t="shared" si="8"/>
      </c>
      <c r="ES123">
        <f t="shared" si="8"/>
      </c>
      <c r="ET123">
        <f t="shared" si="8"/>
      </c>
      <c r="EU123">
        <f t="shared" si="8"/>
      </c>
      <c r="EV123">
        <f t="shared" si="8"/>
      </c>
      <c r="EW123">
        <f t="shared" si="8"/>
      </c>
      <c r="EX123">
        <f t="shared" si="8"/>
      </c>
      <c r="EY123">
        <f t="shared" si="8"/>
      </c>
      <c r="EZ123">
        <f t="shared" si="8"/>
      </c>
      <c r="FA123" t="str">
        <f t="shared" si="12"/>
        <v>-</v>
      </c>
      <c r="FB123">
        <f t="shared" si="13"/>
      </c>
      <c r="FC123" cm="1">
        <f t="array" ref="FC123">_xlfn.LET(_xlpm.unit_type,$G123,_xlpm.market_rent_from_rent_roll,$E123,_xlpm.unit_type_list,RentRoll_InputArea_DesignatedUnitType,_xlpm.rent_by_unit_type,RentRoll_InputArea_MarketRent,_xlpm.use_rent_roll_market_rent,LEFT(RR_VacantUnitMktRentSource,9)="Rent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1217</v>
      </c>
      <c r="FD123">
        <f t="shared" si="14"/>
        <v>1226</v>
      </c>
      <c r="FE123">
        <f t="shared" si="15"/>
        <v>1226</v>
      </c>
      <c r="FF123">
        <f t="shared" si="16"/>
        <v>1226</v>
      </c>
      <c r="FH123">
        <f t="shared" si="17"/>
      </c>
      <c r="FI123">
        <f t="shared" si="18"/>
      </c>
      <c r="FK123" cm="1">
        <f t="array" ref="FK123">IF(AND(LEN($D123)&gt;0,ISNA(MATCH(TRUE,EXACT($G123,RentRoll_InputArea_DesignatedUnitType),0))),1,0)</f>
        <v>0</v>
      </c>
      <c r="FL123">
        <f t="shared" si="19"/>
        <v>100</v>
      </c>
      <c r="IO123" cm="1">
        <f t="array" ref="IO123">IF(LEN($G123)=0,"Rent Roll is incomplete",_xlfn.XLOOKUP(TRUE,EXACT(RentRoll_InputArea_DesignatedUnitType,$G123),RentRoll_InputArea_Beds,"Not Found"))</f>
        <v>0</v>
      </c>
      <c r="IQ123" t="str">
        <f t="shared" si="20"/>
        <v>0 Bedroom Unit (Efficiency/Studio)</v>
      </c>
      <c r="IR123">
        <f t="shared" si="21"/>
        <v>1226</v>
      </c>
      <c r="IW123" t="str">
        <f t="shared" si="22"/>
        <v>8-811</v>
      </c>
      <c r="IZ123">
        <f t="shared" si="23"/>
        <v>0</v>
      </c>
      <c r="JA123">
        <f t="shared" si="24"/>
        <v>1226</v>
      </c>
      <c r="JH123">
        <f t="shared" si="25"/>
        <v>1217</v>
      </c>
      <c r="JJ123">
        <f t="shared" si="26"/>
      </c>
      <c r="JQ123" t="str">
        <f t="shared" si="27"/>
        <v>Occupied</v>
      </c>
      <c r="JR123" cm="1">
        <f t="array" ref="JR123">_xlfn.XLOOKUP(TRUE,EXACT(RentRoll_InputArea_DesignatedUnitType,$G123),RentRoll_InputArea_SquareFootage,"Not Found")</f>
        <v>800</v>
      </c>
      <c r="JS123" t="str">
        <f t="shared" si="28"/>
        <v>Apartment</v>
      </c>
      <c r="JT123">
        <f t="shared" si="29"/>
      </c>
      <c r="JY123">
        <f t="shared" si="9"/>
        <v>43484</v>
      </c>
      <c r="JZ123">
        <f t="shared" si="9"/>
        <v>43769</v>
      </c>
    </row>
    <row r="124" ht="15" customHeight="1">
      <c r="A124">
        <f t="shared" si="10"/>
        <v>101</v>
      </c>
      <c r="D124" t="s">
        <v>2942</v>
      </c>
      <c r="E124">
        <v>1082</v>
      </c>
      <c r="F124" t="s">
        <v>2943</v>
      </c>
      <c r="G124" t="s">
        <v>2533</v>
      </c>
      <c r="H124">
        <v>1017</v>
      </c>
      <c r="I124" cm="1">
        <f t="array" ref="I124">_xlfn.LET(_xlpm.has_subsidy,$N124&gt;0,_xlpm.is_chap9_sbl,$FF$20,_xlpm.contract_rent,$H124,_xlpm.unit_type_mkt_rent,_xlfn.XLOOKUP(TRUE,EXACT($G124,RentRoll_InputArea_DesignatedUnitType),RentRoll_InputArea_MarketRent,"Not Found"),_xlpm.contract_rent_exceeds_market_rent,_xlpm.contract_rent&gt;_xlpm.unit_type_mkt_rent,IF(AND(_xlpm.contract_rent_exceeds_market_rent,OR(_xlpm.has_subsidy,_xlpm.is_chap9_sbl)),_xlpm.contract_rent-_xlpm.unit_type_mkt_rent,0))</f>
        <v>0</v>
      </c>
      <c r="J124">
        <f t="shared" si="11"/>
        <v>1017</v>
      </c>
      <c r="O124" s="1">
        <v>43160</v>
      </c>
      <c r="P124" s="1">
        <v>43344</v>
      </c>
      <c r="Q124">
        <f t="shared" si="8"/>
      </c>
      <c r="R124">
        <f t="shared" si="8"/>
      </c>
      <c r="S124">
        <f t="shared" si="8"/>
      </c>
      <c r="T124">
        <f t="shared" si="8"/>
      </c>
      <c r="U124">
        <f t="shared" si="8"/>
        <v>1017</v>
      </c>
      <c r="V124">
        <f t="shared" si="8"/>
      </c>
      <c r="W124">
        <f t="shared" si="8"/>
      </c>
      <c r="X124">
        <f t="shared" si="8"/>
      </c>
      <c r="Y124">
        <f t="shared" si="8"/>
      </c>
      <c r="Z124">
        <f t="shared" si="8"/>
      </c>
      <c r="AA124">
        <f t="shared" si="8"/>
      </c>
      <c r="AB124">
        <f t="shared" si="8"/>
      </c>
      <c r="AC124">
        <f t="shared" si="8"/>
      </c>
      <c r="AD124">
        <f t="shared" si="8"/>
      </c>
      <c r="AE124">
        <f t="shared" si="8"/>
      </c>
      <c r="AF124">
        <f t="shared" si="8"/>
      </c>
      <c r="AG124">
        <f t="shared" si="8"/>
      </c>
      <c r="AH124">
        <f t="shared" si="8"/>
      </c>
      <c r="AI124">
        <f t="shared" si="8"/>
      </c>
      <c r="AJ124">
        <f t="shared" si="8"/>
      </c>
      <c r="AK124">
        <f t="shared" si="8"/>
      </c>
      <c r="AL124">
        <f t="shared" si="8"/>
      </c>
      <c r="AM124">
        <f t="shared" si="8"/>
      </c>
      <c r="AN124">
        <f t="shared" si="8"/>
      </c>
      <c r="AO124">
        <f t="shared" si="8"/>
      </c>
      <c r="AP124">
        <f t="shared" si="8"/>
      </c>
      <c r="AQ124">
        <f t="shared" si="8"/>
      </c>
      <c r="AR124">
        <f t="shared" si="8"/>
      </c>
      <c r="AS124">
        <f t="shared" si="8"/>
      </c>
      <c r="AT124">
        <f t="shared" si="8"/>
      </c>
      <c r="AU124">
        <f t="shared" si="8"/>
      </c>
      <c r="AV124">
        <f t="shared" si="8"/>
      </c>
      <c r="AW124">
        <f t="shared" si="8"/>
      </c>
      <c r="AX124">
        <f t="shared" si="8"/>
      </c>
      <c r="AY124">
        <f t="shared" si="8"/>
      </c>
      <c r="AZ124">
        <f t="shared" si="8"/>
      </c>
      <c r="BA124">
        <f t="shared" si="8"/>
      </c>
      <c r="BB124">
        <f t="shared" si="8"/>
      </c>
      <c r="BC124">
        <f t="shared" si="8"/>
      </c>
      <c r="BD124">
        <f t="shared" si="8"/>
      </c>
      <c r="BE124">
        <f t="shared" si="8"/>
      </c>
      <c r="BF124">
        <f t="shared" si="8"/>
      </c>
      <c r="BG124">
        <f t="shared" si="8"/>
      </c>
      <c r="BH124">
        <f t="shared" si="8"/>
      </c>
      <c r="BI124">
        <f t="shared" si="8"/>
      </c>
      <c r="BJ124">
        <f t="shared" si="8"/>
      </c>
      <c r="BK124">
        <f t="shared" si="8"/>
      </c>
      <c r="BL124">
        <f t="shared" si="8"/>
      </c>
      <c r="BM124">
        <f t="shared" si="8"/>
      </c>
      <c r="BN124">
        <f t="shared" si="8"/>
      </c>
      <c r="BO124">
        <f t="shared" si="8"/>
      </c>
      <c r="BP124">
        <f t="shared" si="8"/>
      </c>
      <c r="BQ124">
        <f t="shared" si="8"/>
      </c>
      <c r="BR124">
        <f t="shared" si="8"/>
      </c>
      <c r="BS124">
        <f t="shared" si="8"/>
      </c>
      <c r="BT124">
        <f t="shared" si="8"/>
      </c>
      <c r="BU124">
        <f t="shared" si="8"/>
      </c>
      <c r="BV124">
        <f t="shared" si="8"/>
      </c>
      <c r="BW124">
        <f t="shared" si="8"/>
      </c>
      <c r="BX124">
        <f t="shared" si="8"/>
      </c>
      <c r="BY124">
        <f t="shared" si="8"/>
      </c>
      <c r="BZ124">
        <f t="shared" si="8"/>
      </c>
      <c r="CA124">
        <f t="shared" si="8"/>
      </c>
      <c r="CB124">
        <f t="shared" si="8"/>
      </c>
      <c r="CC124">
        <f t="shared" si="8"/>
      </c>
      <c r="CD124">
        <f t="shared" si="8"/>
      </c>
      <c r="CE124">
        <f t="shared" si="8"/>
      </c>
      <c r="CF124">
        <f t="shared" si="8"/>
      </c>
      <c r="CG124">
        <f t="shared" si="8"/>
      </c>
      <c r="CH124">
        <f t="shared" si="8"/>
      </c>
      <c r="CI124">
        <f t="shared" si="8"/>
      </c>
      <c r="CJ124">
        <f t="shared" si="8"/>
      </c>
      <c r="CK124">
        <f t="shared" si="8"/>
      </c>
      <c r="CL124">
        <f t="shared" si="8"/>
      </c>
      <c r="CM124">
        <f t="shared" si="8"/>
      </c>
      <c r="CN124">
        <f t="shared" si="8"/>
      </c>
      <c r="CO124">
        <f t="shared" si="8"/>
      </c>
      <c r="CP124">
        <f t="shared" si="8"/>
      </c>
      <c r="CQ124">
        <f t="shared" si="8"/>
      </c>
      <c r="CR124">
        <f t="shared" si="8"/>
      </c>
      <c r="CS124">
        <f t="shared" si="8"/>
      </c>
      <c r="CT124">
        <f t="shared" si="8"/>
      </c>
      <c r="CU124">
        <f t="shared" si="8"/>
      </c>
      <c r="CV124">
        <f t="shared" si="8"/>
      </c>
      <c r="CW124">
        <f t="shared" si="8"/>
      </c>
      <c r="CX124">
        <f t="shared" si="8"/>
      </c>
      <c r="CY124">
        <f t="shared" si="8"/>
      </c>
      <c r="CZ124">
        <f t="shared" si="8"/>
      </c>
      <c r="DA124">
        <f t="shared" si="8"/>
      </c>
      <c r="DB124">
        <f t="shared" si="8"/>
      </c>
      <c r="DC124">
        <f t="shared" si="8"/>
      </c>
      <c r="DD124">
        <f t="shared" si="8"/>
      </c>
      <c r="DE124">
        <f t="shared" si="8"/>
      </c>
      <c r="DF124">
        <f t="shared" si="8"/>
      </c>
      <c r="DG124">
        <f t="shared" si="8"/>
      </c>
      <c r="DH124">
        <f t="shared" si="8"/>
      </c>
      <c r="DI124">
        <f t="shared" si="8"/>
      </c>
      <c r="DJ124">
        <f t="shared" si="8"/>
      </c>
      <c r="DK124">
        <f t="shared" si="8"/>
      </c>
      <c r="DL124">
        <f t="shared" si="8"/>
      </c>
      <c r="DM124">
        <f t="shared" si="8"/>
      </c>
      <c r="DN124">
        <f t="shared" si="8"/>
      </c>
      <c r="DO124">
        <f t="shared" si="8"/>
      </c>
      <c r="DP124">
        <f t="shared" si="8"/>
      </c>
      <c r="DQ124">
        <f t="shared" si="8"/>
      </c>
      <c r="DR124">
        <f t="shared" si="8"/>
      </c>
      <c r="DS124">
        <f t="shared" si="8"/>
      </c>
      <c r="DT124">
        <f t="shared" si="8"/>
      </c>
      <c r="DU124">
        <f t="shared" si="8"/>
      </c>
      <c r="DV124">
        <f t="shared" si="8"/>
      </c>
      <c r="DW124">
        <f t="shared" si="8"/>
      </c>
      <c r="DX124">
        <f t="shared" si="8"/>
      </c>
      <c r="DY124">
        <f t="shared" si="8"/>
      </c>
      <c r="DZ124">
        <f t="shared" si="8"/>
      </c>
      <c r="EA124">
        <f t="shared" si="8"/>
      </c>
      <c r="EB124">
        <f t="shared" si="8"/>
      </c>
      <c r="EC124">
        <f t="shared" si="8"/>
      </c>
      <c r="ED124">
        <f t="shared" si="8"/>
      </c>
      <c r="EE124">
        <f t="shared" si="8"/>
      </c>
      <c r="EF124">
        <f t="shared" si="8"/>
      </c>
      <c r="EG124">
        <f t="shared" si="8"/>
      </c>
      <c r="EH124">
        <f t="shared" si="8"/>
      </c>
      <c r="EI124">
        <f t="shared" si="8"/>
      </c>
      <c r="EJ124">
        <f t="shared" si="8"/>
      </c>
      <c r="EK124">
        <f t="shared" si="8"/>
      </c>
      <c r="EL124">
        <f t="shared" si="8"/>
      </c>
      <c r="EM124">
        <f t="shared" si="8"/>
      </c>
      <c r="EN124">
        <f t="shared" si="8"/>
      </c>
      <c r="EO124">
        <f t="shared" si="8"/>
      </c>
      <c r="EP124">
        <f t="shared" si="8"/>
      </c>
      <c r="EQ124">
        <f t="shared" si="8"/>
      </c>
      <c r="ER124">
        <f t="shared" si="8"/>
      </c>
      <c r="ES124">
        <f t="shared" si="8"/>
      </c>
      <c r="ET124">
        <f t="shared" si="8"/>
      </c>
      <c r="EU124">
        <f t="shared" si="8"/>
      </c>
      <c r="EV124">
        <f t="shared" si="8"/>
      </c>
      <c r="EW124">
        <f t="shared" si="8"/>
      </c>
      <c r="EX124">
        <f t="shared" si="8"/>
      </c>
      <c r="EY124">
        <f t="shared" si="8"/>
      </c>
      <c r="EZ124">
        <f t="shared" si="8"/>
      </c>
      <c r="FA124" t="str">
        <f t="shared" si="12"/>
        <v>-</v>
      </c>
      <c r="FB124">
        <f t="shared" si="13"/>
      </c>
      <c r="FC124" cm="1">
        <f t="array" ref="FC124">_xlfn.LET(_xlpm.unit_type,$G124,_xlpm.market_rent_from_rent_roll,$E124,_xlpm.unit_type_list,RentRoll_InputArea_DesignatedUnitType,_xlpm.rent_by_unit_type,RentRoll_InputArea_MarketRent,_xlpm.use_rent_roll_market_rent,LEFT(RR_VacantUnitMktRentSource,9)="Rent Roll",IF(_xlpm.unit_type="","",IF(AND(_xlpm.use_rent_roll_market_rent,_xlpm.market_rent_from_rent_roll&gt;0),_xlpm.market_rent_from_rent_roll,_xlfn.XLOOKUP(TRUE,EXACT(_xlpm.unit_type_list,_xlpm.unit_type),_xlpm.rent_by_unit_type,"Not Found"))))</f>
        <v>1081</v>
      </c>
      <c r="FD124">
        <f t="shared" si="14"/>
        <v>1017</v>
      </c>
      <c r="FE124">
        <f t="shared" si="15"/>
        <v>1017</v>
      </c>
      <c r="FF124">
        <f t="shared" si="16"/>
        <v>1017</v>
      </c>
      <c r="FH124">
        <f t="shared" si="17"/>
      </c>
      <c r="FI124">
        <f t="shared" si="18"/>
      </c>
      <c r="FK124" cm="1">
        <f t="array" ref="FK124">IF(AND(LEN($D124)&gt;0,ISNA(MATCH(TRUE,EXACT($G124,RentRoll_InputArea_DesignatedUnitType),0))),1,0)</f>
        <v>0</v>
      </c>
      <c r="FL124">
        <f t="shared" si="19"/>
        <v>101</v>
      </c>
      <c r="IO124" cm="1">
        <f t="array" ref="IO124">IF(LEN($G124)=0,"Rent Roll is incomplete",_xlfn.XLOOKUP(TRUE,EXACT(RentRoll_InputArea_DesignatedUnitType,$G124),RentRoll_InputArea_Beds,"Not Found"))</f>
        <v>0</v>
      </c>
      <c r="IQ124" t="str">
        <f t="shared" si="20"/>
        <v>0 Bedroom Unit (Efficiency/Studio)</v>
      </c>
      <c r="IR124">
        <f t="shared" si="21"/>
        <v>1017</v>
      </c>
      <c r="IW124" t="str">
        <f t="shared" si="22"/>
        <v>9-900</v>
      </c>
      <c r="IZ124">
        <f t="shared" si="23"/>
        <v>0</v>
      </c>
      <c r="JA124">
        <f t="shared" si="24"/>
        <v>1017</v>
      </c>
      <c r="JH124">
        <f t="shared" si="25"/>
        <v>1081</v>
      </c>
      <c r="JJ124">
        <f t="shared" si="26"/>
      </c>
      <c r="JQ124" t="str">
        <f t="shared" si="27"/>
        <v>Occupied</v>
      </c>
      <c r="JR124" cm="1">
        <f t="array" ref="JR124">_xlfn.XLOOKUP(TRUE,EXACT(RentRoll_InputArea_DesignatedUnitType,$G124),RentRoll_InputArea_SquareFootage,"Not Found")</f>
        <v>1247</v>
      </c>
      <c r="JS124" t="str">
        <f t="shared" si="28"/>
        <v>Apartment</v>
      </c>
      <c r="JT124">
        <f t="shared" si="29"/>
      </c>
      <c r="JY124">
        <f t="shared" si="9"/>
        <v>43160</v>
      </c>
      <c r="JZ124">
        <f t="shared" si="9"/>
        <v>43344</v>
      </c>
    </row>
    <row r="125" ht="15" customHeight="1">
      <c r="J125">
        <f>""</f>
      </c>
    </row>
    <row r="126" ht="15" customHeight="1">
      <c r="B126" t="s">
        <v>2944</v>
      </c>
      <c r="E126">
        <f t="shared" si="30" ref="E126:FA126">_xlfn.IFERROR(SUMPRODUCT((E24:E125)*1),SUM(E24:E125))</f>
        <v>131664</v>
      </c>
      <c r="H126">
        <f t="shared" si="30"/>
        <v>122173</v>
      </c>
      <c r="I126">
        <f t="shared" si="30"/>
        <v>0</v>
      </c>
      <c r="J126">
        <f t="shared" si="30"/>
        <v>122173</v>
      </c>
      <c r="K126">
        <f t="shared" si="30"/>
        <v>0</v>
      </c>
      <c r="L126">
        <f t="shared" si="30"/>
        <v>0</v>
      </c>
      <c r="M126">
        <f>_xlfn.SUMIFS(FI24:FI125,M24:M125,"Model")+_xlfn.SUMIFS(FI24:FI125,M24:M125,"Office")</f>
        <v>0</v>
      </c>
      <c r="N126">
        <f t="shared" si="30"/>
        <v>0</v>
      </c>
      <c r="Q126">
        <f t="shared" si="30"/>
        <v>36220</v>
      </c>
      <c r="R126">
        <f t="shared" si="30"/>
        <v>33765</v>
      </c>
      <c r="S126">
        <f t="shared" si="30"/>
        <v>20467</v>
      </c>
      <c r="T126">
        <f t="shared" si="30"/>
        <v>30704</v>
      </c>
      <c r="U126">
        <f t="shared" si="30"/>
        <v>1017</v>
      </c>
      <c r="V126">
        <f t="shared" si="30"/>
        <v>0</v>
      </c>
      <c r="W126">
        <f t="shared" si="30"/>
        <v>0</v>
      </c>
      <c r="X126">
        <f t="shared" si="30"/>
        <v>0</v>
      </c>
      <c r="Y126">
        <f t="shared" si="30"/>
        <v>0</v>
      </c>
      <c r="Z126">
        <f t="shared" si="30"/>
        <v>0</v>
      </c>
      <c r="AA126">
        <f t="shared" si="30"/>
        <v>0</v>
      </c>
      <c r="AB126">
        <f t="shared" si="30"/>
        <v>0</v>
      </c>
      <c r="AC126">
        <f t="shared" si="30"/>
        <v>0</v>
      </c>
      <c r="AD126">
        <f t="shared" si="30"/>
        <v>0</v>
      </c>
      <c r="AE126">
        <f t="shared" si="30"/>
        <v>0</v>
      </c>
      <c r="AF126">
        <f t="shared" si="30"/>
        <v>0</v>
      </c>
      <c r="AG126">
        <f t="shared" si="30"/>
        <v>0</v>
      </c>
      <c r="AH126">
        <f t="shared" si="30"/>
        <v>0</v>
      </c>
      <c r="AI126">
        <f t="shared" si="30"/>
        <v>0</v>
      </c>
      <c r="AJ126">
        <f t="shared" si="30"/>
        <v>0</v>
      </c>
      <c r="AK126">
        <f t="shared" si="30"/>
        <v>0</v>
      </c>
      <c r="AL126">
        <f t="shared" si="30"/>
        <v>0</v>
      </c>
      <c r="AM126">
        <f t="shared" si="30"/>
        <v>0</v>
      </c>
      <c r="AN126">
        <f t="shared" si="30"/>
        <v>0</v>
      </c>
      <c r="AO126">
        <f t="shared" si="30"/>
        <v>0</v>
      </c>
      <c r="AP126">
        <f t="shared" si="30"/>
        <v>0</v>
      </c>
      <c r="AQ126">
        <f t="shared" si="30"/>
        <v>0</v>
      </c>
      <c r="AR126">
        <f t="shared" si="30"/>
        <v>0</v>
      </c>
      <c r="AS126">
        <f t="shared" si="30"/>
        <v>0</v>
      </c>
      <c r="AT126">
        <f t="shared" si="30"/>
        <v>0</v>
      </c>
      <c r="AU126">
        <f t="shared" si="30"/>
        <v>0</v>
      </c>
      <c r="AV126">
        <f t="shared" si="30"/>
        <v>0</v>
      </c>
      <c r="AW126">
        <f t="shared" si="30"/>
        <v>0</v>
      </c>
      <c r="AX126">
        <f t="shared" si="30"/>
        <v>0</v>
      </c>
      <c r="AY126">
        <f t="shared" si="30"/>
        <v>0</v>
      </c>
      <c r="AZ126">
        <f t="shared" si="30"/>
        <v>0</v>
      </c>
      <c r="BA126">
        <f t="shared" si="30"/>
        <v>0</v>
      </c>
      <c r="BB126">
        <f t="shared" si="30"/>
        <v>0</v>
      </c>
      <c r="BC126">
        <f t="shared" si="30"/>
        <v>0</v>
      </c>
      <c r="BD126">
        <f t="shared" si="30"/>
        <v>0</v>
      </c>
      <c r="BE126">
        <f t="shared" si="30"/>
        <v>0</v>
      </c>
      <c r="BF126">
        <f t="shared" si="30"/>
        <v>0</v>
      </c>
      <c r="BG126">
        <f t="shared" si="30"/>
        <v>0</v>
      </c>
      <c r="BH126">
        <f t="shared" si="30"/>
        <v>0</v>
      </c>
      <c r="BI126">
        <f t="shared" si="30"/>
        <v>0</v>
      </c>
      <c r="BJ126">
        <f t="shared" si="30"/>
        <v>0</v>
      </c>
      <c r="BK126">
        <f t="shared" si="30"/>
        <v>0</v>
      </c>
      <c r="BL126">
        <f t="shared" si="30"/>
        <v>0</v>
      </c>
      <c r="BM126">
        <f t="shared" si="30"/>
        <v>0</v>
      </c>
      <c r="BN126">
        <f t="shared" si="30"/>
        <v>0</v>
      </c>
      <c r="BO126">
        <f t="shared" si="30"/>
        <v>0</v>
      </c>
      <c r="BP126">
        <f t="shared" si="30"/>
        <v>0</v>
      </c>
      <c r="BQ126">
        <f t="shared" si="30"/>
        <v>0</v>
      </c>
      <c r="BR126">
        <f t="shared" si="30"/>
        <v>0</v>
      </c>
      <c r="BS126">
        <f t="shared" si="30"/>
        <v>0</v>
      </c>
      <c r="BT126">
        <f t="shared" si="30"/>
        <v>0</v>
      </c>
      <c r="BU126">
        <f t="shared" si="30"/>
        <v>0</v>
      </c>
      <c r="BV126">
        <f t="shared" si="30"/>
        <v>0</v>
      </c>
      <c r="BW126">
        <f t="shared" si="30"/>
        <v>0</v>
      </c>
      <c r="BX126">
        <f t="shared" si="30"/>
        <v>0</v>
      </c>
      <c r="BY126">
        <f t="shared" si="30"/>
        <v>0</v>
      </c>
      <c r="BZ126">
        <f t="shared" si="30"/>
        <v>0</v>
      </c>
      <c r="CA126">
        <f t="shared" si="30"/>
        <v>0</v>
      </c>
      <c r="CB126">
        <f t="shared" si="30"/>
        <v>0</v>
      </c>
      <c r="CC126">
        <f t="shared" si="30"/>
        <v>0</v>
      </c>
      <c r="CD126">
        <f t="shared" si="30"/>
        <v>0</v>
      </c>
      <c r="CE126">
        <f t="shared" si="30"/>
        <v>0</v>
      </c>
      <c r="CF126">
        <f t="shared" si="30"/>
        <v>0</v>
      </c>
      <c r="CG126">
        <f t="shared" si="30"/>
        <v>0</v>
      </c>
      <c r="CH126">
        <f t="shared" si="30"/>
        <v>0</v>
      </c>
      <c r="CI126">
        <f t="shared" si="30"/>
        <v>0</v>
      </c>
      <c r="CJ126">
        <f t="shared" si="30"/>
        <v>0</v>
      </c>
      <c r="CK126">
        <f t="shared" si="30"/>
        <v>0</v>
      </c>
      <c r="CL126">
        <f t="shared" si="30"/>
        <v>0</v>
      </c>
      <c r="CM126">
        <f t="shared" si="30"/>
        <v>0</v>
      </c>
      <c r="CN126">
        <f t="shared" si="30"/>
        <v>0</v>
      </c>
      <c r="CO126">
        <f t="shared" si="30"/>
        <v>0</v>
      </c>
      <c r="CP126">
        <f t="shared" si="30"/>
        <v>0</v>
      </c>
      <c r="CQ126">
        <f t="shared" si="30"/>
        <v>0</v>
      </c>
      <c r="CR126">
        <f t="shared" si="30"/>
        <v>0</v>
      </c>
      <c r="CS126">
        <f t="shared" si="30"/>
        <v>0</v>
      </c>
      <c r="CT126">
        <f t="shared" si="30"/>
        <v>0</v>
      </c>
      <c r="CU126">
        <f t="shared" si="30"/>
        <v>0</v>
      </c>
      <c r="CV126">
        <f t="shared" si="30"/>
        <v>0</v>
      </c>
      <c r="CW126">
        <f t="shared" si="30"/>
        <v>0</v>
      </c>
      <c r="CX126">
        <f t="shared" si="30"/>
        <v>0</v>
      </c>
      <c r="CY126">
        <f t="shared" si="30"/>
        <v>0</v>
      </c>
      <c r="CZ126">
        <f t="shared" si="30"/>
        <v>0</v>
      </c>
      <c r="DA126">
        <f t="shared" si="30"/>
        <v>0</v>
      </c>
      <c r="DB126">
        <f t="shared" si="30"/>
        <v>0</v>
      </c>
      <c r="DC126">
        <f t="shared" si="30"/>
        <v>0</v>
      </c>
      <c r="DD126">
        <f t="shared" si="30"/>
        <v>0</v>
      </c>
      <c r="DE126">
        <f t="shared" si="30"/>
        <v>0</v>
      </c>
      <c r="DF126">
        <f t="shared" si="30"/>
        <v>0</v>
      </c>
      <c r="DG126">
        <f t="shared" si="30"/>
        <v>0</v>
      </c>
      <c r="DH126">
        <f t="shared" si="30"/>
        <v>0</v>
      </c>
      <c r="DI126">
        <f t="shared" si="30"/>
        <v>0</v>
      </c>
      <c r="DJ126">
        <f t="shared" si="30"/>
        <v>0</v>
      </c>
      <c r="DK126">
        <f t="shared" si="30"/>
        <v>0</v>
      </c>
      <c r="DL126">
        <f t="shared" si="30"/>
        <v>0</v>
      </c>
      <c r="DM126">
        <f t="shared" si="30"/>
        <v>0</v>
      </c>
      <c r="DN126">
        <f t="shared" si="30"/>
        <v>0</v>
      </c>
      <c r="DO126">
        <f t="shared" si="30"/>
        <v>0</v>
      </c>
      <c r="DP126">
        <f t="shared" si="30"/>
        <v>0</v>
      </c>
      <c r="DQ126">
        <f t="shared" si="30"/>
        <v>0</v>
      </c>
      <c r="DR126">
        <f t="shared" si="30"/>
        <v>0</v>
      </c>
      <c r="DS126">
        <f t="shared" si="30"/>
        <v>0</v>
      </c>
      <c r="DT126">
        <f t="shared" si="30"/>
        <v>0</v>
      </c>
      <c r="DU126">
        <f t="shared" si="30"/>
        <v>0</v>
      </c>
      <c r="DV126">
        <f t="shared" si="30"/>
        <v>0</v>
      </c>
      <c r="DW126">
        <f t="shared" si="30"/>
        <v>0</v>
      </c>
      <c r="DX126">
        <f t="shared" si="30"/>
        <v>0</v>
      </c>
      <c r="DY126">
        <f t="shared" si="30"/>
        <v>0</v>
      </c>
      <c r="DZ126">
        <f t="shared" si="30"/>
        <v>0</v>
      </c>
      <c r="EA126">
        <f t="shared" si="30"/>
        <v>0</v>
      </c>
      <c r="EB126">
        <f t="shared" si="30"/>
        <v>0</v>
      </c>
      <c r="EC126">
        <f t="shared" si="30"/>
        <v>0</v>
      </c>
      <c r="ED126">
        <f t="shared" si="30"/>
        <v>0</v>
      </c>
      <c r="EE126">
        <f t="shared" si="30"/>
        <v>0</v>
      </c>
      <c r="EF126">
        <f t="shared" si="30"/>
        <v>0</v>
      </c>
      <c r="EG126">
        <f t="shared" si="30"/>
        <v>0</v>
      </c>
      <c r="EH126">
        <f t="shared" si="30"/>
        <v>0</v>
      </c>
      <c r="EI126">
        <f t="shared" si="30"/>
        <v>0</v>
      </c>
      <c r="EJ126">
        <f t="shared" si="30"/>
        <v>0</v>
      </c>
      <c r="EK126">
        <f t="shared" si="30"/>
        <v>0</v>
      </c>
      <c r="EL126">
        <f t="shared" si="30"/>
        <v>0</v>
      </c>
      <c r="EM126">
        <f t="shared" si="30"/>
        <v>0</v>
      </c>
      <c r="EN126">
        <f t="shared" si="30"/>
        <v>0</v>
      </c>
      <c r="EO126">
        <f t="shared" si="30"/>
        <v>0</v>
      </c>
      <c r="EP126">
        <f t="shared" si="30"/>
        <v>0</v>
      </c>
      <c r="EQ126">
        <f t="shared" si="30"/>
        <v>0</v>
      </c>
      <c r="ER126">
        <f t="shared" si="30"/>
        <v>0</v>
      </c>
      <c r="ES126">
        <f t="shared" si="30"/>
        <v>0</v>
      </c>
      <c r="ET126">
        <f t="shared" si="30"/>
        <v>0</v>
      </c>
      <c r="EU126">
        <f t="shared" si="30"/>
        <v>0</v>
      </c>
      <c r="EV126">
        <f t="shared" si="30"/>
        <v>0</v>
      </c>
      <c r="EW126">
        <f t="shared" si="30"/>
        <v>0</v>
      </c>
      <c r="EX126">
        <f t="shared" si="30"/>
        <v>0</v>
      </c>
      <c r="EY126">
        <f t="shared" si="30"/>
        <v>0</v>
      </c>
      <c r="EZ126">
        <f t="shared" si="30"/>
        <v>0</v>
      </c>
      <c r="FA126">
        <f t="shared" si="30"/>
        <v>7542</v>
      </c>
      <c r="FB126">
        <f t="shared" si="31" ref="FB126:FK126">SUM(FB24:FB125)</f>
        <v>0</v>
      </c>
      <c r="FC126">
        <f t="shared" si="31"/>
        <v>131597</v>
      </c>
      <c r="FD126">
        <f t="shared" si="31"/>
        <v>122173</v>
      </c>
      <c r="FE126">
        <f t="shared" si="31"/>
        <v>129715</v>
      </c>
      <c r="FF126">
        <f t="shared" si="31"/>
        <v>122173</v>
      </c>
      <c r="FH126">
        <f t="shared" si="31"/>
        <v>0</v>
      </c>
      <c r="FI126">
        <f t="shared" si="31"/>
        <v>0</v>
      </c>
      <c r="FK126">
        <f t="shared" si="31"/>
        <v>0</v>
      </c>
    </row>
    <row r="127" ht="15" customHeight="1">
      <c r="B127" t="s">
        <v>2945</v>
      </c>
      <c r="E127">
        <f t="shared" si="32" ref="E127:N127">COUNTA(E24:E125)</f>
        <v>101</v>
      </c>
      <c r="H127">
        <f t="shared" si="32"/>
        <v>96</v>
      </c>
      <c r="I127">
        <f>MAX(SUMPRODUCT(--(ABS(I24:I125)&lt;&gt;0))-1,0)</f>
        <v>0</v>
      </c>
      <c r="J127">
        <f>COUNTA(J24:J125)-COUNTIF(J24:J125,"")</f>
        <v>96</v>
      </c>
      <c r="K127">
        <f t="shared" si="32"/>
        <v>0</v>
      </c>
      <c r="L127">
        <f t="shared" si="32"/>
        <v>0</v>
      </c>
      <c r="M127">
        <f t="shared" si="32"/>
        <v>0</v>
      </c>
      <c r="N127">
        <f t="shared" si="32"/>
        <v>0</v>
      </c>
      <c r="Q127">
        <f t="shared" si="33" ref="Q127:EZ127">COUNT(Q24:Q125)</f>
        <v>32</v>
      </c>
      <c r="R127">
        <f t="shared" si="33"/>
        <v>28</v>
      </c>
      <c r="S127">
        <f t="shared" si="33"/>
        <v>15</v>
      </c>
      <c r="T127">
        <f t="shared" si="33"/>
        <v>20</v>
      </c>
      <c r="U127">
        <f t="shared" si="33"/>
        <v>1</v>
      </c>
      <c r="V127">
        <f t="shared" si="33"/>
        <v>0</v>
      </c>
      <c r="W127">
        <f t="shared" si="33"/>
        <v>0</v>
      </c>
      <c r="X127">
        <f t="shared" si="33"/>
        <v>0</v>
      </c>
      <c r="Y127">
        <f t="shared" si="33"/>
        <v>0</v>
      </c>
      <c r="Z127">
        <f t="shared" si="33"/>
        <v>0</v>
      </c>
      <c r="AA127">
        <f t="shared" si="33"/>
        <v>0</v>
      </c>
      <c r="AB127">
        <f t="shared" si="33"/>
        <v>0</v>
      </c>
      <c r="AC127">
        <f t="shared" si="33"/>
        <v>0</v>
      </c>
      <c r="AD127">
        <f t="shared" si="33"/>
        <v>0</v>
      </c>
      <c r="AE127">
        <f t="shared" si="33"/>
        <v>0</v>
      </c>
      <c r="AF127">
        <f t="shared" si="33"/>
        <v>0</v>
      </c>
      <c r="AG127">
        <f t="shared" si="33"/>
        <v>0</v>
      </c>
      <c r="AH127">
        <f t="shared" si="33"/>
        <v>0</v>
      </c>
      <c r="AI127">
        <f t="shared" si="33"/>
        <v>0</v>
      </c>
      <c r="AJ127">
        <f t="shared" si="33"/>
        <v>0</v>
      </c>
      <c r="AK127">
        <f t="shared" si="33"/>
        <v>0</v>
      </c>
      <c r="AL127">
        <f t="shared" si="33"/>
        <v>0</v>
      </c>
      <c r="AM127">
        <f t="shared" si="33"/>
        <v>0</v>
      </c>
      <c r="AN127">
        <f t="shared" si="33"/>
        <v>0</v>
      </c>
      <c r="AO127">
        <f t="shared" si="33"/>
        <v>0</v>
      </c>
      <c r="AP127">
        <f t="shared" si="33"/>
        <v>0</v>
      </c>
      <c r="AQ127">
        <f t="shared" si="33"/>
        <v>0</v>
      </c>
      <c r="AR127">
        <f t="shared" si="33"/>
        <v>0</v>
      </c>
      <c r="AS127">
        <f t="shared" si="33"/>
        <v>0</v>
      </c>
      <c r="AT127">
        <f t="shared" si="33"/>
        <v>0</v>
      </c>
      <c r="AU127">
        <f t="shared" si="33"/>
        <v>0</v>
      </c>
      <c r="AV127">
        <f t="shared" si="33"/>
        <v>0</v>
      </c>
      <c r="AW127">
        <f t="shared" si="33"/>
        <v>0</v>
      </c>
      <c r="AX127">
        <f t="shared" si="33"/>
        <v>0</v>
      </c>
      <c r="AY127">
        <f t="shared" si="33"/>
        <v>0</v>
      </c>
      <c r="AZ127">
        <f t="shared" si="33"/>
        <v>0</v>
      </c>
      <c r="BA127">
        <f t="shared" si="33"/>
        <v>0</v>
      </c>
      <c r="BB127">
        <f t="shared" si="33"/>
        <v>0</v>
      </c>
      <c r="BC127">
        <f t="shared" si="33"/>
        <v>0</v>
      </c>
      <c r="BD127">
        <f t="shared" si="33"/>
        <v>0</v>
      </c>
      <c r="BE127">
        <f t="shared" si="33"/>
        <v>0</v>
      </c>
      <c r="BF127">
        <f t="shared" si="33"/>
        <v>0</v>
      </c>
      <c r="BG127">
        <f t="shared" si="33"/>
        <v>0</v>
      </c>
      <c r="BH127">
        <f t="shared" si="33"/>
        <v>0</v>
      </c>
      <c r="BI127">
        <f t="shared" si="33"/>
        <v>0</v>
      </c>
      <c r="BJ127">
        <f t="shared" si="33"/>
        <v>0</v>
      </c>
      <c r="BK127">
        <f t="shared" si="33"/>
        <v>0</v>
      </c>
      <c r="BL127">
        <f t="shared" si="33"/>
        <v>0</v>
      </c>
      <c r="BM127">
        <f t="shared" si="33"/>
        <v>0</v>
      </c>
      <c r="BN127">
        <f t="shared" si="33"/>
        <v>0</v>
      </c>
      <c r="BO127">
        <f t="shared" si="33"/>
        <v>0</v>
      </c>
      <c r="BP127">
        <f t="shared" si="33"/>
        <v>0</v>
      </c>
      <c r="BQ127">
        <f t="shared" si="33"/>
        <v>0</v>
      </c>
      <c r="BR127">
        <f t="shared" si="33"/>
        <v>0</v>
      </c>
      <c r="BS127">
        <f t="shared" si="33"/>
        <v>0</v>
      </c>
      <c r="BT127">
        <f t="shared" si="33"/>
        <v>0</v>
      </c>
      <c r="BU127">
        <f t="shared" si="33"/>
        <v>0</v>
      </c>
      <c r="BV127">
        <f t="shared" si="33"/>
        <v>0</v>
      </c>
      <c r="BW127">
        <f t="shared" si="33"/>
        <v>0</v>
      </c>
      <c r="BX127">
        <f t="shared" si="33"/>
        <v>0</v>
      </c>
      <c r="BY127">
        <f t="shared" si="33"/>
        <v>0</v>
      </c>
      <c r="BZ127">
        <f t="shared" si="33"/>
        <v>0</v>
      </c>
      <c r="CA127">
        <f t="shared" si="33"/>
        <v>0</v>
      </c>
      <c r="CB127">
        <f t="shared" si="33"/>
        <v>0</v>
      </c>
      <c r="CC127">
        <f t="shared" si="33"/>
        <v>0</v>
      </c>
      <c r="CD127">
        <f t="shared" si="33"/>
        <v>0</v>
      </c>
      <c r="CE127">
        <f t="shared" si="33"/>
        <v>0</v>
      </c>
      <c r="CF127">
        <f t="shared" si="33"/>
        <v>0</v>
      </c>
      <c r="CG127">
        <f t="shared" si="33"/>
        <v>0</v>
      </c>
      <c r="CH127">
        <f t="shared" si="33"/>
        <v>0</v>
      </c>
      <c r="CI127">
        <f t="shared" si="33"/>
        <v>0</v>
      </c>
      <c r="CJ127">
        <f t="shared" si="33"/>
        <v>0</v>
      </c>
      <c r="CK127">
        <f t="shared" si="33"/>
        <v>0</v>
      </c>
      <c r="CL127">
        <f t="shared" si="33"/>
        <v>0</v>
      </c>
      <c r="CM127">
        <f t="shared" si="33"/>
        <v>0</v>
      </c>
      <c r="CN127">
        <f t="shared" si="33"/>
        <v>0</v>
      </c>
      <c r="CO127">
        <f t="shared" si="33"/>
        <v>0</v>
      </c>
      <c r="CP127">
        <f t="shared" si="33"/>
        <v>0</v>
      </c>
      <c r="CQ127">
        <f t="shared" si="33"/>
        <v>0</v>
      </c>
      <c r="CR127">
        <f t="shared" si="33"/>
        <v>0</v>
      </c>
      <c r="CS127">
        <f t="shared" si="33"/>
        <v>0</v>
      </c>
      <c r="CT127">
        <f t="shared" si="33"/>
        <v>0</v>
      </c>
      <c r="CU127">
        <f t="shared" si="33"/>
        <v>0</v>
      </c>
      <c r="CV127">
        <f t="shared" si="33"/>
        <v>0</v>
      </c>
      <c r="CW127">
        <f t="shared" si="33"/>
        <v>0</v>
      </c>
      <c r="CX127">
        <f t="shared" si="33"/>
        <v>0</v>
      </c>
      <c r="CY127">
        <f t="shared" si="33"/>
        <v>0</v>
      </c>
      <c r="CZ127">
        <f t="shared" si="33"/>
        <v>0</v>
      </c>
      <c r="DA127">
        <f t="shared" si="33"/>
        <v>0</v>
      </c>
      <c r="DB127">
        <f t="shared" si="33"/>
        <v>0</v>
      </c>
      <c r="DC127">
        <f t="shared" si="33"/>
        <v>0</v>
      </c>
      <c r="DD127">
        <f t="shared" si="33"/>
        <v>0</v>
      </c>
      <c r="DE127">
        <f t="shared" si="33"/>
        <v>0</v>
      </c>
      <c r="DF127">
        <f t="shared" si="33"/>
        <v>0</v>
      </c>
      <c r="DG127">
        <f t="shared" si="33"/>
        <v>0</v>
      </c>
      <c r="DH127">
        <f t="shared" si="33"/>
        <v>0</v>
      </c>
      <c r="DI127">
        <f t="shared" si="33"/>
        <v>0</v>
      </c>
      <c r="DJ127">
        <f t="shared" si="33"/>
        <v>0</v>
      </c>
      <c r="DK127">
        <f t="shared" si="33"/>
        <v>0</v>
      </c>
      <c r="DL127">
        <f t="shared" si="33"/>
        <v>0</v>
      </c>
      <c r="DM127">
        <f t="shared" si="33"/>
        <v>0</v>
      </c>
      <c r="DN127">
        <f t="shared" si="33"/>
        <v>0</v>
      </c>
      <c r="DO127">
        <f t="shared" si="33"/>
        <v>0</v>
      </c>
      <c r="DP127">
        <f t="shared" si="33"/>
        <v>0</v>
      </c>
      <c r="DQ127">
        <f t="shared" si="33"/>
        <v>0</v>
      </c>
      <c r="DR127">
        <f t="shared" si="33"/>
        <v>0</v>
      </c>
      <c r="DS127">
        <f t="shared" si="33"/>
        <v>0</v>
      </c>
      <c r="DT127">
        <f t="shared" si="33"/>
        <v>0</v>
      </c>
      <c r="DU127">
        <f t="shared" si="33"/>
        <v>0</v>
      </c>
      <c r="DV127">
        <f t="shared" si="33"/>
        <v>0</v>
      </c>
      <c r="DW127">
        <f t="shared" si="33"/>
        <v>0</v>
      </c>
      <c r="DX127">
        <f t="shared" si="33"/>
        <v>0</v>
      </c>
      <c r="DY127">
        <f t="shared" si="33"/>
        <v>0</v>
      </c>
      <c r="DZ127">
        <f t="shared" si="33"/>
        <v>0</v>
      </c>
      <c r="EA127">
        <f t="shared" si="33"/>
        <v>0</v>
      </c>
      <c r="EB127">
        <f t="shared" si="33"/>
        <v>0</v>
      </c>
      <c r="EC127">
        <f t="shared" si="33"/>
        <v>0</v>
      </c>
      <c r="ED127">
        <f t="shared" si="33"/>
        <v>0</v>
      </c>
      <c r="EE127">
        <f t="shared" si="33"/>
        <v>0</v>
      </c>
      <c r="EF127">
        <f t="shared" si="33"/>
        <v>0</v>
      </c>
      <c r="EG127">
        <f t="shared" si="33"/>
        <v>0</v>
      </c>
      <c r="EH127">
        <f t="shared" si="33"/>
        <v>0</v>
      </c>
      <c r="EI127">
        <f t="shared" si="33"/>
        <v>0</v>
      </c>
      <c r="EJ127">
        <f t="shared" si="33"/>
        <v>0</v>
      </c>
      <c r="EK127">
        <f t="shared" si="33"/>
        <v>0</v>
      </c>
      <c r="EL127">
        <f t="shared" si="33"/>
        <v>0</v>
      </c>
      <c r="EM127">
        <f t="shared" si="33"/>
        <v>0</v>
      </c>
      <c r="EN127">
        <f t="shared" si="33"/>
        <v>0</v>
      </c>
      <c r="EO127">
        <f t="shared" si="33"/>
        <v>0</v>
      </c>
      <c r="EP127">
        <f t="shared" si="33"/>
        <v>0</v>
      </c>
      <c r="EQ127">
        <f t="shared" si="33"/>
        <v>0</v>
      </c>
      <c r="ER127">
        <f t="shared" si="33"/>
        <v>0</v>
      </c>
      <c r="ES127">
        <f t="shared" si="33"/>
        <v>0</v>
      </c>
      <c r="ET127">
        <f t="shared" si="33"/>
        <v>0</v>
      </c>
      <c r="EU127">
        <f t="shared" si="33"/>
        <v>0</v>
      </c>
      <c r="EV127">
        <f t="shared" si="33"/>
        <v>0</v>
      </c>
      <c r="EW127">
        <f t="shared" si="33"/>
        <v>0</v>
      </c>
      <c r="EX127">
        <f t="shared" si="33"/>
        <v>0</v>
      </c>
      <c r="EY127">
        <f t="shared" si="33"/>
        <v>0</v>
      </c>
      <c r="EZ127">
        <f t="shared" si="33"/>
        <v>0</v>
      </c>
      <c r="FA127">
        <f t="shared" si="35" ref="FA127:FA128">SUM(Q127:CP127)</f>
        <v>96</v>
      </c>
    </row>
    <row r="128" ht="15" customHeight="1">
      <c r="B128" t="s">
        <v>2946</v>
      </c>
      <c r="Q128">
        <f t="shared" si="34" ref="Q128:EZ128">COUNTIF($G$23:$G$125,Q$20)-Q127</f>
        <v>0</v>
      </c>
      <c r="R128">
        <f t="shared" si="34"/>
        <v>0</v>
      </c>
      <c r="S128">
        <f t="shared" si="34"/>
        <v>1</v>
      </c>
      <c r="T128">
        <f t="shared" si="34"/>
        <v>4</v>
      </c>
      <c r="U128">
        <f t="shared" si="34"/>
        <v>0</v>
      </c>
      <c r="V128">
        <f t="shared" si="34"/>
        <v>0</v>
      </c>
      <c r="W128">
        <f t="shared" si="34"/>
        <v>0</v>
      </c>
      <c r="X128">
        <f t="shared" si="34"/>
        <v>0</v>
      </c>
      <c r="Y128">
        <f t="shared" si="34"/>
        <v>0</v>
      </c>
      <c r="Z128">
        <f t="shared" si="34"/>
        <v>0</v>
      </c>
      <c r="AA128">
        <f t="shared" si="34"/>
        <v>0</v>
      </c>
      <c r="AB128">
        <f t="shared" si="34"/>
        <v>0</v>
      </c>
      <c r="AC128">
        <f t="shared" si="34"/>
        <v>0</v>
      </c>
      <c r="AD128">
        <f t="shared" si="34"/>
        <v>0</v>
      </c>
      <c r="AE128">
        <f t="shared" si="34"/>
        <v>0</v>
      </c>
      <c r="AF128">
        <f t="shared" si="34"/>
        <v>0</v>
      </c>
      <c r="AG128">
        <f t="shared" si="34"/>
        <v>0</v>
      </c>
      <c r="AH128">
        <f t="shared" si="34"/>
        <v>0</v>
      </c>
      <c r="AI128">
        <f t="shared" si="34"/>
        <v>0</v>
      </c>
      <c r="AJ128">
        <f t="shared" si="34"/>
        <v>0</v>
      </c>
      <c r="AK128">
        <f t="shared" si="34"/>
        <v>0</v>
      </c>
      <c r="AL128">
        <f t="shared" si="34"/>
        <v>0</v>
      </c>
      <c r="AM128">
        <f t="shared" si="34"/>
        <v>0</v>
      </c>
      <c r="AN128">
        <f t="shared" si="34"/>
        <v>0</v>
      </c>
      <c r="AO128">
        <f t="shared" si="34"/>
        <v>0</v>
      </c>
      <c r="AP128">
        <f t="shared" si="34"/>
        <v>0</v>
      </c>
      <c r="AQ128">
        <f t="shared" si="34"/>
        <v>0</v>
      </c>
      <c r="AR128">
        <f t="shared" si="34"/>
        <v>0</v>
      </c>
      <c r="AS128">
        <f t="shared" si="34"/>
        <v>0</v>
      </c>
      <c r="AT128">
        <f t="shared" si="34"/>
        <v>0</v>
      </c>
      <c r="AU128">
        <f t="shared" si="34"/>
        <v>0</v>
      </c>
      <c r="AV128">
        <f t="shared" si="34"/>
        <v>0</v>
      </c>
      <c r="AW128">
        <f t="shared" si="34"/>
        <v>0</v>
      </c>
      <c r="AX128">
        <f t="shared" si="34"/>
        <v>0</v>
      </c>
      <c r="AY128">
        <f t="shared" si="34"/>
        <v>0</v>
      </c>
      <c r="AZ128">
        <f t="shared" si="34"/>
        <v>0</v>
      </c>
      <c r="BA128">
        <f t="shared" si="34"/>
        <v>0</v>
      </c>
      <c r="BB128">
        <f t="shared" si="34"/>
        <v>0</v>
      </c>
      <c r="BC128">
        <f t="shared" si="34"/>
        <v>0</v>
      </c>
      <c r="BD128">
        <f t="shared" si="34"/>
        <v>0</v>
      </c>
      <c r="BE128">
        <f t="shared" si="34"/>
        <v>0</v>
      </c>
      <c r="BF128">
        <f t="shared" si="34"/>
        <v>0</v>
      </c>
      <c r="BG128">
        <f t="shared" si="34"/>
        <v>0</v>
      </c>
      <c r="BH128">
        <f t="shared" si="34"/>
        <v>0</v>
      </c>
      <c r="BI128">
        <f t="shared" si="34"/>
        <v>0</v>
      </c>
      <c r="BJ128">
        <f t="shared" si="34"/>
        <v>0</v>
      </c>
      <c r="BK128">
        <f t="shared" si="34"/>
        <v>0</v>
      </c>
      <c r="BL128">
        <f t="shared" si="34"/>
        <v>0</v>
      </c>
      <c r="BM128">
        <f t="shared" si="34"/>
        <v>0</v>
      </c>
      <c r="BN128">
        <f t="shared" si="34"/>
        <v>0</v>
      </c>
      <c r="BO128">
        <f t="shared" si="34"/>
        <v>0</v>
      </c>
      <c r="BP128">
        <f t="shared" si="34"/>
        <v>0</v>
      </c>
      <c r="BQ128">
        <f t="shared" si="34"/>
        <v>0</v>
      </c>
      <c r="BR128">
        <f t="shared" si="34"/>
        <v>0</v>
      </c>
      <c r="BS128">
        <f t="shared" si="34"/>
        <v>0</v>
      </c>
      <c r="BT128">
        <f t="shared" si="34"/>
        <v>0</v>
      </c>
      <c r="BU128">
        <f t="shared" si="34"/>
        <v>0</v>
      </c>
      <c r="BV128">
        <f t="shared" si="34"/>
        <v>0</v>
      </c>
      <c r="BW128">
        <f t="shared" si="34"/>
        <v>0</v>
      </c>
      <c r="BX128">
        <f t="shared" si="34"/>
        <v>0</v>
      </c>
      <c r="BY128">
        <f t="shared" si="34"/>
        <v>0</v>
      </c>
      <c r="BZ128">
        <f t="shared" si="34"/>
        <v>0</v>
      </c>
      <c r="CA128">
        <f t="shared" si="34"/>
        <v>0</v>
      </c>
      <c r="CB128">
        <f t="shared" si="34"/>
        <v>0</v>
      </c>
      <c r="CC128">
        <f t="shared" si="34"/>
        <v>0</v>
      </c>
      <c r="CD128">
        <f t="shared" si="34"/>
        <v>0</v>
      </c>
      <c r="CE128">
        <f t="shared" si="34"/>
        <v>0</v>
      </c>
      <c r="CF128">
        <f t="shared" si="34"/>
        <v>0</v>
      </c>
      <c r="CG128">
        <f t="shared" si="34"/>
        <v>0</v>
      </c>
      <c r="CH128">
        <f t="shared" si="34"/>
        <v>0</v>
      </c>
      <c r="CI128">
        <f t="shared" si="34"/>
        <v>0</v>
      </c>
      <c r="CJ128">
        <f t="shared" si="34"/>
        <v>0</v>
      </c>
      <c r="CK128">
        <f t="shared" si="34"/>
        <v>0</v>
      </c>
      <c r="CL128">
        <f t="shared" si="34"/>
        <v>0</v>
      </c>
      <c r="CM128">
        <f t="shared" si="34"/>
        <v>0</v>
      </c>
      <c r="CN128">
        <f t="shared" si="34"/>
        <v>0</v>
      </c>
      <c r="CO128">
        <f t="shared" si="34"/>
        <v>0</v>
      </c>
      <c r="CP128">
        <f t="shared" si="34"/>
        <v>0</v>
      </c>
      <c r="CQ128">
        <f t="shared" si="34"/>
        <v>0</v>
      </c>
      <c r="CR128">
        <f t="shared" si="34"/>
        <v>0</v>
      </c>
      <c r="CS128">
        <f t="shared" si="34"/>
        <v>0</v>
      </c>
      <c r="CT128">
        <f t="shared" si="34"/>
        <v>0</v>
      </c>
      <c r="CU128">
        <f t="shared" si="34"/>
        <v>0</v>
      </c>
      <c r="CV128">
        <f t="shared" si="34"/>
        <v>0</v>
      </c>
      <c r="CW128">
        <f t="shared" si="34"/>
        <v>0</v>
      </c>
      <c r="CX128">
        <f t="shared" si="34"/>
        <v>0</v>
      </c>
      <c r="CY128">
        <f t="shared" si="34"/>
        <v>0</v>
      </c>
      <c r="CZ128">
        <f t="shared" si="34"/>
        <v>0</v>
      </c>
      <c r="DA128">
        <f t="shared" si="34"/>
        <v>0</v>
      </c>
      <c r="DB128">
        <f t="shared" si="34"/>
        <v>0</v>
      </c>
      <c r="DC128">
        <f t="shared" si="34"/>
        <v>0</v>
      </c>
      <c r="DD128">
        <f t="shared" si="34"/>
        <v>0</v>
      </c>
      <c r="DE128">
        <f t="shared" si="34"/>
        <v>0</v>
      </c>
      <c r="DF128">
        <f t="shared" si="34"/>
        <v>0</v>
      </c>
      <c r="DG128">
        <f t="shared" si="34"/>
        <v>0</v>
      </c>
      <c r="DH128">
        <f t="shared" si="34"/>
        <v>0</v>
      </c>
      <c r="DI128">
        <f t="shared" si="34"/>
        <v>0</v>
      </c>
      <c r="DJ128">
        <f t="shared" si="34"/>
        <v>0</v>
      </c>
      <c r="DK128">
        <f t="shared" si="34"/>
        <v>0</v>
      </c>
      <c r="DL128">
        <f t="shared" si="34"/>
        <v>0</v>
      </c>
      <c r="DM128">
        <f t="shared" si="34"/>
        <v>0</v>
      </c>
      <c r="DN128">
        <f t="shared" si="34"/>
        <v>0</v>
      </c>
      <c r="DO128">
        <f t="shared" si="34"/>
        <v>0</v>
      </c>
      <c r="DP128">
        <f t="shared" si="34"/>
        <v>0</v>
      </c>
      <c r="DQ128">
        <f t="shared" si="34"/>
        <v>0</v>
      </c>
      <c r="DR128">
        <f t="shared" si="34"/>
        <v>0</v>
      </c>
      <c r="DS128">
        <f t="shared" si="34"/>
        <v>0</v>
      </c>
      <c r="DT128">
        <f t="shared" si="34"/>
        <v>0</v>
      </c>
      <c r="DU128">
        <f t="shared" si="34"/>
        <v>0</v>
      </c>
      <c r="DV128">
        <f t="shared" si="34"/>
        <v>0</v>
      </c>
      <c r="DW128">
        <f t="shared" si="34"/>
        <v>0</v>
      </c>
      <c r="DX128">
        <f t="shared" si="34"/>
        <v>0</v>
      </c>
      <c r="DY128">
        <f t="shared" si="34"/>
        <v>0</v>
      </c>
      <c r="DZ128">
        <f t="shared" si="34"/>
        <v>0</v>
      </c>
      <c r="EA128">
        <f t="shared" si="34"/>
        <v>0</v>
      </c>
      <c r="EB128">
        <f t="shared" si="34"/>
        <v>0</v>
      </c>
      <c r="EC128">
        <f t="shared" si="34"/>
        <v>0</v>
      </c>
      <c r="ED128">
        <f t="shared" si="34"/>
        <v>0</v>
      </c>
      <c r="EE128">
        <f t="shared" si="34"/>
        <v>0</v>
      </c>
      <c r="EF128">
        <f t="shared" si="34"/>
        <v>0</v>
      </c>
      <c r="EG128">
        <f t="shared" si="34"/>
        <v>0</v>
      </c>
      <c r="EH128">
        <f t="shared" si="34"/>
        <v>0</v>
      </c>
      <c r="EI128">
        <f t="shared" si="34"/>
        <v>0</v>
      </c>
      <c r="EJ128">
        <f t="shared" si="34"/>
        <v>0</v>
      </c>
      <c r="EK128">
        <f t="shared" si="34"/>
        <v>0</v>
      </c>
      <c r="EL128">
        <f t="shared" si="34"/>
        <v>0</v>
      </c>
      <c r="EM128">
        <f t="shared" si="34"/>
        <v>0</v>
      </c>
      <c r="EN128">
        <f t="shared" si="34"/>
        <v>0</v>
      </c>
      <c r="EO128">
        <f t="shared" si="34"/>
        <v>0</v>
      </c>
      <c r="EP128">
        <f t="shared" si="34"/>
        <v>0</v>
      </c>
      <c r="EQ128">
        <f t="shared" si="34"/>
        <v>0</v>
      </c>
      <c r="ER128">
        <f t="shared" si="34"/>
        <v>0</v>
      </c>
      <c r="ES128">
        <f t="shared" si="34"/>
        <v>0</v>
      </c>
      <c r="ET128">
        <f t="shared" si="34"/>
        <v>0</v>
      </c>
      <c r="EU128">
        <f t="shared" si="34"/>
        <v>0</v>
      </c>
      <c r="EV128">
        <f t="shared" si="34"/>
        <v>0</v>
      </c>
      <c r="EW128">
        <f t="shared" si="34"/>
        <v>0</v>
      </c>
      <c r="EX128">
        <f t="shared" si="34"/>
        <v>0</v>
      </c>
      <c r="EY128">
        <f t="shared" si="34"/>
        <v>0</v>
      </c>
      <c r="EZ128">
        <f t="shared" si="34"/>
        <v>0</v>
      </c>
      <c r="FA128">
        <f t="shared" si="35"/>
        <v>5</v>
      </c>
    </row>
    <row r="129" ht="15" customHeight="1">
      <c r="B129" t="s">
        <v>2947</v>
      </c>
      <c r="Q129">
        <f t="shared" si="36" ref="Q129:EZ129">IF($D$141&gt;0,COUNTIF($G$23:$G$125,Q$20)/$D$141,0)</f>
        <v>0.31683168316831684</v>
      </c>
      <c r="R129">
        <f t="shared" si="36"/>
        <v>0.27722772277227725</v>
      </c>
      <c r="S129">
        <f t="shared" si="36"/>
        <v>0.15841584158415842</v>
      </c>
      <c r="T129">
        <f t="shared" si="36"/>
        <v>0.2376237623762376</v>
      </c>
      <c r="U129">
        <f t="shared" si="36"/>
        <v>0.009900990099009901</v>
      </c>
      <c r="V129">
        <f t="shared" si="36"/>
        <v>0</v>
      </c>
      <c r="W129">
        <f t="shared" si="36"/>
        <v>0</v>
      </c>
      <c r="X129">
        <f t="shared" si="36"/>
        <v>0</v>
      </c>
      <c r="Y129">
        <f t="shared" si="36"/>
        <v>0</v>
      </c>
      <c r="Z129">
        <f t="shared" si="36"/>
        <v>0</v>
      </c>
      <c r="AA129">
        <f t="shared" si="36"/>
        <v>0</v>
      </c>
      <c r="AB129">
        <f t="shared" si="36"/>
        <v>0</v>
      </c>
      <c r="AC129">
        <f t="shared" si="36"/>
        <v>0</v>
      </c>
      <c r="AD129">
        <f t="shared" si="36"/>
        <v>0</v>
      </c>
      <c r="AE129">
        <f t="shared" si="36"/>
        <v>0</v>
      </c>
      <c r="AF129">
        <f t="shared" si="36"/>
        <v>0</v>
      </c>
      <c r="AG129">
        <f t="shared" si="36"/>
        <v>0</v>
      </c>
      <c r="AH129">
        <f t="shared" si="36"/>
        <v>0</v>
      </c>
      <c r="AI129">
        <f t="shared" si="36"/>
        <v>0</v>
      </c>
      <c r="AJ129">
        <f t="shared" si="36"/>
        <v>0</v>
      </c>
      <c r="AK129">
        <f t="shared" si="36"/>
        <v>0</v>
      </c>
      <c r="AL129">
        <f t="shared" si="36"/>
        <v>0</v>
      </c>
      <c r="AM129">
        <f t="shared" si="36"/>
        <v>0</v>
      </c>
      <c r="AN129">
        <f t="shared" si="36"/>
        <v>0</v>
      </c>
      <c r="AO129">
        <f t="shared" si="36"/>
        <v>0</v>
      </c>
      <c r="AP129">
        <f t="shared" si="36"/>
        <v>0</v>
      </c>
      <c r="AQ129">
        <f t="shared" si="36"/>
        <v>0</v>
      </c>
      <c r="AR129">
        <f t="shared" si="36"/>
        <v>0</v>
      </c>
      <c r="AS129">
        <f t="shared" si="36"/>
        <v>0</v>
      </c>
      <c r="AT129">
        <f t="shared" si="36"/>
        <v>0</v>
      </c>
      <c r="AU129">
        <f t="shared" si="36"/>
        <v>0</v>
      </c>
      <c r="AV129">
        <f t="shared" si="36"/>
        <v>0</v>
      </c>
      <c r="AW129">
        <f t="shared" si="36"/>
        <v>0</v>
      </c>
      <c r="AX129">
        <f t="shared" si="36"/>
        <v>0</v>
      </c>
      <c r="AY129">
        <f t="shared" si="36"/>
        <v>0</v>
      </c>
      <c r="AZ129">
        <f t="shared" si="36"/>
        <v>0</v>
      </c>
      <c r="BA129">
        <f t="shared" si="36"/>
        <v>0</v>
      </c>
      <c r="BB129">
        <f t="shared" si="36"/>
        <v>0</v>
      </c>
      <c r="BC129">
        <f t="shared" si="36"/>
        <v>0</v>
      </c>
      <c r="BD129">
        <f t="shared" si="36"/>
        <v>0</v>
      </c>
      <c r="BE129">
        <f t="shared" si="36"/>
        <v>0</v>
      </c>
      <c r="BF129">
        <f t="shared" si="36"/>
        <v>0</v>
      </c>
      <c r="BG129">
        <f t="shared" si="36"/>
        <v>0</v>
      </c>
      <c r="BH129">
        <f t="shared" si="36"/>
        <v>0</v>
      </c>
      <c r="BI129">
        <f t="shared" si="36"/>
        <v>0</v>
      </c>
      <c r="BJ129">
        <f t="shared" si="36"/>
        <v>0</v>
      </c>
      <c r="BK129">
        <f t="shared" si="36"/>
        <v>0</v>
      </c>
      <c r="BL129">
        <f t="shared" si="36"/>
        <v>0</v>
      </c>
      <c r="BM129">
        <f t="shared" si="36"/>
        <v>0</v>
      </c>
      <c r="BN129">
        <f t="shared" si="36"/>
        <v>0</v>
      </c>
      <c r="BO129">
        <f t="shared" si="36"/>
        <v>0</v>
      </c>
      <c r="BP129">
        <f t="shared" si="36"/>
        <v>0</v>
      </c>
      <c r="BQ129">
        <f t="shared" si="36"/>
        <v>0</v>
      </c>
      <c r="BR129">
        <f t="shared" si="36"/>
        <v>0</v>
      </c>
      <c r="BS129">
        <f t="shared" si="36"/>
        <v>0</v>
      </c>
      <c r="BT129">
        <f t="shared" si="36"/>
        <v>0</v>
      </c>
      <c r="BU129">
        <f t="shared" si="36"/>
        <v>0</v>
      </c>
      <c r="BV129">
        <f t="shared" si="36"/>
        <v>0</v>
      </c>
      <c r="BW129">
        <f t="shared" si="36"/>
        <v>0</v>
      </c>
      <c r="BX129">
        <f t="shared" si="36"/>
        <v>0</v>
      </c>
      <c r="BY129">
        <f t="shared" si="36"/>
        <v>0</v>
      </c>
      <c r="BZ129">
        <f t="shared" si="36"/>
        <v>0</v>
      </c>
      <c r="CA129">
        <f t="shared" si="36"/>
        <v>0</v>
      </c>
      <c r="CB129">
        <f t="shared" si="36"/>
        <v>0</v>
      </c>
      <c r="CC129">
        <f t="shared" si="36"/>
        <v>0</v>
      </c>
      <c r="CD129">
        <f t="shared" si="36"/>
        <v>0</v>
      </c>
      <c r="CE129">
        <f t="shared" si="36"/>
        <v>0</v>
      </c>
      <c r="CF129">
        <f t="shared" si="36"/>
        <v>0</v>
      </c>
      <c r="CG129">
        <f t="shared" si="36"/>
        <v>0</v>
      </c>
      <c r="CH129">
        <f t="shared" si="36"/>
        <v>0</v>
      </c>
      <c r="CI129">
        <f t="shared" si="36"/>
        <v>0</v>
      </c>
      <c r="CJ129">
        <f t="shared" si="36"/>
        <v>0</v>
      </c>
      <c r="CK129">
        <f t="shared" si="36"/>
        <v>0</v>
      </c>
      <c r="CL129">
        <f t="shared" si="36"/>
        <v>0</v>
      </c>
      <c r="CM129">
        <f t="shared" si="36"/>
        <v>0</v>
      </c>
      <c r="CN129">
        <f t="shared" si="36"/>
        <v>0</v>
      </c>
      <c r="CO129">
        <f t="shared" si="36"/>
        <v>0</v>
      </c>
      <c r="CP129">
        <f t="shared" si="36"/>
        <v>0</v>
      </c>
      <c r="CQ129">
        <f t="shared" si="36"/>
        <v>0</v>
      </c>
      <c r="CR129">
        <f t="shared" si="36"/>
        <v>0</v>
      </c>
      <c r="CS129">
        <f t="shared" si="36"/>
        <v>0</v>
      </c>
      <c r="CT129">
        <f t="shared" si="36"/>
        <v>0</v>
      </c>
      <c r="CU129">
        <f t="shared" si="36"/>
        <v>0</v>
      </c>
      <c r="CV129">
        <f t="shared" si="36"/>
        <v>0</v>
      </c>
      <c r="CW129">
        <f t="shared" si="36"/>
        <v>0</v>
      </c>
      <c r="CX129">
        <f t="shared" si="36"/>
        <v>0</v>
      </c>
      <c r="CY129">
        <f t="shared" si="36"/>
        <v>0</v>
      </c>
      <c r="CZ129">
        <f t="shared" si="36"/>
        <v>0</v>
      </c>
      <c r="DA129">
        <f t="shared" si="36"/>
        <v>0</v>
      </c>
      <c r="DB129">
        <f t="shared" si="36"/>
        <v>0</v>
      </c>
      <c r="DC129">
        <f t="shared" si="36"/>
        <v>0</v>
      </c>
      <c r="DD129">
        <f t="shared" si="36"/>
        <v>0</v>
      </c>
      <c r="DE129">
        <f t="shared" si="36"/>
        <v>0</v>
      </c>
      <c r="DF129">
        <f t="shared" si="36"/>
        <v>0</v>
      </c>
      <c r="DG129">
        <f t="shared" si="36"/>
        <v>0</v>
      </c>
      <c r="DH129">
        <f t="shared" si="36"/>
        <v>0</v>
      </c>
      <c r="DI129">
        <f t="shared" si="36"/>
        <v>0</v>
      </c>
      <c r="DJ129">
        <f t="shared" si="36"/>
        <v>0</v>
      </c>
      <c r="DK129">
        <f t="shared" si="36"/>
        <v>0</v>
      </c>
      <c r="DL129">
        <f t="shared" si="36"/>
        <v>0</v>
      </c>
      <c r="DM129">
        <f t="shared" si="36"/>
        <v>0</v>
      </c>
      <c r="DN129">
        <f t="shared" si="36"/>
        <v>0</v>
      </c>
      <c r="DO129">
        <f t="shared" si="36"/>
        <v>0</v>
      </c>
      <c r="DP129">
        <f t="shared" si="36"/>
        <v>0</v>
      </c>
      <c r="DQ129">
        <f t="shared" si="36"/>
        <v>0</v>
      </c>
      <c r="DR129">
        <f t="shared" si="36"/>
        <v>0</v>
      </c>
      <c r="DS129">
        <f t="shared" si="36"/>
        <v>0</v>
      </c>
      <c r="DT129">
        <f t="shared" si="36"/>
        <v>0</v>
      </c>
      <c r="DU129">
        <f t="shared" si="36"/>
        <v>0</v>
      </c>
      <c r="DV129">
        <f t="shared" si="36"/>
        <v>0</v>
      </c>
      <c r="DW129">
        <f t="shared" si="36"/>
        <v>0</v>
      </c>
      <c r="DX129">
        <f t="shared" si="36"/>
        <v>0</v>
      </c>
      <c r="DY129">
        <f t="shared" si="36"/>
        <v>0</v>
      </c>
      <c r="DZ129">
        <f t="shared" si="36"/>
        <v>0</v>
      </c>
      <c r="EA129">
        <f t="shared" si="36"/>
        <v>0</v>
      </c>
      <c r="EB129">
        <f t="shared" si="36"/>
        <v>0</v>
      </c>
      <c r="EC129">
        <f t="shared" si="36"/>
        <v>0</v>
      </c>
      <c r="ED129">
        <f t="shared" si="36"/>
        <v>0</v>
      </c>
      <c r="EE129">
        <f t="shared" si="36"/>
        <v>0</v>
      </c>
      <c r="EF129">
        <f t="shared" si="36"/>
        <v>0</v>
      </c>
      <c r="EG129">
        <f t="shared" si="36"/>
        <v>0</v>
      </c>
      <c r="EH129">
        <f t="shared" si="36"/>
        <v>0</v>
      </c>
      <c r="EI129">
        <f t="shared" si="36"/>
        <v>0</v>
      </c>
      <c r="EJ129">
        <f t="shared" si="36"/>
        <v>0</v>
      </c>
      <c r="EK129">
        <f t="shared" si="36"/>
        <v>0</v>
      </c>
      <c r="EL129">
        <f t="shared" si="36"/>
        <v>0</v>
      </c>
      <c r="EM129">
        <f t="shared" si="36"/>
        <v>0</v>
      </c>
      <c r="EN129">
        <f t="shared" si="36"/>
        <v>0</v>
      </c>
      <c r="EO129">
        <f t="shared" si="36"/>
        <v>0</v>
      </c>
      <c r="EP129">
        <f t="shared" si="36"/>
        <v>0</v>
      </c>
      <c r="EQ129">
        <f t="shared" si="36"/>
        <v>0</v>
      </c>
      <c r="ER129">
        <f t="shared" si="36"/>
        <v>0</v>
      </c>
      <c r="ES129">
        <f t="shared" si="36"/>
        <v>0</v>
      </c>
      <c r="ET129">
        <f t="shared" si="36"/>
        <v>0</v>
      </c>
      <c r="EU129">
        <f t="shared" si="36"/>
        <v>0</v>
      </c>
      <c r="EV129">
        <f t="shared" si="36"/>
        <v>0</v>
      </c>
      <c r="EW129">
        <f t="shared" si="36"/>
        <v>0</v>
      </c>
      <c r="EX129">
        <f t="shared" si="36"/>
        <v>0</v>
      </c>
      <c r="EY129">
        <f t="shared" si="36"/>
        <v>0</v>
      </c>
      <c r="EZ129">
        <f t="shared" si="36"/>
        <v>0</v>
      </c>
    </row>
    <row r="130" ht="15" customHeight="1">
      <c r="B130" t="s">
        <v>2948</v>
      </c>
      <c r="Q130">
        <f t="shared" si="37" ref="Q130:FA130">IF(Q127&gt;0,Q126/Q127,0)</f>
        <v>1131.875</v>
      </c>
      <c r="R130">
        <f t="shared" si="37"/>
        <v>1205.892857142857</v>
      </c>
      <c r="S130">
        <f t="shared" si="37"/>
        <v>1364.4666666666667</v>
      </c>
      <c r="T130">
        <f t="shared" si="37"/>
        <v>1535.2</v>
      </c>
      <c r="U130">
        <f t="shared" si="37"/>
        <v>1017</v>
      </c>
      <c r="V130">
        <f t="shared" si="37"/>
        <v>0</v>
      </c>
      <c r="W130">
        <f t="shared" si="37"/>
        <v>0</v>
      </c>
      <c r="X130">
        <f t="shared" si="37"/>
        <v>0</v>
      </c>
      <c r="Y130">
        <f t="shared" si="37"/>
        <v>0</v>
      </c>
      <c r="Z130">
        <f t="shared" si="37"/>
        <v>0</v>
      </c>
      <c r="AA130">
        <f t="shared" si="37"/>
        <v>0</v>
      </c>
      <c r="AB130">
        <f t="shared" si="37"/>
        <v>0</v>
      </c>
      <c r="AC130">
        <f t="shared" si="37"/>
        <v>0</v>
      </c>
      <c r="AD130">
        <f t="shared" si="37"/>
        <v>0</v>
      </c>
      <c r="AE130">
        <f t="shared" si="37"/>
        <v>0</v>
      </c>
      <c r="AF130">
        <f t="shared" si="37"/>
        <v>0</v>
      </c>
      <c r="AG130">
        <f t="shared" si="37"/>
        <v>0</v>
      </c>
      <c r="AH130">
        <f t="shared" si="37"/>
        <v>0</v>
      </c>
      <c r="AI130">
        <f t="shared" si="37"/>
        <v>0</v>
      </c>
      <c r="AJ130">
        <f t="shared" si="37"/>
        <v>0</v>
      </c>
      <c r="AK130">
        <f t="shared" si="37"/>
        <v>0</v>
      </c>
      <c r="AL130">
        <f t="shared" si="37"/>
        <v>0</v>
      </c>
      <c r="AM130">
        <f t="shared" si="37"/>
        <v>0</v>
      </c>
      <c r="AN130">
        <f t="shared" si="37"/>
        <v>0</v>
      </c>
      <c r="AO130">
        <f t="shared" si="37"/>
        <v>0</v>
      </c>
      <c r="AP130">
        <f t="shared" si="37"/>
        <v>0</v>
      </c>
      <c r="AQ130">
        <f t="shared" si="37"/>
        <v>0</v>
      </c>
      <c r="AR130">
        <f t="shared" si="37"/>
        <v>0</v>
      </c>
      <c r="AS130">
        <f t="shared" si="37"/>
        <v>0</v>
      </c>
      <c r="AT130">
        <f t="shared" si="37"/>
        <v>0</v>
      </c>
      <c r="AU130">
        <f t="shared" si="37"/>
        <v>0</v>
      </c>
      <c r="AV130">
        <f t="shared" si="37"/>
        <v>0</v>
      </c>
      <c r="AW130">
        <f t="shared" si="37"/>
        <v>0</v>
      </c>
      <c r="AX130">
        <f t="shared" si="37"/>
        <v>0</v>
      </c>
      <c r="AY130">
        <f t="shared" si="37"/>
        <v>0</v>
      </c>
      <c r="AZ130">
        <f t="shared" si="37"/>
        <v>0</v>
      </c>
      <c r="BA130">
        <f t="shared" si="37"/>
        <v>0</v>
      </c>
      <c r="BB130">
        <f t="shared" si="37"/>
        <v>0</v>
      </c>
      <c r="BC130">
        <f t="shared" si="37"/>
        <v>0</v>
      </c>
      <c r="BD130">
        <f t="shared" si="37"/>
        <v>0</v>
      </c>
      <c r="BE130">
        <f t="shared" si="37"/>
        <v>0</v>
      </c>
      <c r="BF130">
        <f t="shared" si="37"/>
        <v>0</v>
      </c>
      <c r="BG130">
        <f t="shared" si="37"/>
        <v>0</v>
      </c>
      <c r="BH130">
        <f t="shared" si="37"/>
        <v>0</v>
      </c>
      <c r="BI130">
        <f t="shared" si="37"/>
        <v>0</v>
      </c>
      <c r="BJ130">
        <f t="shared" si="37"/>
        <v>0</v>
      </c>
      <c r="BK130">
        <f t="shared" si="37"/>
        <v>0</v>
      </c>
      <c r="BL130">
        <f t="shared" si="37"/>
        <v>0</v>
      </c>
      <c r="BM130">
        <f t="shared" si="37"/>
        <v>0</v>
      </c>
      <c r="BN130">
        <f t="shared" si="37"/>
        <v>0</v>
      </c>
      <c r="BO130">
        <f t="shared" si="37"/>
        <v>0</v>
      </c>
      <c r="BP130">
        <f t="shared" si="37"/>
        <v>0</v>
      </c>
      <c r="BQ130">
        <f t="shared" si="37"/>
        <v>0</v>
      </c>
      <c r="BR130">
        <f t="shared" si="37"/>
        <v>0</v>
      </c>
      <c r="BS130">
        <f t="shared" si="37"/>
        <v>0</v>
      </c>
      <c r="BT130">
        <f t="shared" si="37"/>
        <v>0</v>
      </c>
      <c r="BU130">
        <f t="shared" si="37"/>
        <v>0</v>
      </c>
      <c r="BV130">
        <f t="shared" si="37"/>
        <v>0</v>
      </c>
      <c r="BW130">
        <f t="shared" si="37"/>
        <v>0</v>
      </c>
      <c r="BX130">
        <f t="shared" si="37"/>
        <v>0</v>
      </c>
      <c r="BY130">
        <f t="shared" si="37"/>
        <v>0</v>
      </c>
      <c r="BZ130">
        <f t="shared" si="37"/>
        <v>0</v>
      </c>
      <c r="CA130">
        <f t="shared" si="37"/>
        <v>0</v>
      </c>
      <c r="CB130">
        <f t="shared" si="37"/>
        <v>0</v>
      </c>
      <c r="CC130">
        <f t="shared" si="37"/>
        <v>0</v>
      </c>
      <c r="CD130">
        <f t="shared" si="37"/>
        <v>0</v>
      </c>
      <c r="CE130">
        <f t="shared" si="37"/>
        <v>0</v>
      </c>
      <c r="CF130">
        <f t="shared" si="37"/>
        <v>0</v>
      </c>
      <c r="CG130">
        <f t="shared" si="37"/>
        <v>0</v>
      </c>
      <c r="CH130">
        <f t="shared" si="37"/>
        <v>0</v>
      </c>
      <c r="CI130">
        <f t="shared" si="37"/>
        <v>0</v>
      </c>
      <c r="CJ130">
        <f t="shared" si="37"/>
        <v>0</v>
      </c>
      <c r="CK130">
        <f t="shared" si="37"/>
        <v>0</v>
      </c>
      <c r="CL130">
        <f t="shared" si="37"/>
        <v>0</v>
      </c>
      <c r="CM130">
        <f t="shared" si="37"/>
        <v>0</v>
      </c>
      <c r="CN130">
        <f t="shared" si="37"/>
        <v>0</v>
      </c>
      <c r="CO130">
        <f t="shared" si="37"/>
        <v>0</v>
      </c>
      <c r="CP130">
        <f t="shared" si="37"/>
        <v>0</v>
      </c>
      <c r="CQ130">
        <f t="shared" si="37"/>
        <v>0</v>
      </c>
      <c r="CR130">
        <f t="shared" si="37"/>
        <v>0</v>
      </c>
      <c r="CS130">
        <f t="shared" si="37"/>
        <v>0</v>
      </c>
      <c r="CT130">
        <f t="shared" si="37"/>
        <v>0</v>
      </c>
      <c r="CU130">
        <f t="shared" si="37"/>
        <v>0</v>
      </c>
      <c r="CV130">
        <f t="shared" si="37"/>
        <v>0</v>
      </c>
      <c r="CW130">
        <f t="shared" si="37"/>
        <v>0</v>
      </c>
      <c r="CX130">
        <f t="shared" si="37"/>
        <v>0</v>
      </c>
      <c r="CY130">
        <f t="shared" si="37"/>
        <v>0</v>
      </c>
      <c r="CZ130">
        <f t="shared" si="37"/>
        <v>0</v>
      </c>
      <c r="DA130">
        <f t="shared" si="37"/>
        <v>0</v>
      </c>
      <c r="DB130">
        <f t="shared" si="37"/>
        <v>0</v>
      </c>
      <c r="DC130">
        <f t="shared" si="37"/>
        <v>0</v>
      </c>
      <c r="DD130">
        <f t="shared" si="37"/>
        <v>0</v>
      </c>
      <c r="DE130">
        <f t="shared" si="37"/>
        <v>0</v>
      </c>
      <c r="DF130">
        <f t="shared" si="37"/>
        <v>0</v>
      </c>
      <c r="DG130">
        <f t="shared" si="37"/>
        <v>0</v>
      </c>
      <c r="DH130">
        <f t="shared" si="37"/>
        <v>0</v>
      </c>
      <c r="DI130">
        <f t="shared" si="37"/>
        <v>0</v>
      </c>
      <c r="DJ130">
        <f t="shared" si="37"/>
        <v>0</v>
      </c>
      <c r="DK130">
        <f t="shared" si="37"/>
        <v>0</v>
      </c>
      <c r="DL130">
        <f t="shared" si="37"/>
        <v>0</v>
      </c>
      <c r="DM130">
        <f t="shared" si="37"/>
        <v>0</v>
      </c>
      <c r="DN130">
        <f t="shared" si="37"/>
        <v>0</v>
      </c>
      <c r="DO130">
        <f t="shared" si="37"/>
        <v>0</v>
      </c>
      <c r="DP130">
        <f t="shared" si="37"/>
        <v>0</v>
      </c>
      <c r="DQ130">
        <f t="shared" si="37"/>
        <v>0</v>
      </c>
      <c r="DR130">
        <f t="shared" si="37"/>
        <v>0</v>
      </c>
      <c r="DS130">
        <f t="shared" si="37"/>
        <v>0</v>
      </c>
      <c r="DT130">
        <f t="shared" si="37"/>
        <v>0</v>
      </c>
      <c r="DU130">
        <f t="shared" si="37"/>
        <v>0</v>
      </c>
      <c r="DV130">
        <f t="shared" si="37"/>
        <v>0</v>
      </c>
      <c r="DW130">
        <f t="shared" si="37"/>
        <v>0</v>
      </c>
      <c r="DX130">
        <f t="shared" si="37"/>
        <v>0</v>
      </c>
      <c r="DY130">
        <f t="shared" si="37"/>
        <v>0</v>
      </c>
      <c r="DZ130">
        <f t="shared" si="37"/>
        <v>0</v>
      </c>
      <c r="EA130">
        <f t="shared" si="37"/>
        <v>0</v>
      </c>
      <c r="EB130">
        <f t="shared" si="37"/>
        <v>0</v>
      </c>
      <c r="EC130">
        <f t="shared" si="37"/>
        <v>0</v>
      </c>
      <c r="ED130">
        <f t="shared" si="37"/>
        <v>0</v>
      </c>
      <c r="EE130">
        <f t="shared" si="37"/>
        <v>0</v>
      </c>
      <c r="EF130">
        <f t="shared" si="37"/>
        <v>0</v>
      </c>
      <c r="EG130">
        <f t="shared" si="37"/>
        <v>0</v>
      </c>
      <c r="EH130">
        <f t="shared" si="37"/>
        <v>0</v>
      </c>
      <c r="EI130">
        <f t="shared" si="37"/>
        <v>0</v>
      </c>
      <c r="EJ130">
        <f t="shared" si="37"/>
        <v>0</v>
      </c>
      <c r="EK130">
        <f t="shared" si="37"/>
        <v>0</v>
      </c>
      <c r="EL130">
        <f t="shared" si="37"/>
        <v>0</v>
      </c>
      <c r="EM130">
        <f t="shared" si="37"/>
        <v>0</v>
      </c>
      <c r="EN130">
        <f t="shared" si="37"/>
        <v>0</v>
      </c>
      <c r="EO130">
        <f t="shared" si="37"/>
        <v>0</v>
      </c>
      <c r="EP130">
        <f t="shared" si="37"/>
        <v>0</v>
      </c>
      <c r="EQ130">
        <f t="shared" si="37"/>
        <v>0</v>
      </c>
      <c r="ER130">
        <f t="shared" si="37"/>
        <v>0</v>
      </c>
      <c r="ES130">
        <f t="shared" si="37"/>
        <v>0</v>
      </c>
      <c r="ET130">
        <f t="shared" si="37"/>
        <v>0</v>
      </c>
      <c r="EU130">
        <f t="shared" si="37"/>
        <v>0</v>
      </c>
      <c r="EV130">
        <f t="shared" si="37"/>
        <v>0</v>
      </c>
      <c r="EW130">
        <f t="shared" si="37"/>
        <v>0</v>
      </c>
      <c r="EX130">
        <f t="shared" si="37"/>
        <v>0</v>
      </c>
      <c r="EY130">
        <f t="shared" si="37"/>
        <v>0</v>
      </c>
      <c r="EZ130">
        <f t="shared" si="37"/>
        <v>0</v>
      </c>
      <c r="FA130">
        <f t="shared" si="37"/>
        <v>78.5625</v>
      </c>
    </row>
    <row r="131" ht="15" customHeight="1"/>
    <row r="132" ht="15" customHeight="1">
      <c r="B132" t="s">
        <v>2949</v>
      </c>
    </row>
    <row r="133" ht="15" customHeight="1">
      <c r="B133" t="s">
        <v>2950</v>
      </c>
    </row>
    <row r="134" ht="15" customHeight="1"/>
    <row r="135" ht="15" customHeight="1">
      <c r="B135" t="s">
        <v>2951</v>
      </c>
      <c r="D135">
        <f>FA128</f>
        <v>5</v>
      </c>
      <c r="H135" t="s">
        <v>2952</v>
      </c>
      <c r="M135">
        <f>J126</f>
        <v>122173</v>
      </c>
      <c r="P135">
        <f>SUM(Q135:EZ135)</f>
        <v>84991</v>
      </c>
      <c r="Q135">
        <f t="shared" si="38" ref="Q135:EZ135">IF(ISNUMBER(Q22),Q22*(Q127+Q128),0)</f>
        <v>22528</v>
      </c>
      <c r="R135">
        <f t="shared" si="38"/>
        <v>22400</v>
      </c>
      <c r="S135">
        <f t="shared" si="38"/>
        <v>13616</v>
      </c>
      <c r="T135">
        <f t="shared" si="38"/>
        <v>25200</v>
      </c>
      <c r="U135">
        <f t="shared" si="38"/>
        <v>1247</v>
      </c>
      <c r="V135">
        <f t="shared" si="38"/>
        <v>0</v>
      </c>
      <c r="W135">
        <f t="shared" si="38"/>
        <v>0</v>
      </c>
      <c r="X135">
        <f t="shared" si="38"/>
        <v>0</v>
      </c>
      <c r="Y135">
        <f t="shared" si="38"/>
        <v>0</v>
      </c>
      <c r="Z135">
        <f t="shared" si="38"/>
        <v>0</v>
      </c>
      <c r="AA135">
        <f t="shared" si="38"/>
        <v>0</v>
      </c>
      <c r="AB135">
        <f t="shared" si="38"/>
        <v>0</v>
      </c>
      <c r="AC135">
        <f t="shared" si="38"/>
        <v>0</v>
      </c>
      <c r="AD135">
        <f t="shared" si="38"/>
        <v>0</v>
      </c>
      <c r="AE135">
        <f t="shared" si="38"/>
        <v>0</v>
      </c>
      <c r="AF135">
        <f t="shared" si="38"/>
        <v>0</v>
      </c>
      <c r="AG135">
        <f t="shared" si="38"/>
        <v>0</v>
      </c>
      <c r="AH135">
        <f t="shared" si="38"/>
        <v>0</v>
      </c>
      <c r="AI135">
        <f t="shared" si="38"/>
        <v>0</v>
      </c>
      <c r="AJ135">
        <f t="shared" si="38"/>
        <v>0</v>
      </c>
      <c r="AK135">
        <f t="shared" si="38"/>
        <v>0</v>
      </c>
      <c r="AL135">
        <f t="shared" si="38"/>
        <v>0</v>
      </c>
      <c r="AM135">
        <f t="shared" si="38"/>
        <v>0</v>
      </c>
      <c r="AN135">
        <f t="shared" si="38"/>
        <v>0</v>
      </c>
      <c r="AO135">
        <f t="shared" si="38"/>
        <v>0</v>
      </c>
      <c r="AP135">
        <f t="shared" si="38"/>
        <v>0</v>
      </c>
      <c r="AQ135">
        <f t="shared" si="38"/>
        <v>0</v>
      </c>
      <c r="AR135">
        <f t="shared" si="38"/>
        <v>0</v>
      </c>
      <c r="AS135">
        <f t="shared" si="38"/>
        <v>0</v>
      </c>
      <c r="AT135">
        <f t="shared" si="38"/>
        <v>0</v>
      </c>
      <c r="AU135">
        <f t="shared" si="38"/>
        <v>0</v>
      </c>
      <c r="AV135">
        <f t="shared" si="38"/>
        <v>0</v>
      </c>
      <c r="AW135">
        <f t="shared" si="38"/>
        <v>0</v>
      </c>
      <c r="AX135">
        <f t="shared" si="38"/>
        <v>0</v>
      </c>
      <c r="AY135">
        <f t="shared" si="38"/>
        <v>0</v>
      </c>
      <c r="AZ135">
        <f t="shared" si="38"/>
        <v>0</v>
      </c>
      <c r="BA135">
        <f t="shared" si="38"/>
        <v>0</v>
      </c>
      <c r="BB135">
        <f t="shared" si="38"/>
        <v>0</v>
      </c>
      <c r="BC135">
        <f t="shared" si="38"/>
        <v>0</v>
      </c>
      <c r="BD135">
        <f t="shared" si="38"/>
        <v>0</v>
      </c>
      <c r="BE135">
        <f t="shared" si="38"/>
        <v>0</v>
      </c>
      <c r="BF135">
        <f t="shared" si="38"/>
        <v>0</v>
      </c>
      <c r="BG135">
        <f t="shared" si="38"/>
        <v>0</v>
      </c>
      <c r="BH135">
        <f t="shared" si="38"/>
        <v>0</v>
      </c>
      <c r="BI135">
        <f t="shared" si="38"/>
        <v>0</v>
      </c>
      <c r="BJ135">
        <f t="shared" si="38"/>
        <v>0</v>
      </c>
      <c r="BK135">
        <f t="shared" si="38"/>
        <v>0</v>
      </c>
      <c r="BL135">
        <f t="shared" si="38"/>
        <v>0</v>
      </c>
      <c r="BM135">
        <f t="shared" si="38"/>
        <v>0</v>
      </c>
      <c r="BN135">
        <f t="shared" si="38"/>
        <v>0</v>
      </c>
      <c r="BO135">
        <f t="shared" si="38"/>
        <v>0</v>
      </c>
      <c r="BP135">
        <f t="shared" si="38"/>
        <v>0</v>
      </c>
      <c r="BQ135">
        <f t="shared" si="38"/>
        <v>0</v>
      </c>
      <c r="BR135">
        <f t="shared" si="38"/>
        <v>0</v>
      </c>
      <c r="BS135">
        <f t="shared" si="38"/>
        <v>0</v>
      </c>
      <c r="BT135">
        <f t="shared" si="38"/>
        <v>0</v>
      </c>
      <c r="BU135">
        <f t="shared" si="38"/>
        <v>0</v>
      </c>
      <c r="BV135">
        <f t="shared" si="38"/>
        <v>0</v>
      </c>
      <c r="BW135">
        <f t="shared" si="38"/>
        <v>0</v>
      </c>
      <c r="BX135">
        <f t="shared" si="38"/>
        <v>0</v>
      </c>
      <c r="BY135">
        <f t="shared" si="38"/>
        <v>0</v>
      </c>
      <c r="BZ135">
        <f t="shared" si="38"/>
        <v>0</v>
      </c>
      <c r="CA135">
        <f t="shared" si="38"/>
        <v>0</v>
      </c>
      <c r="CB135">
        <f t="shared" si="38"/>
        <v>0</v>
      </c>
      <c r="CC135">
        <f t="shared" si="38"/>
        <v>0</v>
      </c>
      <c r="CD135">
        <f t="shared" si="38"/>
        <v>0</v>
      </c>
      <c r="CE135">
        <f t="shared" si="38"/>
        <v>0</v>
      </c>
      <c r="CF135">
        <f t="shared" si="38"/>
        <v>0</v>
      </c>
      <c r="CG135">
        <f t="shared" si="38"/>
        <v>0</v>
      </c>
      <c r="CH135">
        <f t="shared" si="38"/>
        <v>0</v>
      </c>
      <c r="CI135">
        <f t="shared" si="38"/>
        <v>0</v>
      </c>
      <c r="CJ135">
        <f t="shared" si="38"/>
        <v>0</v>
      </c>
      <c r="CK135">
        <f t="shared" si="38"/>
        <v>0</v>
      </c>
      <c r="CL135">
        <f t="shared" si="38"/>
        <v>0</v>
      </c>
      <c r="CM135">
        <f t="shared" si="38"/>
        <v>0</v>
      </c>
      <c r="CN135">
        <f t="shared" si="38"/>
        <v>0</v>
      </c>
      <c r="CO135">
        <f t="shared" si="38"/>
        <v>0</v>
      </c>
      <c r="CP135">
        <f t="shared" si="38"/>
        <v>0</v>
      </c>
      <c r="CQ135">
        <f t="shared" si="38"/>
        <v>0</v>
      </c>
      <c r="CR135">
        <f t="shared" si="38"/>
        <v>0</v>
      </c>
      <c r="CS135">
        <f t="shared" si="38"/>
        <v>0</v>
      </c>
      <c r="CT135">
        <f t="shared" si="38"/>
        <v>0</v>
      </c>
      <c r="CU135">
        <f t="shared" si="38"/>
        <v>0</v>
      </c>
      <c r="CV135">
        <f t="shared" si="38"/>
        <v>0</v>
      </c>
      <c r="CW135">
        <f t="shared" si="38"/>
        <v>0</v>
      </c>
      <c r="CX135">
        <f t="shared" si="38"/>
        <v>0</v>
      </c>
      <c r="CY135">
        <f t="shared" si="38"/>
        <v>0</v>
      </c>
      <c r="CZ135">
        <f t="shared" si="38"/>
        <v>0</v>
      </c>
      <c r="DA135">
        <f t="shared" si="38"/>
        <v>0</v>
      </c>
      <c r="DB135">
        <f t="shared" si="38"/>
        <v>0</v>
      </c>
      <c r="DC135">
        <f t="shared" si="38"/>
        <v>0</v>
      </c>
      <c r="DD135">
        <f t="shared" si="38"/>
        <v>0</v>
      </c>
      <c r="DE135">
        <f t="shared" si="38"/>
        <v>0</v>
      </c>
      <c r="DF135">
        <f t="shared" si="38"/>
        <v>0</v>
      </c>
      <c r="DG135">
        <f t="shared" si="38"/>
        <v>0</v>
      </c>
      <c r="DH135">
        <f t="shared" si="38"/>
        <v>0</v>
      </c>
      <c r="DI135">
        <f t="shared" si="38"/>
        <v>0</v>
      </c>
      <c r="DJ135">
        <f t="shared" si="38"/>
        <v>0</v>
      </c>
      <c r="DK135">
        <f t="shared" si="38"/>
        <v>0</v>
      </c>
      <c r="DL135">
        <f t="shared" si="38"/>
        <v>0</v>
      </c>
      <c r="DM135">
        <f t="shared" si="38"/>
        <v>0</v>
      </c>
      <c r="DN135">
        <f t="shared" si="38"/>
        <v>0</v>
      </c>
      <c r="DO135">
        <f t="shared" si="38"/>
        <v>0</v>
      </c>
      <c r="DP135">
        <f t="shared" si="38"/>
        <v>0</v>
      </c>
      <c r="DQ135">
        <f t="shared" si="38"/>
        <v>0</v>
      </c>
      <c r="DR135">
        <f t="shared" si="38"/>
        <v>0</v>
      </c>
      <c r="DS135">
        <f t="shared" si="38"/>
        <v>0</v>
      </c>
      <c r="DT135">
        <f t="shared" si="38"/>
        <v>0</v>
      </c>
      <c r="DU135">
        <f t="shared" si="38"/>
        <v>0</v>
      </c>
      <c r="DV135">
        <f t="shared" si="38"/>
        <v>0</v>
      </c>
      <c r="DW135">
        <f t="shared" si="38"/>
        <v>0</v>
      </c>
      <c r="DX135">
        <f t="shared" si="38"/>
        <v>0</v>
      </c>
      <c r="DY135">
        <f t="shared" si="38"/>
        <v>0</v>
      </c>
      <c r="DZ135">
        <f t="shared" si="38"/>
        <v>0</v>
      </c>
      <c r="EA135">
        <f t="shared" si="38"/>
        <v>0</v>
      </c>
      <c r="EB135">
        <f t="shared" si="38"/>
        <v>0</v>
      </c>
      <c r="EC135">
        <f t="shared" si="38"/>
        <v>0</v>
      </c>
      <c r="ED135">
        <f t="shared" si="38"/>
        <v>0</v>
      </c>
      <c r="EE135">
        <f t="shared" si="38"/>
        <v>0</v>
      </c>
      <c r="EF135">
        <f t="shared" si="38"/>
        <v>0</v>
      </c>
      <c r="EG135">
        <f t="shared" si="38"/>
        <v>0</v>
      </c>
      <c r="EH135">
        <f t="shared" si="38"/>
        <v>0</v>
      </c>
      <c r="EI135">
        <f t="shared" si="38"/>
        <v>0</v>
      </c>
      <c r="EJ135">
        <f t="shared" si="38"/>
        <v>0</v>
      </c>
      <c r="EK135">
        <f t="shared" si="38"/>
        <v>0</v>
      </c>
      <c r="EL135">
        <f t="shared" si="38"/>
        <v>0</v>
      </c>
      <c r="EM135">
        <f t="shared" si="38"/>
        <v>0</v>
      </c>
      <c r="EN135">
        <f t="shared" si="38"/>
        <v>0</v>
      </c>
      <c r="EO135">
        <f t="shared" si="38"/>
        <v>0</v>
      </c>
      <c r="EP135">
        <f t="shared" si="38"/>
        <v>0</v>
      </c>
      <c r="EQ135">
        <f t="shared" si="38"/>
        <v>0</v>
      </c>
      <c r="ER135">
        <f t="shared" si="38"/>
        <v>0</v>
      </c>
      <c r="ES135">
        <f t="shared" si="38"/>
        <v>0</v>
      </c>
      <c r="ET135">
        <f t="shared" si="38"/>
        <v>0</v>
      </c>
      <c r="EU135">
        <f t="shared" si="38"/>
        <v>0</v>
      </c>
      <c r="EV135">
        <f t="shared" si="38"/>
        <v>0</v>
      </c>
      <c r="EW135">
        <f t="shared" si="38"/>
        <v>0</v>
      </c>
      <c r="EX135">
        <f t="shared" si="38"/>
        <v>0</v>
      </c>
      <c r="EY135">
        <f t="shared" si="38"/>
        <v>0</v>
      </c>
      <c r="EZ135">
        <f t="shared" si="38"/>
        <v>0</v>
      </c>
    </row>
    <row r="136" ht="15" customHeight="1">
      <c r="B136" t="s">
        <v>2953</v>
      </c>
      <c r="D136">
        <f>_xlfn.IFERROR(D135/D141,0)</f>
        <v>0.04950495049504951</v>
      </c>
      <c r="H136" t="s">
        <v>2954</v>
      </c>
      <c r="M136">
        <f>FA126</f>
        <v>7542</v>
      </c>
    </row>
    <row r="137" ht="15" customHeight="1">
      <c r="B137" t="s">
        <v>2955</v>
      </c>
      <c r="D137">
        <f>_xlfn.IFERROR(100%-D136,0)</f>
        <v>0.9504950495049505</v>
      </c>
    </row>
    <row r="138" ht="15" customHeight="1">
      <c r="B138" t="s">
        <v>2956</v>
      </c>
      <c r="D138">
        <f>1-'Summary OPS'!AV14</f>
        <v>0.8517956031813334</v>
      </c>
      <c r="H138" t="s">
        <v>2957</v>
      </c>
      <c r="M138">
        <f>M135+M136</f>
        <v>129715</v>
      </c>
    </row>
    <row r="139" ht="15" customHeight="1">
      <c r="H139" t="s">
        <v>2958</v>
      </c>
      <c r="M139">
        <f>M138*12</f>
        <v>1556580</v>
      </c>
    </row>
    <row r="140" ht="15" customHeight="1"/>
    <row r="141" ht="15" customHeight="1">
      <c r="B141" t="s">
        <v>2959</v>
      </c>
      <c r="D141">
        <f>COUNTA(D24:D125)</f>
        <v>101</v>
      </c>
    </row>
    <row r="142" ht="14.25" customHeight="1"/>
    <row r="143" ht="14.25" customHeight="1"/>
    <row r="144" ht="14.25" customHeight="1"/>
    <row r="145" ht="14.25" customHeight="1"/>
    <row r="146" ht="17.25" customHeight="1">
      <c r="B146" t="s">
        <v>2960</v>
      </c>
    </row>
    <row r="147" ht="14.25" customHeight="1">
      <c r="B147" t="s">
        <v>2961</v>
      </c>
      <c r="C147" t="s">
        <v>2962</v>
      </c>
      <c r="D147" t="s">
        <v>2963</v>
      </c>
      <c r="E147" t="s">
        <v>2520</v>
      </c>
      <c r="H147" t="s">
        <v>2964</v>
      </c>
      <c r="I147" t="s">
        <v>2965</v>
      </c>
      <c r="J147" t="s">
        <v>2444</v>
      </c>
      <c r="K147" t="s">
        <v>2715</v>
      </c>
      <c r="L147" t="s">
        <v>2966</v>
      </c>
      <c r="M147" t="s">
        <v>2967</v>
      </c>
    </row>
    <row r="148" ht="14.25" customHeight="1"/>
    <row r="149" ht="14.25" customHeight="1"/>
    <row r="150" ht="14.25" customHeight="1"/>
    <row r="151" ht="14.25" customHeight="1"/>
    <row r="152" ht="14.25" customHeight="1"/>
    <row r="153" ht="14.25" customHeight="1"/>
    <row r="154" ht="14.25" customHeight="1"/>
    <row r="155" ht="14.25" customHeight="1">
      <c r="B155" t="s">
        <v>2968</v>
      </c>
      <c r="D155">
        <f t="shared" si="39" ref="D155:J155">SUM(D148:D154)</f>
        <v>0</v>
      </c>
      <c r="E155">
        <f t="shared" si="39"/>
        <v>0</v>
      </c>
      <c r="H155">
        <f t="shared" si="39"/>
        <v>0</v>
      </c>
      <c r="I155" t="e">
        <f>(H155/D155)*12</f>
        <v>#DIV/0!</v>
      </c>
      <c r="J155">
        <f t="shared" si="39"/>
        <v>0</v>
      </c>
    </row>
    <row r="156" ht="14.25" customHeight="1"/>
    <row r="157" ht="14.25" customHeight="1">
      <c r="B157" t="s">
        <v>2969</v>
      </c>
      <c r="D157">
        <f>H155</f>
        <v>0</v>
      </c>
    </row>
    <row r="158" ht="14.25" customHeight="1"/>
    <row r="159" ht="14.25" customHeight="1">
      <c r="B159" t="s">
        <v>2970</v>
      </c>
      <c r="D159">
        <f>D157*12</f>
        <v>0</v>
      </c>
    </row>
    <row r="160" ht="14.25" customHeight="1"/>
    <row r="161" ht="14.25" customHeight="1">
      <c r="B161" t="s">
        <v>2971</v>
      </c>
      <c r="D161">
        <f>D159*E161</f>
        <v>0</v>
      </c>
    </row>
    <row r="162" ht="14.25" customHeight="1"/>
    <row r="163" ht="14.25" customHeight="1">
      <c r="B163" t="s">
        <v>2972</v>
      </c>
      <c r="D163">
        <f>D159-D161</f>
        <v>0</v>
      </c>
    </row>
    <row r="164" ht="14.25" customHeight="1">
      <c r="B164" t="s">
        <v>2973</v>
      </c>
      <c r="D164">
        <f>D163</f>
        <v>0</v>
      </c>
    </row>
    <row r="165" ht="14.25" customHeight="1"/>
    <row r="166" ht="14.25" customHeight="1">
      <c r="B166" t="s">
        <v>2974</v>
      </c>
    </row>
    <row r="167" ht="14.25" customHeight="1">
      <c r="B167" t="s">
        <v>2975</v>
      </c>
      <c r="D167">
        <f>D163*E167</f>
        <v>0</v>
      </c>
      <c r="E167">
        <v>0.05</v>
      </c>
    </row>
    <row r="168" ht="14.25" customHeight="1">
      <c r="B168" t="s">
        <v>2976</v>
      </c>
      <c r="D168">
        <v>0</v>
      </c>
    </row>
    <row r="169" ht="14.25" customHeight="1">
      <c r="B169" t="s">
        <v>2977</v>
      </c>
      <c r="D169">
        <v>0</v>
      </c>
    </row>
    <row r="170" ht="14.25" customHeight="1">
      <c r="B170" t="s">
        <v>2978</v>
      </c>
      <c r="D170">
        <v>0</v>
      </c>
    </row>
    <row r="171" ht="14.25" customHeight="1">
      <c r="B171" t="s">
        <v>2979</v>
      </c>
      <c r="D171">
        <v>0</v>
      </c>
    </row>
    <row r="172" ht="14.25" customHeight="1">
      <c r="B172" t="s">
        <v>2980</v>
      </c>
      <c r="D172">
        <f>E172*(12*H155)</f>
        <v>0</v>
      </c>
      <c r="E172">
        <v>0.05</v>
      </c>
      <c r="G172" t="s">
        <v>2981</v>
      </c>
    </row>
    <row r="173" ht="14.25" customHeight="1">
      <c r="B173" t="s">
        <v>2982</v>
      </c>
      <c r="D173">
        <f>E173*D155</f>
        <v>0</v>
      </c>
      <c r="E173">
        <v>1</v>
      </c>
    </row>
    <row r="174" ht="14.25" customHeight="1">
      <c r="B174" t="s">
        <v>2983</v>
      </c>
      <c r="D174">
        <v>0</v>
      </c>
      <c r="E174">
        <v>0</v>
      </c>
      <c r="G174" t="s">
        <v>2984</v>
      </c>
    </row>
    <row r="175" ht="14.25" customHeight="1">
      <c r="B175" t="s">
        <v>2985</v>
      </c>
      <c r="D175">
        <f>SUM(D167:D174)</f>
        <v>0</v>
      </c>
    </row>
    <row r="176" ht="14.25" customHeight="1"/>
    <row r="177" ht="14.25" customHeight="1">
      <c r="B177" t="s">
        <v>2986</v>
      </c>
      <c r="D177">
        <f>D163-D175</f>
        <v>0</v>
      </c>
    </row>
    <row r="178" ht="14.25" customHeight="1"/>
    <row r="179" ht="14.25" customHeight="1">
      <c r="B179" t="s">
        <v>2987</v>
      </c>
      <c r="D179">
        <v>0</v>
      </c>
      <c r="E179" t="s">
        <v>2988</v>
      </c>
    </row>
    <row r="180" ht="14.25" customHeight="1"/>
    <row r="181" ht="14.25" customHeight="1"/>
    <row r="182" ht="14.25" customHeight="1" hidden="1"/>
    <row r="183" ht="14.25" customHeight="1" hidden="1"/>
    <row r="184" ht="14.25" customHeight="1" hidden="1"/>
    <row r="185" ht="14.25" customHeight="1" hidden="1"/>
    <row r="186" ht="14.25" customHeight="1" hidden="1"/>
    <row r="187" ht="14.25" customHeight="1" hidden="1"/>
    <row r="188" ht="14.25" customHeight="1" hidden="1"/>
    <row r="189" ht="14.25" customHeight="1" hidden="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row r="1141" ht="14.25" customHeight="1"/>
    <row r="1142" ht="14.25" customHeight="1"/>
    <row r="1143" ht="14.25" customHeight="1"/>
    <row r="1144" ht="14.25" customHeight="1"/>
    <row r="1145" ht="14.25" customHeight="1"/>
    <row r="1146" ht="14.25" customHeight="1"/>
    <row r="1147" ht="14.25" customHeight="1"/>
    <row r="1148" ht="14.25" customHeight="1"/>
    <row r="1149" ht="14.25" customHeight="1"/>
    <row r="1150" ht="14.25" customHeight="1"/>
    <row r="1151" ht="14.25" customHeight="1"/>
    <row r="1152" ht="14.25" customHeight="1"/>
    <row r="1153" ht="14.25" customHeight="1"/>
    <row r="1154" ht="14.25" customHeight="1"/>
    <row r="1155" ht="14.25" customHeight="1"/>
    <row r="1156" ht="14.25" customHeight="1"/>
    <row r="1157" ht="14.25" customHeight="1"/>
    <row r="1158" ht="14.25" customHeight="1"/>
    <row r="1159" ht="14.25" customHeight="1"/>
    <row r="1160" ht="14.25" customHeight="1"/>
    <row r="1161" ht="14.25" customHeight="1"/>
    <row r="1162" ht="14.25" customHeight="1"/>
    <row r="1163" ht="14.25" customHeight="1"/>
    <row r="1164" ht="14.25" customHeight="1"/>
    <row r="1165" ht="14.25" customHeight="1"/>
    <row r="1166" ht="14.25" customHeight="1"/>
    <row r="1167" ht="14.25" customHeight="1"/>
    <row r="1168" ht="14.25" customHeight="1"/>
    <row r="1169" ht="14.25" customHeight="1"/>
    <row r="1170" ht="14.25" customHeight="1"/>
    <row r="1171" ht="14.25" customHeight="1"/>
    <row r="1172" ht="14.25" customHeight="1"/>
    <row r="1173" ht="14.25" customHeight="1"/>
    <row r="1174" ht="14.25" customHeight="1"/>
    <row r="1175" ht="14.25" customHeight="1"/>
    <row r="1176" ht="14.25" customHeight="1"/>
    <row r="1177" ht="14.25" customHeight="1"/>
    <row r="1178" ht="14.25" customHeight="1"/>
    <row r="1179" ht="14.25" customHeight="1"/>
    <row r="1180" ht="14.25" customHeight="1"/>
    <row r="1181" ht="14.25" customHeight="1"/>
    <row r="1182" ht="14.25" customHeight="1"/>
    <row r="1183" ht="14.25" customHeight="1"/>
    <row r="1184" ht="14.25" customHeight="1"/>
    <row r="1185" ht="14.25" customHeight="1"/>
    <row r="1186" ht="14.25" customHeight="1"/>
    <row r="1187" ht="14.25" customHeight="1"/>
    <row r="1188" ht="14.25" customHeight="1"/>
    <row r="1189" ht="14.25" customHeight="1"/>
    <row r="1190" ht="14.25" customHeight="1"/>
    <row r="1191" ht="14.25" customHeight="1"/>
    <row r="1192" ht="14.25" customHeight="1"/>
    <row r="1193" ht="14.25" customHeight="1"/>
    <row r="1194" ht="14.25" customHeight="1"/>
    <row r="1195" ht="14.25" customHeight="1"/>
    <row r="1196" ht="14.25" customHeight="1"/>
    <row r="1197" ht="14.25" customHeight="1"/>
    <row r="1198" ht="14.25" customHeight="1"/>
    <row r="1199" ht="14.25" customHeight="1"/>
    <row r="1200" ht="14.25" customHeight="1"/>
    <row r="1201" ht="14.25" customHeight="1"/>
    <row r="1202" ht="14.25" customHeight="1"/>
    <row r="1203" ht="14.25" customHeight="1"/>
    <row r="1204" ht="14.25" customHeight="1"/>
    <row r="1205" ht="14.25" customHeight="1"/>
    <row r="1206" ht="14.25" customHeight="1"/>
    <row r="1207" ht="14.25" customHeight="1"/>
    <row r="1208" ht="14.25" customHeight="1"/>
    <row r="1209" ht="14.25" customHeight="1"/>
    <row r="1210" ht="14.25" customHeight="1"/>
    <row r="1211" ht="14.25" customHeight="1"/>
    <row r="1212" ht="14.25" customHeight="1"/>
    <row r="1213" ht="14.25" customHeight="1"/>
    <row r="1214" ht="14.25" customHeight="1"/>
    <row r="1215" ht="14.25" customHeight="1"/>
    <row r="1216" ht="14.25" customHeight="1"/>
    <row r="1217" ht="14.25" customHeight="1"/>
    <row r="1218" ht="14.25" customHeight="1"/>
    <row r="1219" ht="14.25" customHeight="1"/>
    <row r="1220" ht="14.25" customHeight="1"/>
    <row r="1221" ht="14.25" customHeight="1"/>
    <row r="1222" ht="14.25" customHeight="1"/>
    <row r="1223" ht="14.25" customHeight="1"/>
    <row r="1224" ht="14.25" customHeight="1"/>
    <row r="1225" ht="14.25" customHeight="1"/>
    <row r="1226" ht="14.25" customHeight="1"/>
    <row r="1227" ht="14.25" customHeight="1"/>
    <row r="1228" ht="14.25" customHeight="1"/>
    <row r="1229" ht="14.25" customHeight="1"/>
    <row r="1230" ht="14.25" customHeight="1"/>
    <row r="1231" ht="14.25" customHeight="1"/>
    <row r="1232" ht="14.25" customHeight="1"/>
    <row r="1233" ht="14.25" customHeight="1"/>
    <row r="1234" ht="14.25" customHeight="1"/>
    <row r="1235" ht="14.25" customHeight="1"/>
    <row r="1236" ht="14.25" customHeight="1"/>
    <row r="1237" ht="14.25" customHeight="1"/>
    <row r="1238" ht="14.25" customHeight="1"/>
    <row r="1239" ht="14.25" customHeight="1"/>
    <row r="1240" ht="14.25" customHeight="1"/>
    <row r="1241" ht="14.25" customHeight="1"/>
    <row r="1242" ht="14.25" customHeight="1"/>
    <row r="1243" ht="14.25" customHeight="1"/>
    <row r="1244" ht="14.25" customHeight="1"/>
    <row r="1245" ht="14.25" customHeight="1"/>
    <row r="1246" ht="14.25" customHeight="1"/>
    <row r="1247" ht="14.25" customHeight="1"/>
    <row r="1248" ht="14.25" customHeight="1"/>
    <row r="1249" ht="14.25" customHeight="1"/>
    <row r="1250" ht="14.25" customHeight="1"/>
    <row r="1251" ht="14.25" customHeight="1"/>
    <row r="1252" ht="14.25" customHeight="1"/>
    <row r="1253" ht="14.25" customHeight="1"/>
    <row r="1254" ht="14.25" customHeight="1"/>
    <row r="1255" ht="14.25" customHeight="1"/>
    <row r="1256" ht="14.25" customHeight="1"/>
    <row r="1257" ht="14.25" customHeight="1"/>
    <row r="1258" ht="14.25" customHeight="1"/>
    <row r="1259" ht="14.25" customHeight="1"/>
    <row r="1260" ht="14.25" customHeight="1"/>
    <row r="1261" ht="14.25" customHeight="1"/>
    <row r="1262" ht="14.25" customHeight="1"/>
    <row r="1263" ht="14.25" customHeight="1"/>
    <row r="1264" ht="14.25" customHeight="1"/>
    <row r="1265" ht="14.25" customHeight="1"/>
    <row r="1266" ht="14.25" customHeight="1"/>
    <row r="1267" ht="14.25" customHeight="1"/>
    <row r="1268" ht="14.25" customHeight="1"/>
    <row r="1269" ht="14.25" customHeight="1"/>
    <row r="1270" ht="14.25" customHeight="1"/>
    <row r="1271" ht="14.25" customHeight="1"/>
    <row r="1272" ht="14.25" customHeight="1"/>
    <row r="1273" ht="14.25" customHeight="1"/>
    <row r="1274" ht="14.25" customHeight="1"/>
    <row r="1275" ht="14.25" customHeight="1"/>
    <row r="1276" ht="14.25" customHeight="1"/>
    <row r="1277" ht="14.25" customHeight="1"/>
    <row r="1278" ht="14.25" customHeight="1"/>
    <row r="1279" ht="14.25" customHeight="1"/>
    <row r="1280" ht="14.25" customHeight="1"/>
    <row r="1281" ht="14.25" customHeight="1"/>
    <row r="1282" ht="14.25" customHeight="1"/>
    <row r="1283" ht="14.25" customHeight="1"/>
    <row r="1284" ht="14.25" customHeight="1"/>
    <row r="1285" ht="14.25" customHeight="1"/>
    <row r="1286" ht="14.25" customHeight="1"/>
    <row r="1287" ht="14.25" customHeight="1"/>
    <row r="1288" ht="14.25" customHeight="1"/>
    <row r="1289" ht="14.25" customHeight="1"/>
    <row r="1290" ht="14.25" customHeight="1"/>
    <row r="1291" ht="14.25" customHeight="1"/>
    <row r="1292" ht="14.25" customHeight="1"/>
    <row r="1293" ht="14.25" customHeight="1"/>
    <row r="1294" ht="14.25" customHeight="1"/>
    <row r="1295" ht="14.25" customHeight="1"/>
    <row r="1296" ht="14.25" customHeight="1"/>
    <row r="1297" ht="14.25" customHeight="1"/>
    <row r="1298" ht="14.25" customHeight="1"/>
    <row r="1299" ht="14.25" customHeight="1"/>
    <row r="1300" ht="14.25" customHeight="1"/>
    <row r="1301" ht="14.25" customHeight="1"/>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row r="1567" ht="14.25" customHeight="1"/>
    <row r="1568" ht="14.25" customHeight="1"/>
    <row r="1569" ht="14.25" customHeight="1"/>
    <row r="1570" ht="14.25" customHeight="1"/>
    <row r="1571" ht="14.25" customHeight="1"/>
    <row r="1572" ht="14.25" customHeight="1"/>
    <row r="1573" ht="14.25" customHeight="1"/>
    <row r="1574" ht="14.25" customHeight="1"/>
    <row r="1575" ht="14.25" customHeight="1"/>
    <row r="1576" ht="14.25" customHeight="1"/>
    <row r="1577" ht="14.25" customHeight="1"/>
    <row r="1578" ht="14.25" customHeight="1"/>
    <row r="1579" ht="14.25" customHeight="1"/>
    <row r="1580" ht="14.25" customHeight="1"/>
    <row r="1581" ht="14.25" customHeight="1"/>
    <row r="1582" ht="14.25" customHeight="1"/>
    <row r="1583" ht="14.25" customHeight="1"/>
    <row r="1584" ht="14.25" customHeight="1"/>
    <row r="1585" ht="14.25" customHeight="1"/>
    <row r="1586" ht="14.25" customHeight="1"/>
    <row r="1587" ht="14.25" customHeight="1"/>
    <row r="1588" ht="14.25" customHeight="1"/>
    <row r="1589" ht="14.25" customHeight="1"/>
    <row r="1590" ht="14.25" customHeight="1"/>
    <row r="1591" ht="14.25" customHeight="1"/>
    <row r="1592" ht="14.25" customHeight="1"/>
    <row r="1593" ht="14.25" customHeight="1"/>
    <row r="1594" ht="14.25" customHeight="1"/>
    <row r="1595" ht="14.25" customHeight="1"/>
    <row r="1596" ht="14.25" customHeight="1"/>
    <row r="1597" ht="14.25" customHeight="1"/>
    <row r="1598" ht="14.25" customHeight="1"/>
    <row r="1599" ht="14.25" customHeight="1"/>
    <row r="1600" ht="14.25" customHeight="1"/>
    <row r="1601" ht="14.25" customHeight="1"/>
    <row r="1602" ht="14.25" customHeight="1"/>
    <row r="1603" ht="14.25" customHeight="1"/>
    <row r="1604" ht="14.25" customHeight="1"/>
    <row r="1605" ht="14.25" customHeight="1"/>
    <row r="1606" ht="14.25" customHeight="1"/>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row r="1656" ht="14.25" customHeight="1"/>
    <row r="1657" ht="14.25" customHeight="1"/>
    <row r="1658" ht="14.25" customHeight="1"/>
    <row r="1659" ht="14.25" customHeight="1"/>
    <row r="1660" ht="14.25" customHeight="1"/>
    <row r="1661" ht="14.25" customHeight="1"/>
    <row r="1662" ht="14.25" customHeight="1"/>
    <row r="1663" ht="14.25" customHeight="1"/>
    <row r="1664" ht="14.25" customHeight="1"/>
    <row r="1665" ht="14.25" customHeight="1"/>
    <row r="1666" ht="14.25" customHeight="1"/>
    <row r="1667" ht="14.25" customHeight="1"/>
    <row r="1668" ht="14.25" customHeight="1"/>
    <row r="1669" ht="14.25" customHeight="1"/>
    <row r="1670" ht="14.25" customHeight="1"/>
    <row r="1671" ht="14.25" customHeight="1"/>
    <row r="1672" ht="14.25" customHeight="1"/>
    <row r="1673" ht="14.25" customHeight="1"/>
    <row r="1674" ht="14.25" customHeight="1"/>
    <row r="1675" ht="14.25" customHeight="1"/>
    <row r="1676" ht="14.25" customHeight="1"/>
    <row r="1677" ht="14.25" customHeight="1"/>
    <row r="1678" ht="14.25" customHeight="1"/>
    <row r="1679" ht="14.25" customHeight="1"/>
    <row r="1680" ht="14.25" customHeight="1"/>
    <row r="1681" ht="14.25" customHeight="1"/>
    <row r="1682" ht="14.25" customHeight="1"/>
    <row r="1683" ht="14.25" customHeight="1"/>
    <row r="1684" ht="14.25" customHeight="1"/>
    <row r="1685" ht="14.25" customHeight="1"/>
    <row r="1686" ht="14.25" customHeight="1"/>
    <row r="1687" ht="14.25" customHeight="1"/>
    <row r="1688" ht="14.25" customHeight="1"/>
    <row r="1689" ht="14.25" customHeight="1"/>
    <row r="1690" ht="14.25" customHeight="1"/>
    <row r="1691" ht="14.25" customHeight="1"/>
    <row r="1692" ht="14.25" customHeight="1"/>
    <row r="1693" ht="14.25" customHeight="1"/>
    <row r="1694" ht="14.25" customHeight="1"/>
    <row r="1695" ht="14.25" customHeight="1"/>
    <row r="1696" ht="14.25" customHeight="1"/>
    <row r="1697" ht="14.25" customHeight="1"/>
    <row r="1698" ht="14.25" customHeight="1"/>
    <row r="1699" ht="14.25" customHeight="1"/>
    <row r="1700" ht="14.25" customHeight="1"/>
    <row r="1701" ht="14.25" customHeight="1"/>
    <row r="1702" ht="14.25" customHeight="1"/>
    <row r="1703" ht="14.25" customHeight="1"/>
    <row r="1704" ht="14.25" customHeight="1"/>
    <row r="1705" ht="14.25" customHeight="1"/>
    <row r="1706" ht="14.25" customHeight="1"/>
    <row r="1707" ht="14.25" customHeight="1"/>
    <row r="1708" ht="14.25" customHeight="1"/>
    <row r="1709" ht="14.25" customHeight="1"/>
    <row r="1710" ht="14.25" customHeight="1"/>
    <row r="1711" ht="14.25" customHeight="1"/>
    <row r="1712" ht="14.25" customHeight="1"/>
    <row r="1713" ht="14.25" customHeight="1"/>
    <row r="1714" ht="14.25" customHeight="1"/>
    <row r="1715" ht="14.25" customHeight="1"/>
    <row r="1716" ht="14.25" customHeight="1"/>
    <row r="1717" ht="14.25" customHeight="1"/>
    <row r="1718" ht="14.25" customHeight="1"/>
    <row r="1719" ht="14.25" customHeight="1"/>
    <row r="1720" ht="14.25" customHeight="1"/>
    <row r="1721" ht="14.25" customHeight="1"/>
    <row r="1722" ht="14.25" customHeight="1"/>
    <row r="1723" ht="14.25" customHeight="1"/>
    <row r="1724" ht="14.25" customHeight="1"/>
    <row r="1725" ht="14.25" customHeight="1"/>
    <row r="1726" ht="14.25" customHeight="1"/>
    <row r="1727" ht="14.25" customHeight="1"/>
    <row r="1728" ht="14.25" customHeight="1"/>
    <row r="1729" ht="14.25" customHeight="1"/>
    <row r="1730" ht="14.25" customHeight="1"/>
    <row r="1731" ht="14.25" customHeight="1"/>
    <row r="1732" ht="14.25" customHeight="1"/>
    <row r="1733" ht="14.25" customHeight="1"/>
    <row r="1734" ht="14.25" customHeight="1"/>
    <row r="1735" ht="14.25" customHeight="1"/>
    <row r="1736" ht="14.25" customHeight="1"/>
    <row r="1737" ht="14.25" customHeight="1"/>
    <row r="1738" ht="14.25" customHeight="1"/>
    <row r="1739" ht="14.25" customHeight="1"/>
    <row r="1740" ht="14.25" customHeight="1"/>
    <row r="1741" ht="14.25" customHeight="1"/>
    <row r="1742" ht="14.25" customHeight="1"/>
    <row r="1743" ht="14.25" customHeight="1"/>
    <row r="1744" ht="14.25" customHeight="1"/>
    <row r="1745" ht="14.25" customHeight="1"/>
    <row r="1746" ht="14.25" customHeight="1"/>
    <row r="1747" ht="14.25" customHeight="1"/>
    <row r="1748" ht="14.25" customHeight="1"/>
    <row r="1749" ht="14.25" customHeight="1"/>
    <row r="1750" ht="14.25" customHeight="1"/>
    <row r="1751" ht="14.25" customHeight="1"/>
    <row r="1752" ht="14.25" customHeight="1"/>
    <row r="1753" ht="14.25" customHeight="1"/>
    <row r="1754" ht="14.25" customHeight="1"/>
    <row r="1755" ht="14.25" customHeight="1"/>
    <row r="1756" ht="14.25" customHeight="1"/>
    <row r="1757" ht="14.25" customHeight="1"/>
    <row r="1758" ht="14.25" customHeight="1"/>
    <row r="1759" ht="14.25" customHeight="1"/>
    <row r="1760" ht="14.25" customHeight="1"/>
    <row r="1761" ht="14.25" customHeight="1"/>
    <row r="1762" ht="14.25" customHeight="1"/>
    <row r="1763" ht="14.25" customHeight="1"/>
    <row r="1764" ht="14.25" customHeight="1"/>
    <row r="1765" ht="14.25" customHeight="1"/>
    <row r="1766" ht="14.25" customHeight="1"/>
    <row r="1767" ht="14.25" customHeight="1"/>
    <row r="1768" ht="14.25" customHeight="1"/>
    <row r="1769" ht="14.25" customHeight="1"/>
    <row r="1770" ht="14.25" customHeight="1"/>
    <row r="1771" ht="14.25" customHeight="1"/>
    <row r="1772" ht="14.25" customHeight="1"/>
    <row r="1773" ht="14.25" customHeight="1"/>
    <row r="1774" ht="14.25" customHeight="1"/>
    <row r="1775" ht="14.25" customHeight="1"/>
    <row r="1776" ht="14.25" customHeight="1"/>
    <row r="1777" ht="14.25" customHeight="1"/>
    <row r="1778" ht="14.25" customHeight="1"/>
    <row r="1779" ht="14.25" customHeight="1"/>
    <row r="1780" ht="14.25" customHeight="1"/>
    <row r="1781" ht="14.25" customHeight="1"/>
    <row r="1782" ht="14.25" customHeight="1"/>
    <row r="1783" ht="14.25" customHeight="1"/>
    <row r="1784" ht="14.25" customHeight="1"/>
    <row r="1785" ht="14.25" customHeight="1"/>
    <row r="1786" ht="14.25" customHeight="1"/>
    <row r="1787" ht="14.25" customHeight="1"/>
    <row r="1788" ht="14.25" customHeight="1"/>
    <row r="1789" ht="14.25" customHeight="1"/>
    <row r="1790" ht="14.25" customHeight="1"/>
    <row r="1791" ht="14.25" customHeight="1"/>
    <row r="1792" ht="14.25" customHeight="1"/>
    <row r="1793" ht="14.25" customHeight="1"/>
    <row r="1794" ht="14.25" customHeight="1"/>
    <row r="1795" ht="14.25" customHeight="1"/>
    <row r="1796" ht="14.25" customHeight="1"/>
    <row r="1797" ht="14.25" customHeight="1"/>
    <row r="1798" ht="14.25" customHeight="1"/>
    <row r="1799" ht="14.25" customHeight="1"/>
    <row r="1800" ht="14.25" customHeight="1"/>
    <row r="1801" ht="14.25" customHeight="1"/>
    <row r="1802" ht="14.25" customHeight="1"/>
    <row r="1803" ht="14.25" customHeight="1"/>
    <row r="1804" ht="14.25" customHeight="1"/>
    <row r="1805" ht="14.25" customHeight="1"/>
    <row r="1806" ht="14.25" customHeight="1"/>
    <row r="1807" ht="14.25" customHeight="1"/>
    <row r="1808" ht="14.25" customHeight="1"/>
    <row r="1809" ht="14.25" customHeight="1"/>
    <row r="1810" ht="14.25" customHeight="1"/>
    <row r="1811" ht="14.25" customHeight="1"/>
    <row r="1812" ht="14.25" customHeight="1"/>
    <row r="1813" ht="14.25" customHeight="1"/>
    <row r="1814" ht="14.25" customHeight="1"/>
    <row r="1815" ht="14.25" customHeight="1"/>
    <row r="1816" ht="14.25" customHeight="1"/>
    <row r="1817" ht="14.25" customHeight="1"/>
    <row r="1818" ht="14.25" customHeight="1"/>
    <row r="1819" ht="14.25" customHeight="1"/>
    <row r="1820" ht="14.25" customHeight="1"/>
    <row r="1821" ht="14.25" customHeight="1"/>
    <row r="1822" ht="14.25" customHeight="1"/>
    <row r="1823" ht="14.25" customHeight="1"/>
    <row r="1824" ht="14.25" customHeight="1"/>
    <row r="1825" ht="14.25" customHeight="1"/>
    <row r="1826" ht="14.25" customHeight="1"/>
    <row r="1827" ht="14.25" customHeight="1"/>
    <row r="1828" ht="14.25" customHeight="1"/>
    <row r="1829" ht="14.25" customHeight="1"/>
    <row r="1830" ht="14.25" customHeight="1"/>
    <row r="1831" ht="14.25" customHeight="1"/>
    <row r="1832" ht="14.25" customHeight="1"/>
    <row r="1833" ht="14.25" customHeight="1"/>
    <row r="1834" ht="14.25" customHeight="1"/>
    <row r="1835" ht="14.25" customHeight="1"/>
    <row r="1836" ht="14.25" customHeight="1"/>
    <row r="1837" ht="14.25" customHeight="1"/>
    <row r="1838" ht="14.25" customHeight="1"/>
    <row r="1839" ht="14.25" customHeight="1"/>
    <row r="1840" ht="14.25" customHeight="1"/>
    <row r="1841" ht="14.25" customHeight="1"/>
    <row r="1842" ht="14.25" customHeight="1"/>
    <row r="1843" ht="14.25" customHeight="1"/>
    <row r="1844" ht="14.25" customHeight="1"/>
    <row r="1845" ht="14.25" customHeight="1"/>
    <row r="1846" ht="14.25" customHeight="1"/>
    <row r="1847" ht="14.25" customHeight="1"/>
    <row r="1848" ht="14.25" customHeight="1"/>
    <row r="1849" ht="14.25" customHeight="1"/>
    <row r="1850" ht="14.25" customHeight="1"/>
    <row r="1851" ht="14.25" customHeight="1"/>
    <row r="1852" ht="14.25" customHeight="1"/>
    <row r="1853" ht="14.25" customHeight="1"/>
    <row r="1854" ht="14.25" customHeight="1"/>
    <row r="1855" ht="14.25" customHeight="1"/>
    <row r="1856" ht="14.25" customHeight="1"/>
    <row r="1857" ht="14.25" customHeight="1"/>
    <row r="1858" ht="14.25" customHeight="1"/>
    <row r="1859" ht="14.25" customHeight="1"/>
    <row r="1860" ht="14.25" customHeight="1"/>
    <row r="1861" ht="14.25" customHeight="1"/>
    <row r="1862" ht="14.25" customHeight="1"/>
    <row r="1863" ht="14.25" customHeight="1"/>
    <row r="1864" ht="14.25" customHeight="1"/>
    <row r="1865" ht="14.25" customHeight="1"/>
    <row r="1866" ht="14.25" customHeight="1"/>
    <row r="1867" ht="14.25" customHeight="1"/>
    <row r="1868" ht="14.25" customHeight="1"/>
    <row r="1869" ht="14.25" customHeight="1"/>
    <row r="1870" ht="14.25" customHeight="1"/>
    <row r="1871" ht="14.25" customHeight="1"/>
    <row r="1872" ht="14.25" customHeight="1"/>
    <row r="1873" ht="14.25" customHeight="1"/>
    <row r="1874" ht="14.25" customHeight="1"/>
    <row r="1875" ht="14.25" customHeight="1"/>
    <row r="1876" ht="14.25" customHeight="1"/>
    <row r="1877" ht="14.25" customHeight="1"/>
    <row r="1878" ht="14.25" customHeight="1"/>
    <row r="1879" ht="14.25" customHeight="1"/>
    <row r="1880" ht="14.25" customHeight="1"/>
    <row r="1881" ht="14.25" customHeight="1"/>
    <row r="1882" ht="14.25" customHeight="1"/>
    <row r="1883" ht="14.25" customHeight="1"/>
    <row r="1884" ht="14.25" customHeight="1"/>
    <row r="1885" ht="14.25" customHeight="1"/>
    <row r="1886" ht="14.25" customHeight="1"/>
    <row r="1887" ht="14.25" customHeight="1"/>
    <row r="1888" ht="14.25" customHeight="1"/>
    <row r="1889" ht="14.25" customHeight="1"/>
    <row r="1890" ht="14.25" customHeight="1"/>
    <row r="1891" ht="14.25" customHeight="1"/>
    <row r="1892" ht="14.25" customHeight="1"/>
    <row r="1893" ht="14.25" customHeight="1"/>
    <row r="1894" ht="14.25" customHeight="1"/>
    <row r="1895" ht="14.25" customHeight="1"/>
    <row r="1896" ht="14.25" customHeight="1"/>
    <row r="1897" ht="14.25" customHeight="1"/>
    <row r="1898" ht="14.25" customHeight="1"/>
    <row r="1899" ht="14.25" customHeight="1"/>
    <row r="1900" ht="14.25" customHeight="1"/>
    <row r="1901" ht="14.25" customHeight="1"/>
    <row r="1902" ht="14.25" customHeight="1"/>
    <row r="1903" ht="14.25" customHeight="1"/>
    <row r="1904" ht="14.25" customHeight="1"/>
    <row r="1905" ht="14.25" customHeight="1"/>
    <row r="1906" ht="14.25" customHeight="1"/>
    <row r="1907" ht="14.25" customHeight="1"/>
    <row r="1908" ht="14.25" customHeight="1"/>
    <row r="1909" ht="14.25" customHeight="1"/>
    <row r="1910" ht="14.25" customHeight="1"/>
    <row r="1911" ht="14.25" customHeight="1"/>
    <row r="1912" ht="14.25" customHeight="1"/>
    <row r="1913" ht="14.25" customHeight="1"/>
    <row r="1914" ht="14.25" customHeight="1"/>
    <row r="1915" ht="14.25" customHeight="1"/>
    <row r="1916" ht="14.25" customHeight="1"/>
    <row r="1917" ht="14.25" customHeight="1"/>
    <row r="1918" ht="14.25" customHeight="1"/>
    <row r="1919" ht="14.25" customHeight="1"/>
    <row r="1920" ht="14.25" customHeight="1"/>
    <row r="1921" ht="14.25" customHeight="1"/>
    <row r="1922" ht="14.25" customHeight="1"/>
    <row r="1923" ht="14.25" customHeight="1"/>
    <row r="1924" ht="14.25" customHeight="1"/>
    <row r="1925" ht="14.25" customHeight="1"/>
    <row r="1926" ht="14.25" customHeight="1"/>
    <row r="1927" ht="14.25" customHeight="1"/>
    <row r="1928" ht="14.25" customHeight="1"/>
    <row r="1929" ht="14.25" customHeight="1"/>
    <row r="1930" ht="14.25" customHeight="1"/>
    <row r="1931" ht="14.25" customHeight="1"/>
    <row r="1932" ht="14.25" customHeight="1"/>
    <row r="1933" ht="14.25" customHeight="1"/>
    <row r="1934" ht="14.25" customHeight="1"/>
    <row r="1935" ht="14.25" customHeight="1"/>
    <row r="1936" ht="14.25" customHeight="1"/>
    <row r="1937" ht="14.25" customHeight="1"/>
    <row r="1938" ht="14.25" customHeight="1"/>
    <row r="1939" ht="14.25" customHeight="1"/>
    <row r="1940" ht="14.25" customHeight="1"/>
    <row r="1941" ht="14.25" customHeight="1"/>
    <row r="1942" ht="14.25" customHeight="1"/>
    <row r="1943" ht="14.25" customHeight="1"/>
    <row r="1944" ht="14.25" customHeight="1"/>
    <row r="1945" ht="14.25" customHeight="1"/>
    <row r="1946" ht="14.25" customHeight="1"/>
    <row r="1947" ht="14.25" customHeight="1"/>
    <row r="1948" ht="14.25" customHeight="1"/>
    <row r="1949" ht="14.25" customHeight="1"/>
    <row r="1950" ht="14.25" customHeight="1"/>
    <row r="1951" ht="14.25" customHeight="1"/>
    <row r="1952" ht="14.25" customHeight="1"/>
    <row r="1953" ht="14.25" customHeight="1"/>
    <row r="1954" ht="14.25" customHeight="1"/>
    <row r="1955" ht="14.25" customHeight="1"/>
    <row r="1956" ht="14.25" customHeight="1"/>
    <row r="1957" ht="14.25" customHeight="1"/>
    <row r="1958" ht="14.25" customHeight="1"/>
    <row r="1959" ht="14.25" customHeight="1"/>
    <row r="1960" ht="14.25" customHeight="1"/>
    <row r="1961" ht="14.25" customHeight="1"/>
    <row r="1962" ht="14.25" customHeight="1"/>
    <row r="1963" ht="14.25" customHeight="1"/>
    <row r="1964" ht="14.25" customHeight="1"/>
    <row r="1965" ht="14.25" customHeight="1"/>
    <row r="1966" ht="14.25" customHeight="1"/>
    <row r="1967" ht="14.25" customHeight="1"/>
    <row r="1968" ht="14.25" customHeight="1"/>
    <row r="1969" ht="14.25" customHeight="1"/>
    <row r="1970" ht="14.25" customHeight="1"/>
    <row r="1971" ht="14.25" customHeight="1"/>
    <row r="1972" ht="14.25" customHeight="1"/>
    <row r="1973" ht="14.25" customHeight="1"/>
    <row r="1974" ht="14.25" customHeight="1"/>
    <row r="1975" ht="14.25" customHeight="1"/>
    <row r="1976" ht="14.25" customHeight="1"/>
    <row r="1977" ht="14.25" customHeight="1"/>
    <row r="1978" ht="14.25" customHeight="1"/>
    <row r="1979" ht="14.25" customHeight="1"/>
    <row r="1980" ht="14.25" customHeight="1"/>
    <row r="1981" ht="14.25" customHeight="1"/>
    <row r="1982" ht="14.25" customHeight="1"/>
    <row r="1983" ht="14.25" customHeight="1"/>
    <row r="1984" ht="14.25" customHeight="1"/>
    <row r="1985" ht="14.25" customHeight="1"/>
    <row r="1986" ht="14.25" customHeight="1"/>
    <row r="1987" ht="14.25" customHeight="1"/>
    <row r="1988" ht="14.25" customHeight="1"/>
    <row r="1989" ht="14.25" customHeight="1"/>
    <row r="1990" ht="14.25" customHeight="1"/>
    <row r="1991" ht="14.25" customHeight="1"/>
    <row r="1992" ht="14.25" customHeight="1"/>
    <row r="1993" ht="14.25" customHeight="1"/>
    <row r="1994" ht="14.25" customHeight="1"/>
    <row r="1995" ht="14.25" customHeight="1"/>
    <row r="1996" ht="14.25" customHeight="1"/>
    <row r="1997" ht="14.25" customHeight="1"/>
    <row r="1998" ht="14.25" customHeight="1"/>
    <row r="1999" ht="14.25" customHeight="1"/>
    <row r="2000" ht="14.25" customHeight="1"/>
    <row r="2001" ht="14.25" customHeight="1"/>
    <row r="2002" ht="14.25" customHeight="1"/>
    <row r="2003" ht="14.25" customHeight="1"/>
    <row r="2004" ht="14.25" customHeight="1"/>
    <row r="2005" ht="14.25" customHeight="1"/>
    <row r="2006" ht="14.25" customHeight="1"/>
    <row r="2007" ht="14.25" customHeight="1"/>
    <row r="2008" ht="14.25" customHeight="1"/>
    <row r="2009" ht="14.25" customHeight="1"/>
    <row r="2010" ht="14.25" customHeight="1"/>
    <row r="2011" ht="14.25" customHeight="1"/>
    <row r="2012" ht="14.25" customHeight="1"/>
    <row r="2013" ht="14.25" customHeight="1"/>
    <row r="2014" ht="14.25" customHeight="1"/>
    <row r="2015" ht="14.25" customHeight="1"/>
    <row r="2016" ht="14.25" customHeight="1"/>
    <row r="2017" ht="14.25" customHeight="1"/>
    <row r="2018" ht="14.25" customHeight="1"/>
    <row r="2019" ht="14.25" customHeight="1"/>
    <row r="2020" ht="14.25" customHeight="1"/>
    <row r="2021" ht="14.25" customHeight="1"/>
    <row r="2022" ht="14.25" customHeight="1"/>
    <row r="2023" ht="14.25" customHeight="1"/>
    <row r="2024" ht="14.25" customHeight="1"/>
    <row r="2025" ht="14.25" customHeight="1"/>
    <row r="2026" ht="14.25" customHeight="1"/>
    <row r="2027" ht="14.25" customHeight="1"/>
    <row r="2028" ht="14.25" customHeight="1"/>
    <row r="2029" ht="14.25" customHeight="1"/>
    <row r="2030" ht="14.25" customHeight="1"/>
    <row r="2031" ht="14.25" customHeight="1"/>
    <row r="2032" ht="14.25" customHeight="1"/>
    <row r="2033" ht="14.25" customHeight="1"/>
    <row r="2034" ht="14.25" customHeight="1"/>
    <row r="2035" ht="14.25" customHeight="1"/>
    <row r="2036" ht="14.25" customHeight="1"/>
    <row r="2037" ht="14.25" customHeight="1"/>
    <row r="2038" ht="14.25" customHeight="1"/>
    <row r="2039" ht="14.25" customHeight="1"/>
    <row r="2040" ht="14.25" customHeight="1"/>
    <row r="2041" ht="14.25" customHeight="1"/>
    <row r="2042" ht="14.25" customHeight="1"/>
    <row r="2043" ht="14.25" customHeight="1"/>
    <row r="2044" ht="14.25" customHeight="1"/>
    <row r="2045" ht="14.25" customHeight="1"/>
    <row r="2046" ht="14.25" customHeight="1"/>
    <row r="2047" ht="14.25" customHeight="1"/>
    <row r="2048" ht="14.25" customHeight="1"/>
    <row r="2049" ht="14.25" customHeight="1"/>
    <row r="2050" ht="14.25" customHeight="1"/>
    <row r="2051" ht="14.25" customHeight="1"/>
    <row r="2052" ht="14.25" customHeight="1"/>
    <row r="2053" ht="14.25" customHeight="1"/>
    <row r="2054" ht="14.25" customHeight="1"/>
    <row r="2055" ht="14.25" customHeight="1"/>
    <row r="2056" ht="14.25" customHeight="1"/>
    <row r="2057" ht="14.25" customHeight="1"/>
    <row r="2058" ht="14.25" customHeight="1"/>
    <row r="2059" ht="14.25" customHeight="1"/>
    <row r="2060" ht="14.25" customHeight="1"/>
    <row r="2061" ht="14.25" customHeight="1"/>
    <row r="2062" ht="14.25" customHeight="1"/>
    <row r="2063" ht="14.25" customHeight="1"/>
    <row r="2064" ht="14.25" customHeight="1"/>
    <row r="2065" ht="14.25" customHeight="1"/>
    <row r="2066" ht="14.25" customHeight="1"/>
    <row r="2067" ht="14.25" customHeight="1"/>
    <row r="2068" ht="14.25" customHeight="1"/>
    <row r="2069" ht="14.25" customHeight="1"/>
    <row r="2070" ht="14.25" customHeight="1"/>
    <row r="2071" ht="14.25" customHeight="1"/>
    <row r="2072" ht="14.25" customHeight="1"/>
    <row r="2073" ht="14.25" customHeight="1"/>
    <row r="2074" ht="14.25" customHeight="1"/>
    <row r="2075" ht="14.25" customHeight="1"/>
    <row r="2076" ht="14.25" customHeight="1"/>
    <row r="2077" ht="14.25" customHeight="1"/>
    <row r="2078" ht="14.25" customHeight="1"/>
    <row r="2079" ht="14.25" customHeight="1"/>
    <row r="2080" ht="14.25" customHeight="1"/>
    <row r="2081" ht="14.25" customHeight="1"/>
    <row r="2082" ht="14.25" customHeight="1"/>
    <row r="2083" ht="14.25" customHeight="1"/>
    <row r="2084" ht="14.25" customHeight="1"/>
    <row r="2085" ht="14.25" customHeight="1"/>
    <row r="2086" ht="14.25" customHeight="1"/>
    <row r="2087" ht="14.25" customHeight="1"/>
    <row r="2088" ht="14.25" customHeight="1"/>
    <row r="2089" ht="14.25" customHeight="1"/>
    <row r="2090" ht="14.25" customHeight="1"/>
    <row r="2091" ht="14.25" customHeight="1"/>
    <row r="2092" ht="14.25" customHeight="1"/>
    <row r="2093" ht="14.25" customHeight="1"/>
    <row r="2094" ht="14.25" customHeight="1"/>
    <row r="2095" ht="14.25" customHeight="1"/>
    <row r="2096" ht="14.25" customHeight="1"/>
    <row r="2097" ht="14.25" customHeight="1"/>
    <row r="2098" ht="14.25" customHeight="1"/>
    <row r="2099" ht="14.25" customHeight="1"/>
    <row r="2100" ht="14.25" customHeight="1"/>
    <row r="2101" ht="14.25" customHeight="1"/>
    <row r="2102" ht="14.25" customHeight="1"/>
    <row r="2103" ht="14.25" customHeight="1"/>
    <row r="2104" ht="14.25" customHeight="1"/>
    <row r="2105" ht="14.25" customHeight="1"/>
    <row r="2106" ht="14.25" customHeight="1"/>
    <row r="2107" ht="14.25" customHeight="1"/>
    <row r="2108" ht="14.25" customHeight="1"/>
    <row r="2109" ht="14.25" customHeight="1"/>
    <row r="2110" ht="14.25" customHeight="1"/>
    <row r="2111" ht="14.25" customHeight="1"/>
    <row r="2112" ht="14.25" customHeight="1"/>
    <row r="2113" ht="14.25" customHeight="1"/>
    <row r="2114" ht="14.25" customHeight="1"/>
    <row r="2115" ht="14.25" customHeight="1"/>
    <row r="2116" ht="14.25" customHeight="1"/>
    <row r="2117" ht="14.25" customHeight="1"/>
    <row r="2118" ht="14.25" customHeight="1"/>
    <row r="2119" ht="14.25" customHeight="1"/>
    <row r="2120" ht="14.25" customHeight="1"/>
    <row r="2121" ht="14.25" customHeight="1"/>
    <row r="2122" ht="14.25" customHeight="1"/>
    <row r="2123" ht="14.25" customHeight="1"/>
    <row r="2124" ht="14.25" customHeight="1"/>
    <row r="2125" ht="14.25" customHeight="1"/>
    <row r="2126" ht="14.25" customHeight="1"/>
    <row r="2127" ht="14.25" customHeight="1"/>
    <row r="2128" ht="14.25" customHeight="1"/>
    <row r="2129" ht="14.25" customHeight="1"/>
    <row r="2130" ht="14.25" customHeight="1"/>
    <row r="2131" ht="14.25" customHeight="1"/>
    <row r="2132" ht="14.25" customHeight="1"/>
    <row r="2133" ht="14.25" customHeight="1"/>
    <row r="2134" ht="14.25" customHeight="1"/>
    <row r="2135" ht="14.25" customHeight="1"/>
    <row r="2136" ht="14.25" customHeight="1"/>
    <row r="2137" ht="14.25" customHeight="1"/>
    <row r="2138" ht="14.25" customHeight="1"/>
    <row r="2139" ht="14.25" customHeight="1"/>
    <row r="2140" ht="14.25" customHeight="1"/>
    <row r="2141" ht="14.25" customHeight="1"/>
    <row r="2142" ht="14.25" customHeight="1"/>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58" ht="14.25" customHeight="1"/>
    <row r="2159" ht="14.25" customHeight="1"/>
    <row r="2160" ht="14.25" customHeight="1"/>
    <row r="2161"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7" ht="14.25" customHeight="1"/>
    <row r="2178"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8" ht="14.25" customHeight="1"/>
    <row r="2189" ht="14.25" customHeight="1"/>
    <row r="2190" ht="14.25" customHeight="1"/>
    <row r="2191" ht="14.25" customHeight="1"/>
    <row r="2192" ht="14.25" customHeight="1"/>
    <row r="2193" ht="14.25" customHeight="1"/>
    <row r="2194" ht="14.25" customHeight="1"/>
    <row r="2195" ht="14.25" customHeight="1"/>
    <row r="2196" ht="14.25" customHeight="1"/>
    <row r="2197" ht="14.25" customHeight="1"/>
    <row r="2198" ht="14.25" customHeight="1"/>
    <row r="2199" ht="14.25" customHeight="1"/>
    <row r="2200" ht="14.25" customHeight="1"/>
    <row r="2201" ht="14.25" customHeight="1"/>
    <row r="2202" ht="14.25" customHeight="1"/>
    <row r="2203" ht="14.25" customHeight="1"/>
    <row r="2204" ht="14.25" customHeight="1"/>
    <row r="2205" ht="14.25" customHeight="1"/>
    <row r="2206" ht="14.25" customHeight="1"/>
    <row r="2207" ht="14.25" customHeight="1"/>
    <row r="2208" ht="14.25" customHeight="1"/>
    <row r="2209" ht="14.25" customHeight="1"/>
    <row r="2210" ht="14.25" customHeight="1"/>
    <row r="2211" ht="14.25" customHeight="1"/>
    <row r="2212" ht="14.25" customHeight="1"/>
    <row r="2213" ht="14.25" customHeight="1"/>
    <row r="2214" ht="14.25" customHeight="1"/>
    <row r="2215" ht="14.25" customHeight="1"/>
    <row r="2216" ht="14.25" customHeight="1"/>
    <row r="2217" ht="14.25" customHeight="1"/>
    <row r="2218" ht="14.25" customHeight="1"/>
    <row r="2219" ht="14.25" customHeight="1"/>
    <row r="2220" ht="14.25" customHeight="1"/>
    <row r="2221" ht="14.25" customHeight="1"/>
    <row r="2222" ht="14.25" customHeight="1"/>
    <row r="2223" ht="14.25" customHeight="1"/>
    <row r="2224" ht="14.25" customHeight="1"/>
    <row r="2225" ht="14.25" customHeight="1"/>
    <row r="2226" ht="14.25" customHeight="1"/>
    <row r="2227" ht="14.25" customHeight="1"/>
    <row r="2228" ht="14.25" customHeight="1"/>
    <row r="2229" ht="14.25" customHeight="1"/>
    <row r="2230" ht="14.25" customHeight="1"/>
    <row r="2231" ht="14.25" customHeight="1"/>
    <row r="2232" ht="14.25" customHeight="1"/>
    <row r="2233" ht="14.25" customHeight="1"/>
    <row r="2234" ht="14.25" customHeight="1"/>
    <row r="2235" ht="14.25" customHeight="1"/>
    <row r="2236" ht="14.25" customHeight="1"/>
    <row r="2237" ht="14.25" customHeight="1"/>
    <row r="2238" ht="14.25" customHeight="1"/>
    <row r="2239" ht="14.25" customHeight="1"/>
    <row r="2240" ht="14.25" customHeight="1"/>
    <row r="2241" ht="14.25" customHeight="1"/>
    <row r="2242" ht="14.25" customHeight="1"/>
    <row r="2243" ht="14.25" customHeight="1"/>
    <row r="2244" ht="14.25" customHeight="1"/>
    <row r="2245" ht="14.25" customHeight="1"/>
    <row r="2246" ht="14.25" customHeight="1"/>
    <row r="2247" ht="14.25" customHeight="1"/>
    <row r="2248" ht="14.25" customHeight="1"/>
    <row r="2249" ht="14.25" customHeight="1"/>
    <row r="2250" ht="14.25" customHeight="1"/>
    <row r="2251" ht="14.25" customHeight="1"/>
    <row r="2252" ht="14.25" customHeight="1"/>
    <row r="2253" ht="14.25" customHeight="1"/>
    <row r="2254" ht="14.25" customHeight="1"/>
    <row r="2255" ht="14.25" customHeight="1"/>
    <row r="2256" ht="14.25" customHeight="1"/>
    <row r="2257" ht="14.25" customHeight="1"/>
    <row r="2258" ht="14.25" customHeight="1"/>
    <row r="2259" ht="14.25" customHeight="1"/>
    <row r="2260" ht="14.25" customHeight="1"/>
    <row r="2261" ht="14.25" customHeight="1"/>
    <row r="2262" ht="14.25" customHeight="1"/>
    <row r="2263" ht="14.25" customHeight="1"/>
    <row r="2264" ht="14.25" customHeight="1"/>
    <row r="2265" ht="14.25" customHeight="1"/>
    <row r="2266" ht="14.25" customHeight="1"/>
    <row r="2267" ht="14.25" customHeight="1"/>
    <row r="2268" ht="14.25" customHeight="1"/>
    <row r="2269" ht="14.25" customHeight="1"/>
    <row r="2270" ht="14.25" customHeight="1"/>
    <row r="2271"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6" ht="14.25" customHeight="1"/>
    <row r="2287"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row r="2302" ht="14.25" customHeight="1"/>
    <row r="2303" ht="14.25" customHeight="1"/>
    <row r="2304" ht="14.25" customHeight="1"/>
    <row r="2305" ht="14.25" customHeight="1"/>
    <row r="2306" ht="14.25" customHeight="1"/>
    <row r="2307" ht="14.25" customHeight="1"/>
    <row r="2308" ht="14.25" customHeight="1"/>
    <row r="2309" ht="14.25" customHeight="1"/>
    <row r="2310" ht="14.25" customHeight="1"/>
    <row r="2311" ht="14.25" customHeight="1"/>
    <row r="2312" ht="14.25" customHeight="1"/>
    <row r="2313" ht="14.25" customHeight="1"/>
    <row r="2314" ht="14.25" customHeight="1"/>
    <row r="2315" ht="14.25" customHeight="1"/>
    <row r="2316" ht="14.25" customHeight="1"/>
    <row r="2317" ht="14.25" customHeight="1"/>
    <row r="2318" ht="14.25" customHeight="1"/>
    <row r="2319" ht="14.25" customHeight="1"/>
    <row r="2320" ht="14.25" customHeight="1"/>
    <row r="2321" ht="14.25" customHeight="1"/>
    <row r="2322" ht="14.25" customHeight="1"/>
    <row r="2323" ht="14.25" customHeight="1"/>
    <row r="2324" ht="14.25" customHeight="1"/>
    <row r="2325" ht="14.25" customHeight="1"/>
    <row r="2326" ht="14.25" customHeight="1"/>
    <row r="2327" ht="14.25" customHeight="1"/>
    <row r="2328" ht="14.25" customHeight="1"/>
    <row r="2329" ht="14.25" customHeight="1"/>
    <row r="2330" ht="14.25" customHeight="1"/>
    <row r="2331" ht="14.25" customHeight="1"/>
    <row r="2332" ht="14.25" customHeight="1"/>
    <row r="2333" ht="14.25" customHeight="1"/>
    <row r="2334" ht="14.25" customHeight="1"/>
    <row r="2335" ht="14.25" customHeight="1"/>
    <row r="2336" ht="14.25" customHeight="1"/>
    <row r="2337" ht="14.25" customHeight="1"/>
    <row r="2338" ht="14.25" customHeight="1"/>
    <row r="2339" ht="14.25" customHeight="1"/>
    <row r="2340" ht="14.25" customHeight="1"/>
    <row r="2341" ht="14.25" customHeight="1"/>
    <row r="2342" ht="14.25" customHeight="1"/>
    <row r="2343" ht="14.25" customHeight="1"/>
    <row r="2344" ht="14.25" customHeight="1"/>
    <row r="2345" ht="14.25" customHeight="1"/>
    <row r="2346" ht="14.25" customHeight="1"/>
    <row r="2347" ht="14.25" customHeight="1"/>
    <row r="2348" ht="14.25" customHeight="1"/>
    <row r="2349" ht="14.25" customHeight="1"/>
    <row r="2350" ht="14.25" customHeight="1"/>
    <row r="2351" ht="14.25" customHeight="1"/>
    <row r="2352" ht="14.25" customHeight="1"/>
    <row r="2353" ht="14.25" customHeight="1"/>
    <row r="2354" ht="14.25" customHeight="1"/>
    <row r="2355" ht="14.25" customHeight="1"/>
    <row r="2356" ht="14.25" customHeight="1"/>
    <row r="2357" ht="14.25" customHeight="1"/>
    <row r="2358" ht="14.25" customHeight="1"/>
    <row r="2359" ht="14.25" customHeight="1"/>
    <row r="2360" ht="14.25" customHeight="1"/>
    <row r="2361" ht="14.25" customHeight="1"/>
    <row r="2362" ht="14.25" customHeight="1"/>
    <row r="2363" ht="14.25" customHeight="1"/>
    <row r="2364" ht="14.25" customHeight="1"/>
    <row r="2365" ht="14.25" customHeight="1"/>
    <row r="2366" ht="14.25" customHeight="1"/>
    <row r="2367" ht="14.25" customHeight="1"/>
    <row r="2368" ht="14.25" customHeight="1"/>
    <row r="2369" ht="14.25" customHeight="1"/>
    <row r="2370" ht="14.25" customHeight="1"/>
    <row r="2371" ht="14.25" customHeight="1"/>
    <row r="2372" ht="14.25" customHeight="1"/>
    <row r="2373" ht="14.25" customHeight="1"/>
    <row r="2374" ht="14.25" customHeight="1"/>
    <row r="2375" ht="14.25" customHeight="1"/>
    <row r="2376" ht="14.25" customHeight="1"/>
    <row r="2377" ht="14.25" customHeight="1"/>
    <row r="2378" ht="14.25" customHeight="1"/>
    <row r="2379" ht="14.25" customHeight="1"/>
    <row r="2380" ht="14.25" customHeight="1"/>
    <row r="2381" ht="14.25" customHeight="1"/>
    <row r="2382" ht="14.25" customHeight="1"/>
    <row r="2383" ht="14.25" customHeight="1"/>
    <row r="2384" ht="14.25" customHeight="1"/>
    <row r="2385" ht="14.25" customHeight="1"/>
    <row r="2386" ht="14.25" customHeight="1"/>
    <row r="2387" ht="14.25" customHeight="1"/>
    <row r="2388" ht="14.25" customHeight="1"/>
    <row r="2389" ht="14.25" customHeight="1"/>
    <row r="2390" ht="14.25" customHeight="1"/>
    <row r="2391" ht="14.25" customHeight="1"/>
    <row r="2392" ht="14.25" customHeight="1"/>
    <row r="2393" ht="14.25" customHeight="1"/>
    <row r="2394" ht="14.25" customHeight="1"/>
    <row r="2395" ht="14.25" customHeight="1"/>
    <row r="2396" ht="14.25" customHeight="1"/>
    <row r="2397" ht="14.25" customHeight="1"/>
    <row r="2398" ht="14.25" customHeight="1"/>
    <row r="2399" ht="14.25" customHeight="1"/>
    <row r="2400" ht="14.25" customHeight="1"/>
    <row r="2401" ht="14.25" customHeight="1"/>
    <row r="2402" ht="14.25" customHeight="1"/>
    <row r="2403" ht="14.25" customHeight="1"/>
    <row r="2404" ht="14.25" customHeight="1"/>
    <row r="2405" ht="14.25" customHeight="1"/>
    <row r="2406" ht="14.25" customHeight="1"/>
    <row r="2407" ht="14.25" customHeight="1"/>
    <row r="2408" ht="14.25" customHeight="1"/>
    <row r="2409" ht="14.25" customHeight="1"/>
    <row r="2410" ht="14.25" customHeight="1"/>
    <row r="2411" ht="14.25" customHeight="1"/>
    <row r="2412" ht="14.25" customHeight="1"/>
    <row r="2413" ht="14.25" customHeight="1"/>
    <row r="2414" ht="14.25" customHeight="1"/>
    <row r="2415" ht="14.25" customHeight="1"/>
    <row r="2416" ht="14.25" customHeight="1"/>
    <row r="2417" ht="14.25" customHeight="1"/>
    <row r="2418" ht="14.25" customHeight="1"/>
    <row r="2419" ht="14.25" customHeight="1"/>
    <row r="2420" ht="14.25" customHeight="1"/>
    <row r="2421" ht="14.25" customHeight="1"/>
    <row r="2422" ht="14.25" customHeight="1"/>
    <row r="2423" ht="14.25" customHeight="1"/>
    <row r="2424" ht="14.25" customHeight="1"/>
    <row r="2425" ht="14.25" customHeight="1"/>
    <row r="2426" ht="14.25" customHeight="1"/>
    <row r="2427" ht="14.25" customHeight="1"/>
    <row r="2428" ht="14.25" customHeight="1"/>
    <row r="2429" ht="14.25" customHeight="1"/>
    <row r="2430" ht="14.25" customHeight="1"/>
    <row r="2431" ht="14.25" customHeight="1"/>
    <row r="2432" ht="14.25" customHeight="1"/>
    <row r="2433" ht="14.25" customHeight="1"/>
    <row r="2434" ht="14.25" customHeight="1"/>
    <row r="2435" ht="14.25" customHeight="1"/>
    <row r="2436" ht="14.25" customHeight="1"/>
    <row r="2437" ht="14.25" customHeight="1"/>
    <row r="2438" ht="14.25" customHeight="1"/>
    <row r="2439" ht="14.25" customHeight="1"/>
    <row r="2440" ht="14.25" customHeight="1"/>
    <row r="2441" ht="14.25" customHeight="1"/>
    <row r="2442" ht="14.25" customHeight="1"/>
    <row r="2443" ht="14.25" customHeight="1"/>
    <row r="2444" ht="14.25" customHeight="1"/>
    <row r="2445" ht="14.25" customHeight="1"/>
    <row r="2446" ht="14.25" customHeight="1"/>
    <row r="2447" ht="14.25" customHeight="1"/>
    <row r="2448" ht="14.25" customHeight="1"/>
    <row r="2449" ht="14.25" customHeight="1"/>
    <row r="2450" ht="14.25" customHeight="1"/>
    <row r="2451" ht="14.25" customHeight="1"/>
    <row r="2452" ht="14.25" customHeight="1"/>
    <row r="2453" ht="14.25" customHeight="1"/>
    <row r="2454" ht="14.25" customHeight="1"/>
    <row r="2455" ht="14.25" customHeight="1"/>
    <row r="2456" ht="14.25" customHeight="1"/>
    <row r="2457" ht="14.25" customHeight="1"/>
    <row r="2458" ht="14.25" customHeight="1"/>
    <row r="2459" ht="14.25" customHeight="1"/>
    <row r="2460" ht="14.25" customHeight="1"/>
    <row r="2461" ht="14.25" customHeight="1"/>
    <row r="2462" ht="14.25" customHeight="1"/>
    <row r="2463" ht="14.25" customHeight="1"/>
    <row r="2464" ht="14.25" customHeight="1"/>
    <row r="2465" ht="14.25" customHeight="1"/>
    <row r="2466" ht="14.25" customHeight="1"/>
    <row r="2467" ht="14.25" customHeight="1"/>
    <row r="2468" ht="14.25" customHeight="1"/>
    <row r="2469" ht="14.25" customHeight="1"/>
    <row r="2470" ht="14.25" customHeight="1"/>
    <row r="2471" ht="14.25" customHeight="1"/>
    <row r="2472" ht="14.25" customHeight="1"/>
    <row r="2473" ht="14.25" customHeight="1"/>
    <row r="2474" ht="14.25" customHeight="1"/>
    <row r="2475" ht="14.25" customHeight="1"/>
    <row r="2476" ht="14.25" customHeight="1"/>
    <row r="2477" ht="14.25" customHeight="1"/>
    <row r="2478" ht="14.25" customHeight="1"/>
    <row r="2479" ht="14.25" customHeight="1"/>
    <row r="2480" ht="14.25" customHeight="1"/>
    <row r="2481" ht="14.25" customHeight="1"/>
    <row r="2482" ht="14.25" customHeight="1"/>
    <row r="2483" ht="14.25" customHeight="1"/>
    <row r="2484" ht="14.25" customHeight="1"/>
    <row r="2485" ht="14.25" customHeight="1"/>
    <row r="2486" ht="14.25" customHeight="1"/>
    <row r="2487" ht="14.25" customHeight="1"/>
    <row r="2488" ht="14.25" customHeight="1"/>
    <row r="2489" ht="14.25" customHeight="1"/>
    <row r="2490" ht="14.25" customHeight="1"/>
    <row r="2491" ht="14.25" customHeight="1"/>
    <row r="2492" ht="14.25" customHeight="1"/>
    <row r="2493" ht="14.25" customHeight="1"/>
    <row r="2494" ht="14.25" customHeight="1"/>
    <row r="2495" ht="14.25" customHeight="1"/>
    <row r="2496" ht="14.25" customHeight="1"/>
    <row r="2497" ht="14.25" customHeight="1"/>
    <row r="2498" ht="14.25" customHeight="1"/>
    <row r="2499" ht="14.25" customHeight="1"/>
    <row r="2500" ht="14.25" customHeight="1"/>
    <row r="2501" ht="14.25" customHeight="1"/>
    <row r="2502" ht="14.25" customHeight="1"/>
    <row r="2503" ht="14.25" customHeight="1"/>
    <row r="2504" ht="14.25" customHeight="1"/>
    <row r="2505" ht="14.25" customHeight="1"/>
    <row r="2506" ht="14.25" customHeight="1"/>
    <row r="2507" ht="14.25" customHeight="1"/>
    <row r="2508" ht="14.25" customHeight="1"/>
    <row r="2509" ht="14.25" customHeight="1"/>
    <row r="2510" ht="14.25" customHeight="1"/>
    <row r="2511" ht="14.25" customHeight="1"/>
    <row r="2512" ht="14.25" customHeight="1"/>
    <row r="2513" ht="14.25" customHeight="1"/>
    <row r="2514" ht="14.25" customHeight="1"/>
    <row r="2515" ht="14.25" customHeight="1"/>
    <row r="2516" ht="14.25" customHeight="1"/>
    <row r="2517" ht="14.25" customHeight="1"/>
    <row r="2518" ht="14.25" customHeight="1"/>
    <row r="2519" ht="14.25" customHeight="1"/>
    <row r="2520" ht="14.25" customHeight="1"/>
    <row r="2521" ht="14.25" customHeight="1"/>
    <row r="2522" ht="14.25" customHeight="1"/>
    <row r="2523" ht="14.25" customHeight="1"/>
    <row r="2524" ht="14.25" customHeight="1"/>
    <row r="2525" ht="14.25" customHeight="1"/>
    <row r="2526" ht="14.25" customHeight="1"/>
    <row r="2527" ht="14.25" customHeight="1"/>
    <row r="2528" ht="14.25" customHeight="1"/>
    <row r="2529" ht="14.25" customHeight="1"/>
    <row r="2530" ht="14.25" customHeight="1"/>
    <row r="2531" ht="14.25" customHeight="1"/>
    <row r="2532" ht="14.25" customHeight="1"/>
    <row r="2533" ht="14.25" customHeight="1"/>
    <row r="2534" ht="14.25" customHeight="1"/>
    <row r="2535" ht="14.25" customHeight="1"/>
    <row r="2536" ht="14.25" customHeight="1"/>
    <row r="2537" ht="14.25" customHeight="1"/>
    <row r="2538" ht="14.25" customHeight="1"/>
    <row r="2539" ht="14.25" customHeight="1"/>
    <row r="2540" ht="14.25" customHeight="1"/>
    <row r="2541" ht="14.25" customHeight="1"/>
    <row r="2542" ht="14.25" customHeight="1"/>
    <row r="2543" ht="14.25" customHeight="1"/>
    <row r="2544" ht="14.25" customHeight="1"/>
    <row r="2545" ht="14.25" customHeight="1"/>
    <row r="2546" ht="14.25" customHeight="1"/>
    <row r="2547" ht="14.25" customHeight="1"/>
    <row r="2548" ht="14.25" customHeight="1"/>
    <row r="2549" ht="14.25" customHeight="1"/>
    <row r="2550" ht="14.25" customHeight="1"/>
    <row r="2551" ht="14.25" customHeight="1"/>
    <row r="2552" ht="14.25" customHeight="1"/>
    <row r="2553" ht="14.25" customHeight="1"/>
    <row r="2554" ht="14.25" customHeight="1"/>
    <row r="2555" ht="14.25" customHeight="1"/>
    <row r="2556" ht="14.25" customHeight="1"/>
    <row r="2557" ht="14.25" customHeight="1"/>
    <row r="2558" ht="14.25" customHeight="1"/>
    <row r="2559" ht="14.25" customHeight="1"/>
    <row r="2560" ht="14.25" customHeight="1"/>
    <row r="2561" ht="14.25" customHeight="1"/>
    <row r="2562" ht="14.25" customHeight="1"/>
    <row r="2563" ht="14.25" customHeight="1"/>
    <row r="2564" ht="14.25" customHeight="1"/>
    <row r="2565" ht="14.25" customHeight="1"/>
    <row r="2566" ht="14.25" customHeight="1"/>
    <row r="2567" ht="14.25" customHeight="1"/>
    <row r="2568" ht="14.25" customHeight="1"/>
    <row r="2569" ht="14.25" customHeight="1"/>
    <row r="2570" ht="14.25" customHeight="1"/>
    <row r="2571" ht="14.25" customHeight="1"/>
    <row r="2572" ht="14.25" customHeight="1"/>
    <row r="2573" ht="14.25" customHeight="1"/>
    <row r="2574" ht="14.25" customHeight="1"/>
    <row r="2575" ht="14.25" customHeight="1"/>
    <row r="2576" ht="14.25" customHeight="1"/>
    <row r="2577" ht="14.25" customHeight="1"/>
    <row r="2578" ht="14.25" customHeight="1"/>
    <row r="2579" ht="14.25" customHeight="1"/>
    <row r="2580" ht="14.25" customHeight="1"/>
    <row r="2581" ht="14.25" customHeight="1"/>
    <row r="2582" ht="14.25" customHeight="1"/>
    <row r="2583" ht="14.25" customHeight="1"/>
    <row r="2584" ht="14.25" customHeight="1"/>
    <row r="2585" ht="14.25" customHeight="1"/>
    <row r="2586" ht="14.25" customHeight="1"/>
    <row r="2587" ht="14.25" customHeight="1"/>
    <row r="2588" ht="14.25" customHeight="1"/>
    <row r="2589" ht="14.25" customHeight="1"/>
    <row r="2590" ht="14.25" customHeight="1"/>
    <row r="2591" ht="14.25" customHeight="1"/>
    <row r="2592" ht="14.25" customHeight="1"/>
    <row r="2593" ht="14.25" customHeight="1"/>
    <row r="2594" ht="14.25" customHeight="1"/>
    <row r="2595" ht="14.25" customHeight="1"/>
    <row r="2596" ht="14.25" customHeight="1"/>
    <row r="2597" ht="14.25" customHeight="1"/>
    <row r="2598" ht="14.25" customHeight="1"/>
    <row r="2599" ht="14.25" customHeight="1"/>
    <row r="2600" ht="14.25" customHeight="1"/>
    <row r="2601" ht="14.25" customHeight="1"/>
    <row r="2602" ht="14.25" customHeight="1"/>
    <row r="2603" ht="14.25" customHeight="1"/>
    <row r="2604" ht="14.25" customHeight="1"/>
    <row r="2605" ht="14.25" customHeight="1"/>
    <row r="2606" ht="14.25" customHeight="1"/>
    <row r="2607" ht="14.25" customHeight="1"/>
    <row r="2608" ht="14.25" customHeight="1"/>
    <row r="2609" ht="14.25" customHeight="1"/>
    <row r="2610" ht="14.25" customHeight="1"/>
    <row r="2611" ht="14.25" customHeight="1"/>
    <row r="2612" ht="14.25" customHeight="1"/>
    <row r="2613" ht="14.25" customHeight="1"/>
    <row r="2614" ht="14.25" customHeight="1"/>
    <row r="2615" ht="14.25" customHeight="1"/>
    <row r="2616" ht="14.25" customHeight="1"/>
    <row r="2617" ht="14.25" customHeight="1"/>
    <row r="2618" ht="14.25" customHeight="1"/>
    <row r="2619" ht="14.25" customHeight="1"/>
    <row r="2620" ht="14.25" customHeight="1"/>
    <row r="2621" ht="14.25" customHeight="1"/>
    <row r="2622" ht="14.25" customHeight="1"/>
    <row r="2623" ht="14.25" customHeight="1"/>
    <row r="2624" ht="14.25" customHeight="1"/>
    <row r="2625" ht="14.25" customHeight="1"/>
    <row r="2626" ht="14.25" customHeight="1"/>
    <row r="2627" ht="14.25" customHeight="1"/>
    <row r="2628" ht="14.25" customHeight="1"/>
    <row r="2629" ht="14.25" customHeight="1"/>
    <row r="2630" ht="14.25" customHeight="1"/>
    <row r="2631" ht="14.25" customHeight="1"/>
    <row r="2632" ht="14.25" customHeight="1"/>
    <row r="2633" ht="14.25" customHeight="1"/>
    <row r="2634" ht="14.25" customHeight="1"/>
    <row r="2635" ht="14.25" customHeight="1"/>
    <row r="2636" ht="14.25" customHeight="1"/>
    <row r="2637" ht="14.25" customHeight="1"/>
    <row r="2638" ht="14.25" customHeight="1"/>
    <row r="2639" ht="14.25" customHeight="1"/>
    <row r="2640" ht="14.25" customHeight="1"/>
    <row r="2641" ht="14.25" customHeight="1"/>
    <row r="2642" ht="14.25" customHeight="1"/>
    <row r="2643" ht="14.25" customHeight="1"/>
    <row r="2644" ht="14.25" customHeight="1"/>
    <row r="2645" ht="14.25" customHeight="1"/>
    <row r="2646" ht="14.25" customHeight="1"/>
    <row r="2647" ht="14.25" customHeight="1"/>
    <row r="2648" ht="14.25" customHeight="1"/>
    <row r="2649" ht="14.25" customHeight="1"/>
    <row r="2650" ht="14.25" customHeight="1"/>
    <row r="2651" ht="14.25" customHeight="1"/>
    <row r="2652" ht="14.25" customHeight="1"/>
    <row r="2653" ht="14.25" customHeight="1"/>
    <row r="2654" ht="14.25" customHeight="1"/>
    <row r="2655" ht="14.25" customHeight="1"/>
    <row r="2656" ht="14.25" customHeight="1"/>
    <row r="2657" ht="14.25" customHeight="1"/>
    <row r="2658" ht="14.25" customHeight="1"/>
    <row r="2659" ht="14.25" customHeight="1"/>
    <row r="2660" ht="14.25" customHeight="1"/>
    <row r="2661" ht="14.25" customHeight="1"/>
    <row r="2662" ht="14.25" customHeight="1"/>
    <row r="2663" ht="14.25" customHeight="1"/>
    <row r="2664" ht="14.25" customHeight="1"/>
    <row r="2665" ht="14.25" customHeight="1"/>
    <row r="2666" ht="14.25" customHeight="1"/>
    <row r="2667" ht="14.25" customHeight="1"/>
    <row r="2668" ht="14.25" customHeight="1"/>
    <row r="2669" ht="14.25" customHeight="1"/>
    <row r="2670" ht="14.25" customHeight="1"/>
    <row r="2671" ht="14.25" customHeight="1"/>
    <row r="2672" ht="14.25" customHeight="1"/>
    <row r="2673" ht="14.25" customHeight="1"/>
    <row r="2674" ht="14.25" customHeight="1"/>
    <row r="2675" ht="14.25" customHeight="1"/>
    <row r="2676" ht="14.25" customHeight="1"/>
    <row r="2677" ht="14.25" customHeight="1"/>
    <row r="2678" ht="14.25" customHeight="1"/>
    <row r="2679" ht="14.25" customHeight="1"/>
    <row r="2680" ht="14.25" customHeight="1"/>
    <row r="2681" ht="14.25" customHeight="1"/>
    <row r="2682" ht="14.25" customHeight="1"/>
    <row r="2683" ht="14.25" customHeight="1"/>
    <row r="2684" ht="14.25" customHeight="1"/>
    <row r="2685" ht="14.25" customHeight="1"/>
    <row r="2686" ht="14.25" customHeight="1"/>
    <row r="2687" ht="14.25" customHeight="1"/>
    <row r="2688" ht="14.25" customHeight="1"/>
    <row r="2689" ht="14.25" customHeight="1"/>
    <row r="2690" ht="14.25" customHeight="1"/>
    <row r="2691" ht="14.25" customHeight="1"/>
    <row r="2692" ht="14.25" customHeight="1"/>
    <row r="2693" ht="14.25" customHeight="1"/>
    <row r="2694" ht="14.25" customHeight="1"/>
    <row r="2695" ht="14.25" customHeight="1"/>
    <row r="2696" ht="14.25" customHeight="1"/>
    <row r="2697" ht="14.25" customHeight="1"/>
    <row r="2698" ht="14.25" customHeight="1"/>
    <row r="2699" ht="14.25" customHeight="1"/>
    <row r="2700" ht="14.25" customHeight="1"/>
    <row r="2701" ht="14.25" customHeight="1"/>
    <row r="2702" ht="14.25" customHeight="1"/>
    <row r="2703" ht="14.25" customHeight="1"/>
    <row r="2704" ht="14.25" customHeight="1"/>
    <row r="2705" ht="14.25" customHeight="1"/>
    <row r="2706" ht="14.25" customHeight="1"/>
    <row r="2707" ht="14.25" customHeight="1"/>
    <row r="2708" ht="14.25" customHeight="1"/>
    <row r="2709" ht="14.25" customHeight="1"/>
    <row r="2710" ht="14.25" customHeight="1"/>
    <row r="2711" ht="14.25" customHeight="1"/>
    <row r="2712" ht="14.25" customHeight="1"/>
    <row r="2713" ht="14.25" customHeight="1"/>
    <row r="2714" ht="14.25" customHeight="1"/>
    <row r="2715" ht="14.25" customHeight="1"/>
    <row r="2716" ht="14.25" customHeight="1"/>
    <row r="2717" ht="14.25" customHeight="1"/>
    <row r="2718" ht="14.25" customHeight="1"/>
    <row r="2719" ht="14.25" customHeight="1"/>
    <row r="2720" ht="14.25" customHeight="1"/>
    <row r="2721" ht="14.25" customHeight="1"/>
    <row r="2722" ht="14.25" customHeight="1"/>
    <row r="2723" ht="14.25" customHeight="1"/>
    <row r="2724" ht="14.25" customHeight="1"/>
    <row r="2725" ht="14.25" customHeight="1"/>
    <row r="2726" ht="14.25" customHeight="1"/>
    <row r="2727" ht="14.25" customHeight="1"/>
    <row r="2728" ht="14.25" customHeight="1"/>
    <row r="2729" ht="14.25" customHeight="1"/>
    <row r="2730" ht="14.25" customHeight="1"/>
    <row r="2731" ht="14.25" customHeight="1"/>
    <row r="2732" ht="14.25" customHeight="1"/>
    <row r="2733" ht="14.25" customHeight="1"/>
    <row r="2734" ht="14.25" customHeight="1"/>
    <row r="2735" ht="14.25" customHeight="1"/>
    <row r="2736" ht="14.25" customHeight="1"/>
    <row r="2737" ht="14.25" customHeight="1"/>
    <row r="2738" ht="14.25" customHeight="1"/>
    <row r="2739" ht="14.25" customHeight="1"/>
    <row r="2740" ht="14.25" customHeight="1"/>
    <row r="2741" ht="14.25" customHeight="1"/>
    <row r="2742" ht="14.25" customHeight="1"/>
    <row r="2743" ht="14.25" customHeight="1"/>
    <row r="2744" ht="14.25" customHeight="1"/>
    <row r="2745" ht="14.25" customHeight="1"/>
    <row r="2746" ht="14.25" customHeight="1"/>
    <row r="2747" ht="14.25" customHeight="1"/>
    <row r="2748" ht="14.25" customHeight="1"/>
    <row r="2749" ht="14.25" customHeight="1"/>
    <row r="2750" ht="14.25" customHeight="1"/>
    <row r="2751" ht="14.25" customHeight="1"/>
    <row r="2752" ht="14.25" customHeight="1"/>
    <row r="2753" ht="14.25" customHeight="1"/>
    <row r="2754" ht="14.25" customHeight="1"/>
    <row r="2755" ht="14.25" customHeight="1"/>
    <row r="2756" ht="14.25" customHeight="1"/>
    <row r="2757" ht="14.25" customHeight="1"/>
    <row r="2758" ht="14.25" customHeight="1"/>
    <row r="2759" ht="14.25" customHeight="1"/>
    <row r="2760" ht="14.25" customHeight="1"/>
    <row r="2761" ht="14.25" customHeight="1"/>
    <row r="2762" ht="14.25" customHeight="1"/>
    <row r="2763" ht="14.25" customHeight="1"/>
    <row r="2764" ht="14.25" customHeight="1"/>
    <row r="2765" ht="14.25" customHeight="1"/>
    <row r="2766" ht="14.25" customHeight="1"/>
    <row r="2767" ht="14.25" customHeight="1"/>
    <row r="2768" ht="14.25" customHeight="1"/>
    <row r="2769" ht="14.25" customHeight="1"/>
    <row r="2770" ht="14.25" customHeight="1"/>
    <row r="2771" ht="14.25" customHeight="1"/>
    <row r="2772" ht="14.25" customHeight="1"/>
    <row r="2773" ht="14.25" customHeight="1"/>
    <row r="2774" ht="14.25" customHeight="1"/>
    <row r="2775" ht="14.25" customHeight="1"/>
    <row r="2776" ht="14.25" customHeight="1"/>
    <row r="2777" ht="14.25" customHeight="1"/>
    <row r="2778" ht="14.25" customHeight="1"/>
    <row r="2779" ht="14.25" customHeight="1"/>
    <row r="2780" ht="14.25" customHeight="1"/>
    <row r="2781" ht="14.25" customHeight="1"/>
    <row r="2782" ht="14.25" customHeight="1"/>
    <row r="2783" ht="14.25" customHeight="1"/>
    <row r="2784" ht="14.25" customHeight="1"/>
    <row r="2785" ht="14.25" customHeight="1"/>
    <row r="2786" ht="14.25" customHeight="1"/>
    <row r="2787" ht="14.25" customHeight="1"/>
    <row r="2788" ht="14.25" customHeight="1"/>
    <row r="2789" ht="14.25" customHeight="1"/>
    <row r="2790" ht="14.25" customHeight="1"/>
    <row r="2791" ht="14.25" customHeight="1"/>
    <row r="2792" ht="14.25" customHeight="1"/>
    <row r="2793" ht="14.25" customHeight="1"/>
    <row r="2794" ht="14.25" customHeight="1"/>
    <row r="2795" ht="14.25" customHeight="1"/>
    <row r="2796" ht="14.25" customHeight="1"/>
    <row r="2797" ht="14.25" customHeight="1"/>
    <row r="2798" ht="14.25" customHeight="1"/>
    <row r="2799" ht="14.25" customHeight="1"/>
    <row r="2800" ht="14.25" customHeight="1"/>
    <row r="2801" ht="14.25" customHeight="1"/>
    <row r="2802" ht="14.25" customHeight="1"/>
    <row r="2803" ht="14.25" customHeight="1"/>
    <row r="2804" ht="14.25" customHeight="1"/>
    <row r="2805" ht="14.25" customHeight="1"/>
    <row r="2806" ht="14.25" customHeight="1"/>
    <row r="2807" ht="14.25" customHeight="1"/>
    <row r="2808" ht="14.25" customHeight="1"/>
    <row r="2809" ht="14.25" customHeight="1"/>
    <row r="2810" ht="14.25" customHeight="1"/>
    <row r="2811" ht="14.25" customHeight="1"/>
    <row r="2812" ht="14.25" customHeight="1"/>
    <row r="2813" ht="14.25" customHeight="1"/>
    <row r="2814" ht="14.25" customHeight="1"/>
    <row r="2815" ht="14.25" customHeight="1"/>
    <row r="2816" ht="14.25" customHeight="1"/>
    <row r="2817" ht="14.25" customHeight="1"/>
    <row r="2818" ht="14.25" customHeight="1"/>
    <row r="2819" ht="14.25" customHeight="1"/>
    <row r="2820" ht="14.25" customHeight="1"/>
    <row r="2821" ht="14.25" customHeight="1"/>
    <row r="2822" ht="14.25" customHeight="1"/>
    <row r="2823" ht="14.25" customHeight="1"/>
    <row r="2824" ht="14.25" customHeight="1"/>
    <row r="2825" ht="14.25" customHeight="1"/>
    <row r="2826" ht="14.25" customHeight="1"/>
    <row r="2827" ht="14.25" customHeight="1"/>
    <row r="2828" ht="14.25" customHeight="1"/>
    <row r="2829" ht="14.25" customHeight="1"/>
    <row r="2830" ht="14.25" customHeight="1"/>
    <row r="2831" ht="14.25" customHeight="1"/>
    <row r="2832" ht="14.25" customHeight="1"/>
    <row r="2833" ht="14.25" customHeight="1"/>
    <row r="2834" ht="14.25" customHeight="1"/>
    <row r="2835" ht="14.25" customHeight="1"/>
    <row r="2836" ht="14.25" customHeight="1"/>
    <row r="2837" ht="14.25" customHeight="1"/>
    <row r="2838" ht="14.25" customHeight="1"/>
    <row r="2839" ht="14.25" customHeight="1"/>
    <row r="2840" ht="14.25" customHeight="1"/>
    <row r="2841" ht="14.25" customHeight="1"/>
    <row r="2842" ht="14.25" customHeight="1"/>
    <row r="2843" ht="14.25" customHeight="1"/>
    <row r="2844" ht="14.25" customHeight="1"/>
    <row r="2845" ht="14.25" customHeight="1"/>
    <row r="2846" ht="14.25" customHeight="1"/>
    <row r="2847" ht="14.25" customHeight="1"/>
    <row r="2848" ht="14.25" customHeight="1"/>
    <row r="2849" ht="14.25" customHeight="1"/>
    <row r="2850" ht="14.25" customHeight="1"/>
    <row r="2851" ht="14.25" customHeight="1"/>
    <row r="2852" ht="14.25" customHeight="1"/>
    <row r="2853" ht="14.25" customHeight="1"/>
    <row r="2854" ht="14.25" customHeight="1"/>
    <row r="2855" ht="14.25" customHeight="1"/>
    <row r="2856" ht="14.25" customHeight="1"/>
    <row r="2857" ht="14.25" customHeight="1"/>
    <row r="2858" ht="14.25" customHeight="1"/>
    <row r="2859" ht="14.25" customHeight="1"/>
    <row r="2860" ht="14.25" customHeight="1"/>
    <row r="2861" ht="14.25" customHeight="1"/>
    <row r="2862" ht="14.25" customHeight="1"/>
    <row r="2863" ht="14.25" customHeight="1"/>
    <row r="2864" ht="14.25" customHeight="1"/>
    <row r="2865" ht="14.25" customHeight="1"/>
    <row r="2866" ht="14.25" customHeight="1"/>
    <row r="2867" ht="14.25" customHeight="1"/>
    <row r="2868" ht="14.25" customHeight="1"/>
    <row r="2869" ht="14.25" customHeight="1"/>
    <row r="2870" ht="14.25" customHeight="1"/>
    <row r="2871" ht="14.25" customHeight="1"/>
    <row r="2872" ht="14.25" customHeight="1"/>
    <row r="2873" ht="14.25" customHeight="1"/>
    <row r="2874" ht="14.25" customHeight="1"/>
    <row r="2875" ht="14.25" customHeight="1"/>
    <row r="2876" ht="14.25" customHeight="1"/>
    <row r="2877" ht="14.25" customHeight="1"/>
    <row r="2878" ht="14.25" customHeight="1"/>
    <row r="2879" ht="14.25" customHeight="1"/>
    <row r="2880" ht="14.25" customHeight="1"/>
    <row r="2881" ht="14.25" customHeight="1"/>
    <row r="2882" ht="14.25" customHeight="1"/>
    <row r="2883" ht="14.25" customHeight="1"/>
    <row r="2884" ht="14.25" customHeight="1"/>
    <row r="2885" ht="14.25" customHeight="1"/>
    <row r="2886" ht="14.25" customHeight="1"/>
    <row r="2887" ht="14.25" customHeight="1"/>
    <row r="2888" ht="14.25" customHeight="1"/>
    <row r="2889" ht="14.25" customHeight="1"/>
    <row r="2890" ht="14.25" customHeight="1"/>
    <row r="2891" ht="14.25" customHeight="1"/>
    <row r="2892" ht="14.25" customHeight="1"/>
    <row r="2893" ht="14.25" customHeight="1"/>
    <row r="2894" ht="14.25" customHeight="1"/>
    <row r="2895" ht="14.25" customHeight="1"/>
    <row r="2896" ht="14.25" customHeight="1"/>
    <row r="2897" ht="14.25" customHeight="1"/>
    <row r="2898" ht="14.25" customHeight="1"/>
    <row r="2899" ht="14.25" customHeight="1"/>
    <row r="2900" ht="14.25" customHeight="1"/>
    <row r="2901" ht="14.25" customHeight="1"/>
    <row r="2902" ht="14.25" customHeight="1"/>
    <row r="2903" ht="14.25" customHeight="1"/>
    <row r="2904" ht="14.25" customHeight="1"/>
    <row r="2905" ht="14.25" customHeight="1"/>
    <row r="2906" ht="14.25" customHeight="1"/>
    <row r="2907" ht="14.25" customHeight="1"/>
    <row r="2908" ht="14.25" customHeight="1"/>
    <row r="2909" ht="14.25" customHeight="1"/>
    <row r="2910" ht="14.25" customHeight="1"/>
    <row r="2911" ht="14.25" customHeight="1"/>
    <row r="2912" ht="14.25" customHeight="1"/>
    <row r="2913" ht="14.25" customHeight="1"/>
    <row r="2914" ht="14.25" customHeight="1"/>
    <row r="2915" ht="14.25" customHeight="1"/>
    <row r="2916" ht="14.25" customHeight="1"/>
    <row r="2917" ht="14.25" customHeight="1"/>
    <row r="2918" ht="14.25" customHeight="1"/>
    <row r="2919" ht="14.25" customHeight="1"/>
    <row r="2920" ht="14.25" customHeight="1"/>
    <row r="2921" ht="14.25" customHeight="1"/>
    <row r="2922" ht="14.25" customHeight="1"/>
    <row r="2923" ht="14.25" customHeight="1"/>
    <row r="2924" ht="14.25" customHeight="1"/>
    <row r="2925" ht="14.25" customHeight="1"/>
    <row r="2926" ht="14.25" customHeight="1"/>
    <row r="2927" ht="14.25" customHeight="1"/>
    <row r="2928" ht="14.25" customHeight="1"/>
    <row r="2929" ht="14.25" customHeight="1"/>
    <row r="2930" ht="14.25" customHeight="1"/>
    <row r="2931" ht="14.25" customHeight="1"/>
    <row r="2932" ht="14.25" customHeight="1"/>
    <row r="2933" ht="14.25" customHeight="1"/>
    <row r="2934" ht="14.25" customHeight="1"/>
    <row r="2935" ht="14.25" customHeight="1"/>
    <row r="2936" ht="14.25" customHeight="1"/>
    <row r="2937" ht="14.25" customHeight="1"/>
    <row r="2938" ht="14.25" customHeight="1"/>
    <row r="2939" ht="14.25" customHeight="1"/>
    <row r="2940" ht="14.25" customHeight="1"/>
    <row r="2941" ht="14.25" customHeight="1"/>
    <row r="2942" ht="14.25" customHeight="1"/>
    <row r="2943" ht="14.25" customHeight="1"/>
    <row r="2944" ht="14.25" customHeight="1"/>
    <row r="2945" ht="14.25" customHeight="1"/>
    <row r="2946" ht="14.25" customHeight="1"/>
    <row r="2947" ht="14.25" customHeight="1"/>
    <row r="2948" ht="14.25" customHeight="1"/>
    <row r="2949" ht="14.25" customHeight="1"/>
    <row r="2950" ht="14.25" customHeight="1"/>
    <row r="2951" ht="14.25" customHeight="1"/>
    <row r="2952" ht="14.25" customHeight="1"/>
    <row r="2953" ht="14.25" customHeight="1"/>
    <row r="2954" ht="14.25" customHeight="1"/>
    <row r="2955" ht="14.25" customHeight="1"/>
    <row r="2956" ht="14.25" customHeight="1"/>
    <row r="2957" ht="14.25" customHeight="1"/>
    <row r="2958" ht="14.25" customHeight="1"/>
    <row r="2959" ht="14.25" customHeight="1"/>
    <row r="2960" ht="14.25" customHeight="1"/>
    <row r="2961" ht="14.25" customHeight="1"/>
    <row r="2962" ht="14.25" customHeight="1"/>
    <row r="2963" ht="14.25" customHeight="1"/>
    <row r="2964" ht="14.25" customHeight="1"/>
    <row r="2965" ht="14.25" customHeight="1"/>
    <row r="2966" ht="14.25" customHeight="1"/>
    <row r="2967" ht="14.25" customHeight="1"/>
    <row r="2968" ht="14.25" customHeight="1"/>
    <row r="2969" ht="14.25" customHeight="1"/>
    <row r="2970" ht="14.25" customHeight="1"/>
    <row r="2971" ht="14.25" customHeight="1"/>
    <row r="2972" ht="14.25" customHeight="1"/>
    <row r="2973" ht="14.25" customHeight="1"/>
    <row r="2974" ht="14.25" customHeight="1"/>
    <row r="2975" ht="14.25" customHeight="1"/>
    <row r="2976" ht="14.25" customHeight="1"/>
    <row r="2977" ht="14.25" customHeight="1"/>
    <row r="2978" ht="14.25" customHeight="1"/>
    <row r="2979" ht="14.25" customHeight="1"/>
    <row r="2980" ht="14.25" customHeight="1"/>
    <row r="2981" ht="14.25" customHeight="1"/>
    <row r="2982" ht="14.25" customHeight="1"/>
    <row r="2983" ht="14.25" customHeight="1"/>
    <row r="2984" ht="14.25" customHeight="1"/>
    <row r="2985" ht="14.25" customHeight="1"/>
    <row r="2986" ht="14.25" customHeight="1"/>
    <row r="2987" ht="14.25" customHeight="1"/>
    <row r="2988" ht="14.25" customHeight="1"/>
    <row r="2989" ht="14.25" customHeight="1"/>
    <row r="2990" ht="14.25" customHeight="1"/>
    <row r="2991" ht="14.25" customHeight="1"/>
    <row r="2992" ht="14.25" customHeight="1"/>
    <row r="2993" ht="14.25" customHeight="1"/>
    <row r="2994" ht="14.25" customHeight="1"/>
    <row r="2995" ht="14.25" customHeight="1"/>
    <row r="2996" ht="14.25" customHeight="1"/>
    <row r="2997" ht="14.25" customHeight="1"/>
    <row r="2998" ht="14.25" customHeight="1"/>
    <row r="2999" ht="14.25" customHeight="1"/>
    <row r="3000" ht="14.25" customHeight="1"/>
    <row r="3001" ht="14.25" customHeight="1"/>
    <row r="3002" ht="14.25" customHeight="1"/>
    <row r="3003" ht="14.25" customHeight="1"/>
    <row r="3004" ht="14.25" customHeight="1"/>
    <row r="3005" ht="14.25" customHeight="1"/>
    <row r="3006" ht="14.25" customHeight="1"/>
    <row r="3007" ht="14.25" customHeight="1"/>
    <row r="3008" ht="14.25" customHeight="1"/>
    <row r="3009" ht="14.25" customHeight="1"/>
    <row r="3010" ht="14.25" customHeight="1"/>
    <row r="3011" ht="14.25" customHeight="1"/>
    <row r="3012" ht="14.25" customHeight="1"/>
    <row r="3013" ht="14.25" customHeight="1"/>
    <row r="3014" ht="14.25" customHeight="1"/>
    <row r="3015" ht="14.25" customHeight="1"/>
    <row r="3016" ht="14.25" customHeight="1"/>
    <row r="3017" ht="14.25" customHeight="1"/>
    <row r="3018" ht="14.25" customHeight="1"/>
    <row r="3019" ht="14.25" customHeight="1"/>
    <row r="3020" ht="14.25" customHeight="1"/>
    <row r="3021" ht="14.25" customHeight="1"/>
    <row r="3022" ht="14.25" customHeight="1"/>
    <row r="3023" ht="14.25" customHeight="1"/>
    <row r="3024" ht="14.25" customHeight="1"/>
    <row r="3025" ht="14.25" customHeight="1"/>
    <row r="3026" ht="14.25" customHeight="1"/>
    <row r="3027" ht="14.25" customHeight="1"/>
    <row r="3028" ht="14.25" customHeight="1"/>
    <row r="3029" ht="14.25" customHeight="1"/>
    <row r="3030" ht="14.25" customHeight="1"/>
    <row r="3031" ht="14.25" customHeight="1"/>
    <row r="3032" ht="14.25" customHeight="1"/>
    <row r="3033" ht="14.25" customHeight="1"/>
    <row r="3034" ht="14.25" customHeight="1"/>
    <row r="3035" ht="14.25" customHeight="1"/>
    <row r="3036" ht="14.25" customHeight="1"/>
    <row r="3037" ht="14.25" customHeight="1"/>
    <row r="3038" ht="14.25" customHeight="1"/>
    <row r="3039" ht="14.25" customHeight="1"/>
    <row r="3040" ht="14.25" customHeight="1"/>
    <row r="3041" ht="14.25" customHeight="1"/>
    <row r="3042" ht="14.25" customHeight="1"/>
    <row r="3043" ht="14.25" customHeight="1"/>
    <row r="3044" ht="14.25" customHeight="1"/>
    <row r="3045" ht="14.25" customHeight="1"/>
    <row r="3046" ht="14.25" customHeight="1"/>
    <row r="3047" ht="14.25" customHeight="1"/>
    <row r="3048" ht="14.25" customHeight="1"/>
    <row r="3049" ht="14.25" customHeight="1"/>
    <row r="3050" ht="14.25" customHeight="1"/>
    <row r="3051" ht="14.25" customHeight="1"/>
    <row r="3052" ht="14.25" customHeight="1"/>
    <row r="3053" ht="14.25" customHeight="1"/>
    <row r="3054" ht="14.25" customHeight="1"/>
    <row r="3055" ht="14.25" customHeight="1"/>
    <row r="3056" ht="14.25" customHeight="1"/>
    <row r="3057" ht="14.25" customHeight="1"/>
    <row r="3058" ht="14.25" customHeight="1"/>
    <row r="3059" ht="14.25" customHeight="1"/>
    <row r="3060" ht="14.25" customHeight="1"/>
    <row r="3061" ht="14.25" customHeight="1"/>
    <row r="3062" ht="14.25" customHeight="1"/>
    <row r="3063" ht="14.25" customHeight="1"/>
    <row r="3064" ht="14.25" customHeight="1"/>
    <row r="3065" ht="14.25" customHeight="1"/>
    <row r="3066" ht="14.25" customHeight="1"/>
    <row r="3067" ht="14.25" customHeight="1"/>
    <row r="3068" ht="14.25" customHeight="1"/>
    <row r="3069" ht="14.25" customHeight="1"/>
    <row r="3070" ht="14.25" customHeight="1"/>
    <row r="3071" ht="14.25" customHeight="1"/>
    <row r="3072" ht="14.25" customHeight="1"/>
    <row r="3073" ht="14.25" customHeight="1"/>
    <row r="3074" ht="14.25" customHeight="1"/>
    <row r="3075" ht="14.25" customHeight="1"/>
    <row r="3076" ht="14.25" customHeight="1"/>
    <row r="3077" ht="14.25" customHeight="1"/>
    <row r="3078" ht="14.25" customHeight="1"/>
    <row r="3079" ht="14.25" customHeight="1"/>
    <row r="3080" ht="14.25" customHeight="1"/>
    <row r="3081" ht="14.25" customHeight="1"/>
    <row r="3082" ht="14.25" customHeight="1"/>
    <row r="3083" ht="14.25" customHeight="1"/>
    <row r="3084" ht="14.25" customHeight="1"/>
    <row r="3085" ht="14.25" customHeight="1"/>
    <row r="3086" ht="14.25" customHeight="1"/>
    <row r="3087" ht="14.25" customHeight="1"/>
    <row r="3088" ht="14.25" customHeight="1"/>
    <row r="3089" ht="14.25" customHeight="1"/>
    <row r="3090" ht="14.25" customHeight="1"/>
    <row r="3091" ht="14.25" customHeight="1"/>
    <row r="3092" ht="14.25" customHeight="1"/>
    <row r="3093" ht="14.25" customHeight="1"/>
    <row r="3094" ht="14.25" customHeight="1"/>
    <row r="3095" ht="14.25" customHeight="1"/>
    <row r="3096" ht="14.25" customHeight="1"/>
    <row r="3097" ht="14.25" customHeight="1"/>
    <row r="3098" ht="14.25" customHeight="1"/>
    <row r="3099" ht="14.25" customHeight="1"/>
    <row r="3100" ht="14.25" customHeight="1"/>
    <row r="3101" ht="14.25" customHeight="1"/>
    <row r="3102" ht="14.25" customHeight="1"/>
    <row r="3103" ht="14.25" customHeight="1"/>
    <row r="3104" ht="14.25" customHeight="1"/>
    <row r="3105" ht="14.25" customHeight="1"/>
    <row r="3106" ht="14.25" customHeight="1"/>
    <row r="3107" ht="14.25" customHeight="1"/>
    <row r="3108" ht="14.25" customHeight="1"/>
    <row r="3109" ht="14.25" customHeight="1"/>
    <row r="3110" ht="14.25" customHeight="1"/>
    <row r="3111" ht="14.25" customHeight="1"/>
    <row r="3112" ht="14.25" customHeight="1"/>
    <row r="3113" ht="14.25" customHeight="1"/>
    <row r="3114" ht="14.25" customHeight="1"/>
    <row r="3115" ht="14.25" customHeight="1"/>
    <row r="3116" ht="14.25" customHeight="1"/>
    <row r="3117" ht="14.25" customHeight="1"/>
    <row r="3118" ht="14.25" customHeight="1"/>
    <row r="3119" ht="14.25" customHeight="1"/>
    <row r="3120" ht="14.25" customHeight="1"/>
    <row r="3121" ht="14.25" customHeight="1"/>
    <row r="3122" ht="14.25" customHeight="1"/>
    <row r="3123" ht="14.25" customHeight="1"/>
    <row r="3124" ht="14.25" customHeight="1"/>
    <row r="3125" ht="14.25" customHeight="1"/>
    <row r="3126" ht="14.25" customHeight="1"/>
    <row r="3127" ht="14.25" customHeight="1"/>
    <row r="3128" ht="14.25" customHeight="1"/>
    <row r="3129" ht="14.25" customHeight="1"/>
    <row r="3130" ht="14.25" customHeight="1"/>
    <row r="3131" ht="14.25" customHeight="1"/>
    <row r="3132" ht="14.25" customHeight="1"/>
    <row r="3133" ht="14.25" customHeight="1"/>
    <row r="3134" ht="14.25" customHeight="1"/>
    <row r="3135" ht="14.25" customHeight="1"/>
    <row r="3136" ht="14.25" customHeight="1"/>
    <row r="3137" ht="14.25" customHeight="1"/>
    <row r="3138" ht="14.25" customHeight="1"/>
    <row r="3139" ht="14.25" customHeight="1"/>
    <row r="3140" ht="14.25" customHeight="1"/>
    <row r="3141" ht="14.25" customHeight="1"/>
    <row r="3142" ht="14.25" customHeight="1"/>
    <row r="3143" ht="14.25" customHeight="1"/>
    <row r="3144" ht="14.25" customHeight="1"/>
    <row r="3145" ht="14.25" customHeight="1"/>
    <row r="3146" ht="14.25" customHeight="1"/>
    <row r="3147" ht="14.25" customHeight="1"/>
    <row r="3148" ht="14.25" customHeight="1"/>
    <row r="3149" ht="14.25" customHeight="1"/>
    <row r="3150" ht="14.25" customHeight="1"/>
    <row r="3151" ht="14.25" customHeight="1"/>
    <row r="3152" ht="14.25" customHeight="1"/>
    <row r="3153" ht="14.25" customHeight="1"/>
    <row r="3154" ht="14.25" customHeight="1"/>
    <row r="3155" ht="14.25" customHeight="1"/>
    <row r="3156" ht="14.25" customHeight="1"/>
    <row r="3157" ht="14.25" customHeight="1"/>
    <row r="3158" ht="14.25" customHeight="1"/>
    <row r="3159" ht="14.25" customHeight="1"/>
    <row r="3160" ht="14.25" customHeight="1"/>
    <row r="3161" ht="14.25" customHeight="1"/>
    <row r="3162" ht="14.25" customHeight="1"/>
    <row r="3163" ht="14.25" customHeight="1"/>
    <row r="3164" ht="14.25" customHeight="1"/>
    <row r="3165" ht="14.25" customHeight="1"/>
    <row r="3166" ht="14.25" customHeight="1"/>
    <row r="3167" ht="14.25" customHeight="1"/>
    <row r="3168" ht="14.25" customHeight="1"/>
    <row r="3169" ht="14.25" customHeight="1"/>
    <row r="3170" ht="14.25" customHeight="1"/>
    <row r="3171" ht="14.25" customHeight="1"/>
    <row r="3172" ht="14.25" customHeight="1"/>
    <row r="3173" ht="14.25" customHeight="1"/>
    <row r="3174" ht="14.25" customHeight="1"/>
    <row r="3175" ht="14.25" customHeight="1"/>
    <row r="3176" ht="14.25" customHeight="1"/>
    <row r="3177" ht="14.25" customHeight="1"/>
    <row r="3178" ht="14.25" customHeight="1"/>
    <row r="3179" ht="14.25" customHeight="1"/>
    <row r="3180" ht="14.25" customHeight="1"/>
    <row r="3181" ht="14.25" customHeight="1"/>
    <row r="3182" ht="14.25" customHeight="1"/>
    <row r="3183" ht="14.25" customHeight="1"/>
    <row r="3184" ht="14.25" customHeight="1"/>
    <row r="3185" ht="14.25" customHeight="1"/>
    <row r="3186" ht="14.25" customHeight="1"/>
    <row r="3187" ht="14.25" customHeight="1"/>
    <row r="3188" ht="14.25" customHeight="1"/>
    <row r="3189" ht="14.25" customHeight="1"/>
    <row r="3190" ht="14.25" customHeight="1"/>
    <row r="3191" ht="14.25" customHeight="1"/>
    <row r="3192" ht="14.25" customHeight="1"/>
    <row r="3193" ht="14.25" customHeight="1"/>
    <row r="3194" ht="14.25" customHeight="1"/>
    <row r="3195" ht="14.25" customHeight="1"/>
    <row r="3196" ht="14.25" customHeight="1"/>
    <row r="3197" ht="14.25" customHeight="1"/>
    <row r="3198" ht="14.25" customHeight="1"/>
    <row r="3199" ht="14.25" customHeight="1"/>
    <row r="3200" ht="14.25" customHeight="1"/>
    <row r="3201" ht="14.25" customHeight="1"/>
    <row r="3202" ht="14.25" customHeight="1"/>
    <row r="3203" ht="14.25" customHeight="1"/>
    <row r="3204" ht="14.25" customHeight="1"/>
    <row r="3205" ht="14.25" customHeight="1"/>
    <row r="3206" ht="14.25" customHeight="1"/>
    <row r="3207" ht="14.25" customHeight="1"/>
    <row r="3208" ht="14.25" customHeight="1"/>
    <row r="3209" ht="14.25" customHeight="1"/>
    <row r="3210" ht="14.25" customHeight="1"/>
    <row r="3211" ht="14.25" customHeight="1"/>
    <row r="3212" ht="14.25" customHeight="1"/>
    <row r="3213" ht="14.25" customHeight="1"/>
    <row r="3214" ht="14.25" customHeight="1"/>
    <row r="3215" ht="14.25" customHeight="1"/>
    <row r="3216" ht="14.25" customHeight="1"/>
    <row r="3217" ht="14.25" customHeight="1"/>
    <row r="3218" ht="14.25" customHeight="1"/>
    <row r="3219" ht="14.25" customHeight="1"/>
    <row r="3220" ht="14.25" customHeight="1"/>
    <row r="3221" ht="14.25" customHeight="1"/>
    <row r="3222" ht="14.25" customHeight="1"/>
    <row r="3223" ht="14.25" customHeight="1"/>
    <row r="3224" ht="14.25" customHeight="1"/>
    <row r="3225" ht="14.25" customHeight="1"/>
    <row r="3226" ht="14.25" customHeight="1"/>
    <row r="3227" ht="14.25" customHeight="1"/>
    <row r="3228" ht="14.25" customHeight="1"/>
    <row r="3229" ht="14.25" customHeight="1"/>
    <row r="3230" ht="14.25" customHeight="1"/>
    <row r="3231" ht="14.25" customHeight="1"/>
    <row r="3232" ht="14.25" customHeight="1"/>
    <row r="3233" ht="14.25" customHeight="1"/>
    <row r="3234" ht="14.25" customHeight="1"/>
    <row r="3235" ht="14.25" customHeight="1"/>
    <row r="3236" ht="14.25" customHeight="1"/>
    <row r="3237" ht="14.25" customHeight="1"/>
    <row r="3238" ht="14.25" customHeight="1"/>
    <row r="3239" ht="14.25" customHeight="1"/>
    <row r="3240" ht="14.25" customHeight="1"/>
    <row r="3241" ht="14.25" customHeight="1"/>
    <row r="3242" ht="14.25" customHeight="1"/>
    <row r="3243" ht="14.25" customHeight="1"/>
    <row r="3244" ht="14.25" customHeight="1"/>
    <row r="3245" ht="14.25" customHeight="1"/>
    <row r="3246" ht="14.25" customHeight="1"/>
    <row r="3247" ht="14.25" customHeight="1"/>
    <row r="3248" ht="14.25" customHeight="1"/>
    <row r="3249" ht="14.25" customHeight="1"/>
    <row r="3250" ht="14.25" customHeight="1"/>
    <row r="3251" ht="14.25" customHeight="1"/>
    <row r="3252" ht="14.25" customHeight="1"/>
    <row r="3253" ht="14.25" customHeight="1"/>
    <row r="3254" ht="14.25" customHeight="1"/>
    <row r="3255" ht="14.25" customHeight="1"/>
    <row r="3256" ht="14.25" customHeight="1"/>
    <row r="3257" ht="14.25" customHeight="1"/>
    <row r="3258" ht="14.25" customHeight="1"/>
    <row r="3259" ht="14.25" customHeight="1"/>
    <row r="3260" ht="14.25" customHeight="1"/>
    <row r="3261" ht="14.25" customHeight="1"/>
    <row r="3262" ht="14.25" customHeight="1"/>
    <row r="3263" ht="14.25" customHeight="1"/>
    <row r="3264" ht="14.25" customHeight="1"/>
    <row r="3265" ht="14.25" customHeight="1"/>
    <row r="3266" ht="14.25" customHeight="1"/>
    <row r="3267" ht="14.25" customHeight="1"/>
    <row r="3268" ht="14.25" customHeight="1"/>
    <row r="3269" ht="14.25" customHeight="1"/>
    <row r="3270" ht="14.25" customHeight="1"/>
    <row r="3271" ht="14.25" customHeight="1"/>
    <row r="3272" ht="14.25" customHeight="1"/>
    <row r="3273" ht="14.25" customHeight="1"/>
    <row r="3274" ht="14.25" customHeight="1"/>
    <row r="3275" ht="14.25" customHeight="1"/>
    <row r="3276" ht="14.25" customHeight="1"/>
    <row r="3277" ht="14.25" customHeight="1"/>
    <row r="3278" ht="14.25" customHeight="1"/>
    <row r="3279" ht="14.25" customHeight="1"/>
    <row r="3280" ht="14.25" customHeight="1"/>
    <row r="3281" ht="14.25" customHeight="1"/>
    <row r="3282" ht="14.25" customHeight="1"/>
    <row r="3283" ht="14.25" customHeight="1"/>
    <row r="3284" ht="14.25" customHeight="1"/>
    <row r="3285" ht="14.25" customHeight="1"/>
    <row r="3286" ht="14.25" customHeight="1"/>
    <row r="3287" ht="14.25" customHeight="1"/>
    <row r="3288" ht="14.25" customHeight="1"/>
    <row r="3289" ht="14.25" customHeight="1"/>
    <row r="3290" ht="14.25" customHeight="1"/>
    <row r="3291" ht="14.25" customHeight="1"/>
    <row r="3292" ht="14.25" customHeight="1"/>
    <row r="3293" ht="14.25" customHeight="1"/>
    <row r="3294" ht="14.25" customHeight="1"/>
    <row r="3295" ht="14.25" customHeight="1"/>
    <row r="3296" ht="14.25" customHeight="1"/>
    <row r="3297" ht="14.25" customHeight="1"/>
    <row r="3298" ht="14.25" customHeight="1"/>
    <row r="3299" ht="14.25" customHeight="1"/>
    <row r="3300" ht="14.25" customHeight="1"/>
    <row r="3301" ht="14.25" customHeight="1"/>
    <row r="3302" ht="14.25" customHeight="1"/>
    <row r="3303" ht="14.25" customHeight="1"/>
    <row r="3304" ht="14.25" customHeight="1"/>
    <row r="3305" ht="14.25" customHeight="1"/>
    <row r="3306" ht="14.25" customHeight="1"/>
    <row r="3307" ht="14.25" customHeight="1"/>
    <row r="3308" ht="14.25" customHeight="1"/>
    <row r="3309" ht="14.25" customHeight="1"/>
    <row r="3310" ht="14.25" customHeight="1"/>
    <row r="3311" ht="14.25" customHeight="1"/>
    <row r="3312" ht="14.25" customHeight="1"/>
    <row r="3313" ht="14.25" customHeight="1"/>
    <row r="3314" ht="14.25" customHeight="1"/>
    <row r="3315" ht="14.25" customHeight="1"/>
    <row r="3316" ht="14.25" customHeight="1"/>
    <row r="3317" ht="14.25" customHeight="1"/>
    <row r="3318" ht="14.25" customHeight="1"/>
    <row r="3319" ht="14.25" customHeight="1"/>
    <row r="3320" ht="14.25" customHeight="1"/>
    <row r="3321" ht="14.25" customHeight="1"/>
    <row r="3322" ht="14.25" customHeight="1"/>
    <row r="3323" ht="14.25" customHeight="1"/>
    <row r="3324" ht="14.25" customHeight="1"/>
    <row r="3325" ht="14.25" customHeight="1"/>
    <row r="3326" ht="14.25" customHeight="1"/>
    <row r="3327" ht="14.25" customHeight="1"/>
    <row r="3328" ht="14.25" customHeight="1"/>
    <row r="3329" ht="14.25" customHeight="1"/>
    <row r="3330" ht="14.25" customHeight="1"/>
    <row r="3331" ht="14.25" customHeight="1"/>
    <row r="3332" ht="14.25" customHeight="1"/>
    <row r="3333" ht="14.25" customHeight="1"/>
    <row r="3334" ht="14.25" customHeight="1"/>
    <row r="3335" ht="14.25" customHeight="1"/>
    <row r="3336" ht="14.25" customHeight="1"/>
    <row r="3337" ht="14.25" customHeight="1"/>
    <row r="3338" ht="14.25" customHeight="1"/>
    <row r="3339" ht="14.25" customHeight="1"/>
    <row r="3340" ht="14.25" customHeight="1"/>
    <row r="3341" ht="14.25" customHeight="1"/>
    <row r="3342" ht="14.25" customHeight="1"/>
    <row r="3343" ht="14.25" customHeight="1"/>
    <row r="3344" ht="14.25" customHeight="1"/>
    <row r="3345" ht="14.25" customHeight="1"/>
    <row r="3346" ht="14.25" customHeight="1"/>
    <row r="3347" ht="14.25" customHeight="1"/>
    <row r="3348" ht="14.25" customHeight="1"/>
    <row r="3349" ht="14.25" customHeight="1"/>
    <row r="3350" ht="14.25" customHeight="1"/>
    <row r="3351" ht="14.25" customHeight="1"/>
    <row r="3352" ht="14.25" customHeight="1"/>
    <row r="3353" ht="14.25" customHeight="1"/>
    <row r="3354" ht="14.25" customHeight="1"/>
    <row r="3355" ht="14.25" customHeight="1"/>
    <row r="3356" ht="14.25" customHeight="1"/>
    <row r="3357" ht="14.25" customHeight="1"/>
    <row r="3358" ht="14.25" customHeight="1"/>
    <row r="3359" ht="14.25" customHeight="1"/>
    <row r="3360" ht="14.25" customHeight="1"/>
    <row r="3361" ht="14.25" customHeight="1"/>
    <row r="3362" ht="14.25" customHeight="1"/>
    <row r="3363" ht="14.25" customHeight="1"/>
    <row r="3364" ht="14.25" customHeight="1"/>
    <row r="3365" ht="14.25" customHeight="1"/>
    <row r="3366" ht="14.25" customHeight="1"/>
    <row r="3367" ht="14.25" customHeight="1"/>
    <row r="3368" ht="14.25" customHeight="1"/>
    <row r="3369" ht="14.25" customHeight="1"/>
    <row r="3370" ht="14.25" customHeight="1"/>
    <row r="3371" ht="14.25" customHeight="1"/>
    <row r="3372" ht="14.25" customHeight="1"/>
    <row r="3373" ht="14.25" customHeight="1"/>
    <row r="3374" ht="14.25" customHeight="1"/>
    <row r="3375" ht="14.25" customHeight="1"/>
    <row r="3376" ht="14.25" customHeight="1"/>
    <row r="3377" ht="14.25" customHeight="1"/>
    <row r="3378" ht="14.25" customHeight="1"/>
    <row r="3379" ht="14.25" customHeight="1"/>
    <row r="3380" ht="14.25" customHeight="1"/>
    <row r="3381" ht="14.25" customHeight="1"/>
    <row r="3382" ht="14.25" customHeight="1"/>
    <row r="3383" ht="14.25" customHeight="1"/>
    <row r="3384" ht="14.25" customHeight="1"/>
    <row r="3385" ht="14.25" customHeight="1"/>
    <row r="3386" ht="14.25" customHeight="1"/>
    <row r="3387" ht="14.25" customHeight="1"/>
    <row r="3388" ht="14.25" customHeight="1"/>
    <row r="3389" ht="14.25" customHeight="1"/>
    <row r="3390" ht="14.25" customHeight="1"/>
    <row r="3391" ht="14.25" customHeight="1"/>
    <row r="3392" ht="14.25" customHeight="1"/>
    <row r="3393" ht="14.25" customHeight="1"/>
    <row r="3394" ht="14.25" customHeight="1"/>
    <row r="3395" ht="14.25" customHeight="1"/>
    <row r="3396" ht="14.25" customHeight="1"/>
    <row r="3397" ht="14.25" customHeight="1"/>
    <row r="3398" ht="14.25" customHeight="1"/>
    <row r="3399" ht="14.25" customHeight="1"/>
    <row r="3400" ht="14.25" customHeight="1"/>
    <row r="3401" ht="14.25" customHeight="1"/>
    <row r="3402" ht="14.25" customHeight="1"/>
    <row r="3403" ht="14.25" customHeight="1"/>
    <row r="3404" ht="14.25" customHeight="1"/>
    <row r="3405" ht="14.25" customHeight="1"/>
    <row r="3406" ht="14.25" customHeight="1"/>
    <row r="3407" ht="14.25" customHeight="1"/>
    <row r="3408" ht="14.25" customHeight="1"/>
    <row r="3409" ht="14.25" customHeight="1"/>
    <row r="3410" ht="14.25" customHeight="1"/>
    <row r="3411" ht="14.25" customHeight="1"/>
    <row r="3412" ht="14.25" customHeight="1"/>
    <row r="3413" ht="14.25" customHeight="1"/>
    <row r="3414" ht="14.25" customHeight="1"/>
    <row r="3415" ht="14.25" customHeight="1"/>
    <row r="3416" ht="14.25" customHeight="1"/>
    <row r="3417" ht="14.25" customHeight="1"/>
    <row r="3418" ht="14.25" customHeight="1"/>
    <row r="3419" ht="14.25" customHeight="1"/>
    <row r="3420" ht="14.25" customHeight="1"/>
    <row r="3421" ht="14.25" customHeight="1"/>
    <row r="3422" ht="14.25" customHeight="1"/>
    <row r="3423" ht="14.25" customHeight="1"/>
    <row r="3424" ht="14.25" customHeight="1"/>
    <row r="3425" ht="14.25" customHeight="1"/>
    <row r="3426" ht="14.25" customHeight="1"/>
    <row r="3427" ht="14.25" customHeight="1"/>
    <row r="3428" ht="14.25" customHeight="1"/>
    <row r="3429" ht="14.25" customHeight="1"/>
    <row r="3430" ht="14.25" customHeight="1"/>
    <row r="3431" ht="14.25" customHeight="1"/>
    <row r="3432" ht="14.25" customHeight="1"/>
    <row r="3433" ht="14.25" customHeight="1"/>
    <row r="3434" ht="14.25" customHeight="1"/>
    <row r="3435" ht="14.25" customHeight="1"/>
    <row r="3436" ht="14.25" customHeight="1"/>
    <row r="3437" ht="14.25" customHeight="1"/>
    <row r="3438" ht="14.25" customHeight="1"/>
    <row r="3439" ht="14.25" customHeight="1"/>
    <row r="3440" ht="14.25" customHeight="1"/>
    <row r="3441" ht="14.25" customHeight="1"/>
    <row r="3442" ht="14.25" customHeight="1"/>
    <row r="3443" ht="14.25" customHeight="1"/>
    <row r="3444" ht="14.25" customHeight="1"/>
    <row r="3445" ht="14.25" customHeight="1"/>
    <row r="3446" ht="14.25" customHeight="1"/>
    <row r="3447" ht="14.25" customHeight="1"/>
    <row r="3448" ht="14.25" customHeight="1"/>
    <row r="3449" ht="14.25" customHeight="1"/>
    <row r="3450" ht="14.25" customHeight="1"/>
    <row r="3451" ht="14.25" customHeight="1"/>
    <row r="3452" ht="14.25" customHeight="1"/>
    <row r="3453" ht="14.25" customHeight="1"/>
    <row r="3454" ht="14.25" customHeight="1"/>
    <row r="3455" ht="14.25" customHeight="1"/>
    <row r="3456" ht="14.25" customHeight="1"/>
    <row r="3457" ht="14.25" customHeight="1"/>
    <row r="3458" ht="14.25" customHeight="1"/>
    <row r="3459" ht="14.25" customHeight="1"/>
    <row r="3460" ht="14.25" customHeight="1"/>
    <row r="3461" ht="14.25" customHeight="1"/>
    <row r="3462" ht="14.25" customHeight="1"/>
    <row r="3463" ht="14.25" customHeight="1"/>
    <row r="3464" ht="14.25" customHeight="1"/>
    <row r="3465" ht="14.25" customHeight="1"/>
    <row r="3466" ht="14.25" customHeight="1"/>
    <row r="3467" ht="14.25" customHeight="1"/>
    <row r="3468" ht="14.25" customHeight="1"/>
    <row r="3469" ht="14.25" customHeight="1"/>
    <row r="3470" ht="14.25" customHeight="1"/>
    <row r="3471" ht="14.25" customHeight="1"/>
    <row r="3472" ht="14.25" customHeight="1"/>
    <row r="3473" ht="14.25" customHeight="1"/>
    <row r="3474" ht="14.25" customHeight="1"/>
    <row r="3475" ht="14.25" customHeight="1"/>
    <row r="3476" ht="14.25" customHeight="1"/>
    <row r="3477" ht="14.25" customHeight="1"/>
    <row r="3478" ht="14.25" customHeight="1"/>
    <row r="3479" ht="14.25" customHeight="1"/>
    <row r="3480" ht="14.25" customHeight="1"/>
    <row r="3481" ht="14.25" customHeight="1"/>
    <row r="3482" ht="14.25" customHeight="1"/>
    <row r="3483" ht="14.25" customHeight="1"/>
    <row r="3484" ht="14.25" customHeight="1"/>
    <row r="3485" ht="14.25" customHeight="1"/>
    <row r="3486" ht="14.25" customHeight="1"/>
    <row r="3487" ht="14.25" customHeight="1"/>
    <row r="3488" ht="14.25" customHeight="1"/>
    <row r="3489" ht="14.25" customHeight="1"/>
    <row r="3490" ht="14.25" customHeight="1"/>
    <row r="3491" ht="14.25" customHeight="1"/>
    <row r="3492" ht="14.25" customHeight="1"/>
    <row r="3493" ht="14.25" customHeight="1"/>
    <row r="3494" ht="14.25" customHeight="1"/>
    <row r="3495" ht="14.25" customHeight="1"/>
    <row r="3496" ht="14.25" customHeight="1"/>
    <row r="3497" ht="14.25" customHeight="1"/>
    <row r="3498" ht="14.25" customHeight="1"/>
    <row r="3499" ht="14.25" customHeight="1"/>
    <row r="3500" ht="14.25" customHeight="1"/>
    <row r="3501" ht="14.25" customHeight="1"/>
    <row r="3502" ht="14.25" customHeight="1"/>
    <row r="3503" ht="14.25" customHeight="1"/>
    <row r="3504" ht="14.25" customHeight="1"/>
    <row r="3505" ht="14.25" customHeight="1"/>
    <row r="3506" ht="14.25" customHeight="1"/>
    <row r="3507" ht="14.25" customHeight="1"/>
    <row r="3508" ht="14.25" customHeight="1"/>
    <row r="3509" ht="14.25" customHeight="1"/>
    <row r="3510" ht="14.25" customHeight="1"/>
    <row r="3511" ht="14.25" customHeight="1"/>
    <row r="3512" ht="14.25" customHeight="1"/>
    <row r="3513" ht="14.25" customHeight="1"/>
    <row r="3514" ht="14.25" customHeight="1"/>
    <row r="3515" ht="14.25" customHeight="1"/>
    <row r="3516" ht="14.25" customHeight="1"/>
    <row r="3517" ht="14.25" customHeight="1"/>
    <row r="3518" ht="14.25" customHeight="1"/>
    <row r="3519" ht="14.25" customHeight="1"/>
    <row r="3520" ht="14.25" customHeight="1"/>
    <row r="3521" ht="14.25" customHeight="1"/>
    <row r="3522" ht="14.25" customHeight="1"/>
    <row r="3523" ht="14.25" customHeight="1"/>
    <row r="3524" ht="14.25" customHeight="1"/>
    <row r="3525" ht="14.25" customHeight="1"/>
    <row r="3526" ht="14.25" customHeight="1"/>
    <row r="3527" ht="14.25" customHeight="1"/>
    <row r="3528" ht="14.25" customHeight="1"/>
    <row r="3529" ht="14.25" customHeight="1"/>
    <row r="3530" ht="14.25" customHeight="1"/>
    <row r="3531" ht="14.25" customHeight="1"/>
    <row r="3532" ht="14.25" customHeight="1"/>
    <row r="3533" ht="14.25" customHeight="1"/>
    <row r="3534" ht="14.25" customHeight="1"/>
    <row r="3535" ht="14.25" customHeight="1"/>
    <row r="3536" ht="14.25" customHeight="1"/>
    <row r="3537" ht="14.25" customHeight="1"/>
    <row r="3538" ht="14.25" customHeight="1"/>
    <row r="3539" ht="14.25" customHeight="1"/>
    <row r="3540" ht="14.25" customHeight="1"/>
    <row r="3541" ht="14.25" customHeight="1"/>
    <row r="3542" ht="14.25" customHeight="1"/>
    <row r="3543" ht="14.25" customHeight="1"/>
    <row r="3544" ht="14.25" customHeight="1"/>
    <row r="3545" ht="14.25" customHeight="1"/>
    <row r="3546" ht="14.25" customHeight="1"/>
    <row r="3547" ht="14.25" customHeight="1"/>
    <row r="3548" ht="14.25" customHeight="1"/>
    <row r="3549" ht="14.25" customHeight="1"/>
    <row r="3550" ht="14.25" customHeight="1"/>
    <row r="3551" ht="14.25" customHeight="1"/>
    <row r="3552" ht="14.25" customHeight="1"/>
    <row r="3553" ht="14.25" customHeight="1"/>
    <row r="3554" ht="14.25" customHeight="1"/>
    <row r="3555" ht="14.25" customHeight="1"/>
    <row r="3556" ht="14.25" customHeight="1"/>
    <row r="3557" ht="14.25" customHeight="1"/>
    <row r="3558" ht="14.25" customHeight="1"/>
    <row r="3559" ht="14.25" customHeight="1"/>
    <row r="3560" ht="14.25" customHeight="1"/>
    <row r="3561" ht="14.25" customHeight="1"/>
    <row r="3562" ht="14.25" customHeight="1"/>
    <row r="3563" ht="14.25" customHeight="1"/>
    <row r="3564" ht="14.25" customHeight="1"/>
    <row r="3565" ht="14.25" customHeight="1"/>
    <row r="3566" ht="14.25" customHeight="1"/>
    <row r="3567" ht="14.25" customHeight="1"/>
    <row r="3568" ht="14.25" customHeight="1"/>
    <row r="3569" ht="14.25" customHeight="1"/>
    <row r="3570" ht="14.25" customHeight="1"/>
    <row r="3571" ht="14.25" customHeight="1"/>
    <row r="3572" ht="14.25" customHeight="1"/>
    <row r="3573" ht="14.25" customHeight="1"/>
    <row r="3574" ht="14.25" customHeight="1"/>
    <row r="3575" ht="14.25" customHeight="1"/>
    <row r="3576" ht="14.25" customHeight="1"/>
    <row r="3577" ht="14.25" customHeight="1"/>
    <row r="3578" ht="14.25" customHeight="1"/>
    <row r="3579" ht="14.25" customHeight="1"/>
    <row r="3580" ht="14.25" customHeight="1"/>
    <row r="3581" ht="14.25" customHeight="1"/>
    <row r="3582" ht="14.25" customHeight="1"/>
    <row r="3583" ht="14.25" customHeight="1"/>
    <row r="3584" ht="14.25" customHeight="1"/>
    <row r="3585" ht="14.25" customHeight="1"/>
    <row r="3586" ht="14.25" customHeight="1"/>
    <row r="3587" ht="14.25" customHeight="1"/>
    <row r="3588" ht="14.25" customHeight="1"/>
    <row r="3589" ht="14.25" customHeight="1"/>
    <row r="3590" ht="14.25" customHeight="1"/>
    <row r="3591" ht="14.25" customHeight="1"/>
    <row r="3592" ht="14.25" customHeight="1"/>
    <row r="3593" ht="14.25" customHeight="1"/>
    <row r="3594" ht="14.25" customHeight="1"/>
    <row r="3595" ht="14.25" customHeight="1"/>
    <row r="3596" ht="14.25" customHeight="1"/>
    <row r="3597" ht="14.25" customHeight="1"/>
    <row r="3598" ht="14.25" customHeight="1"/>
    <row r="3599" ht="14.25" customHeight="1"/>
    <row r="3600" ht="14.25" customHeight="1"/>
    <row r="3601" ht="14.25" customHeight="1"/>
    <row r="3602" ht="14.25" customHeight="1"/>
    <row r="3603" ht="14.25" customHeight="1"/>
    <row r="3604" ht="14.25" customHeight="1"/>
    <row r="3605" ht="14.25" customHeight="1"/>
    <row r="3606" ht="14.25" customHeight="1"/>
    <row r="3607" ht="14.25" customHeight="1"/>
    <row r="3608" ht="14.25" customHeight="1"/>
    <row r="3609" ht="14.25" customHeight="1"/>
    <row r="3610" ht="14.25" customHeight="1"/>
    <row r="3611" ht="14.25" customHeight="1"/>
    <row r="3612" ht="14.25" customHeight="1"/>
    <row r="3613" ht="14.25" customHeight="1"/>
    <row r="3614" ht="14.25" customHeight="1"/>
    <row r="3615" ht="14.25" customHeight="1"/>
    <row r="3616" ht="14.25" customHeight="1"/>
    <row r="3617" ht="14.25" customHeight="1"/>
    <row r="3618" ht="14.25" customHeight="1"/>
    <row r="3619" ht="14.25" customHeight="1"/>
    <row r="3620" ht="14.25" customHeight="1"/>
    <row r="3621" ht="14.25" customHeight="1"/>
    <row r="3622" ht="14.25" customHeight="1"/>
    <row r="3623" ht="14.25" customHeight="1"/>
    <row r="3624" ht="14.25" customHeight="1"/>
    <row r="3625" ht="14.25" customHeight="1"/>
    <row r="3626" ht="14.25" customHeight="1"/>
    <row r="3627" ht="14.25" customHeight="1"/>
    <row r="3628" ht="14.25" customHeight="1"/>
    <row r="3629" ht="14.25" customHeight="1"/>
    <row r="3630" ht="14.25" customHeight="1"/>
    <row r="3631" ht="14.25" customHeight="1"/>
    <row r="3632" ht="14.25" customHeight="1"/>
    <row r="3633" ht="14.25" customHeight="1"/>
    <row r="3634" ht="14.25" customHeight="1"/>
    <row r="3635" ht="14.25" customHeight="1"/>
    <row r="3636" ht="14.25" customHeight="1"/>
    <row r="3637" ht="14.25" customHeight="1"/>
    <row r="3638" ht="14.25" customHeight="1"/>
    <row r="3639" ht="14.25" customHeight="1"/>
    <row r="3640" ht="14.25" customHeight="1"/>
    <row r="3641" ht="14.25" customHeight="1"/>
    <row r="3642" ht="14.25" customHeight="1"/>
    <row r="3643" ht="14.25" customHeight="1"/>
    <row r="3644" ht="14.25" customHeight="1"/>
    <row r="3645" ht="14.25" customHeight="1"/>
    <row r="3646" ht="14.25" customHeight="1"/>
    <row r="3647" ht="14.25" customHeight="1"/>
    <row r="3648" ht="14.25" customHeight="1"/>
    <row r="3649" ht="14.25" customHeight="1"/>
    <row r="3650" ht="14.25" customHeight="1"/>
    <row r="3651" ht="14.25" customHeight="1"/>
    <row r="3652" ht="14.25" customHeight="1"/>
    <row r="3653" ht="14.25" customHeight="1"/>
    <row r="3654" ht="14.25" customHeight="1"/>
    <row r="3655" ht="14.25" customHeight="1"/>
    <row r="3656" ht="14.25" customHeight="1"/>
    <row r="3657" ht="14.25" customHeight="1"/>
    <row r="3658" ht="14.25" customHeight="1"/>
    <row r="3659" ht="14.25" customHeight="1"/>
    <row r="3660" ht="14.25" customHeight="1"/>
    <row r="3661" ht="14.25" customHeight="1"/>
    <row r="3662" ht="14.25" customHeight="1"/>
    <row r="3663" ht="14.25" customHeight="1"/>
    <row r="3664" ht="14.25" customHeight="1"/>
    <row r="3665" ht="14.25" customHeight="1"/>
    <row r="3666" ht="14.25" customHeight="1"/>
    <row r="3667" ht="14.25" customHeight="1"/>
    <row r="3668" ht="14.25" customHeight="1"/>
    <row r="3669" ht="14.25" customHeight="1"/>
    <row r="3670" ht="14.25" customHeight="1"/>
    <row r="3671" ht="14.25" customHeight="1"/>
    <row r="3672" ht="14.25" customHeight="1"/>
    <row r="3673" ht="14.25" customHeight="1"/>
    <row r="3674" ht="14.25" customHeight="1"/>
    <row r="3675" ht="14.25" customHeight="1"/>
    <row r="3676" ht="14.25" customHeight="1"/>
    <row r="3677" ht="14.25" customHeight="1"/>
    <row r="3678" ht="14.25" customHeight="1"/>
    <row r="3679" ht="14.25" customHeight="1"/>
    <row r="3680" ht="14.25" customHeight="1"/>
    <row r="3681" ht="14.25" customHeight="1"/>
    <row r="3682" ht="14.25" customHeight="1"/>
    <row r="3683" ht="14.25" customHeight="1"/>
    <row r="3684" ht="14.25" customHeight="1"/>
    <row r="3685" ht="14.25" customHeight="1"/>
    <row r="3686" ht="14.25" customHeight="1"/>
    <row r="3687" ht="14.25" customHeight="1"/>
    <row r="3688" ht="14.25" customHeight="1"/>
    <row r="3689" ht="14.25" customHeight="1"/>
    <row r="3690" ht="14.25" customHeight="1"/>
    <row r="3691" ht="14.25" customHeight="1"/>
    <row r="3692" ht="14.25" customHeight="1"/>
    <row r="3693" ht="14.25" customHeight="1"/>
    <row r="3694" ht="14.25" customHeight="1"/>
    <row r="3695" ht="14.25" customHeight="1"/>
    <row r="3696" ht="14.25" customHeight="1"/>
    <row r="3697" ht="14.25" customHeight="1"/>
    <row r="3698" ht="14.25" customHeight="1"/>
    <row r="3699" ht="14.25" customHeight="1"/>
    <row r="3700" ht="14.25" customHeight="1"/>
    <row r="3701" ht="14.25" customHeight="1"/>
    <row r="3702" ht="14.25" customHeight="1"/>
    <row r="3703" ht="14.25" customHeight="1"/>
    <row r="3704" ht="14.25" customHeight="1"/>
    <row r="3705" ht="14.25" customHeight="1"/>
    <row r="3706" ht="14.25" customHeight="1"/>
    <row r="3707" ht="14.25" customHeight="1"/>
    <row r="3708" ht="14.25" customHeight="1"/>
    <row r="3709" ht="14.25" customHeight="1"/>
    <row r="3710" ht="14.25" customHeight="1"/>
    <row r="3711" ht="14.25" customHeight="1"/>
    <row r="3712" ht="14.25" customHeight="1"/>
    <row r="3713" ht="14.25" customHeight="1"/>
    <row r="3714" ht="14.25" customHeight="1"/>
    <row r="3715" ht="14.25" customHeight="1"/>
    <row r="3716" ht="14.25" customHeight="1"/>
    <row r="3717" ht="14.25" customHeight="1"/>
    <row r="3718" ht="14.25" customHeight="1"/>
    <row r="3719" ht="14.25" customHeight="1"/>
    <row r="3720" ht="14.25" customHeight="1"/>
    <row r="3721" ht="14.25" customHeight="1"/>
    <row r="3722" ht="14.25" customHeight="1"/>
    <row r="3723" ht="14.25" customHeight="1"/>
    <row r="3724" ht="14.25" customHeight="1"/>
    <row r="3725" ht="14.25" customHeight="1"/>
    <row r="3726" ht="14.25" customHeight="1"/>
    <row r="3727" ht="14.25" customHeight="1"/>
    <row r="3728" ht="14.25" customHeight="1"/>
    <row r="3729" ht="14.25" customHeight="1"/>
    <row r="3730" ht="14.25" customHeight="1"/>
    <row r="3731" ht="14.25" customHeight="1"/>
    <row r="3732" ht="14.25" customHeight="1"/>
    <row r="3733" ht="14.25" customHeight="1"/>
    <row r="3734" ht="14.25" customHeight="1"/>
    <row r="3735" ht="14.25" customHeight="1"/>
    <row r="3736" ht="14.25" customHeight="1"/>
    <row r="3737" ht="14.25" customHeight="1"/>
    <row r="3738" ht="14.25" customHeight="1"/>
    <row r="3739" ht="14.25" customHeight="1"/>
    <row r="3740" ht="14.25" customHeight="1"/>
    <row r="3741" ht="14.25" customHeight="1"/>
    <row r="3742" ht="14.25" customHeight="1"/>
    <row r="3743" ht="14.25" customHeight="1"/>
    <row r="3744" ht="14.25" customHeight="1"/>
    <row r="3745" ht="14.25" customHeight="1"/>
    <row r="3746" ht="14.25" customHeight="1"/>
    <row r="3747" ht="14.25" customHeight="1"/>
    <row r="3748" ht="14.25" customHeight="1"/>
    <row r="3749" ht="14.25" customHeight="1"/>
    <row r="3750" ht="14.25" customHeight="1"/>
    <row r="3751" ht="14.25" customHeight="1"/>
    <row r="3752" ht="14.25" customHeight="1"/>
    <row r="3753" ht="14.25" customHeight="1"/>
    <row r="3754" ht="14.25" customHeight="1"/>
    <row r="3755" ht="14.25" customHeight="1"/>
    <row r="3756" ht="14.25" customHeight="1"/>
    <row r="3757" ht="14.25" customHeight="1"/>
    <row r="3758" ht="14.25" customHeight="1"/>
    <row r="3759" ht="14.25" customHeight="1"/>
    <row r="3760" ht="14.25" customHeight="1"/>
    <row r="3761" ht="14.25" customHeight="1"/>
    <row r="3762" ht="14.25" customHeight="1"/>
    <row r="3763" ht="14.25" customHeight="1"/>
    <row r="3764" ht="14.25" customHeight="1"/>
    <row r="3765" ht="14.25" customHeight="1"/>
    <row r="3766" ht="14.25" customHeight="1"/>
    <row r="3767" ht="14.25" customHeight="1"/>
    <row r="3768" ht="14.25" customHeight="1"/>
    <row r="3769" ht="14.25" customHeight="1"/>
    <row r="3770" ht="14.25" customHeight="1"/>
    <row r="3771" ht="14.25" customHeight="1"/>
    <row r="3772" ht="14.25" customHeight="1"/>
    <row r="3773" ht="14.25" customHeight="1"/>
    <row r="3774" ht="14.25" customHeight="1"/>
    <row r="3775" ht="14.25" customHeight="1"/>
    <row r="3776" ht="14.25" customHeight="1"/>
    <row r="3777" ht="14.25" customHeight="1"/>
    <row r="3778" ht="14.25" customHeight="1"/>
    <row r="3779" ht="14.25" customHeight="1"/>
    <row r="3780" ht="14.25" customHeight="1"/>
    <row r="3781" ht="14.25" customHeight="1"/>
    <row r="3782" ht="14.25" customHeight="1"/>
    <row r="3783" ht="14.25" customHeight="1"/>
    <row r="3784" ht="14.25" customHeight="1"/>
    <row r="3785" ht="14.25" customHeight="1"/>
    <row r="3786" ht="14.25" customHeight="1"/>
    <row r="3787" ht="14.25" customHeight="1"/>
    <row r="3788" ht="14.25" customHeight="1"/>
    <row r="3789" ht="14.25" customHeight="1"/>
    <row r="3790" ht="14.25" customHeight="1"/>
    <row r="3791" ht="14.25" customHeight="1"/>
    <row r="3792" ht="14.25" customHeight="1"/>
    <row r="3793" ht="14.25" customHeight="1"/>
    <row r="3794" ht="14.25" customHeight="1"/>
    <row r="3795" ht="14.25" customHeight="1"/>
    <row r="3796" ht="14.25" customHeight="1"/>
    <row r="3797" ht="14.25" customHeight="1"/>
    <row r="3798" ht="14.25" customHeight="1"/>
    <row r="3799" ht="14.25" customHeight="1"/>
    <row r="3800" ht="14.25" customHeight="1"/>
    <row r="3801" ht="14.25" customHeight="1"/>
    <row r="3802" ht="14.25" customHeight="1"/>
    <row r="3803" ht="14.25" customHeight="1"/>
    <row r="3804" ht="14.25" customHeight="1"/>
    <row r="3805" ht="14.25" customHeight="1"/>
    <row r="3806" ht="14.25" customHeight="1"/>
    <row r="3807" ht="14.25" customHeight="1"/>
    <row r="3808" ht="14.25" customHeight="1"/>
    <row r="3809" ht="14.25" customHeight="1"/>
    <row r="3810" ht="14.25" customHeight="1"/>
    <row r="3811" ht="14.25" customHeight="1"/>
    <row r="3812" ht="14.25" customHeight="1"/>
    <row r="3813" ht="14.25" customHeight="1"/>
    <row r="3814" ht="14.25" customHeight="1"/>
    <row r="3815" ht="14.25" customHeight="1"/>
    <row r="3816" ht="14.25" customHeight="1"/>
    <row r="3817" ht="14.25" customHeight="1"/>
    <row r="3818" ht="14.25" customHeight="1"/>
    <row r="3819" ht="14.25" customHeight="1"/>
    <row r="3820" ht="14.25" customHeight="1"/>
    <row r="3821" ht="14.25" customHeight="1"/>
    <row r="3822" ht="14.25" customHeight="1"/>
    <row r="3823" ht="14.25" customHeight="1"/>
    <row r="3824" ht="14.25" customHeight="1"/>
    <row r="3825" ht="14.25" customHeight="1"/>
    <row r="3826" ht="14.25" customHeight="1"/>
    <row r="3827" ht="14.25" customHeight="1"/>
    <row r="3828" ht="14.25" customHeight="1"/>
    <row r="3829" ht="14.25" customHeight="1"/>
    <row r="3830" ht="14.25" customHeight="1"/>
    <row r="3831" ht="14.25" customHeight="1"/>
    <row r="3832" ht="14.25" customHeight="1"/>
    <row r="3833" ht="14.25" customHeight="1"/>
    <row r="3834" ht="14.25" customHeight="1"/>
    <row r="3835" ht="14.25" customHeight="1"/>
    <row r="3836" ht="14.25" customHeight="1"/>
    <row r="3837" ht="14.25" customHeight="1"/>
    <row r="3838" ht="14.25" customHeight="1"/>
    <row r="3839" ht="14.25" customHeight="1"/>
    <row r="3840" ht="14.25" customHeight="1"/>
    <row r="3841" ht="14.25" customHeight="1"/>
    <row r="3842" ht="14.25" customHeight="1"/>
    <row r="3843" ht="14.25" customHeight="1"/>
    <row r="3844" ht="14.25" customHeight="1"/>
    <row r="3845" ht="14.25" customHeight="1"/>
    <row r="3846" ht="14.25" customHeight="1"/>
    <row r="3847" ht="14.25" customHeight="1"/>
    <row r="3848" ht="14.25" customHeight="1"/>
    <row r="3849" ht="14.25" customHeight="1"/>
    <row r="3850" ht="14.25" customHeight="1"/>
    <row r="3851" ht="14.25" customHeight="1"/>
    <row r="3852" ht="14.25" customHeight="1"/>
    <row r="3853" ht="14.25" customHeight="1"/>
    <row r="3854" ht="14.25" customHeight="1"/>
    <row r="3855" ht="14.25" customHeight="1"/>
    <row r="3856" ht="14.25" customHeight="1"/>
    <row r="3857" ht="14.25" customHeight="1"/>
    <row r="3858" ht="14.25" customHeight="1"/>
    <row r="3859" ht="14.25" customHeight="1"/>
    <row r="3860" ht="14.25" customHeight="1"/>
    <row r="3861" ht="14.25" customHeight="1"/>
    <row r="3862" ht="14.25" customHeight="1"/>
    <row r="3863" ht="14.25" customHeight="1"/>
    <row r="3864" ht="14.25" customHeight="1"/>
    <row r="3865" ht="14.25" customHeight="1"/>
    <row r="3866" ht="14.25" customHeight="1"/>
    <row r="3867" ht="14.25" customHeight="1"/>
    <row r="3868" ht="14.25" customHeight="1"/>
    <row r="3869" ht="14.25" customHeight="1"/>
    <row r="3870" ht="14.25" customHeight="1"/>
    <row r="3871" ht="14.25" customHeight="1"/>
    <row r="3872" ht="14.25" customHeight="1"/>
    <row r="3873" ht="14.25" customHeight="1"/>
    <row r="3874" ht="14.25" customHeight="1"/>
    <row r="3875" ht="14.25" customHeight="1"/>
    <row r="3876" ht="14.25" customHeight="1"/>
    <row r="3877" ht="14.25" customHeight="1"/>
    <row r="3878" ht="14.25" customHeight="1"/>
    <row r="3879" ht="14.25" customHeight="1"/>
    <row r="3880" ht="14.25" customHeight="1"/>
    <row r="3881" ht="14.25" customHeight="1"/>
    <row r="3882" ht="14.25" customHeight="1"/>
    <row r="3883" ht="14.25" customHeight="1"/>
    <row r="3884" ht="14.25" customHeight="1"/>
    <row r="3885" ht="14.25" customHeight="1"/>
    <row r="3886" ht="14.25" customHeight="1"/>
    <row r="3887" ht="14.25" customHeight="1"/>
    <row r="3888" ht="14.25" customHeight="1"/>
    <row r="3889" ht="14.25" customHeight="1"/>
    <row r="3890" ht="14.25" customHeight="1"/>
    <row r="3891" ht="14.25" customHeight="1"/>
    <row r="3892" ht="14.25" customHeight="1"/>
    <row r="3893" ht="14.25" customHeight="1"/>
    <row r="3894" ht="14.25" customHeight="1"/>
    <row r="3895" ht="14.25" customHeight="1"/>
    <row r="3896" ht="14.25" customHeight="1"/>
    <row r="3897" ht="14.25" customHeight="1"/>
    <row r="3898" ht="14.25" customHeight="1"/>
    <row r="3899" ht="14.25" customHeight="1"/>
    <row r="3900" ht="14.25" customHeight="1"/>
    <row r="3901" ht="14.25" customHeight="1"/>
    <row r="3902" ht="14.25" customHeight="1"/>
    <row r="3903" ht="14.25" customHeight="1"/>
    <row r="3904" ht="14.25" customHeight="1"/>
    <row r="3905" ht="14.25" customHeight="1"/>
    <row r="3906" ht="14.25" customHeight="1"/>
    <row r="3907" ht="14.25" customHeight="1"/>
    <row r="3908" ht="14.25" customHeight="1"/>
    <row r="3909" ht="14.25" customHeight="1"/>
    <row r="3910" ht="14.25" customHeight="1"/>
    <row r="3911" ht="14.25" customHeight="1"/>
    <row r="3912" ht="14.25" customHeight="1"/>
    <row r="3913" ht="14.25" customHeight="1"/>
    <row r="3914" ht="14.25" customHeight="1"/>
    <row r="3915" ht="14.25" customHeight="1"/>
    <row r="3916" ht="14.25" customHeight="1"/>
    <row r="3917" ht="14.25" customHeight="1"/>
    <row r="3918" ht="14.25" customHeight="1"/>
    <row r="3919" ht="14.25" customHeight="1"/>
    <row r="3920" ht="14.25" customHeight="1"/>
    <row r="3921" ht="14.25" customHeight="1"/>
    <row r="3922" ht="14.25" customHeight="1"/>
    <row r="3923" ht="14.25" customHeight="1"/>
    <row r="3924" ht="14.25" customHeight="1"/>
    <row r="3925" ht="14.25" customHeight="1"/>
    <row r="3926" ht="14.25" customHeight="1"/>
    <row r="3927" ht="14.25" customHeight="1"/>
    <row r="3928" ht="14.25" customHeight="1"/>
    <row r="3929" ht="14.25" customHeight="1"/>
    <row r="3930" ht="14.25" customHeight="1"/>
    <row r="3931" ht="14.25" customHeight="1"/>
    <row r="3932" ht="14.25" customHeight="1"/>
    <row r="3933" ht="14.25" customHeight="1"/>
    <row r="3934" ht="14.25" customHeight="1"/>
    <row r="3935" ht="14.25" customHeight="1"/>
    <row r="3936" ht="14.25" customHeight="1"/>
    <row r="3937" ht="14.25" customHeight="1"/>
    <row r="3938" ht="14.25" customHeight="1"/>
    <row r="3939" ht="14.25" customHeight="1"/>
    <row r="3940" ht="14.25" customHeight="1"/>
    <row r="3941" ht="14.25" customHeight="1"/>
    <row r="3942" ht="14.25" customHeight="1"/>
    <row r="3943" ht="14.25" customHeight="1"/>
    <row r="3944" ht="14.25" customHeight="1"/>
    <row r="3945" ht="14.25" customHeight="1"/>
    <row r="3946" ht="14.25" customHeight="1"/>
    <row r="3947" ht="14.25" customHeight="1"/>
    <row r="3948" ht="14.25" customHeight="1"/>
    <row r="3949" ht="14.25" customHeight="1"/>
    <row r="3950" ht="14.25" customHeight="1"/>
    <row r="3951" ht="14.25" customHeight="1"/>
    <row r="3952" ht="14.25" customHeight="1"/>
    <row r="3953" ht="14.25" customHeight="1"/>
    <row r="3954" ht="14.25" customHeight="1"/>
    <row r="3955" ht="14.25" customHeight="1"/>
    <row r="3956" ht="14.25" customHeight="1"/>
    <row r="3957" ht="14.25" customHeight="1"/>
    <row r="3958" ht="14.25" customHeight="1"/>
    <row r="3959" ht="14.25" customHeight="1"/>
    <row r="3960" ht="14.25" customHeight="1"/>
    <row r="3961" ht="14.25" customHeight="1"/>
    <row r="3962" ht="14.25" customHeight="1"/>
    <row r="3963" ht="14.25" customHeight="1"/>
    <row r="3964" ht="14.25" customHeight="1"/>
    <row r="3965" ht="14.25" customHeight="1"/>
    <row r="3966" ht="14.25" customHeight="1"/>
    <row r="3967" ht="14.25" customHeight="1"/>
    <row r="3968" ht="14.25" customHeight="1"/>
    <row r="3969" ht="14.25" customHeight="1"/>
    <row r="3970" ht="14.25" customHeight="1"/>
    <row r="3971" ht="14.25" customHeight="1"/>
    <row r="3972" ht="14.25" customHeight="1"/>
    <row r="3973" ht="14.25" customHeight="1"/>
    <row r="3974" ht="14.25" customHeight="1"/>
    <row r="3975" ht="14.25" customHeight="1"/>
    <row r="3976" ht="14.25" customHeight="1"/>
    <row r="3977" ht="14.25" customHeight="1"/>
    <row r="3978" ht="14.25" customHeight="1"/>
    <row r="3979" ht="14.25" customHeight="1"/>
    <row r="3980" ht="14.25" customHeight="1"/>
    <row r="3981" ht="14.25" customHeight="1"/>
    <row r="3982" ht="14.25" customHeight="1"/>
    <row r="3983" ht="14.25" customHeight="1"/>
    <row r="3984" ht="14.25" customHeight="1"/>
    <row r="3985" ht="14.25" customHeight="1"/>
    <row r="3986" ht="14.25" customHeight="1"/>
    <row r="3987" ht="14.25" customHeight="1"/>
    <row r="3988" ht="14.25" customHeight="1"/>
    <row r="3989" ht="14.25" customHeight="1"/>
    <row r="3990" ht="14.25" customHeight="1"/>
    <row r="3991" ht="14.25" customHeight="1"/>
    <row r="3992" ht="14.25" customHeight="1"/>
    <row r="3993" ht="14.25" customHeight="1"/>
    <row r="3994" ht="14.25" customHeight="1"/>
    <row r="3995" ht="14.25" customHeight="1"/>
    <row r="3996" ht="14.25" customHeight="1"/>
    <row r="3997" ht="14.25" customHeight="1"/>
    <row r="3998" ht="14.25" customHeight="1"/>
    <row r="3999" ht="14.25" customHeight="1"/>
    <row r="4000" ht="14.25" customHeight="1"/>
    <row r="4001" ht="14.25" customHeight="1"/>
    <row r="4002" ht="14.25" customHeight="1"/>
    <row r="4003" ht="14.25" customHeight="1"/>
    <row r="4004" ht="14.25" customHeight="1"/>
    <row r="4005" ht="14.25" customHeight="1"/>
    <row r="4006" ht="14.25" customHeight="1"/>
    <row r="4007" ht="14.25" customHeight="1"/>
    <row r="4008" ht="14.25" customHeight="1"/>
    <row r="4009" ht="14.25" customHeight="1"/>
    <row r="4010" ht="14.25" customHeight="1"/>
    <row r="4011" ht="14.25" customHeight="1"/>
    <row r="4012" ht="14.25" customHeight="1"/>
    <row r="4013" ht="14.25" customHeight="1"/>
    <row r="4014" ht="14.25" customHeight="1"/>
    <row r="4015" ht="14.25" customHeight="1"/>
    <row r="4016" ht="14.25" customHeight="1"/>
    <row r="4017" ht="14.25" customHeight="1"/>
    <row r="4018" ht="14.25" customHeight="1"/>
    <row r="4019" ht="14.25" customHeight="1"/>
    <row r="4020" ht="14.25" customHeight="1"/>
    <row r="4021" ht="14.25" customHeight="1"/>
    <row r="4022" ht="14.25" customHeight="1"/>
    <row r="4023" ht="14.25" customHeight="1"/>
    <row r="4024" ht="14.25" customHeight="1"/>
    <row r="4025" ht="14.25" customHeight="1"/>
    <row r="4026" ht="14.25" customHeight="1"/>
    <row r="4027" ht="14.25" customHeight="1"/>
    <row r="4028" ht="14.25" customHeight="1"/>
    <row r="4029" ht="14.25" customHeight="1"/>
    <row r="4030" ht="14.25" customHeight="1"/>
    <row r="4031" ht="14.25" customHeight="1"/>
    <row r="4032" ht="14.25" customHeight="1"/>
    <row r="4033" ht="14.25" customHeight="1"/>
    <row r="4034" ht="14.25" customHeight="1"/>
    <row r="4035" ht="14.25" customHeight="1"/>
    <row r="4036" ht="14.25" customHeight="1"/>
    <row r="4037" ht="14.25" customHeight="1"/>
    <row r="4038" ht="14.25" customHeight="1"/>
    <row r="4039" ht="14.25" customHeight="1"/>
    <row r="4040" ht="14.25" customHeight="1"/>
    <row r="4041" ht="14.25" customHeight="1"/>
    <row r="4042" ht="14.25" customHeight="1"/>
    <row r="4043" ht="14.25" customHeight="1"/>
    <row r="4044" ht="14.25" customHeight="1"/>
    <row r="4045" ht="14.25" customHeight="1"/>
    <row r="4046" ht="14.25" customHeight="1"/>
    <row r="4047" ht="14.25" customHeight="1"/>
    <row r="4048" ht="14.25" customHeight="1"/>
    <row r="4049" ht="14.25" customHeight="1"/>
    <row r="4050" ht="14.25" customHeight="1"/>
    <row r="4051" ht="14.25" customHeight="1"/>
    <row r="4052" ht="14.25" customHeight="1"/>
    <row r="4053" ht="14.25" customHeight="1"/>
    <row r="4054" ht="14.25" customHeight="1"/>
    <row r="4055" ht="14.25" customHeight="1"/>
    <row r="4056" ht="14.25" customHeight="1"/>
    <row r="4057" ht="14.25" customHeight="1"/>
    <row r="4058" ht="14.25" customHeight="1"/>
    <row r="4059" ht="14.25" customHeight="1"/>
    <row r="4060" ht="14.25" customHeight="1"/>
    <row r="4061" ht="14.25" customHeight="1"/>
    <row r="4062" ht="14.25" customHeight="1"/>
    <row r="4063" ht="14.25" customHeight="1"/>
    <row r="4064" ht="14.25" customHeight="1"/>
    <row r="4065" ht="14.25" customHeight="1"/>
    <row r="4066" ht="14.25" customHeight="1"/>
    <row r="4067" ht="14.25" customHeight="1"/>
    <row r="4068" ht="14.25" customHeight="1"/>
    <row r="4069" ht="14.25" customHeight="1"/>
    <row r="4070" ht="14.25" customHeight="1"/>
    <row r="4071" ht="14.25" customHeight="1"/>
    <row r="4072" ht="14.25" customHeight="1"/>
    <row r="4073" ht="14.25" customHeight="1"/>
    <row r="4074" ht="14.25" customHeight="1"/>
    <row r="4075" ht="14.25" customHeight="1"/>
    <row r="4076" ht="14.25" customHeight="1"/>
    <row r="4077" ht="14.25" customHeight="1"/>
    <row r="4078" ht="14.25" customHeight="1"/>
    <row r="4079" ht="14.25" customHeight="1"/>
    <row r="4080" ht="14.25" customHeight="1"/>
    <row r="4081" ht="14.25" customHeight="1"/>
    <row r="4082" ht="14.25" customHeight="1"/>
    <row r="4083" ht="14.25" customHeight="1"/>
    <row r="4084" ht="14.25" customHeight="1"/>
    <row r="4085" ht="14.25" customHeight="1"/>
    <row r="4086" ht="14.25" customHeight="1"/>
    <row r="4087" ht="14.25" customHeight="1"/>
    <row r="4088" ht="14.25" customHeight="1"/>
    <row r="4089" ht="14.25" customHeight="1"/>
    <row r="4090" ht="14.25" customHeight="1"/>
    <row r="4091" ht="14.25" customHeight="1"/>
    <row r="4092" ht="14.25" customHeight="1"/>
    <row r="4093" ht="14.25" customHeight="1"/>
    <row r="4094" ht="14.25" customHeight="1"/>
    <row r="4095" ht="14.25" customHeight="1"/>
    <row r="4096"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ht="14.25" customHeight="1"/>
    <row r="4178" ht="14.25" customHeight="1"/>
    <row r="4179" ht="14.25" customHeight="1"/>
    <row r="4180" ht="14.25" customHeight="1"/>
    <row r="4181" ht="14.25" customHeight="1"/>
    <row r="4182" ht="14.25" customHeight="1"/>
    <row r="4183" ht="14.25" customHeight="1"/>
    <row r="4184" ht="14.25" customHeight="1"/>
    <row r="4185" ht="14.25" customHeight="1"/>
    <row r="4186" ht="14.25" customHeight="1"/>
    <row r="4187" ht="14.25" customHeight="1"/>
    <row r="4188" ht="14.25" customHeight="1"/>
    <row r="4189" ht="14.25" customHeight="1"/>
    <row r="4190" ht="14.25" customHeight="1"/>
    <row r="4191" ht="14.25" customHeight="1"/>
    <row r="4192" ht="14.25" customHeight="1"/>
    <row r="4193" ht="14.25" customHeight="1"/>
    <row r="4194" ht="14.25" customHeight="1"/>
    <row r="4195" ht="14.25" customHeight="1"/>
    <row r="4196" ht="14.25" customHeight="1"/>
    <row r="4197" ht="14.25" customHeight="1"/>
    <row r="4198" ht="14.25" customHeight="1"/>
    <row r="4199" ht="14.25" customHeight="1"/>
    <row r="4200" ht="14.25" customHeight="1"/>
    <row r="4201" ht="14.25" customHeight="1"/>
    <row r="4202" ht="14.25" customHeight="1"/>
    <row r="4203" ht="14.25" customHeight="1"/>
    <row r="4204" ht="14.25" customHeight="1"/>
    <row r="4205" ht="14.25" customHeight="1"/>
    <row r="4206" ht="14.25" customHeight="1"/>
    <row r="4207" ht="14.25" customHeight="1"/>
    <row r="4208" ht="14.25" customHeight="1"/>
    <row r="4209" ht="14.25" customHeight="1"/>
    <row r="4210" ht="14.25" customHeight="1"/>
    <row r="4211" ht="14.25" customHeight="1"/>
    <row r="4212" ht="14.25" customHeight="1"/>
    <row r="4213" ht="14.25" customHeight="1"/>
    <row r="4214" ht="14.25" customHeight="1"/>
    <row r="4215" ht="14.25" customHeight="1"/>
    <row r="4216" ht="14.25" customHeight="1"/>
    <row r="4217" ht="14.25" customHeight="1"/>
    <row r="4218" ht="14.25" customHeight="1"/>
    <row r="4219" ht="14.25" customHeight="1"/>
    <row r="4220" ht="14.25" customHeight="1"/>
    <row r="4221" ht="14.25" customHeight="1"/>
    <row r="4222" ht="14.25" customHeight="1"/>
    <row r="4223" ht="14.25" customHeight="1"/>
    <row r="4224" ht="14.25" customHeight="1"/>
    <row r="4225" ht="14.25" customHeight="1"/>
    <row r="4226" ht="14.25" customHeight="1"/>
    <row r="4227" ht="14.25" customHeight="1"/>
    <row r="4228" ht="14.25" customHeight="1"/>
    <row r="4229" ht="14.25" customHeight="1"/>
    <row r="4230" ht="14.25" customHeight="1"/>
    <row r="4231" ht="14.25" customHeight="1"/>
    <row r="4232" ht="14.25" customHeight="1"/>
    <row r="4233" ht="14.25" customHeight="1"/>
    <row r="4234" ht="14.25" customHeight="1"/>
    <row r="4235" ht="14.25" customHeight="1"/>
    <row r="4236" ht="14.25" customHeight="1"/>
    <row r="4237" ht="14.25" customHeight="1"/>
    <row r="4238" ht="14.25" customHeight="1"/>
    <row r="4239" ht="14.25" customHeight="1"/>
    <row r="4240" ht="14.25" customHeight="1"/>
    <row r="4241" ht="14.25" customHeight="1"/>
    <row r="4242" ht="14.25" customHeight="1"/>
    <row r="4243" ht="14.25" customHeight="1"/>
    <row r="4244" ht="14.25" customHeight="1"/>
    <row r="4245" ht="14.25" customHeight="1"/>
    <row r="4246" ht="14.25" customHeight="1"/>
    <row r="4247" ht="14.25" customHeight="1"/>
    <row r="4248" ht="14.25" customHeight="1"/>
    <row r="4249" ht="14.25" customHeight="1"/>
    <row r="4250" ht="14.25" customHeight="1"/>
    <row r="4251" ht="14.25" customHeight="1"/>
    <row r="4252" ht="14.25" customHeight="1"/>
    <row r="4253" ht="14.25" customHeight="1"/>
    <row r="4254" ht="14.25" customHeight="1"/>
    <row r="4255" ht="14.25" customHeight="1"/>
    <row r="4256" ht="14.25" customHeight="1"/>
    <row r="4257" ht="14.25" customHeight="1"/>
    <row r="4258" ht="14.25" customHeight="1"/>
    <row r="4259" ht="14.25" customHeight="1"/>
    <row r="4260" ht="14.25" customHeight="1"/>
    <row r="4261" ht="14.25" customHeight="1"/>
    <row r="4262" ht="14.25" customHeight="1"/>
    <row r="4263" ht="14.25" customHeight="1"/>
    <row r="4264" ht="14.25" customHeight="1"/>
    <row r="4265" ht="14.25" customHeight="1"/>
    <row r="4266" ht="14.25" customHeight="1"/>
    <row r="4267" ht="14.25" customHeight="1"/>
    <row r="4268" ht="14.25" customHeight="1"/>
    <row r="4269" ht="14.25" customHeight="1"/>
    <row r="4270" ht="14.25" customHeight="1"/>
    <row r="4271" ht="14.25" customHeight="1"/>
    <row r="4272" ht="14.25" customHeight="1"/>
    <row r="4273" ht="14.25" customHeight="1"/>
    <row r="4274" ht="14.25" customHeight="1"/>
    <row r="4275" ht="14.25" customHeight="1"/>
    <row r="4276" ht="14.25" customHeight="1"/>
    <row r="4277" ht="14.25" customHeight="1"/>
    <row r="4278" ht="14.25" customHeight="1"/>
    <row r="4279" ht="14.25" customHeight="1"/>
    <row r="4280" ht="14.25" customHeight="1"/>
    <row r="4281" ht="14.25" customHeight="1"/>
    <row r="4282" ht="14.25" customHeight="1"/>
    <row r="4283" ht="14.25" customHeight="1"/>
    <row r="4284" ht="14.25" customHeight="1"/>
    <row r="4285" ht="14.25" customHeight="1"/>
    <row r="4286" ht="14.25" customHeight="1"/>
    <row r="4287" ht="14.25" customHeight="1"/>
    <row r="4288" ht="14.25" customHeight="1"/>
    <row r="4289" ht="14.25" customHeight="1"/>
    <row r="4290" ht="14.25" customHeight="1"/>
    <row r="4291" ht="14.25" customHeight="1"/>
    <row r="4292" ht="14.25" customHeight="1"/>
    <row r="4293" ht="14.25" customHeight="1"/>
    <row r="4294" ht="14.25" customHeight="1"/>
    <row r="4295" ht="14.25" customHeight="1"/>
    <row r="4296" ht="14.25" customHeight="1"/>
    <row r="4297" ht="14.25" customHeight="1"/>
    <row r="4298" ht="14.25" customHeight="1"/>
    <row r="4299" ht="14.25" customHeight="1"/>
    <row r="4300" ht="14.25" customHeight="1"/>
    <row r="4301" ht="14.25" customHeight="1"/>
    <row r="4302" ht="14.25" customHeight="1"/>
    <row r="4303" ht="14.25" customHeight="1"/>
    <row r="4304" ht="14.25" customHeight="1"/>
    <row r="4305" ht="14.25" customHeight="1"/>
    <row r="4306" ht="14.25" customHeight="1"/>
    <row r="4307" ht="14.25" customHeight="1"/>
    <row r="4308" ht="14.25" customHeight="1"/>
    <row r="4309" ht="14.25" customHeight="1"/>
    <row r="4310" ht="14.25" customHeight="1"/>
    <row r="4311" ht="14.25" customHeight="1"/>
    <row r="4312" ht="14.25" customHeight="1"/>
    <row r="4313" ht="14.25" customHeight="1"/>
    <row r="4314" ht="14.25" customHeight="1"/>
    <row r="4315" ht="14.25" customHeight="1"/>
    <row r="4316" ht="14.25" customHeight="1"/>
    <row r="4317" ht="14.25" customHeight="1"/>
    <row r="4318" ht="14.25" customHeight="1"/>
    <row r="4319" ht="14.25" customHeight="1"/>
    <row r="4320" ht="14.25" customHeight="1"/>
    <row r="4321" ht="14.25" customHeight="1"/>
    <row r="4322" ht="14.25" customHeight="1"/>
    <row r="4323" ht="14.25" customHeight="1"/>
    <row r="4324" ht="14.25" customHeight="1"/>
    <row r="4325" ht="14.25" customHeight="1"/>
    <row r="4326" ht="14.25" customHeight="1"/>
    <row r="4327" ht="14.25" customHeight="1"/>
    <row r="4328" ht="14.25" customHeight="1"/>
    <row r="4329" ht="14.25" customHeight="1"/>
    <row r="4330" ht="14.25" customHeight="1"/>
    <row r="4331" ht="14.25" customHeight="1"/>
    <row r="4332" ht="14.25" customHeight="1"/>
    <row r="4333" ht="14.25" customHeight="1"/>
    <row r="4334" ht="14.25" customHeight="1"/>
    <row r="4335" ht="14.25" customHeight="1"/>
    <row r="4336" ht="14.25" customHeight="1"/>
    <row r="4337" ht="14.25" customHeight="1"/>
    <row r="4338" ht="14.25" customHeight="1"/>
    <row r="4339" ht="14.25" customHeight="1"/>
    <row r="4340" ht="14.25" customHeight="1"/>
    <row r="4341" ht="14.25" customHeight="1"/>
    <row r="4342" ht="14.25" customHeight="1"/>
    <row r="4343" ht="14.25" customHeight="1"/>
    <row r="4344" ht="14.25" customHeight="1"/>
    <row r="4345" ht="14.25" customHeight="1"/>
    <row r="4346" ht="14.25" customHeight="1"/>
    <row r="4347" ht="14.25" customHeight="1"/>
    <row r="4348" ht="14.25" customHeight="1"/>
    <row r="4349" ht="14.25" customHeight="1"/>
    <row r="4350" ht="14.25" customHeight="1"/>
    <row r="4351" ht="14.25" customHeight="1"/>
    <row r="4352" ht="14.25" customHeight="1"/>
    <row r="4353" ht="14.25" customHeight="1"/>
    <row r="4354" ht="14.25" customHeight="1"/>
    <row r="4355" ht="14.25" customHeight="1"/>
    <row r="4356" ht="14.25" customHeight="1"/>
    <row r="4357" ht="14.25" customHeight="1"/>
    <row r="4358" ht="14.25" customHeight="1"/>
    <row r="4359" ht="14.25" customHeight="1"/>
    <row r="4360" ht="14.25" customHeight="1"/>
    <row r="4361" ht="14.25" customHeight="1"/>
    <row r="4362" ht="14.25" customHeight="1"/>
    <row r="4363" ht="14.25" customHeight="1"/>
    <row r="4364" ht="14.25" customHeight="1"/>
    <row r="4365" ht="14.25" customHeight="1"/>
    <row r="4366" ht="14.25" customHeight="1"/>
    <row r="4367" ht="14.25" customHeight="1"/>
    <row r="4368" ht="14.25" customHeight="1"/>
    <row r="4369" ht="14.25" customHeight="1"/>
    <row r="4370" ht="14.25" customHeight="1"/>
    <row r="4371" ht="14.25" customHeight="1"/>
    <row r="4372" ht="14.25" customHeight="1"/>
    <row r="4373" ht="14.25" customHeight="1"/>
    <row r="4374" ht="14.25" customHeight="1"/>
    <row r="4375" ht="14.25" customHeight="1"/>
    <row r="4376" ht="14.25" customHeight="1"/>
    <row r="4377" ht="14.25" customHeight="1"/>
    <row r="4378" ht="14.25" customHeight="1"/>
    <row r="4379" ht="14.25" customHeight="1"/>
    <row r="4380" ht="14.25" customHeight="1"/>
    <row r="4381" ht="14.25" customHeight="1"/>
    <row r="4382" ht="14.25" customHeight="1"/>
    <row r="4383" ht="14.25" customHeight="1"/>
    <row r="4384" ht="14.25" customHeight="1"/>
    <row r="4385" ht="14.25" customHeight="1"/>
    <row r="4386" ht="14.25" customHeight="1"/>
    <row r="4387" ht="14.25" customHeight="1"/>
    <row r="4388" ht="14.25" customHeight="1"/>
    <row r="4389" ht="14.25" customHeight="1"/>
    <row r="4390" ht="14.25" customHeight="1"/>
    <row r="4391" ht="14.25" customHeight="1"/>
    <row r="4392" ht="14.25" customHeight="1"/>
    <row r="4393" ht="14.25" customHeight="1"/>
    <row r="4394" ht="14.25" customHeight="1"/>
    <row r="4395" ht="14.25" customHeight="1"/>
    <row r="4396" ht="14.25" customHeight="1"/>
    <row r="4397" ht="14.25" customHeight="1"/>
    <row r="4398" ht="14.25" customHeight="1"/>
    <row r="4399" ht="14.25" customHeight="1"/>
    <row r="4400" ht="14.25" customHeight="1"/>
    <row r="4401" ht="14.25" customHeight="1"/>
    <row r="4402" ht="14.25" customHeight="1"/>
    <row r="4403" ht="14.25" customHeight="1"/>
    <row r="4404" ht="14.25" customHeight="1"/>
    <row r="4405" ht="14.25" customHeight="1"/>
    <row r="4406" ht="14.25" customHeight="1"/>
    <row r="4407" ht="14.25" customHeight="1"/>
    <row r="4408" ht="14.25" customHeight="1"/>
    <row r="4409" ht="14.25" customHeight="1"/>
    <row r="4410" ht="14.25" customHeight="1"/>
    <row r="4411" ht="14.25" customHeight="1"/>
    <row r="4412" ht="14.25" customHeight="1"/>
    <row r="4413" ht="14.25" customHeight="1"/>
    <row r="4414" ht="14.25" customHeight="1"/>
    <row r="4415" ht="14.25" customHeight="1"/>
    <row r="4416" ht="14.25" customHeight="1"/>
    <row r="4417" ht="14.25" customHeight="1"/>
    <row r="4418" ht="14.25" customHeight="1"/>
    <row r="4419" ht="14.25" customHeight="1"/>
    <row r="4420" ht="14.25" customHeight="1"/>
    <row r="4421" ht="14.25" customHeight="1"/>
    <row r="4422" ht="14.25" customHeight="1"/>
    <row r="4423" ht="14.25" customHeight="1"/>
    <row r="4424" ht="14.25" customHeight="1"/>
    <row r="4425" ht="14.25" customHeight="1"/>
    <row r="4426" ht="14.25" customHeight="1"/>
    <row r="4427" ht="14.25" customHeight="1"/>
    <row r="4428" ht="14.25" customHeight="1"/>
    <row r="4429" ht="14.25" customHeight="1"/>
    <row r="4430" ht="14.25" customHeight="1"/>
    <row r="4431" ht="14.25" customHeight="1"/>
    <row r="4432" ht="14.25" customHeight="1"/>
    <row r="4433" ht="14.25" customHeight="1"/>
    <row r="4434" ht="14.25" customHeight="1"/>
    <row r="4435" ht="14.25" customHeight="1"/>
    <row r="4436" ht="14.25" customHeight="1"/>
    <row r="4437" ht="14.25" customHeight="1"/>
    <row r="4438" ht="14.25" customHeight="1"/>
    <row r="4439" ht="14.25" customHeight="1"/>
    <row r="4440" ht="14.25" customHeight="1"/>
    <row r="4441" ht="14.25" customHeight="1"/>
    <row r="4442" ht="14.25" customHeight="1"/>
    <row r="4443" ht="14.25" customHeight="1"/>
    <row r="4444" ht="14.25" customHeight="1"/>
    <row r="4445" ht="14.25" customHeight="1"/>
    <row r="4446" ht="14.25" customHeight="1"/>
    <row r="4447" ht="14.25" customHeight="1"/>
    <row r="4448" ht="14.25" customHeight="1"/>
    <row r="4449" ht="14.25" customHeight="1"/>
    <row r="4450" ht="14.25" customHeight="1"/>
    <row r="4451" ht="14.25" customHeight="1"/>
    <row r="4452" ht="14.25" customHeight="1"/>
    <row r="4453" ht="14.25" customHeight="1"/>
    <row r="4454" ht="14.25" customHeight="1"/>
    <row r="4455" ht="14.25" customHeight="1"/>
    <row r="4456" ht="14.25" customHeight="1"/>
    <row r="4457" ht="14.25" customHeight="1"/>
    <row r="4458" ht="14.25" customHeight="1"/>
    <row r="4459" ht="14.25" customHeight="1"/>
    <row r="4460" ht="14.25" customHeight="1"/>
    <row r="4461" ht="14.25" customHeight="1"/>
    <row r="4462" ht="14.25" customHeight="1"/>
    <row r="4463" ht="14.25" customHeight="1"/>
    <row r="4464" ht="14.25" customHeight="1"/>
    <row r="4465" ht="14.25" customHeight="1"/>
    <row r="4466" ht="14.25" customHeight="1"/>
    <row r="4467" ht="14.25" customHeight="1"/>
    <row r="4468" ht="14.25" customHeight="1"/>
    <row r="4469" ht="14.25" customHeight="1"/>
    <row r="4470" ht="14.25" customHeight="1"/>
    <row r="4471" ht="14.25" customHeight="1"/>
    <row r="4472" ht="14.25" customHeight="1"/>
    <row r="4473" ht="14.25" customHeight="1"/>
    <row r="4474" ht="14.25" customHeight="1"/>
    <row r="4475" ht="14.25" customHeight="1"/>
    <row r="4476" ht="14.25" customHeight="1"/>
    <row r="4477" ht="14.25" customHeight="1"/>
    <row r="4478" ht="14.25" customHeight="1"/>
    <row r="4479" ht="14.25" customHeight="1"/>
    <row r="4480" ht="14.25" customHeight="1"/>
    <row r="4481" ht="14.25" customHeight="1"/>
    <row r="4482" ht="14.25" customHeight="1"/>
    <row r="4483" ht="14.25" customHeight="1"/>
    <row r="4484" ht="14.25" customHeight="1"/>
    <row r="4485" ht="14.25" customHeight="1"/>
    <row r="4486" ht="14.25" customHeight="1"/>
    <row r="4487" ht="14.25" customHeight="1"/>
    <row r="4488" ht="14.25" customHeight="1"/>
    <row r="4489" ht="14.25" customHeight="1"/>
    <row r="4490" ht="14.25" customHeight="1"/>
    <row r="4491" ht="14.25" customHeight="1"/>
    <row r="4492" ht="14.25" customHeight="1"/>
    <row r="4493" ht="14.25" customHeight="1"/>
    <row r="4494" ht="14.25" customHeight="1"/>
    <row r="4495" ht="14.25" customHeight="1"/>
    <row r="4496" ht="14.25" customHeight="1"/>
    <row r="4497" ht="14.25" customHeight="1"/>
    <row r="4498" ht="14.25" customHeight="1"/>
    <row r="4499" ht="14.25" customHeight="1"/>
    <row r="4500" ht="14.25" customHeight="1"/>
    <row r="4501" ht="14.25" customHeight="1"/>
    <row r="4502" ht="14.25" customHeight="1"/>
    <row r="4503" ht="14.25" customHeight="1"/>
    <row r="4504" ht="14.25" customHeight="1"/>
    <row r="4505" ht="14.25" customHeight="1"/>
    <row r="4506" ht="14.25" customHeight="1"/>
    <row r="4507" ht="14.25" customHeight="1"/>
    <row r="4508" ht="14.25" customHeight="1"/>
    <row r="4509" ht="14.25" customHeight="1"/>
    <row r="4510" ht="14.25" customHeight="1"/>
    <row r="4511" ht="14.25" customHeight="1"/>
    <row r="4512" ht="14.25" customHeight="1"/>
    <row r="4513" ht="14.25" customHeight="1"/>
    <row r="4514" ht="14.25" customHeight="1"/>
    <row r="4515" ht="14.25" customHeight="1"/>
    <row r="4516" ht="14.25" customHeight="1"/>
    <row r="4517" ht="14.25" customHeight="1"/>
    <row r="4518" ht="14.25" customHeight="1"/>
    <row r="4519" ht="14.25" customHeight="1"/>
    <row r="4520" ht="14.25" customHeight="1"/>
    <row r="4521" ht="14.25" customHeight="1"/>
    <row r="4522" ht="14.25" customHeight="1"/>
    <row r="4523" ht="14.25" customHeight="1"/>
    <row r="4524" ht="14.25" customHeight="1"/>
    <row r="4525" ht="14.25" customHeight="1"/>
    <row r="4526" ht="14.25" customHeight="1"/>
    <row r="4527" ht="14.25" customHeight="1"/>
    <row r="4528" ht="14.25" customHeight="1"/>
    <row r="4529" ht="14.25" customHeight="1"/>
    <row r="4530" ht="14.25" customHeight="1"/>
    <row r="4531" ht="14.25" customHeight="1"/>
    <row r="4532" ht="14.25" customHeight="1"/>
    <row r="4533" ht="14.25" customHeight="1"/>
    <row r="4534" ht="14.25" customHeight="1"/>
    <row r="4535" ht="14.25" customHeight="1"/>
    <row r="4536" ht="14.25" customHeight="1"/>
    <row r="4537" ht="14.25" customHeight="1"/>
    <row r="4538" ht="14.25" customHeight="1"/>
    <row r="4539" ht="14.25" customHeight="1"/>
    <row r="4540" ht="14.25" customHeight="1"/>
    <row r="4541" ht="14.25" customHeight="1"/>
    <row r="4542" ht="14.25" customHeight="1"/>
    <row r="4543" ht="14.25" customHeight="1"/>
    <row r="4544" ht="14.25" customHeight="1"/>
    <row r="4545" ht="14.25" customHeight="1"/>
    <row r="4546" ht="14.25" customHeight="1"/>
    <row r="4547" ht="14.25" customHeight="1"/>
    <row r="4548" ht="14.25" customHeight="1"/>
    <row r="4549" ht="14.25" customHeight="1"/>
    <row r="4550" ht="14.25" customHeight="1"/>
    <row r="4551" ht="14.25" customHeight="1"/>
    <row r="4552" ht="14.25" customHeight="1"/>
    <row r="4553" ht="14.25" customHeight="1"/>
    <row r="4554" ht="14.25" customHeight="1"/>
    <row r="4555" ht="14.25" customHeight="1"/>
    <row r="4556" ht="14.25" customHeight="1"/>
    <row r="4557" ht="14.25" customHeight="1"/>
    <row r="4558" ht="14.25" customHeight="1"/>
    <row r="4559" ht="14.25" customHeight="1"/>
    <row r="4560" ht="14.25" customHeight="1"/>
    <row r="4561" ht="14.25" customHeight="1"/>
    <row r="4562" ht="14.25" customHeight="1"/>
    <row r="4563" ht="14.25" customHeight="1"/>
    <row r="4564" ht="14.25" customHeight="1"/>
    <row r="4565" ht="14.25" customHeight="1"/>
    <row r="4566" ht="14.25" customHeight="1"/>
    <row r="4567" ht="14.25" customHeight="1"/>
    <row r="4568" ht="14.25" customHeight="1"/>
    <row r="4569" ht="14.25" customHeight="1"/>
    <row r="4570" ht="14.25" customHeight="1"/>
    <row r="4571" ht="14.25" customHeight="1"/>
    <row r="4572" ht="14.25" customHeight="1"/>
    <row r="4573" ht="14.25" customHeight="1"/>
    <row r="4574" ht="14.25" customHeight="1"/>
    <row r="4575" ht="14.25" customHeight="1"/>
    <row r="4576" ht="14.25" customHeight="1"/>
    <row r="4577" ht="14.25" customHeight="1"/>
    <row r="4578" ht="14.25" customHeight="1"/>
    <row r="4579" ht="14.25" customHeight="1"/>
    <row r="4580" ht="14.25" customHeight="1"/>
    <row r="4581" ht="14.25" customHeight="1"/>
    <row r="4582" ht="14.25" customHeight="1"/>
    <row r="4583" ht="14.25" customHeight="1"/>
    <row r="4584" ht="14.25" customHeight="1"/>
    <row r="4585" ht="14.25" customHeight="1"/>
    <row r="4586" ht="14.25" customHeight="1"/>
    <row r="4587" ht="14.25" customHeight="1"/>
    <row r="4588" ht="14.25" customHeight="1"/>
    <row r="4589" ht="14.25" customHeight="1"/>
    <row r="4590" ht="14.25" customHeight="1"/>
    <row r="4591" ht="14.25" customHeight="1"/>
    <row r="4592" ht="14.25" customHeight="1"/>
    <row r="4593" ht="14.25" customHeight="1"/>
    <row r="4594" ht="14.25" customHeight="1"/>
    <row r="4595" ht="14.25" customHeight="1"/>
    <row r="4596" ht="14.25" customHeight="1"/>
    <row r="4597" ht="14.25" customHeight="1"/>
    <row r="4598" ht="14.25" customHeight="1"/>
    <row r="4599" ht="14.25" customHeight="1"/>
    <row r="4600" ht="14.25" customHeight="1"/>
    <row r="4601" ht="14.25" customHeight="1"/>
    <row r="4602" ht="14.25" customHeight="1"/>
    <row r="4603" ht="14.25" customHeight="1"/>
    <row r="4604" ht="14.25" customHeight="1"/>
    <row r="4605" ht="14.25" customHeight="1"/>
    <row r="4606" ht="14.25" customHeight="1"/>
    <row r="4607" ht="14.25" customHeight="1"/>
    <row r="4608" ht="14.25" customHeight="1"/>
    <row r="4609" ht="14.25" customHeight="1"/>
    <row r="4610" ht="14.25" customHeight="1"/>
    <row r="4611" ht="14.25" customHeight="1"/>
    <row r="4612" ht="14.25" customHeight="1"/>
    <row r="4613" ht="14.25" customHeight="1"/>
    <row r="4614" ht="14.25" customHeight="1"/>
    <row r="4615" ht="14.25" customHeight="1"/>
    <row r="4616" ht="14.25" customHeight="1"/>
    <row r="4617" ht="14.25" customHeight="1"/>
    <row r="4618" ht="14.25" customHeight="1"/>
    <row r="4619" ht="14.25" customHeight="1"/>
    <row r="4620" ht="14.25" customHeight="1"/>
    <row r="4621" ht="14.25" customHeight="1"/>
    <row r="4622" ht="14.25" customHeight="1"/>
    <row r="4623" ht="14.25" customHeight="1"/>
    <row r="4624" ht="14.25" customHeight="1"/>
    <row r="4625" ht="14.25" customHeight="1"/>
    <row r="4626" ht="14.25" customHeight="1"/>
    <row r="4627" ht="14.25" customHeight="1"/>
    <row r="4628" ht="14.25" customHeight="1"/>
    <row r="4629" ht="14.25" customHeight="1"/>
    <row r="4630" ht="14.25" customHeight="1"/>
    <row r="4631" ht="14.25" customHeight="1"/>
    <row r="4632" ht="14.25" customHeight="1"/>
    <row r="4633" ht="14.25" customHeight="1"/>
    <row r="4634" ht="14.25" customHeight="1"/>
    <row r="4635" ht="14.25" customHeight="1"/>
    <row r="4636" ht="14.25" customHeight="1"/>
    <row r="4637" ht="14.25" customHeight="1"/>
    <row r="4638" ht="14.25" customHeight="1"/>
    <row r="4639" ht="14.25" customHeight="1"/>
    <row r="4640" ht="14.25" customHeight="1"/>
    <row r="4641" ht="14.25" customHeight="1"/>
    <row r="4642" ht="14.25" customHeight="1"/>
    <row r="4643" ht="14.25" customHeight="1"/>
    <row r="4644" ht="14.25" customHeight="1"/>
    <row r="4645" ht="14.25" customHeight="1"/>
    <row r="4646" ht="14.25" customHeight="1"/>
    <row r="4647" ht="14.25" customHeight="1"/>
    <row r="4648" ht="14.25" customHeight="1"/>
    <row r="4649" ht="14.25" customHeight="1"/>
    <row r="4650" ht="14.25" customHeight="1"/>
    <row r="4651" ht="14.25" customHeight="1"/>
    <row r="4652" ht="14.25" customHeight="1"/>
    <row r="4653" ht="14.25" customHeight="1"/>
    <row r="4654" ht="14.25" customHeight="1"/>
    <row r="4655" ht="14.25" customHeight="1"/>
    <row r="4656" ht="14.25" customHeight="1"/>
    <row r="4657" ht="14.25" customHeight="1"/>
    <row r="4658" ht="14.25" customHeight="1"/>
    <row r="4659" ht="14.25" customHeight="1"/>
    <row r="4660" ht="14.25" customHeight="1"/>
    <row r="4661" ht="14.25" customHeight="1"/>
    <row r="4662" ht="14.25" customHeight="1"/>
    <row r="4663" ht="14.25" customHeight="1"/>
    <row r="4664" ht="14.25" customHeight="1"/>
    <row r="4665" ht="14.25" customHeight="1"/>
    <row r="4666" ht="14.25" customHeight="1"/>
    <row r="4667" ht="14.25" customHeight="1"/>
    <row r="4668" ht="14.25" customHeight="1"/>
    <row r="4669" ht="14.25" customHeight="1"/>
    <row r="4670" ht="14.25" customHeight="1"/>
    <row r="4671" ht="14.25" customHeight="1"/>
    <row r="4672" ht="14.25" customHeight="1"/>
    <row r="4673" ht="14.25" customHeight="1"/>
    <row r="4674" ht="14.25" customHeight="1"/>
    <row r="4675" ht="14.25" customHeight="1"/>
    <row r="4676" ht="14.25" customHeight="1"/>
    <row r="4677" ht="14.25" customHeight="1"/>
    <row r="4678" ht="14.25" customHeight="1"/>
    <row r="4679" ht="14.25" customHeight="1"/>
    <row r="4680" ht="14.25" customHeight="1"/>
    <row r="4681" ht="14.25" customHeight="1"/>
    <row r="4682" ht="14.25" customHeight="1"/>
    <row r="4683" ht="14.25" customHeight="1"/>
    <row r="4684" ht="14.25" customHeight="1"/>
    <row r="4685" ht="14.25" customHeight="1"/>
    <row r="4686" ht="14.25" customHeight="1"/>
    <row r="4687" ht="14.25" customHeight="1"/>
    <row r="4688" ht="14.25" customHeight="1"/>
    <row r="4689" ht="14.25" customHeight="1"/>
    <row r="4690" ht="14.25" customHeight="1"/>
    <row r="4691" ht="14.25" customHeight="1"/>
    <row r="4692" ht="14.25" customHeight="1"/>
    <row r="4693" ht="14.25" customHeight="1"/>
    <row r="4694" ht="14.25" customHeight="1"/>
    <row r="4695" ht="14.25" customHeight="1"/>
    <row r="4696" ht="14.25" customHeight="1"/>
    <row r="4697" ht="14.25" customHeight="1"/>
    <row r="4698" ht="14.25" customHeight="1"/>
    <row r="4699" ht="14.25" customHeight="1"/>
    <row r="4700" ht="14.25" customHeight="1"/>
    <row r="4701" ht="14.25" customHeight="1"/>
    <row r="4702" ht="14.25" customHeight="1"/>
    <row r="4703" ht="14.25" customHeight="1"/>
    <row r="4704" ht="14.25" customHeight="1"/>
    <row r="4705" ht="14.25" customHeight="1"/>
    <row r="4706" ht="14.25" customHeight="1"/>
    <row r="4707" ht="14.25" customHeight="1"/>
    <row r="4708" ht="14.25" customHeight="1"/>
    <row r="4709" ht="14.25" customHeight="1"/>
    <row r="4710" ht="14.25" customHeight="1"/>
    <row r="4711" ht="14.25" customHeight="1"/>
    <row r="4712" ht="14.25" customHeight="1"/>
    <row r="4713" ht="14.25" customHeight="1"/>
    <row r="4714" ht="14.25" customHeight="1"/>
    <row r="4715" ht="14.25" customHeight="1"/>
    <row r="4716" ht="14.25" customHeight="1"/>
    <row r="4717" ht="14.25" customHeight="1"/>
    <row r="4718" ht="14.25" customHeight="1"/>
    <row r="4719" ht="14.25" customHeight="1"/>
    <row r="4720" ht="14.25" customHeight="1"/>
    <row r="4721" ht="14.25" customHeight="1"/>
    <row r="4722" ht="14.25" customHeight="1"/>
    <row r="4723" ht="14.25" customHeight="1"/>
    <row r="4724" ht="14.25" customHeight="1"/>
    <row r="4725" ht="14.25" customHeight="1"/>
    <row r="4726" ht="14.25" customHeight="1"/>
    <row r="4727" ht="14.25" customHeight="1"/>
    <row r="4728" ht="14.25" customHeight="1"/>
    <row r="4729" ht="14.25" customHeight="1"/>
    <row r="4730" ht="14.25" customHeight="1"/>
    <row r="4731" ht="14.25" customHeight="1"/>
    <row r="4732" ht="14.25" customHeight="1"/>
    <row r="4733" ht="14.25" customHeight="1"/>
    <row r="4734" ht="14.25" customHeight="1"/>
    <row r="4735" ht="14.25" customHeight="1"/>
    <row r="4736" ht="14.25" customHeight="1"/>
    <row r="4737" ht="14.25" customHeight="1"/>
    <row r="4738" ht="14.25" customHeight="1"/>
    <row r="4739" ht="14.25" customHeight="1"/>
    <row r="4740" ht="14.25" customHeight="1"/>
    <row r="4741" ht="14.25" customHeight="1"/>
    <row r="4742" ht="14.25" customHeight="1"/>
    <row r="4743" ht="14.25" customHeight="1"/>
    <row r="4744" ht="14.25" customHeight="1"/>
    <row r="4745" ht="14.25" customHeight="1"/>
    <row r="4746" ht="14.25" customHeight="1"/>
    <row r="4747" ht="14.25" customHeight="1"/>
    <row r="4748" ht="14.25" customHeight="1"/>
    <row r="4749" ht="14.25" customHeight="1"/>
    <row r="4750" ht="14.25" customHeight="1"/>
    <row r="4751" ht="14.25" customHeight="1"/>
    <row r="4752" ht="14.25" customHeight="1"/>
    <row r="4753" ht="14.25" customHeight="1"/>
    <row r="4754" ht="14.25" customHeight="1"/>
    <row r="4755" ht="14.25" customHeight="1"/>
    <row r="4756" ht="14.25" customHeight="1"/>
    <row r="4757" ht="14.25" customHeight="1"/>
    <row r="4758" ht="14.25" customHeight="1"/>
    <row r="4759" ht="14.25" customHeight="1"/>
    <row r="4760" ht="14.25" customHeight="1"/>
    <row r="4761" ht="14.25" customHeight="1"/>
    <row r="4762" ht="14.25" customHeight="1"/>
    <row r="4763" ht="14.25" customHeight="1"/>
    <row r="4764" ht="14.25" customHeight="1"/>
    <row r="4765" ht="14.25" customHeight="1"/>
    <row r="4766" ht="14.25" customHeight="1"/>
    <row r="4767" ht="14.25" customHeight="1"/>
    <row r="4768" ht="14.25" customHeight="1"/>
    <row r="4769" ht="14.25" customHeight="1"/>
    <row r="4770" ht="14.25" customHeight="1"/>
    <row r="4771" ht="14.25" customHeight="1"/>
    <row r="4772" ht="14.25" customHeight="1"/>
    <row r="4773" ht="14.25" customHeight="1"/>
    <row r="4774" ht="14.25" customHeight="1"/>
    <row r="4775" ht="14.25" customHeight="1"/>
    <row r="4776" ht="14.25" customHeight="1"/>
    <row r="4777" ht="14.25" customHeight="1"/>
    <row r="4778" ht="14.25" customHeight="1"/>
    <row r="4779" ht="14.25" customHeight="1"/>
    <row r="4780" ht="14.25" customHeight="1"/>
    <row r="4781" ht="14.25" customHeight="1"/>
    <row r="4782" ht="14.25" customHeight="1"/>
    <row r="4783" ht="14.25" customHeight="1"/>
    <row r="4784" ht="14.25" customHeight="1"/>
    <row r="4785" ht="14.25" customHeight="1"/>
    <row r="4786" ht="14.25" customHeight="1"/>
    <row r="4787" ht="14.25" customHeight="1"/>
    <row r="4788" ht="14.25" customHeight="1"/>
    <row r="4789" ht="14.25" customHeight="1"/>
    <row r="4790" ht="14.25" customHeight="1"/>
    <row r="4791" ht="14.25" customHeight="1"/>
    <row r="4792" ht="14.25" customHeight="1"/>
    <row r="4793" ht="14.25" customHeight="1"/>
    <row r="4794" ht="14.25" customHeight="1"/>
    <row r="4795" ht="14.25" customHeight="1"/>
    <row r="4796" ht="14.25" customHeight="1"/>
    <row r="4797" ht="14.25" customHeight="1"/>
    <row r="4798" ht="14.25" customHeight="1"/>
    <row r="4799" ht="14.25" customHeight="1"/>
    <row r="4800" ht="14.25" customHeight="1"/>
    <row r="4801" ht="14.25" customHeight="1"/>
    <row r="4802" ht="14.25" customHeight="1"/>
    <row r="4803" ht="14.25" customHeight="1"/>
    <row r="4804" ht="14.25" customHeight="1"/>
    <row r="4805" ht="14.25" customHeight="1"/>
    <row r="4806" ht="14.25" customHeight="1"/>
    <row r="4807" ht="14.25" customHeight="1"/>
    <row r="4808" ht="14.25" customHeight="1"/>
    <row r="4809" ht="14.25" customHeight="1"/>
    <row r="4810" ht="14.25" customHeight="1"/>
    <row r="4811" ht="14.25" customHeight="1"/>
    <row r="4812" ht="14.25" customHeight="1"/>
    <row r="4813" ht="14.25" customHeight="1"/>
    <row r="4814" ht="14.25" customHeight="1"/>
    <row r="4815" ht="14.25" customHeight="1"/>
    <row r="4816" ht="14.25" customHeight="1"/>
    <row r="4817" ht="14.25" customHeight="1"/>
    <row r="4818" ht="14.25" customHeight="1"/>
    <row r="4819" ht="14.25" customHeight="1"/>
    <row r="4820" ht="14.25" customHeight="1"/>
    <row r="4821" ht="14.25" customHeight="1"/>
    <row r="4822" ht="14.25" customHeight="1"/>
    <row r="4823" ht="14.25" customHeight="1"/>
    <row r="4824" ht="14.25" customHeight="1"/>
    <row r="4825" ht="14.25" customHeight="1"/>
    <row r="4826" ht="14.25" customHeight="1"/>
    <row r="4827" ht="14.25" customHeight="1"/>
    <row r="4828" ht="14.25" customHeight="1"/>
    <row r="4829" ht="14.25" customHeight="1"/>
    <row r="4830" ht="14.25" customHeight="1"/>
    <row r="4831" ht="14.25" customHeight="1"/>
    <row r="4832" ht="14.25" customHeight="1"/>
    <row r="4833" ht="14.25" customHeight="1"/>
    <row r="4834" ht="14.25" customHeight="1"/>
    <row r="4835" ht="14.25" customHeight="1"/>
    <row r="4836" ht="14.25" customHeight="1"/>
    <row r="4837" ht="14.25" customHeight="1"/>
    <row r="4838" ht="14.25" customHeight="1"/>
    <row r="4839" ht="14.25" customHeight="1"/>
    <row r="4840" ht="14.25" customHeight="1"/>
    <row r="4841" ht="14.25" customHeight="1"/>
    <row r="4842" ht="14.25" customHeight="1"/>
    <row r="4843" ht="14.25" customHeight="1"/>
    <row r="4844" ht="14.25" customHeight="1"/>
    <row r="4845" ht="14.25" customHeight="1"/>
    <row r="4846" ht="14.25" customHeight="1"/>
    <row r="4847" ht="14.25" customHeight="1"/>
    <row r="4848" ht="14.25" customHeight="1"/>
    <row r="4849" ht="14.25" customHeight="1"/>
    <row r="4850" ht="14.25" customHeight="1"/>
    <row r="4851" ht="14.25" customHeight="1"/>
    <row r="4852" ht="14.25" customHeight="1"/>
    <row r="4853" ht="14.25" customHeight="1"/>
    <row r="4854" ht="14.25" customHeight="1"/>
    <row r="4855" ht="14.25" customHeight="1"/>
    <row r="4856" ht="14.25" customHeight="1"/>
    <row r="4857" ht="14.25" customHeight="1"/>
    <row r="4858" ht="14.25" customHeight="1"/>
    <row r="4859" ht="14.25" customHeight="1"/>
    <row r="4860" ht="14.25" customHeight="1"/>
    <row r="4861" ht="14.25" customHeight="1"/>
    <row r="4862" ht="14.25" customHeight="1"/>
    <row r="4863" ht="14.25" customHeight="1"/>
    <row r="4864" ht="14.25" customHeight="1"/>
    <row r="4865" ht="14.25" customHeight="1"/>
    <row r="4866" ht="14.25" customHeight="1"/>
    <row r="4867" ht="14.25" customHeight="1"/>
    <row r="4868" ht="14.25" customHeight="1"/>
    <row r="4869" ht="14.25" customHeight="1"/>
    <row r="4870" ht="14.25" customHeight="1"/>
    <row r="4871" ht="14.25" customHeight="1"/>
    <row r="4872" ht="14.25" customHeight="1"/>
    <row r="4873" ht="14.25" customHeight="1"/>
    <row r="4874" ht="14.25" customHeight="1"/>
    <row r="4875" ht="14.25" customHeight="1"/>
    <row r="4876" ht="14.25" customHeight="1"/>
    <row r="4877" ht="14.25" customHeight="1"/>
    <row r="4878" ht="14.25" customHeight="1"/>
    <row r="4879" ht="14.25" customHeight="1"/>
    <row r="4880" ht="14.25" customHeight="1"/>
    <row r="4881" ht="14.25" customHeight="1"/>
    <row r="4882" ht="14.25" customHeight="1"/>
    <row r="4883" ht="14.25" customHeight="1"/>
    <row r="4884" ht="14.25" customHeight="1"/>
    <row r="4885" ht="14.25" customHeight="1"/>
    <row r="4886" ht="14.25" customHeight="1"/>
    <row r="4887" ht="14.25" customHeight="1"/>
    <row r="4888" ht="14.25" customHeight="1"/>
    <row r="4889" ht="14.25" customHeight="1"/>
    <row r="4890" ht="14.25" customHeight="1"/>
    <row r="4891" ht="14.25" customHeight="1"/>
    <row r="4892" ht="14.25" customHeight="1"/>
    <row r="4893" ht="14.25" customHeight="1"/>
    <row r="4894" ht="14.25" customHeight="1"/>
    <row r="4895" ht="14.25" customHeight="1"/>
    <row r="4896" ht="14.25" customHeight="1"/>
    <row r="4897" ht="14.25" customHeight="1"/>
    <row r="4898" ht="14.25" customHeight="1"/>
    <row r="4899" ht="14.25" customHeight="1"/>
    <row r="4900" ht="14.25" customHeight="1"/>
    <row r="4901" ht="14.25" customHeight="1"/>
    <row r="4902" ht="14.25" customHeight="1"/>
    <row r="4903" ht="14.25" customHeight="1"/>
    <row r="4904" ht="14.25" customHeight="1"/>
    <row r="4905" ht="14.25" customHeight="1"/>
    <row r="4906" ht="14.25" customHeight="1"/>
    <row r="4907" ht="14.25" customHeight="1"/>
    <row r="4908" ht="14.25" customHeight="1"/>
    <row r="4909" ht="14.25" customHeight="1"/>
    <row r="4910" ht="14.25" customHeight="1"/>
    <row r="4911" ht="14.25" customHeight="1"/>
    <row r="4912" ht="14.25" customHeight="1"/>
    <row r="4913" ht="14.25" customHeight="1"/>
    <row r="4914" ht="14.25" customHeight="1"/>
    <row r="4915" ht="14.25" customHeight="1"/>
    <row r="4916" ht="14.25" customHeight="1"/>
    <row r="4917" ht="14.25" customHeight="1"/>
    <row r="4918" ht="14.25" customHeight="1"/>
    <row r="4919" ht="14.25" customHeight="1"/>
    <row r="4920" ht="14.25" customHeight="1"/>
    <row r="4921" ht="14.25" customHeight="1"/>
    <row r="4922" ht="14.25" customHeight="1"/>
    <row r="4923" ht="14.25" customHeight="1"/>
    <row r="4924" ht="14.25" customHeight="1"/>
    <row r="4925" ht="14.25" customHeight="1"/>
    <row r="4926" ht="14.25" customHeight="1"/>
    <row r="4927" ht="14.25" customHeight="1"/>
    <row r="4928" ht="14.25" customHeight="1"/>
    <row r="4929" ht="14.25" customHeight="1"/>
    <row r="4930" ht="14.25" customHeight="1"/>
    <row r="4931" ht="14.25" customHeight="1"/>
    <row r="4932" ht="14.25" customHeight="1"/>
    <row r="4933" ht="14.25" customHeight="1"/>
    <row r="4934" ht="14.25" customHeight="1"/>
    <row r="4935" ht="14.25" customHeight="1"/>
    <row r="4936" ht="14.25" customHeight="1"/>
    <row r="4937" ht="14.25" customHeight="1"/>
    <row r="4938" ht="14.25" customHeight="1"/>
    <row r="4939" ht="14.25" customHeight="1"/>
    <row r="4940" ht="14.25" customHeight="1"/>
    <row r="4941" ht="14.25" customHeight="1"/>
    <row r="4942" ht="14.25" customHeight="1"/>
    <row r="4943" ht="14.25" customHeight="1"/>
    <row r="4944" ht="14.25" customHeight="1"/>
    <row r="4945" ht="14.25" customHeight="1"/>
    <row r="4946" ht="14.25" customHeight="1"/>
    <row r="4947" ht="14.25" customHeight="1"/>
    <row r="4948" ht="14.25" customHeight="1"/>
    <row r="4949" ht="14.25" customHeight="1"/>
    <row r="4950" ht="14.25" customHeight="1"/>
    <row r="4951" ht="14.25" customHeight="1"/>
    <row r="4952" ht="14.25" customHeight="1"/>
    <row r="4953" ht="14.25" customHeight="1"/>
    <row r="4954" ht="14.25" customHeight="1"/>
    <row r="4955" ht="14.25" customHeight="1"/>
    <row r="4956" ht="14.25" customHeight="1"/>
    <row r="4957" ht="14.25" customHeight="1"/>
    <row r="4958" ht="14.25" customHeight="1"/>
    <row r="4959" ht="14.25" customHeight="1"/>
    <row r="4960" ht="14.25" customHeight="1"/>
    <row r="4961" ht="14.25" customHeight="1"/>
    <row r="4962" ht="14.25" customHeight="1"/>
    <row r="4963" ht="14.25" customHeight="1"/>
    <row r="4964" ht="14.25" customHeight="1"/>
    <row r="4965" ht="14.25" customHeight="1"/>
    <row r="4966" ht="14.25" customHeight="1"/>
    <row r="4967" ht="14.25" customHeight="1"/>
    <row r="4968" ht="14.25" customHeight="1"/>
    <row r="4969" ht="14.25" customHeight="1"/>
    <row r="4970" ht="14.25" customHeight="1"/>
    <row r="4971" ht="14.25" customHeight="1"/>
    <row r="4972" ht="14.25" customHeight="1"/>
    <row r="4973" ht="14.25" customHeight="1"/>
    <row r="4974" ht="14.25" customHeight="1"/>
    <row r="4975" ht="14.25" customHeight="1"/>
    <row r="4976" ht="14.25" customHeight="1"/>
    <row r="4977" ht="14.25" customHeight="1"/>
    <row r="4978" ht="14.25" customHeight="1"/>
    <row r="4979" ht="14.25" customHeight="1"/>
    <row r="4980" ht="14.25" customHeight="1"/>
    <row r="4981" ht="14.25" customHeight="1"/>
    <row r="4982" ht="14.25" customHeight="1"/>
    <row r="4983" ht="14.25" customHeight="1"/>
    <row r="4984" ht="14.25" customHeight="1"/>
    <row r="4985" ht="14.25" customHeight="1"/>
    <row r="4986" ht="14.25" customHeight="1"/>
    <row r="4987" ht="14.25" customHeight="1"/>
    <row r="4988" ht="14.25" customHeight="1"/>
    <row r="4989" ht="14.25" customHeight="1"/>
    <row r="4990" ht="14.25" customHeight="1"/>
    <row r="4991" ht="14.25" customHeight="1"/>
    <row r="4992" ht="14.25" customHeight="1"/>
    <row r="4993" ht="14.25" customHeight="1"/>
    <row r="4994" ht="14.25" customHeight="1"/>
    <row r="4995" ht="14.25" customHeight="1"/>
    <row r="4996" ht="14.25" customHeight="1"/>
    <row r="4997" ht="14.25" customHeight="1"/>
    <row r="4998" ht="14.25" customHeight="1"/>
    <row r="4999" ht="14.25" customHeight="1"/>
    <row r="5000" ht="14.25" customHeight="1"/>
    <row r="5001" ht="14.25" customHeight="1"/>
    <row r="5002" ht="14.25" customHeight="1"/>
    <row r="5003" ht="14.25" customHeight="1"/>
    <row r="5004" ht="14.25" customHeight="1"/>
    <row r="5005" ht="14.25" customHeight="1"/>
    <row r="5006" ht="14.25" customHeight="1"/>
    <row r="5007" ht="14.25" customHeight="1"/>
    <row r="5008" ht="14.25" customHeight="1"/>
    <row r="5009" ht="14.25" customHeight="1"/>
    <row r="5010" ht="14.25" customHeight="1"/>
    <row r="5011" ht="14.25" customHeight="1"/>
    <row r="5012" ht="14.25" customHeight="1"/>
    <row r="5013" ht="14.25" customHeight="1"/>
    <row r="5014" ht="14.25" customHeight="1"/>
    <row r="5015" ht="14.25" customHeight="1"/>
    <row r="5016" ht="14.25" customHeight="1"/>
    <row r="5017" ht="14.25" customHeight="1"/>
    <row r="5018" ht="14.25" customHeight="1"/>
    <row r="5019" ht="14.25" customHeight="1"/>
    <row r="5020" ht="14.25" customHeight="1"/>
    <row r="5021" ht="14.25" customHeight="1"/>
    <row r="5022" ht="14.25" customHeight="1"/>
    <row r="5023" ht="14.25" customHeight="1"/>
    <row r="5024" ht="14.25" customHeight="1"/>
    <row r="5025" ht="14.25" customHeight="1"/>
    <row r="5026" ht="14.25" customHeight="1"/>
    <row r="5027" ht="14.25" customHeight="1"/>
    <row r="5028" ht="14.25" customHeight="1"/>
    <row r="5029" ht="14.25" customHeight="1"/>
    <row r="5030" ht="14.25" customHeight="1"/>
    <row r="5031" ht="14.25" customHeight="1"/>
    <row r="5032" ht="14.25" customHeight="1"/>
    <row r="5033" ht="14.25" customHeight="1"/>
    <row r="5034" ht="14.25" customHeight="1"/>
    <row r="5035" ht="14.25" customHeight="1"/>
    <row r="5036" ht="14.25" customHeight="1"/>
    <row r="5037" ht="14.25" customHeight="1"/>
    <row r="5038" ht="14.25" customHeight="1"/>
    <row r="5039" ht="14.25" customHeight="1"/>
    <row r="5040" ht="14.25" customHeight="1"/>
    <row r="5041" ht="14.25" customHeight="1"/>
    <row r="5042" ht="14.25" customHeight="1"/>
    <row r="5043" ht="14.25" customHeight="1"/>
    <row r="5044" ht="14.25" customHeight="1"/>
    <row r="5045" ht="14.25" customHeight="1"/>
    <row r="5046" ht="14.25" customHeight="1"/>
    <row r="5047" ht="14.25" customHeight="1"/>
    <row r="5048" ht="14.25" customHeight="1"/>
    <row r="5049" ht="14.25" customHeight="1"/>
    <row r="5050" ht="14.25" customHeight="1"/>
    <row r="5051" ht="14.25" customHeight="1"/>
    <row r="5052" ht="14.25" customHeight="1"/>
    <row r="5053" ht="14.25" customHeight="1"/>
    <row r="5054" ht="14.25" customHeight="1"/>
    <row r="5055" ht="14.25" customHeight="1"/>
    <row r="5056" ht="14.25" customHeight="1"/>
    <row r="5057" ht="14.25" customHeight="1"/>
    <row r="5058" ht="14.25" customHeight="1"/>
    <row r="5059" ht="14.25" customHeight="1"/>
    <row r="5060" ht="14.25" customHeight="1"/>
    <row r="5061" ht="14.25" customHeight="1"/>
    <row r="5062" ht="14.25" customHeight="1"/>
    <row r="5063" ht="14.25" customHeight="1"/>
    <row r="5064" ht="14.25" customHeight="1"/>
    <row r="5065" ht="14.25" customHeight="1"/>
    <row r="5066" ht="14.25" customHeight="1"/>
    <row r="5067" ht="14.25" customHeight="1"/>
    <row r="5068" ht="14.25" customHeight="1"/>
    <row r="5069" ht="14.25" customHeight="1"/>
    <row r="5070" ht="14.25" customHeight="1"/>
    <row r="5071" ht="14.25" customHeight="1"/>
    <row r="5072" ht="14.25" customHeight="1"/>
    <row r="5073" ht="14.25" customHeight="1"/>
    <row r="5074" ht="14.25" customHeight="1"/>
    <row r="5075" ht="14.25" customHeight="1"/>
    <row r="5076" ht="14.25" customHeight="1"/>
    <row r="5077" ht="14.25" customHeight="1"/>
    <row r="5078" ht="14.25" customHeight="1"/>
    <row r="5079" ht="14.25" customHeight="1"/>
    <row r="5080" ht="14.25" customHeight="1"/>
    <row r="5081" ht="14.25" customHeight="1"/>
    <row r="5082" ht="14.25" customHeight="1"/>
    <row r="5083" ht="14.25" customHeight="1"/>
    <row r="5084" ht="14.25" customHeight="1"/>
    <row r="5085" ht="14.25" customHeight="1"/>
    <row r="5086" ht="14.25" customHeight="1"/>
    <row r="5087" ht="14.25" customHeight="1"/>
    <row r="5088" ht="14.25" customHeight="1"/>
    <row r="5089" ht="14.25" customHeight="1"/>
    <row r="5090" ht="14.25" customHeight="1"/>
    <row r="5091" ht="14.25" customHeight="1"/>
    <row r="5092" ht="14.25" customHeight="1"/>
    <row r="5093" ht="14.25" customHeight="1"/>
    <row r="5094" ht="14.25" customHeight="1"/>
    <row r="5095" ht="14.25" customHeight="1"/>
    <row r="5096" ht="14.25" customHeight="1"/>
    <row r="5097" ht="14.25" customHeight="1"/>
    <row r="5098" ht="14.25" customHeight="1"/>
    <row r="5099" ht="14.25" customHeight="1"/>
    <row r="5100" ht="14.25" customHeight="1"/>
    <row r="5101" ht="14.25" customHeight="1"/>
    <row r="5102" ht="14.25" customHeight="1"/>
    <row r="5103" ht="14.25" customHeight="1"/>
    <row r="5104" ht="14.25" customHeight="1"/>
    <row r="5105" ht="14.25" customHeight="1"/>
    <row r="5106" ht="14.25" customHeight="1"/>
    <row r="5107" ht="14.25" customHeight="1"/>
    <row r="5108" ht="14.25" customHeight="1"/>
    <row r="5109" ht="14.25" customHeight="1"/>
    <row r="5110" ht="14.25" customHeight="1"/>
    <row r="5111" ht="14.25" customHeight="1"/>
    <row r="5112" ht="14.25" customHeight="1"/>
    <row r="5113" ht="14.25" customHeight="1"/>
    <row r="5114" ht="14.25" customHeight="1"/>
    <row r="5115" ht="14.25" customHeight="1"/>
    <row r="5116" ht="14.25" customHeight="1"/>
    <row r="5117" ht="14.25" customHeight="1"/>
    <row r="5118" ht="14.25" customHeight="1"/>
    <row r="5119" ht="14.25" customHeight="1"/>
    <row r="5120" ht="14.25" customHeight="1"/>
    <row r="5121" ht="14.25" customHeight="1"/>
    <row r="5122" ht="14.25" customHeight="1"/>
    <row r="5123" ht="14.25" customHeight="1"/>
    <row r="5124" ht="14.25" customHeight="1"/>
    <row r="5125" ht="14.25" customHeight="1"/>
    <row r="5126" ht="14.25" customHeight="1"/>
    <row r="5127" ht="14.25" customHeight="1"/>
    <row r="5128" ht="14.25" customHeight="1"/>
    <row r="5129" ht="14.25" customHeight="1"/>
    <row r="5130" ht="14.25" customHeight="1"/>
    <row r="5131" ht="14.25" customHeight="1"/>
    <row r="5132" ht="14.25" customHeight="1"/>
    <row r="5133" ht="14.25" customHeight="1"/>
    <row r="5134" ht="14.25" customHeight="1"/>
    <row r="5135" ht="14.25" customHeight="1"/>
    <row r="5136" ht="14.25" customHeight="1"/>
    <row r="5137" ht="14.25" customHeight="1"/>
    <row r="5138" ht="14.25" customHeight="1"/>
    <row r="5139" ht="14.25" customHeight="1"/>
    <row r="5140" ht="14.25" customHeight="1"/>
    <row r="5141" ht="14.25" customHeight="1"/>
    <row r="5142" ht="14.25" customHeight="1"/>
    <row r="5143" ht="14.25" customHeight="1"/>
    <row r="5144" ht="14.25" customHeight="1"/>
    <row r="5145" ht="14.25" customHeight="1"/>
    <row r="5146" ht="14.25" customHeight="1"/>
    <row r="5147" ht="14.25" customHeight="1"/>
    <row r="5148" ht="14.25" customHeight="1"/>
    <row r="5149" ht="14.25" customHeight="1"/>
    <row r="5150" ht="14.25" customHeight="1"/>
    <row r="5151" ht="14.25" customHeight="1"/>
    <row r="5152" ht="14.25" customHeight="1"/>
    <row r="5153" ht="14.25" customHeight="1"/>
    <row r="5154" ht="14.25" customHeight="1"/>
    <row r="5155" ht="14.25" customHeight="1"/>
    <row r="5156" ht="14.25" customHeight="1"/>
    <row r="5157" ht="14.25" customHeight="1"/>
    <row r="5158" ht="14.25" customHeight="1"/>
    <row r="5159" ht="14.25" customHeight="1"/>
    <row r="5160" ht="14.25" customHeight="1"/>
    <row r="5161" ht="14.25" customHeight="1"/>
    <row r="5162" ht="14.25" customHeight="1"/>
    <row r="5163" ht="14.25" customHeight="1"/>
    <row r="5164" ht="14.25" customHeight="1"/>
    <row r="5165" ht="14.25" customHeight="1"/>
    <row r="5166" ht="14.25" customHeight="1"/>
    <row r="5167" ht="14.25" customHeight="1"/>
    <row r="5168" ht="14.25" customHeight="1"/>
    <row r="5169" ht="14.25" customHeight="1"/>
    <row r="5170" ht="14.25" customHeight="1"/>
    <row r="5171" ht="14.25" customHeight="1"/>
    <row r="5172" ht="14.25" customHeight="1"/>
    <row r="5173" ht="14.25" customHeight="1"/>
    <row r="5174" ht="14.25" customHeight="1"/>
    <row r="5175" ht="14.25" customHeight="1"/>
    <row r="5176" ht="14.25" customHeight="1"/>
    <row r="5177" ht="14.25" customHeight="1"/>
    <row r="5178" ht="14.25" customHeight="1"/>
    <row r="5179" ht="14.25" customHeight="1"/>
    <row r="5180" ht="14.25" customHeight="1"/>
    <row r="5181" ht="14.25" customHeight="1"/>
    <row r="5182" ht="14.25" customHeight="1"/>
    <row r="5183" ht="14.25" customHeight="1"/>
    <row r="5184" ht="14.25" customHeight="1"/>
    <row r="5185" ht="14.25" customHeight="1"/>
    <row r="5186" ht="14.25" customHeight="1"/>
    <row r="5187" ht="14.25" customHeight="1"/>
    <row r="5188" ht="14.25" customHeight="1"/>
    <row r="5189" ht="14.25" customHeight="1"/>
    <row r="5190" ht="14.25" customHeight="1"/>
    <row r="5191" ht="14.25" customHeight="1"/>
    <row r="5192" ht="14.25" customHeight="1"/>
    <row r="5193" ht="14.25" customHeight="1"/>
    <row r="5194" ht="14.25" customHeight="1"/>
    <row r="5195" ht="14.25" customHeight="1"/>
    <row r="5196" ht="14.25" customHeight="1"/>
    <row r="5197" ht="14.25" customHeight="1"/>
    <row r="5198" ht="14.25" customHeight="1"/>
    <row r="5199" ht="14.25" customHeight="1"/>
    <row r="5200" ht="14.25" customHeight="1"/>
    <row r="5201" ht="14.25" customHeight="1"/>
    <row r="5202" ht="14.25" customHeight="1"/>
    <row r="5203" ht="14.25" customHeight="1"/>
    <row r="5204" ht="14.25" customHeight="1"/>
    <row r="5205" ht="14.25" customHeight="1"/>
    <row r="5206" ht="14.25" customHeight="1"/>
    <row r="5207" ht="14.25" customHeight="1"/>
    <row r="5208" ht="14.25" customHeight="1"/>
    <row r="5209" ht="14.25" customHeight="1"/>
    <row r="5210" ht="14.25" customHeight="1"/>
    <row r="5211" ht="14.25" customHeight="1"/>
    <row r="5212" ht="14.25" customHeight="1"/>
    <row r="5213" ht="14.25" customHeight="1"/>
    <row r="5214" ht="14.25" customHeight="1"/>
    <row r="5215" ht="14.25" customHeight="1"/>
    <row r="5216" ht="14.25" customHeight="1"/>
    <row r="5217" ht="14.25" customHeight="1"/>
    <row r="5218" ht="14.25" customHeight="1"/>
    <row r="5219" ht="14.25" customHeight="1"/>
    <row r="5220" ht="14.25" customHeight="1"/>
    <row r="5221" ht="14.25" customHeight="1"/>
    <row r="5222" ht="14.25" customHeight="1"/>
    <row r="5223" ht="14.25" customHeight="1"/>
    <row r="5224" ht="14.25" customHeight="1"/>
    <row r="5225" ht="14.25" customHeight="1"/>
    <row r="5226" ht="14.25" customHeight="1"/>
    <row r="5227" ht="14.25" customHeight="1"/>
    <row r="5228" ht="14.25" customHeight="1"/>
    <row r="5229" ht="14.25" customHeight="1"/>
    <row r="5230" ht="14.25" customHeight="1"/>
    <row r="5231" ht="14.25" customHeight="1"/>
    <row r="5232" ht="14.25" customHeight="1"/>
    <row r="5233" ht="14.25" customHeight="1"/>
    <row r="5234" ht="14.25" customHeight="1"/>
    <row r="5235" ht="14.25" customHeight="1"/>
    <row r="5236" ht="14.25" customHeight="1"/>
    <row r="5237" ht="14.25" customHeight="1"/>
    <row r="5238" ht="14.25" customHeight="1"/>
    <row r="5239" ht="14.25" customHeight="1"/>
    <row r="5240" ht="14.25" customHeight="1"/>
    <row r="5241" ht="14.25" customHeight="1"/>
    <row r="5242" ht="14.25" customHeight="1"/>
    <row r="5243" ht="14.25" customHeight="1"/>
    <row r="5244" ht="14.25" customHeight="1"/>
    <row r="5245" ht="14.25" customHeight="1"/>
    <row r="5246" ht="14.25" customHeight="1"/>
    <row r="5247" ht="14.25" customHeight="1"/>
    <row r="5248" ht="14.25" customHeight="1"/>
    <row r="5249" ht="14.25" customHeight="1"/>
    <row r="5250" ht="14.25" customHeight="1"/>
    <row r="5251" ht="14.25" customHeight="1"/>
    <row r="5252" ht="14.25" customHeight="1"/>
    <row r="5253" ht="14.25" customHeight="1"/>
    <row r="5254" ht="14.25" customHeight="1"/>
    <row r="5255" ht="14.25" customHeight="1"/>
    <row r="5256" ht="14.25" customHeight="1"/>
    <row r="5257" ht="14.25" customHeight="1"/>
    <row r="5258" ht="14.25" customHeight="1"/>
    <row r="5259" ht="14.25" customHeight="1"/>
    <row r="5260" ht="14.25" customHeight="1"/>
    <row r="5261" ht="14.25" customHeight="1"/>
    <row r="5262" ht="14.25" customHeight="1"/>
    <row r="5263" ht="14.25" customHeight="1"/>
    <row r="5264" ht="14.25" customHeight="1"/>
    <row r="5265" ht="14.25" customHeight="1"/>
    <row r="5266" ht="14.25" customHeight="1"/>
    <row r="5267" ht="14.25" customHeight="1"/>
    <row r="5268" ht="14.25" customHeight="1"/>
    <row r="5269" ht="14.25" customHeight="1"/>
    <row r="5270" ht="14.25" customHeight="1"/>
    <row r="5271" ht="14.25" customHeight="1"/>
    <row r="5272" ht="14.25" customHeight="1"/>
    <row r="5273" ht="14.25" customHeight="1"/>
    <row r="5274" ht="14.25" customHeight="1"/>
    <row r="5275" ht="14.25" customHeight="1"/>
    <row r="5276" ht="14.25" customHeight="1"/>
    <row r="5277" ht="14.25" customHeight="1"/>
    <row r="5278" ht="14.25" customHeight="1"/>
    <row r="5279" ht="14.25" customHeight="1"/>
    <row r="5280" ht="14.25" customHeight="1"/>
    <row r="5281" ht="14.25" customHeight="1"/>
    <row r="5282" ht="14.25" customHeight="1"/>
    <row r="5283" ht="14.25" customHeight="1"/>
    <row r="5284" ht="14.25" customHeight="1"/>
    <row r="5285" ht="14.25" customHeight="1"/>
    <row r="5286" ht="14.25" customHeight="1"/>
    <row r="5287" ht="14.25" customHeight="1"/>
    <row r="5288" ht="14.25" customHeight="1"/>
    <row r="5289" ht="14.25" customHeight="1"/>
    <row r="5290" ht="14.25" customHeight="1"/>
    <row r="5291" ht="14.25" customHeight="1"/>
    <row r="5292" ht="14.25" customHeight="1"/>
    <row r="5293" ht="14.25" customHeight="1"/>
    <row r="5294" ht="14.25" customHeight="1"/>
    <row r="5295" ht="14.25" customHeight="1"/>
    <row r="5296" ht="14.25" customHeight="1"/>
    <row r="5297" ht="14.25" customHeight="1"/>
    <row r="5298" ht="14.25" customHeight="1"/>
    <row r="5299" ht="14.25" customHeight="1"/>
    <row r="5300" ht="14.25" customHeight="1"/>
    <row r="5301" ht="14.25" customHeight="1"/>
    <row r="5302" ht="14.25" customHeight="1"/>
    <row r="5303" ht="14.25" customHeight="1"/>
    <row r="5304" ht="14.25" customHeight="1"/>
    <row r="5305" ht="14.25" customHeight="1"/>
    <row r="5306" ht="14.25" customHeight="1"/>
    <row r="5307" ht="14.25" customHeight="1"/>
    <row r="5308" ht="14.25" customHeight="1"/>
    <row r="5309" ht="14.25" customHeight="1"/>
    <row r="5310" ht="14.25" customHeight="1"/>
    <row r="5311" ht="14.25" customHeight="1"/>
    <row r="5312" ht="14.25" customHeight="1"/>
    <row r="5313" ht="14.25" customHeight="1"/>
    <row r="5314" ht="14.25" customHeight="1"/>
    <row r="5315" ht="14.25" customHeight="1"/>
    <row r="5316" ht="14.25" customHeight="1"/>
    <row r="5317" ht="14.25" customHeight="1"/>
    <row r="5318" ht="14.25" customHeight="1"/>
    <row r="5319" ht="14.25" customHeight="1"/>
    <row r="5320" ht="14.25" customHeight="1"/>
    <row r="5321" ht="14.25" customHeight="1"/>
    <row r="5322" ht="14.25" customHeight="1"/>
    <row r="5323" ht="14.25" customHeight="1"/>
    <row r="5324" ht="14.25" customHeight="1"/>
    <row r="5325" ht="14.25" customHeight="1"/>
    <row r="5326" ht="14.25" customHeight="1"/>
    <row r="5327" ht="14.25" customHeight="1"/>
    <row r="5328" ht="14.25" customHeight="1"/>
    <row r="5329" ht="14.25" customHeight="1"/>
    <row r="5330" ht="14.25" customHeight="1"/>
    <row r="5331" ht="14.25" customHeight="1"/>
    <row r="5332" ht="14.25" customHeight="1"/>
    <row r="5333" ht="14.25" customHeight="1"/>
    <row r="5334" ht="14.25" customHeight="1"/>
    <row r="5335" ht="14.25" customHeight="1"/>
    <row r="5336" ht="14.25" customHeight="1"/>
    <row r="5337" ht="14.25" customHeight="1"/>
    <row r="5338" ht="14.25" customHeight="1"/>
    <row r="5339" ht="14.25" customHeight="1"/>
    <row r="5340" ht="14.25" customHeight="1"/>
    <row r="5341" ht="14.25" customHeight="1"/>
    <row r="5342" ht="14.25" customHeight="1"/>
    <row r="5343" ht="14.25" customHeight="1"/>
    <row r="5344" ht="14.25" customHeight="1"/>
    <row r="5345" ht="14.25" customHeight="1"/>
    <row r="5346" ht="14.25" customHeight="1"/>
    <row r="5347" ht="14.25" customHeight="1"/>
    <row r="5348" ht="14.25" customHeight="1"/>
    <row r="5349" ht="14.25" customHeight="1"/>
    <row r="5350" ht="14.25" customHeight="1"/>
    <row r="5351" ht="14.25" customHeight="1"/>
    <row r="5352" ht="14.25" customHeight="1"/>
    <row r="5353" ht="14.25" customHeight="1"/>
    <row r="5354" ht="14.25" customHeight="1"/>
    <row r="5355" ht="14.25" customHeight="1"/>
    <row r="5356" ht="14.25" customHeight="1"/>
    <row r="5357" ht="14.25" customHeight="1"/>
    <row r="5358" ht="14.25" customHeight="1"/>
    <row r="5359" ht="14.25" customHeight="1"/>
    <row r="5360" ht="14.25" customHeight="1"/>
    <row r="5361" ht="14.25" customHeight="1"/>
    <row r="5362" ht="14.25" customHeight="1"/>
    <row r="5363" ht="14.25" customHeight="1"/>
    <row r="5364" ht="14.25" customHeight="1"/>
    <row r="5365" ht="14.25" customHeight="1"/>
    <row r="5366" ht="14.25" customHeight="1"/>
    <row r="5367" ht="14.25" customHeight="1"/>
    <row r="5368" ht="14.25" customHeight="1"/>
    <row r="5369" ht="14.25" customHeight="1"/>
    <row r="5370" ht="14.25" customHeight="1"/>
    <row r="5371" ht="14.25" customHeight="1"/>
    <row r="5372" ht="14.25" customHeight="1"/>
    <row r="5373" ht="14.25" customHeight="1"/>
    <row r="5374" ht="14.25" customHeight="1"/>
    <row r="5375" ht="14.25" customHeight="1"/>
    <row r="5376" ht="14.25" customHeight="1"/>
    <row r="5377" ht="14.25" customHeight="1"/>
    <row r="5378" ht="14.25" customHeight="1"/>
    <row r="5379" ht="14.25" customHeight="1"/>
    <row r="5380" ht="14.25" customHeight="1"/>
    <row r="5381" ht="14.25" customHeight="1"/>
    <row r="5382" ht="14.25" customHeight="1"/>
    <row r="5383" ht="14.25" customHeight="1"/>
    <row r="5384" ht="14.25" customHeight="1"/>
    <row r="5385" ht="14.25" customHeight="1"/>
    <row r="5386" ht="14.25" customHeight="1"/>
    <row r="5387" ht="14.25" customHeight="1"/>
    <row r="5388" ht="14.25" customHeight="1"/>
    <row r="5389" ht="14.25" customHeight="1"/>
    <row r="5390" ht="14.25" customHeight="1"/>
    <row r="5391" ht="14.25" customHeight="1"/>
    <row r="5392" ht="14.25" customHeight="1"/>
    <row r="5393" ht="14.25" customHeight="1"/>
    <row r="5394" ht="14.25" customHeight="1"/>
    <row r="5395" ht="14.25" customHeight="1"/>
    <row r="5396" ht="14.25" customHeight="1"/>
    <row r="5397" ht="14.25" customHeight="1"/>
    <row r="5398" ht="14.25" customHeight="1"/>
    <row r="5399" ht="14.25" customHeight="1"/>
    <row r="5400" ht="14.25" customHeight="1"/>
    <row r="5401" ht="14.25" customHeight="1"/>
    <row r="5402" ht="14.25" customHeight="1"/>
    <row r="5403" ht="14.25" customHeight="1"/>
    <row r="5404" ht="14.25" customHeight="1"/>
    <row r="5405" ht="14.25" customHeight="1"/>
    <row r="5406" ht="14.25" customHeight="1"/>
    <row r="5407" ht="14.25" customHeight="1"/>
    <row r="5408" ht="14.25" customHeight="1"/>
    <row r="5409" ht="14.25" customHeight="1"/>
    <row r="5410" ht="14.25" customHeight="1"/>
    <row r="5411" ht="14.25" customHeight="1"/>
    <row r="5412" ht="14.25" customHeight="1"/>
    <row r="5413" ht="14.25" customHeight="1"/>
    <row r="5414" ht="14.25" customHeight="1"/>
    <row r="5415" ht="14.25" customHeight="1"/>
    <row r="5416" ht="14.25" customHeight="1"/>
    <row r="5417" ht="14.25" customHeight="1"/>
    <row r="5418" ht="14.25" customHeight="1"/>
    <row r="5419" ht="14.25" customHeight="1"/>
    <row r="5420" ht="14.25" customHeight="1"/>
    <row r="5421" ht="14.25" customHeight="1"/>
    <row r="5422" ht="14.25" customHeight="1"/>
    <row r="5423" ht="14.25" customHeight="1"/>
    <row r="5424" ht="14.25" customHeight="1"/>
    <row r="5425" ht="14.25" customHeight="1"/>
    <row r="5426" ht="14.25" customHeight="1"/>
    <row r="5427" ht="14.25" customHeight="1"/>
    <row r="5428" ht="14.25" customHeight="1"/>
    <row r="5429" ht="14.25" customHeight="1"/>
    <row r="5430" ht="14.25" customHeight="1"/>
    <row r="5431" ht="14.25" customHeight="1"/>
    <row r="5432" ht="14.25" customHeight="1"/>
    <row r="5433" ht="14.25" customHeight="1"/>
    <row r="5434" ht="14.25" customHeight="1"/>
    <row r="5435" ht="14.25" customHeight="1"/>
    <row r="5436" ht="14.25" customHeight="1"/>
    <row r="5437" ht="14.25" customHeight="1"/>
    <row r="5438" ht="14.25" customHeight="1"/>
    <row r="5439" ht="14.25" customHeight="1"/>
    <row r="5440" ht="14.25" customHeight="1"/>
    <row r="5441" ht="14.25" customHeight="1"/>
    <row r="5442" ht="14.25" customHeight="1"/>
    <row r="5443" ht="14.25" customHeight="1"/>
    <row r="5444" ht="14.25" customHeight="1"/>
    <row r="5445" ht="14.25" customHeight="1"/>
    <row r="5446" ht="14.25" customHeight="1"/>
    <row r="5447" ht="14.25" customHeight="1"/>
    <row r="5448" ht="14.25" customHeight="1"/>
    <row r="5449" ht="14.25" customHeight="1"/>
    <row r="5450" ht="14.25" customHeight="1"/>
    <row r="5451" ht="14.25" customHeight="1"/>
    <row r="5452" ht="14.25" customHeight="1"/>
    <row r="5453" ht="14.25" customHeight="1"/>
    <row r="5454" ht="14.25" customHeight="1"/>
    <row r="5455" ht="14.25" customHeight="1"/>
    <row r="5456" ht="14.25" customHeight="1"/>
    <row r="5457" ht="14.25" customHeight="1"/>
    <row r="5458" ht="14.25" customHeight="1"/>
    <row r="5459" ht="14.25" customHeight="1"/>
    <row r="5460" ht="14.25" customHeight="1"/>
    <row r="5461" ht="14.25" customHeight="1"/>
    <row r="5462" ht="14.25" customHeight="1"/>
    <row r="5463" ht="14.25" customHeight="1"/>
    <row r="5464" ht="14.25" customHeight="1"/>
    <row r="5465" ht="14.25" customHeight="1"/>
    <row r="5466" ht="14.25" customHeight="1"/>
    <row r="5467" ht="14.25" customHeight="1"/>
    <row r="5468" ht="14.25" customHeight="1"/>
    <row r="5469" ht="14.25" customHeight="1"/>
    <row r="5470" ht="14.25" customHeight="1"/>
    <row r="5471" ht="14.25" customHeight="1"/>
    <row r="5472" ht="14.25" customHeight="1"/>
    <row r="5473" ht="14.25" customHeight="1"/>
    <row r="5474" ht="14.25" customHeight="1"/>
    <row r="5475" ht="14.25" customHeight="1"/>
    <row r="5476" ht="14.25" customHeight="1"/>
    <row r="5477" ht="14.25" customHeight="1"/>
    <row r="5478" ht="14.25" customHeight="1"/>
    <row r="5479" ht="14.25" customHeight="1"/>
    <row r="5480" ht="14.25" customHeight="1"/>
    <row r="5481" ht="14.25" customHeight="1"/>
    <row r="5482" ht="14.25" customHeight="1"/>
    <row r="5483" ht="14.25" customHeight="1"/>
    <row r="5484" ht="14.25" customHeight="1"/>
    <row r="5485" ht="14.25" customHeight="1"/>
    <row r="5486" ht="14.25" customHeight="1"/>
    <row r="5487" ht="14.25" customHeight="1"/>
    <row r="5488" ht="14.25" customHeight="1"/>
    <row r="5489" ht="14.25" customHeight="1"/>
    <row r="5490" ht="14.25" customHeight="1"/>
    <row r="5491" ht="14.25" customHeight="1"/>
    <row r="5492" ht="14.25" customHeight="1"/>
    <row r="5493" ht="14.25" customHeight="1"/>
    <row r="5494" ht="14.25" customHeight="1"/>
    <row r="5495" ht="14.25" customHeight="1"/>
    <row r="5496" ht="14.25" customHeight="1"/>
    <row r="5497" ht="14.25" customHeight="1"/>
    <row r="5498" ht="14.25" customHeight="1"/>
    <row r="5499" ht="14.25" customHeight="1"/>
    <row r="5500" ht="14.25" customHeight="1"/>
    <row r="5501" ht="14.25" customHeight="1"/>
    <row r="5502" ht="14.25" customHeight="1"/>
    <row r="5503" ht="14.25" customHeight="1"/>
    <row r="5504" ht="14.25" customHeight="1"/>
    <row r="5505" ht="14.25" customHeight="1"/>
    <row r="5506" ht="14.25" customHeight="1"/>
    <row r="5507" ht="14.25" customHeight="1"/>
    <row r="5508" ht="14.25" customHeight="1"/>
    <row r="5509" ht="14.25" customHeight="1"/>
    <row r="5510" ht="14.25" customHeight="1"/>
    <row r="5511" ht="14.25" customHeight="1"/>
    <row r="5512" ht="14.25" customHeight="1"/>
    <row r="5513" ht="14.25" customHeight="1"/>
    <row r="5514" ht="14.25" customHeight="1"/>
    <row r="5515" ht="14.25" customHeight="1"/>
    <row r="5516" ht="14.25" customHeight="1"/>
    <row r="5517" ht="14.25" customHeight="1"/>
    <row r="5518" ht="14.25" customHeight="1"/>
    <row r="5519" ht="14.25" customHeight="1"/>
    <row r="5520" ht="14.25" customHeight="1"/>
    <row r="5521" ht="14.25" customHeight="1"/>
    <row r="5522" ht="14.25" customHeight="1"/>
    <row r="5523" ht="14.25" customHeight="1"/>
    <row r="5524" ht="14.25" customHeight="1"/>
    <row r="5525" ht="14.25" customHeight="1"/>
    <row r="5526" ht="14.25" customHeight="1"/>
    <row r="5527" ht="14.25" customHeight="1"/>
    <row r="5528" ht="14.25" customHeight="1"/>
    <row r="5529" ht="14.25" customHeight="1"/>
    <row r="5530" ht="14.25" customHeight="1"/>
    <row r="5531" ht="14.25" customHeight="1"/>
    <row r="5532" ht="14.25" customHeight="1"/>
    <row r="5533" ht="14.25" customHeight="1"/>
    <row r="5534" ht="14.25" customHeight="1"/>
    <row r="5535" ht="14.25" customHeight="1"/>
    <row r="5536" ht="14.25" customHeight="1"/>
    <row r="5537" ht="14.25" customHeight="1"/>
    <row r="5538" ht="14.25" customHeight="1"/>
    <row r="5539" ht="14.25" customHeight="1"/>
    <row r="5540" ht="14.25" customHeight="1"/>
    <row r="5541" ht="14.25" customHeight="1"/>
    <row r="5542" ht="14.25" customHeight="1"/>
    <row r="5543" ht="14.25" customHeight="1"/>
    <row r="5544" ht="14.25" customHeight="1"/>
    <row r="5545" ht="14.25" customHeight="1"/>
    <row r="5546" ht="14.25" customHeight="1"/>
    <row r="5547" ht="14.25" customHeight="1"/>
    <row r="5548" ht="14.25" customHeight="1"/>
    <row r="5549" ht="14.25" customHeight="1"/>
    <row r="5550" ht="14.25" customHeight="1"/>
    <row r="5551" ht="14.25" customHeight="1"/>
    <row r="5552" ht="14.25" customHeight="1"/>
    <row r="5553" ht="14.25" customHeight="1"/>
    <row r="5554" ht="14.25" customHeight="1"/>
    <row r="5555" ht="14.25" customHeight="1"/>
    <row r="5556" ht="14.25" customHeight="1"/>
    <row r="5557" ht="14.25" customHeight="1"/>
    <row r="5558" ht="14.25" customHeight="1"/>
    <row r="5559" ht="14.25" customHeight="1"/>
    <row r="5560" ht="14.25" customHeight="1"/>
    <row r="5561" ht="14.25" customHeight="1"/>
    <row r="5562" ht="14.25" customHeight="1"/>
    <row r="5563" ht="14.25" customHeight="1"/>
    <row r="5564" ht="14.25" customHeight="1"/>
    <row r="5565" ht="14.25" customHeight="1"/>
    <row r="5566" ht="14.25" customHeight="1"/>
    <row r="5567" ht="14.25" customHeight="1"/>
    <row r="5568" ht="14.25" customHeight="1"/>
    <row r="5569" ht="14.25" customHeight="1"/>
    <row r="5570" ht="14.25" customHeight="1"/>
    <row r="5571" ht="14.25" customHeight="1"/>
    <row r="5572" ht="14.25" customHeight="1"/>
    <row r="5573" ht="14.25" customHeight="1"/>
    <row r="5574" ht="14.25" customHeight="1"/>
    <row r="5575" ht="14.25" customHeight="1"/>
    <row r="5576" ht="14.25" customHeight="1"/>
    <row r="5577" ht="14.25" customHeight="1"/>
    <row r="5578" ht="14.25" customHeight="1"/>
    <row r="5579" ht="14.25" customHeight="1"/>
    <row r="5580" ht="14.25" customHeight="1"/>
    <row r="5581" ht="14.25" customHeight="1"/>
    <row r="5582" ht="14.25" customHeight="1"/>
    <row r="5583" ht="14.25" customHeight="1"/>
    <row r="5584" ht="14.25" customHeight="1"/>
    <row r="5585" ht="14.25" customHeight="1"/>
    <row r="5586" ht="14.25" customHeight="1"/>
    <row r="5587" ht="14.25" customHeight="1"/>
    <row r="5588" ht="14.25" customHeight="1"/>
    <row r="5589" ht="14.25" customHeight="1"/>
    <row r="5590" ht="14.25" customHeight="1"/>
    <row r="5591" ht="14.25" customHeight="1"/>
    <row r="5592" ht="14.25" customHeight="1"/>
    <row r="5593" ht="14.25" customHeight="1"/>
    <row r="5594" ht="14.25" customHeight="1"/>
    <row r="5595" ht="14.25" customHeight="1"/>
    <row r="5596" ht="14.25" customHeight="1"/>
    <row r="5597" ht="14.25" customHeight="1"/>
    <row r="5598" ht="14.25" customHeight="1"/>
    <row r="5599" ht="14.25" customHeight="1"/>
    <row r="5600" ht="14.25" customHeight="1"/>
    <row r="5601" ht="14.25" customHeight="1"/>
    <row r="5602" ht="14.25" customHeight="1"/>
    <row r="5603" ht="14.25" customHeight="1"/>
    <row r="5604" ht="14.25" customHeight="1"/>
    <row r="5605" ht="14.25" customHeight="1"/>
    <row r="5606" ht="14.25" customHeight="1"/>
    <row r="5607" ht="14.25" customHeight="1"/>
    <row r="5608" ht="14.25" customHeight="1"/>
    <row r="5609" ht="14.25" customHeight="1"/>
    <row r="5610" ht="14.25" customHeight="1"/>
    <row r="5611" ht="14.25" customHeight="1"/>
    <row r="5612" ht="14.25" customHeight="1"/>
    <row r="5613" ht="14.25" customHeight="1"/>
    <row r="5614" ht="14.25" customHeight="1"/>
    <row r="5615" ht="14.25" customHeight="1"/>
    <row r="5616" ht="14.25" customHeight="1"/>
    <row r="5617" ht="14.25" customHeight="1"/>
    <row r="5618" ht="14.25" customHeight="1"/>
    <row r="5619" ht="14.25" customHeight="1"/>
    <row r="5620" ht="14.25" customHeight="1"/>
    <row r="5621" ht="14.25" customHeight="1"/>
    <row r="5622" ht="14.25" customHeight="1"/>
    <row r="5623" ht="14.25" customHeight="1"/>
    <row r="5624" ht="14.25" customHeight="1"/>
    <row r="5625" ht="14.25" customHeight="1"/>
    <row r="5626" ht="14.25" customHeight="1"/>
    <row r="5627" ht="14.25" customHeight="1"/>
    <row r="5628" ht="14.25" customHeight="1"/>
    <row r="5629" ht="14.25" customHeight="1"/>
    <row r="5630" ht="14.25" customHeight="1"/>
    <row r="5631" ht="14.25" customHeight="1"/>
    <row r="5632" ht="14.25" customHeight="1"/>
    <row r="5633" ht="14.25" customHeight="1"/>
    <row r="5634" ht="14.25" customHeight="1"/>
    <row r="5635" ht="14.25" customHeight="1"/>
    <row r="5636" ht="14.25" customHeight="1"/>
    <row r="5637" ht="14.25" customHeight="1"/>
    <row r="5638" ht="14.25" customHeight="1"/>
    <row r="5639" ht="14.25" customHeight="1"/>
    <row r="5640" ht="14.25" customHeight="1"/>
    <row r="5641" ht="14.25" customHeight="1"/>
    <row r="5642" ht="14.25" customHeight="1"/>
    <row r="5643" ht="14.25" customHeight="1"/>
    <row r="5644" ht="14.25" customHeight="1"/>
    <row r="5645" ht="14.25" customHeight="1"/>
    <row r="5646" ht="14.25" customHeight="1"/>
    <row r="5647" ht="14.25" customHeight="1"/>
    <row r="5648" ht="14.25" customHeight="1"/>
    <row r="5649" ht="14.25" customHeight="1"/>
    <row r="5650" ht="14.25" customHeight="1"/>
    <row r="5651" ht="14.25" customHeight="1"/>
    <row r="5652" ht="14.25" customHeight="1"/>
    <row r="5653" ht="14.25" customHeight="1"/>
    <row r="5654" ht="14.25" customHeight="1"/>
    <row r="5655" ht="14.25" customHeight="1"/>
    <row r="5656" ht="14.25" customHeight="1"/>
    <row r="5657" ht="14.25" customHeight="1"/>
    <row r="5658" ht="14.25" customHeight="1"/>
    <row r="5659" ht="14.25" customHeight="1"/>
    <row r="5660" ht="14.25" customHeight="1"/>
    <row r="5661" ht="14.25" customHeight="1"/>
    <row r="5662" ht="14.25" customHeight="1"/>
    <row r="5663" ht="14.25" customHeight="1"/>
    <row r="5664" ht="14.25" customHeight="1"/>
    <row r="5665" ht="14.25" customHeight="1"/>
    <row r="5666" ht="14.25" customHeight="1"/>
    <row r="5667" ht="14.25" customHeight="1"/>
    <row r="5668" ht="14.25" customHeight="1"/>
    <row r="5669" ht="14.25" customHeight="1"/>
    <row r="5670" ht="14.25" customHeight="1"/>
    <row r="5671" ht="14.25" customHeight="1"/>
    <row r="5672" ht="14.25" customHeight="1"/>
    <row r="5673" ht="14.25" customHeight="1"/>
    <row r="5674" ht="14.25" customHeight="1"/>
    <row r="5675" ht="14.25" customHeight="1"/>
    <row r="5676" ht="14.25" customHeight="1"/>
    <row r="5677" ht="14.25" customHeight="1"/>
    <row r="5678" ht="14.25" customHeight="1"/>
    <row r="5679" ht="14.25" customHeight="1"/>
    <row r="5680" ht="14.25" customHeight="1"/>
    <row r="5681" ht="14.25" customHeight="1"/>
    <row r="5682" ht="14.25" customHeight="1"/>
    <row r="5683" ht="14.25" customHeight="1"/>
    <row r="5684" ht="14.25" customHeight="1"/>
    <row r="5685" ht="14.25" customHeight="1"/>
    <row r="5686" ht="14.25" customHeight="1"/>
    <row r="5687" ht="14.25" customHeight="1"/>
    <row r="5688" ht="14.25" customHeight="1"/>
    <row r="5689" ht="14.25" customHeight="1"/>
    <row r="5690" ht="14.25" customHeight="1"/>
    <row r="5691" ht="14.25" customHeight="1"/>
    <row r="5692" ht="14.25" customHeight="1"/>
    <row r="5693" ht="14.25" customHeight="1"/>
    <row r="5694" ht="14.25" customHeight="1"/>
    <row r="5695" ht="14.25" customHeight="1"/>
    <row r="5696" ht="14.25" customHeight="1"/>
    <row r="5697" ht="14.25" customHeight="1"/>
    <row r="5698" ht="14.25" customHeight="1"/>
    <row r="5699" ht="14.25" customHeight="1"/>
    <row r="5700" ht="14.25" customHeight="1"/>
    <row r="5701" ht="14.25" customHeight="1"/>
    <row r="5702" ht="14.25" customHeight="1"/>
    <row r="5703" ht="14.25" customHeight="1"/>
    <row r="5704" ht="14.25" customHeight="1"/>
    <row r="5705" ht="14.25" customHeight="1"/>
    <row r="5706" ht="14.25" customHeight="1"/>
    <row r="5707" ht="14.25" customHeight="1"/>
    <row r="5708" ht="14.25" customHeight="1"/>
    <row r="5709" ht="14.25" customHeight="1"/>
    <row r="5710" ht="14.25" customHeight="1"/>
    <row r="5711" ht="14.25" customHeight="1"/>
    <row r="5712" ht="14.25" customHeight="1"/>
    <row r="5713" ht="14.25" customHeight="1"/>
    <row r="5714" ht="14.25" customHeight="1"/>
    <row r="5715" ht="14.25" customHeight="1"/>
    <row r="5716" ht="14.25" customHeight="1"/>
    <row r="5717" ht="14.25" customHeight="1"/>
    <row r="5718" ht="14.25" customHeight="1"/>
    <row r="5719" ht="14.25" customHeight="1"/>
    <row r="5720" ht="14.25" customHeight="1"/>
    <row r="5721" ht="14.25" customHeight="1"/>
    <row r="5722" ht="14.25" customHeight="1"/>
    <row r="5723" ht="14.25" customHeight="1"/>
    <row r="5724" ht="14.25" customHeight="1"/>
    <row r="5725" ht="14.25" customHeight="1"/>
    <row r="5726" ht="14.25" customHeight="1"/>
    <row r="5727" ht="14.25" customHeight="1"/>
    <row r="5728" ht="14.25" customHeight="1"/>
    <row r="5729" ht="14.25" customHeight="1"/>
    <row r="5730" ht="14.25" customHeight="1"/>
    <row r="5731" ht="14.25" customHeight="1"/>
    <row r="5732" ht="14.25" customHeight="1"/>
    <row r="5733" ht="14.25" customHeight="1"/>
    <row r="5734" ht="14.25" customHeight="1"/>
    <row r="5735" ht="14.25" customHeight="1"/>
    <row r="5736" ht="14.25" customHeight="1"/>
    <row r="5737" ht="14.25" customHeight="1"/>
    <row r="5738" ht="14.25" customHeight="1"/>
    <row r="5739" ht="14.25" customHeight="1"/>
    <row r="5740" ht="14.25" customHeight="1"/>
    <row r="5741" ht="14.25" customHeight="1"/>
    <row r="5742" ht="14.25" customHeight="1"/>
    <row r="5743" ht="14.25" customHeight="1"/>
    <row r="5744" ht="14.25" customHeight="1"/>
    <row r="5745" ht="14.25" customHeight="1"/>
    <row r="5746" ht="14.25" customHeight="1"/>
    <row r="5747" ht="14.25" customHeight="1"/>
    <row r="5748" ht="14.25" customHeight="1"/>
    <row r="5749" ht="14.25" customHeight="1"/>
    <row r="5750" ht="14.25" customHeight="1"/>
    <row r="5751" ht="14.25" customHeight="1"/>
    <row r="5752" ht="14.25" customHeight="1"/>
    <row r="5753" ht="14.25" customHeight="1"/>
    <row r="5754" ht="14.25" customHeight="1"/>
    <row r="5755" ht="14.25" customHeight="1"/>
    <row r="5756" ht="14.25" customHeight="1"/>
    <row r="5757" ht="14.25" customHeight="1"/>
    <row r="5758" ht="14.25" customHeight="1"/>
    <row r="5759" ht="14.25" customHeight="1"/>
    <row r="5760" ht="14.25" customHeight="1"/>
    <row r="5761" ht="14.25" customHeight="1"/>
    <row r="5762" ht="14.25" customHeight="1"/>
    <row r="5763" ht="14.25" customHeight="1"/>
    <row r="5764" ht="14.25" customHeight="1"/>
    <row r="5765" ht="14.25" customHeight="1"/>
    <row r="5766" ht="14.25" customHeight="1"/>
    <row r="5767" ht="14.25" customHeight="1"/>
    <row r="5768" ht="14.25" customHeight="1"/>
    <row r="5769" ht="14.25" customHeight="1"/>
    <row r="5770" ht="14.25" customHeight="1"/>
    <row r="5771" ht="14.25" customHeight="1"/>
    <row r="5772" ht="14.25" customHeight="1"/>
    <row r="5773" ht="14.25" customHeight="1"/>
    <row r="5774" ht="14.25" customHeight="1"/>
    <row r="5775" ht="14.25" customHeight="1"/>
    <row r="5776" ht="14.25" customHeight="1"/>
    <row r="5777" ht="14.25" customHeight="1"/>
    <row r="5778" ht="14.25" customHeight="1"/>
    <row r="5779" ht="14.25" customHeight="1"/>
    <row r="5780" ht="14.25" customHeight="1"/>
    <row r="5781" ht="14.25" customHeight="1"/>
    <row r="5782" ht="14.25" customHeight="1"/>
    <row r="5783" ht="14.25" customHeight="1"/>
    <row r="5784" ht="14.25" customHeight="1"/>
    <row r="5785" ht="14.25" customHeight="1"/>
    <row r="5786" ht="14.25" customHeight="1"/>
    <row r="5787" ht="14.25" customHeight="1"/>
    <row r="5788" ht="14.25" customHeight="1"/>
    <row r="5789" ht="14.25" customHeight="1"/>
    <row r="5790" ht="14.25" customHeight="1"/>
    <row r="5791" ht="14.25" customHeight="1"/>
    <row r="5792" ht="14.25" customHeight="1"/>
    <row r="5793" ht="14.25" customHeight="1"/>
    <row r="5794" ht="14.25" customHeight="1"/>
    <row r="5795" ht="14.25" customHeight="1"/>
    <row r="5796" ht="14.25" customHeight="1"/>
    <row r="5797" ht="14.25" customHeight="1"/>
    <row r="5798" ht="14.25" customHeight="1"/>
    <row r="5799" ht="14.25" customHeight="1"/>
    <row r="5800" ht="14.25" customHeight="1"/>
    <row r="5801" ht="14.25" customHeight="1"/>
    <row r="5802" ht="14.25" customHeight="1"/>
    <row r="5803" ht="14.25" customHeight="1"/>
    <row r="5804" ht="14.25" customHeight="1"/>
    <row r="5805" ht="14.25" customHeight="1"/>
    <row r="5806" ht="14.25" customHeight="1"/>
    <row r="5807" ht="14.25" customHeight="1"/>
    <row r="5808" ht="14.25" customHeight="1"/>
    <row r="5809" ht="14.25" customHeight="1"/>
    <row r="5810" ht="14.25" customHeight="1"/>
    <row r="5811" ht="14.25" customHeight="1"/>
    <row r="5812" ht="14.25" customHeight="1"/>
    <row r="5813" ht="14.25" customHeight="1"/>
    <row r="5814" ht="14.25" customHeight="1"/>
    <row r="5815" ht="14.25" customHeight="1"/>
    <row r="5816" ht="14.25" customHeight="1"/>
    <row r="5817" ht="14.25" customHeight="1"/>
    <row r="5818" ht="14.25" customHeight="1"/>
    <row r="5819" ht="14.25" customHeight="1"/>
    <row r="5820" ht="14.25" customHeight="1"/>
    <row r="5821" ht="14.25" customHeight="1"/>
    <row r="5822" ht="14.25" customHeight="1"/>
    <row r="5823" ht="14.25" customHeight="1"/>
    <row r="5824" ht="14.25" customHeight="1"/>
    <row r="5825" ht="14.25" customHeight="1"/>
    <row r="5826" ht="14.25" customHeight="1"/>
    <row r="5827" ht="14.25" customHeight="1"/>
    <row r="5828" ht="14.25" customHeight="1"/>
    <row r="5829" ht="14.25" customHeight="1"/>
    <row r="5830" ht="14.25" customHeight="1"/>
    <row r="5831" ht="14.25" customHeight="1"/>
    <row r="5832" ht="14.25" customHeight="1"/>
    <row r="5833" ht="14.25" customHeight="1"/>
    <row r="5834" ht="14.25" customHeight="1"/>
    <row r="5835" ht="14.25" customHeight="1"/>
    <row r="5836" ht="14.25" customHeight="1"/>
    <row r="5837" ht="14.25" customHeight="1"/>
    <row r="5838" ht="14.25" customHeight="1"/>
    <row r="5839" ht="14.25" customHeight="1"/>
    <row r="5840" ht="14.25" customHeight="1"/>
    <row r="5841" ht="14.25" customHeight="1"/>
    <row r="5842" ht="14.25" customHeight="1"/>
    <row r="5843" ht="14.25" customHeight="1"/>
    <row r="5844" ht="14.25" customHeight="1"/>
    <row r="5845" ht="14.25" customHeight="1"/>
    <row r="5846" ht="14.25" customHeight="1"/>
    <row r="5847" ht="14.25" customHeight="1"/>
    <row r="5848" ht="14.25" customHeight="1"/>
    <row r="5849" ht="14.25" customHeight="1"/>
    <row r="5850" ht="14.25" customHeight="1"/>
    <row r="5851" ht="14.25" customHeight="1"/>
    <row r="5852" ht="14.25" customHeight="1"/>
    <row r="5853" ht="14.25" customHeight="1"/>
    <row r="5854" ht="14.25" customHeight="1"/>
    <row r="5855" ht="14.25" customHeight="1"/>
    <row r="5856" ht="14.25" customHeight="1"/>
    <row r="5857" ht="14.25" customHeight="1"/>
    <row r="5858" ht="14.25" customHeight="1"/>
    <row r="5859" ht="14.25" customHeight="1"/>
    <row r="5860" ht="14.25" customHeight="1"/>
    <row r="5861" ht="14.25" customHeight="1"/>
    <row r="5862" ht="14.25" customHeight="1"/>
    <row r="5863" ht="14.25" customHeight="1"/>
    <row r="5864" ht="14.25" customHeight="1"/>
    <row r="5865" ht="14.25" customHeight="1"/>
    <row r="5866" ht="14.25" customHeight="1"/>
    <row r="5867" ht="14.25" customHeight="1"/>
    <row r="5868" ht="14.25" customHeight="1"/>
    <row r="5869" ht="14.25" customHeight="1"/>
    <row r="5870" ht="14.25" customHeight="1"/>
    <row r="5871" ht="14.25" customHeight="1"/>
    <row r="5872" ht="14.25" customHeight="1"/>
    <row r="5873" ht="14.25" customHeight="1"/>
    <row r="5874" ht="14.25" customHeight="1"/>
    <row r="5875" ht="14.25" customHeight="1"/>
    <row r="5876" ht="14.25" customHeight="1"/>
    <row r="5877" ht="14.25" customHeight="1"/>
    <row r="5878" ht="14.25" customHeight="1"/>
    <row r="5879" ht="14.25" customHeight="1"/>
    <row r="5880" ht="14.25" customHeight="1"/>
    <row r="5881" ht="14.25" customHeight="1"/>
    <row r="5882" ht="14.25" customHeight="1"/>
    <row r="5883" ht="14.25" customHeight="1"/>
    <row r="5884" ht="14.25" customHeight="1"/>
    <row r="5885" ht="14.25" customHeight="1"/>
    <row r="5886" ht="14.25" customHeight="1"/>
    <row r="5887" ht="14.25" customHeight="1"/>
    <row r="5888" ht="14.25" customHeight="1"/>
    <row r="5889" ht="14.25" customHeight="1"/>
    <row r="5890" ht="14.25" customHeight="1"/>
    <row r="5891" ht="14.25" customHeight="1"/>
    <row r="5892" ht="14.25" customHeight="1"/>
    <row r="5893" ht="14.25" customHeight="1"/>
    <row r="5894" ht="14.25" customHeight="1"/>
    <row r="5895" ht="14.25" customHeight="1"/>
    <row r="5896" ht="14.25" customHeight="1"/>
    <row r="5897" ht="14.25" customHeight="1"/>
    <row r="5898" ht="14.25" customHeight="1"/>
    <row r="5899" ht="14.25" customHeight="1"/>
    <row r="5900" ht="14.25" customHeight="1"/>
    <row r="5901" ht="14.25" customHeight="1"/>
    <row r="5902" ht="14.25" customHeight="1"/>
    <row r="5903" ht="14.25" customHeight="1"/>
    <row r="5904" ht="14.25" customHeight="1"/>
    <row r="5905" ht="14.25" customHeight="1"/>
    <row r="5906" ht="14.25" customHeight="1"/>
    <row r="5907" ht="14.25" customHeight="1"/>
    <row r="5908" ht="14.25" customHeight="1"/>
    <row r="5909" ht="14.25" customHeight="1"/>
    <row r="5910" ht="14.25" customHeight="1"/>
    <row r="5911" ht="14.25" customHeight="1"/>
    <row r="5912" ht="14.25" customHeight="1"/>
    <row r="5913" ht="14.25" customHeight="1"/>
    <row r="5914" ht="14.25" customHeight="1"/>
    <row r="5915" ht="14.25" customHeight="1"/>
    <row r="5916" ht="14.25" customHeight="1"/>
    <row r="5917" ht="14.25" customHeight="1"/>
    <row r="5918" ht="14.25" customHeight="1"/>
    <row r="5919" ht="14.25" customHeight="1"/>
    <row r="5920" ht="14.25" customHeight="1"/>
    <row r="5921" ht="14.25" customHeight="1"/>
    <row r="5922" ht="14.25" customHeight="1"/>
    <row r="5923" ht="14.25" customHeight="1"/>
    <row r="5924" ht="14.25" customHeight="1"/>
    <row r="5925" ht="14.25" customHeight="1"/>
    <row r="5926" ht="14.25" customHeight="1"/>
    <row r="5927" ht="14.25" customHeight="1"/>
    <row r="5928" ht="14.25" customHeight="1"/>
    <row r="5929" ht="14.25" customHeight="1"/>
    <row r="5930" ht="14.25" customHeight="1"/>
    <row r="5931" ht="14.25" customHeight="1"/>
    <row r="5932" ht="14.25" customHeight="1"/>
    <row r="5933" ht="14.25" customHeight="1"/>
    <row r="5934" ht="14.25" customHeight="1"/>
    <row r="5935" ht="14.25" customHeight="1"/>
    <row r="5936" ht="14.25" customHeight="1"/>
    <row r="5937" ht="14.25" customHeight="1"/>
    <row r="5938" ht="14.25" customHeight="1"/>
    <row r="5939" ht="14.25" customHeight="1"/>
    <row r="5940" ht="14.25" customHeight="1"/>
    <row r="5941" ht="14.25" customHeight="1"/>
    <row r="5942" ht="14.25" customHeight="1"/>
    <row r="5943" ht="14.25" customHeight="1"/>
    <row r="5944" ht="14.25" customHeight="1"/>
    <row r="5945" ht="14.25" customHeight="1"/>
    <row r="5946" ht="14.25" customHeight="1"/>
    <row r="5947" ht="14.25" customHeight="1"/>
    <row r="5948" ht="14.25" customHeight="1"/>
    <row r="5949" ht="14.25" customHeight="1"/>
    <row r="5950" ht="14.25" customHeight="1"/>
    <row r="5951" ht="14.25" customHeight="1"/>
    <row r="5952" ht="14.25" customHeight="1"/>
    <row r="5953" ht="14.25" customHeight="1"/>
    <row r="5954" ht="14.25" customHeight="1"/>
    <row r="5955" ht="14.25" customHeight="1"/>
    <row r="5956" ht="14.25" customHeight="1"/>
    <row r="5957" ht="14.25" customHeight="1"/>
    <row r="5958" ht="14.25" customHeight="1"/>
    <row r="5959" ht="14.25" customHeight="1"/>
    <row r="5960" ht="14.25" customHeight="1"/>
    <row r="5961" ht="14.25" customHeight="1"/>
    <row r="5962" ht="14.25" customHeight="1"/>
    <row r="5963" ht="14.25" customHeight="1"/>
    <row r="5964" ht="14.25" customHeight="1"/>
    <row r="5965" ht="14.25" customHeight="1"/>
    <row r="5966" ht="14.25" customHeight="1"/>
    <row r="5967" ht="14.25" customHeight="1"/>
    <row r="5968" ht="14.25" customHeight="1"/>
    <row r="5969" ht="14.25" customHeight="1"/>
    <row r="5970" ht="14.25" customHeight="1"/>
    <row r="5971" ht="14.25" customHeight="1"/>
    <row r="5972" ht="14.25" customHeight="1"/>
    <row r="5973" ht="14.25" customHeight="1"/>
    <row r="5974" ht="14.25" customHeight="1"/>
    <row r="5975" ht="14.25" customHeight="1"/>
    <row r="5976" ht="14.25" customHeight="1"/>
    <row r="5977" ht="14.25" customHeight="1"/>
    <row r="5978" ht="14.25" customHeight="1"/>
    <row r="5979" ht="14.25" customHeight="1"/>
    <row r="5980" ht="14.25" customHeight="1"/>
    <row r="5981" ht="14.25" customHeight="1"/>
    <row r="5982" ht="14.25" customHeight="1"/>
    <row r="5983" ht="14.25" customHeight="1"/>
    <row r="5984" ht="14.25" customHeight="1"/>
    <row r="5985" ht="14.25" customHeight="1"/>
    <row r="5986" ht="14.25" customHeight="1"/>
    <row r="5987" ht="14.25" customHeight="1"/>
    <row r="5988" ht="14.25" customHeight="1"/>
    <row r="5989" ht="14.25" customHeight="1"/>
    <row r="5990" ht="14.25" customHeight="1"/>
    <row r="5991" ht="14.25" customHeight="1"/>
    <row r="5992" ht="14.25" customHeight="1"/>
    <row r="5993" ht="14.25" customHeight="1"/>
    <row r="5994" ht="14.25" customHeight="1"/>
    <row r="5995" ht="14.25" customHeight="1"/>
    <row r="5996" ht="14.25" customHeight="1"/>
    <row r="5997" ht="14.25" customHeight="1"/>
    <row r="5998" ht="14.25" customHeight="1"/>
    <row r="5999" ht="14.25" customHeight="1"/>
    <row r="6000" ht="14.25" customHeight="1"/>
    <row r="6001" ht="14.25" customHeight="1"/>
    <row r="6002" ht="14.25" customHeight="1"/>
    <row r="6003" ht="14.25" customHeight="1"/>
    <row r="6004" ht="14.25" customHeight="1"/>
    <row r="6005" ht="14.25" customHeight="1"/>
    <row r="6006" ht="14.25" customHeight="1"/>
    <row r="6007" ht="14.25" customHeight="1"/>
    <row r="6008" ht="14.25" customHeight="1"/>
    <row r="6009" ht="14.25" customHeight="1"/>
    <row r="6010" ht="14.25" customHeight="1"/>
    <row r="6011" ht="14.25" customHeight="1"/>
    <row r="6012" ht="14.25" customHeight="1"/>
    <row r="6013" ht="14.25" customHeight="1"/>
    <row r="6014" ht="14.25" customHeight="1"/>
    <row r="6015" ht="14.25" customHeight="1"/>
    <row r="6016" ht="14.25" customHeight="1"/>
    <row r="6017" ht="14.25" customHeight="1"/>
    <row r="6018" ht="14.25" customHeight="1"/>
    <row r="6019" ht="14.25" customHeight="1"/>
    <row r="6020" ht="14.25" customHeight="1"/>
    <row r="6021" ht="14.25" customHeight="1"/>
    <row r="6022" ht="14.25" customHeight="1"/>
    <row r="6023" ht="14.25" customHeight="1"/>
    <row r="6024" ht="14.25" customHeight="1"/>
    <row r="6025" ht="14.25" customHeight="1"/>
    <row r="6026" ht="14.25" customHeight="1"/>
    <row r="6027" ht="14.25" customHeight="1"/>
    <row r="6028" ht="14.25" customHeight="1"/>
    <row r="6029" ht="14.25" customHeight="1"/>
    <row r="6030" ht="14.25" customHeight="1"/>
    <row r="6031" ht="14.25" customHeight="1"/>
    <row r="6032" ht="14.25" customHeight="1"/>
    <row r="6033" ht="14.25" customHeight="1"/>
    <row r="6034" ht="14.25" customHeight="1"/>
    <row r="6035" ht="14.25" customHeight="1"/>
    <row r="6036" ht="14.25" customHeight="1"/>
    <row r="6037" ht="14.25" customHeight="1"/>
    <row r="6038" ht="14.25" customHeight="1"/>
    <row r="6039" ht="14.25" customHeight="1"/>
    <row r="6040" ht="14.25" customHeight="1"/>
    <row r="6041" ht="14.25" customHeight="1"/>
    <row r="6042" ht="14.25" customHeight="1"/>
    <row r="6043" ht="14.25" customHeight="1"/>
    <row r="6044" ht="14.25" customHeight="1"/>
    <row r="6045" ht="14.25" customHeight="1"/>
    <row r="6046" ht="14.25" customHeight="1"/>
    <row r="6047" ht="14.25" customHeight="1"/>
    <row r="6048" ht="14.25" customHeight="1"/>
    <row r="6049" ht="14.25" customHeight="1"/>
    <row r="6050" ht="14.25" customHeight="1"/>
    <row r="6051" ht="14.25" customHeight="1"/>
    <row r="6052" ht="14.25" customHeight="1"/>
    <row r="6053" ht="14.25" customHeight="1"/>
    <row r="6054" ht="14.25" customHeight="1"/>
    <row r="6055" ht="14.25" customHeight="1"/>
    <row r="6056" ht="14.25" customHeight="1"/>
    <row r="6057" ht="14.25" customHeight="1"/>
    <row r="6058" ht="14.25" customHeight="1"/>
    <row r="6059" ht="14.25" customHeight="1"/>
    <row r="6060" ht="14.25" customHeight="1"/>
    <row r="6061" ht="14.25" customHeight="1"/>
    <row r="6062" ht="14.25" customHeight="1"/>
    <row r="6063" ht="14.25" customHeight="1"/>
    <row r="6064" ht="14.25" customHeight="1"/>
    <row r="6065" ht="14.25" customHeight="1"/>
    <row r="6066" ht="14.25" customHeight="1"/>
    <row r="6067" ht="14.25" customHeight="1"/>
    <row r="6068" ht="14.25" customHeight="1"/>
    <row r="6069" ht="14.25" customHeight="1"/>
    <row r="6070" ht="14.25" customHeight="1"/>
    <row r="6071" ht="14.25" customHeight="1"/>
    <row r="6072" ht="14.25" customHeight="1"/>
    <row r="6073" ht="14.25" customHeight="1"/>
    <row r="6074" ht="14.25" customHeight="1"/>
    <row r="6075" ht="14.25" customHeight="1"/>
    <row r="6076" ht="14.25" customHeight="1"/>
    <row r="6077" ht="14.25" customHeight="1"/>
    <row r="6078" ht="14.25" customHeight="1"/>
    <row r="6079" ht="14.25" customHeight="1"/>
    <row r="6080" ht="14.25" customHeight="1"/>
    <row r="6081" ht="14.25" customHeight="1"/>
    <row r="6082" ht="14.25" customHeight="1"/>
    <row r="6083" ht="14.25" customHeight="1"/>
    <row r="6084" ht="14.25" customHeight="1"/>
    <row r="6085" ht="14.25" customHeight="1"/>
    <row r="6086" ht="14.25" customHeight="1"/>
    <row r="6087" ht="14.25" customHeight="1"/>
    <row r="6088" ht="14.25" customHeight="1"/>
    <row r="6089" ht="14.25" customHeight="1"/>
    <row r="6090" ht="14.25" customHeight="1"/>
    <row r="6091" ht="14.25" customHeight="1"/>
    <row r="6092" ht="14.25" customHeight="1"/>
    <row r="6093" ht="14.25" customHeight="1"/>
    <row r="6094" ht="14.25" customHeight="1"/>
    <row r="6095" ht="14.25" customHeight="1"/>
    <row r="6096" ht="14.25" customHeight="1"/>
    <row r="6097" ht="14.25" customHeight="1"/>
    <row r="6098" ht="14.25" customHeight="1"/>
    <row r="6099" ht="14.25" customHeight="1"/>
    <row r="6100" ht="14.25" customHeight="1"/>
    <row r="6101" ht="14.25" customHeight="1"/>
    <row r="6102" ht="14.25" customHeight="1"/>
    <row r="6103" ht="14.25" customHeight="1"/>
    <row r="6104" ht="14.25" customHeight="1"/>
    <row r="6105" ht="14.25" customHeight="1"/>
    <row r="6106" ht="14.25" customHeight="1"/>
    <row r="6107" ht="14.25" customHeight="1"/>
    <row r="6108" ht="14.25" customHeight="1"/>
    <row r="6109" ht="14.25" customHeight="1"/>
    <row r="6110" ht="14.25" customHeight="1"/>
    <row r="6111" ht="14.25" customHeight="1"/>
    <row r="6112" ht="14.25" customHeight="1"/>
    <row r="6113" ht="14.25" customHeight="1"/>
    <row r="6114" ht="14.25" customHeight="1"/>
    <row r="6115" ht="14.25" customHeight="1"/>
    <row r="6116" ht="14.25" customHeight="1"/>
    <row r="6117" ht="14.25" customHeight="1"/>
    <row r="6118" ht="14.25" customHeight="1"/>
    <row r="6119" ht="14.25" customHeight="1"/>
    <row r="6120" ht="14.25" customHeight="1"/>
    <row r="6121" ht="14.25" customHeight="1"/>
    <row r="6122" ht="14.25" customHeight="1"/>
    <row r="6123" ht="14.25" customHeight="1"/>
    <row r="6124" ht="14.25" customHeight="1"/>
    <row r="6125" ht="14.25" customHeight="1"/>
    <row r="6126" ht="14.25" customHeight="1"/>
    <row r="6127" ht="14.25" customHeight="1"/>
    <row r="6128" ht="14.25" customHeight="1"/>
    <row r="6129" ht="14.25" customHeight="1"/>
    <row r="6130" ht="14.25" customHeight="1"/>
    <row r="6131" ht="14.25" customHeight="1"/>
    <row r="6132" ht="14.25" customHeight="1"/>
    <row r="6133" ht="14.25" customHeight="1"/>
    <row r="6134" ht="14.25" customHeight="1"/>
    <row r="6135" ht="14.25" customHeight="1"/>
    <row r="6136" ht="14.25" customHeight="1"/>
    <row r="6137" ht="14.25" customHeight="1"/>
    <row r="6138" ht="14.25" customHeight="1"/>
    <row r="6139" ht="14.25" customHeight="1"/>
    <row r="6140" ht="14.25" customHeight="1"/>
    <row r="6141" ht="14.25" customHeight="1"/>
    <row r="6142" ht="14.25" customHeight="1"/>
    <row r="6143" ht="14.25" customHeight="1"/>
    <row r="6144" ht="14.25" customHeight="1"/>
    <row r="6145" ht="14.25" customHeight="1"/>
    <row r="6146" ht="14.25" customHeight="1"/>
    <row r="6147" ht="14.25" customHeight="1"/>
    <row r="6148" ht="14.25" customHeight="1"/>
    <row r="6149" ht="14.25" customHeight="1"/>
    <row r="6150" ht="14.25" customHeight="1"/>
    <row r="6151" ht="14.25" customHeight="1"/>
    <row r="6152" ht="14.25" customHeight="1"/>
    <row r="6153" ht="14.25" customHeight="1"/>
    <row r="6154" ht="14.25" customHeight="1"/>
    <row r="6155" ht="14.25" customHeight="1"/>
    <row r="6156" ht="14.25" customHeight="1"/>
    <row r="6157" ht="14.25" customHeight="1"/>
    <row r="6158" ht="14.25" customHeight="1"/>
    <row r="6159" ht="14.25" customHeight="1"/>
    <row r="6160" ht="14.25" customHeight="1"/>
    <row r="6161" ht="14.25" customHeight="1"/>
    <row r="6162" ht="14.25" customHeight="1"/>
    <row r="6163" ht="14.25" customHeight="1"/>
    <row r="6164" ht="14.25" customHeight="1"/>
    <row r="6165" ht="14.25" customHeight="1"/>
    <row r="6166" ht="14.25" customHeight="1"/>
    <row r="6167" ht="14.25" customHeight="1"/>
    <row r="6168" ht="14.25" customHeight="1"/>
    <row r="6169" ht="14.25" customHeight="1"/>
    <row r="6170" ht="14.25" customHeight="1"/>
    <row r="6171" ht="14.25" customHeight="1"/>
    <row r="6172" ht="14.25" customHeight="1"/>
    <row r="6173" ht="14.25" customHeight="1"/>
    <row r="6174" ht="14.25" customHeight="1"/>
    <row r="6175" ht="14.25" customHeight="1"/>
    <row r="6176" ht="14.25" customHeight="1"/>
    <row r="6177" ht="14.25" customHeight="1"/>
    <row r="6178" ht="14.25" customHeight="1"/>
    <row r="6179" ht="14.25" customHeight="1"/>
    <row r="6180" ht="14.25" customHeight="1"/>
    <row r="6181" ht="14.25" customHeight="1"/>
    <row r="6182" ht="14.25" customHeight="1"/>
    <row r="6183" ht="14.25" customHeight="1"/>
    <row r="6184" ht="14.25" customHeight="1"/>
    <row r="6185" ht="14.25" customHeight="1"/>
    <row r="6186" ht="14.25" customHeight="1"/>
    <row r="6187" ht="14.25" customHeight="1"/>
    <row r="6188" ht="14.25" customHeight="1"/>
    <row r="6189" ht="14.25" customHeight="1"/>
    <row r="6190" ht="14.25" customHeight="1"/>
    <row r="6191" ht="14.25" customHeight="1"/>
    <row r="6192" ht="14.25" customHeight="1"/>
    <row r="6193" ht="14.25" customHeight="1"/>
    <row r="6194" ht="14.25" customHeight="1"/>
    <row r="6195" ht="14.25" customHeight="1"/>
    <row r="6196" ht="14.25" customHeight="1"/>
    <row r="6197" ht="14.25" customHeight="1"/>
    <row r="6198" ht="14.25" customHeight="1"/>
    <row r="6199" ht="14.25" customHeight="1"/>
    <row r="6200" ht="14.25" customHeight="1"/>
    <row r="6201" ht="14.25" customHeight="1"/>
    <row r="6202" ht="14.25" customHeight="1"/>
    <row r="6203" ht="14.25" customHeight="1"/>
    <row r="6204" ht="14.25" customHeight="1"/>
    <row r="6205" ht="14.25" customHeight="1"/>
    <row r="6206" ht="14.25" customHeight="1"/>
    <row r="6207" ht="14.25" customHeight="1"/>
    <row r="6208" ht="14.25" customHeight="1"/>
    <row r="6209" ht="14.25" customHeight="1"/>
    <row r="6210" ht="14.25" customHeight="1"/>
    <row r="6211" ht="14.25" customHeight="1"/>
    <row r="6212" ht="14.25" customHeight="1"/>
    <row r="6213" ht="14.25" customHeight="1"/>
    <row r="6214" ht="14.25" customHeight="1"/>
    <row r="6215" ht="14.25" customHeight="1"/>
    <row r="6216" ht="14.25" customHeight="1"/>
    <row r="6217" ht="14.25" customHeight="1"/>
    <row r="6218" ht="14.25" customHeight="1"/>
    <row r="6219" ht="14.25" customHeight="1"/>
    <row r="6220" ht="14.25" customHeight="1"/>
    <row r="6221" ht="14.25" customHeight="1"/>
    <row r="6222" ht="14.25" customHeight="1"/>
    <row r="6223" ht="14.25" customHeight="1"/>
    <row r="6224" ht="14.25" customHeight="1"/>
    <row r="6225" ht="14.25" customHeight="1"/>
    <row r="6226" ht="14.25" customHeight="1"/>
    <row r="6227" ht="14.25" customHeight="1"/>
    <row r="6228" ht="14.25" customHeight="1"/>
    <row r="6229" ht="14.25" customHeight="1"/>
    <row r="6230" ht="14.25" customHeight="1"/>
    <row r="6231" ht="14.25" customHeight="1"/>
    <row r="6232" ht="14.25" customHeight="1"/>
    <row r="6233" ht="14.25" customHeight="1"/>
    <row r="6234" ht="14.25" customHeight="1"/>
    <row r="6235" ht="14.25" customHeight="1"/>
    <row r="6236" ht="14.25" customHeight="1"/>
    <row r="6237" ht="14.25" customHeight="1"/>
    <row r="6238" ht="14.25" customHeight="1"/>
    <row r="6239" ht="14.25" customHeight="1"/>
    <row r="6240" ht="14.25" customHeight="1"/>
    <row r="6241" ht="14.25" customHeight="1"/>
    <row r="6242" ht="14.25" customHeight="1"/>
    <row r="6243" ht="14.25" customHeight="1"/>
    <row r="6244" ht="14.25" customHeight="1"/>
    <row r="6245" ht="14.25" customHeight="1"/>
    <row r="6246" ht="14.25" customHeight="1"/>
    <row r="6247" ht="14.25" customHeight="1"/>
    <row r="6248" ht="14.25" customHeight="1"/>
    <row r="6249" ht="14.25" customHeight="1"/>
    <row r="6250" ht="14.25" customHeight="1"/>
    <row r="6251" ht="14.25" customHeight="1"/>
    <row r="6252" ht="14.25" customHeight="1"/>
    <row r="6253" ht="14.25" customHeight="1"/>
    <row r="6254" ht="14.25" customHeight="1"/>
    <row r="6255" ht="14.25" customHeight="1"/>
    <row r="6256" ht="14.25" customHeight="1"/>
    <row r="6257" ht="14.25" customHeight="1"/>
    <row r="6258" ht="14.25" customHeight="1"/>
    <row r="6259" ht="14.25" customHeight="1"/>
    <row r="6260" ht="14.25" customHeight="1"/>
    <row r="6261" ht="14.25" customHeight="1"/>
    <row r="6262" ht="14.25" customHeight="1"/>
    <row r="6263" ht="14.25" customHeight="1"/>
    <row r="6264" ht="14.25" customHeight="1"/>
    <row r="6265" ht="14.25" customHeight="1"/>
    <row r="6266" ht="14.25" customHeight="1"/>
    <row r="6267" ht="14.25" customHeight="1"/>
    <row r="6268" ht="14.25" customHeight="1"/>
    <row r="6269" ht="14.25" customHeight="1"/>
    <row r="6270" ht="14.25" customHeight="1"/>
    <row r="6271" ht="14.25" customHeight="1"/>
    <row r="6272" ht="14.25" customHeight="1"/>
    <row r="6273" ht="14.25" customHeight="1"/>
    <row r="6274" ht="14.25" customHeight="1"/>
    <row r="6275" ht="14.25" customHeight="1"/>
    <row r="6276" ht="14.25" customHeight="1"/>
    <row r="6277" ht="14.25" customHeight="1"/>
    <row r="6278" ht="14.25" customHeight="1"/>
    <row r="6279" ht="14.25" customHeight="1"/>
    <row r="6280" ht="14.25" customHeight="1"/>
    <row r="6281" ht="14.25" customHeight="1"/>
    <row r="6282" ht="14.25" customHeight="1"/>
    <row r="6283" ht="14.25" customHeight="1"/>
    <row r="6284" ht="14.25" customHeight="1"/>
    <row r="6285" ht="14.25" customHeight="1"/>
    <row r="6286" ht="14.25" customHeight="1"/>
    <row r="6287" ht="14.25" customHeight="1"/>
    <row r="6288" ht="14.25" customHeight="1"/>
    <row r="6289" ht="14.25" customHeight="1"/>
    <row r="6290" ht="14.25" customHeight="1"/>
    <row r="6291" ht="14.25" customHeight="1"/>
    <row r="6292" ht="14.25" customHeight="1"/>
    <row r="6293" ht="14.25" customHeight="1"/>
    <row r="6294" ht="14.25" customHeight="1"/>
    <row r="6295" ht="14.25" customHeight="1"/>
    <row r="6296" ht="14.25" customHeight="1"/>
    <row r="6297" ht="14.25" customHeight="1"/>
    <row r="6298" ht="14.25" customHeight="1"/>
    <row r="6299" ht="14.25" customHeight="1"/>
    <row r="6300" ht="14.25" customHeight="1"/>
    <row r="6301" ht="14.25" customHeight="1"/>
    <row r="6302" ht="14.25" customHeight="1"/>
    <row r="6303" ht="14.25" customHeight="1"/>
    <row r="6304" ht="14.25" customHeight="1"/>
    <row r="6305" ht="14.25" customHeight="1"/>
    <row r="6306" ht="14.25" customHeight="1"/>
    <row r="6307" ht="14.25" customHeight="1"/>
    <row r="6308" ht="14.25" customHeight="1"/>
    <row r="6309" ht="14.25" customHeight="1"/>
    <row r="6310" ht="14.25" customHeight="1"/>
    <row r="6311" ht="14.25" customHeight="1"/>
    <row r="6312" ht="14.25" customHeight="1"/>
    <row r="6313" ht="14.25" customHeight="1"/>
    <row r="6314" ht="14.25" customHeight="1"/>
    <row r="6315" ht="14.25" customHeight="1"/>
    <row r="6316" ht="14.25" customHeight="1"/>
    <row r="6317" ht="14.25" customHeight="1"/>
    <row r="6318" ht="14.25" customHeight="1"/>
    <row r="6319" ht="14.25" customHeight="1"/>
    <row r="6320" ht="14.25" customHeight="1"/>
    <row r="6321" ht="14.25" customHeight="1"/>
    <row r="6322" ht="14.25" customHeight="1"/>
    <row r="6323" ht="14.25" customHeight="1"/>
    <row r="6324" ht="14.25" customHeight="1"/>
    <row r="6325" ht="14.25" customHeight="1"/>
    <row r="6326" ht="14.25" customHeight="1"/>
    <row r="6327" ht="14.25" customHeight="1"/>
    <row r="6328" ht="14.25" customHeight="1"/>
    <row r="6329" ht="14.25" customHeight="1"/>
    <row r="6330" ht="14.25" customHeight="1"/>
    <row r="6331" ht="14.25" customHeight="1"/>
    <row r="6332" ht="14.25" customHeight="1"/>
    <row r="6333" ht="14.25" customHeight="1"/>
    <row r="6334" ht="14.25" customHeight="1"/>
    <row r="6335" ht="14.25" customHeight="1"/>
    <row r="6336" ht="14.25" customHeight="1"/>
    <row r="6337" ht="14.25" customHeight="1"/>
    <row r="6338" ht="14.25" customHeight="1"/>
    <row r="6339" ht="14.25" customHeight="1"/>
    <row r="6340" ht="14.25" customHeight="1"/>
    <row r="6341" ht="14.25" customHeight="1"/>
    <row r="6342" ht="14.25" customHeight="1"/>
    <row r="6343" ht="14.25" customHeight="1"/>
    <row r="6344" ht="14.25" customHeight="1"/>
    <row r="6345" ht="14.25" customHeight="1"/>
    <row r="6346" ht="14.25" customHeight="1"/>
    <row r="6347" ht="14.25" customHeight="1"/>
    <row r="6348" ht="14.25" customHeight="1"/>
    <row r="6349" ht="14.25" customHeight="1"/>
    <row r="6350" ht="14.25" customHeight="1"/>
    <row r="6351" ht="14.25" customHeight="1"/>
    <row r="6352" ht="14.25" customHeight="1"/>
    <row r="6353" ht="14.25" customHeight="1"/>
    <row r="6354" ht="14.25" customHeight="1"/>
    <row r="6355" ht="14.25" customHeight="1"/>
    <row r="6356" ht="14.25" customHeight="1"/>
    <row r="6357" ht="14.25" customHeight="1"/>
    <row r="6358" ht="14.25" customHeight="1"/>
    <row r="6359" ht="14.25" customHeight="1"/>
    <row r="6360" ht="14.25" customHeight="1"/>
    <row r="6361" ht="14.25" customHeight="1"/>
    <row r="6362" ht="14.25" customHeight="1"/>
    <row r="6363" ht="14.25" customHeight="1"/>
    <row r="6364" ht="14.25" customHeight="1"/>
    <row r="6365" ht="14.25" customHeight="1"/>
    <row r="6366" ht="14.25" customHeight="1"/>
    <row r="6367" ht="14.25" customHeight="1"/>
    <row r="6368" ht="14.25" customHeight="1"/>
    <row r="6369" ht="14.25" customHeight="1"/>
    <row r="6370" ht="14.25" customHeight="1"/>
    <row r="6371" ht="14.25" customHeight="1"/>
    <row r="6372" ht="14.25" customHeight="1"/>
    <row r="6373" ht="14.25" customHeight="1"/>
    <row r="6374" ht="14.25" customHeight="1"/>
    <row r="6375" ht="14.25" customHeight="1"/>
    <row r="6376" ht="14.25" customHeight="1"/>
    <row r="6377" ht="14.25" customHeight="1"/>
    <row r="6378" ht="14.25" customHeight="1"/>
    <row r="6379" ht="14.25" customHeight="1"/>
    <row r="6380" ht="14.25" customHeight="1"/>
    <row r="6381" ht="14.25" customHeight="1"/>
    <row r="6382" ht="14.25" customHeight="1"/>
    <row r="6383" ht="14.25" customHeight="1"/>
    <row r="6384" ht="14.25" customHeight="1"/>
    <row r="6385" ht="14.25" customHeight="1"/>
    <row r="6386" ht="14.25" customHeight="1"/>
    <row r="6387" ht="14.25" customHeight="1"/>
    <row r="6388" ht="14.25" customHeight="1"/>
    <row r="6389" ht="14.25" customHeight="1"/>
    <row r="6390" ht="14.25" customHeight="1"/>
    <row r="6391" ht="14.25" customHeight="1"/>
    <row r="6392" ht="14.25" customHeight="1"/>
    <row r="6393" ht="14.25" customHeight="1"/>
    <row r="6394" ht="14.25" customHeight="1"/>
    <row r="6395" ht="14.25" customHeight="1"/>
    <row r="6396" ht="14.25" customHeight="1"/>
    <row r="6397" ht="14.25" customHeight="1"/>
    <row r="6398" ht="14.25" customHeight="1"/>
    <row r="6399" ht="14.25" customHeight="1"/>
    <row r="6400" ht="14.25" customHeight="1"/>
    <row r="6401" ht="14.25" customHeight="1"/>
    <row r="6402" ht="14.25" customHeight="1"/>
    <row r="6403" ht="14.25" customHeight="1"/>
    <row r="6404" ht="14.25" customHeight="1"/>
    <row r="6405" ht="14.25" customHeight="1"/>
    <row r="6406" ht="14.25" customHeight="1"/>
    <row r="6407" ht="14.25" customHeight="1"/>
    <row r="6408" ht="14.25" customHeight="1"/>
    <row r="6409" ht="14.25" customHeight="1"/>
    <row r="6410" ht="14.25" customHeight="1"/>
    <row r="6411" ht="14.25" customHeight="1"/>
    <row r="6412" ht="14.25" customHeight="1"/>
    <row r="6413" ht="14.25" customHeight="1"/>
    <row r="6414" ht="14.25" customHeight="1"/>
    <row r="6415" ht="14.25" customHeight="1"/>
    <row r="6416" ht="14.25" customHeight="1"/>
    <row r="6417" ht="14.25" customHeight="1"/>
    <row r="6418" ht="14.25" customHeight="1"/>
    <row r="6419" ht="14.25" customHeight="1"/>
    <row r="6420" ht="14.25" customHeight="1"/>
    <row r="6421" ht="14.25" customHeight="1"/>
    <row r="6422" ht="14.25" customHeight="1"/>
    <row r="6423" ht="14.25" customHeight="1"/>
    <row r="6424" ht="14.25" customHeight="1"/>
    <row r="6425" ht="14.25" customHeight="1"/>
    <row r="6426" ht="14.25" customHeight="1"/>
    <row r="6427" ht="14.25" customHeight="1"/>
    <row r="6428" ht="14.25" customHeight="1"/>
    <row r="6429" ht="14.25" customHeight="1"/>
    <row r="6430" ht="14.25" customHeight="1"/>
    <row r="6431" ht="14.25" customHeight="1"/>
    <row r="6432" ht="14.25" customHeight="1"/>
    <row r="6433" ht="14.25" customHeight="1"/>
    <row r="6434" ht="14.25" customHeight="1"/>
    <row r="6435" ht="14.25" customHeight="1"/>
    <row r="6436" ht="14.25" customHeight="1"/>
    <row r="6437" ht="14.25" customHeight="1"/>
    <row r="6438" ht="14.25" customHeight="1"/>
    <row r="6439" ht="14.25" customHeight="1"/>
    <row r="6440" ht="14.25" customHeight="1"/>
    <row r="6441" ht="14.25" customHeight="1"/>
    <row r="6442" ht="14.25" customHeight="1"/>
    <row r="6443" ht="14.25" customHeight="1"/>
    <row r="6444" ht="14.25" customHeight="1"/>
    <row r="6445" ht="14.25" customHeight="1"/>
    <row r="6446" ht="14.25" customHeight="1"/>
    <row r="6447" ht="14.25" customHeight="1"/>
    <row r="6448" ht="14.25" customHeight="1"/>
    <row r="6449" ht="14.25" customHeight="1"/>
    <row r="6450" ht="14.25" customHeight="1"/>
    <row r="6451" ht="14.25" customHeight="1"/>
    <row r="6452" ht="14.25" customHeight="1"/>
    <row r="6453" ht="14.25" customHeight="1"/>
    <row r="6454" ht="14.25" customHeight="1"/>
    <row r="6455" ht="14.25" customHeight="1"/>
    <row r="6456" ht="14.25" customHeight="1"/>
    <row r="6457" ht="14.25" customHeight="1"/>
    <row r="6458" ht="14.25" customHeight="1"/>
    <row r="6459" ht="14.25" customHeight="1"/>
    <row r="6460" ht="14.25" customHeight="1"/>
    <row r="6461" ht="14.25" customHeight="1"/>
    <row r="6462" ht="14.25" customHeight="1"/>
    <row r="6463" ht="14.25" customHeight="1"/>
    <row r="6464" ht="14.25" customHeight="1"/>
    <row r="6465" ht="14.25" customHeight="1"/>
    <row r="6466" ht="14.25" customHeight="1"/>
    <row r="6467" ht="14.25" customHeight="1"/>
    <row r="6468" ht="14.25" customHeight="1"/>
    <row r="6469" ht="14.25" customHeight="1"/>
    <row r="6470" ht="14.25" customHeight="1"/>
    <row r="6471" ht="14.25" customHeight="1"/>
    <row r="6472" ht="14.25" customHeight="1"/>
    <row r="6473" ht="14.25" customHeight="1"/>
    <row r="6474" ht="14.25" customHeight="1"/>
    <row r="6475" ht="14.25" customHeight="1"/>
    <row r="6476" ht="14.25" customHeight="1"/>
    <row r="6477" ht="14.25" customHeight="1"/>
    <row r="6478" ht="14.25" customHeight="1"/>
    <row r="6479" ht="14.25" customHeight="1"/>
    <row r="6480" ht="14.25" customHeight="1"/>
    <row r="6481" ht="14.25" customHeight="1"/>
    <row r="6482" ht="14.25" customHeight="1"/>
    <row r="6483" ht="14.25" customHeight="1"/>
    <row r="6484" ht="14.25" customHeight="1"/>
    <row r="6485" ht="14.25" customHeight="1"/>
    <row r="6486" ht="14.25" customHeight="1"/>
    <row r="6487" ht="14.25" customHeight="1"/>
    <row r="6488" ht="14.25" customHeight="1"/>
    <row r="6489" ht="14.25" customHeight="1"/>
    <row r="6490" ht="14.25" customHeight="1"/>
    <row r="6491" ht="14.25" customHeight="1"/>
    <row r="6492" ht="14.25" customHeight="1"/>
    <row r="6493" ht="14.25" customHeight="1"/>
    <row r="6494" ht="14.25" customHeight="1"/>
    <row r="6495" ht="14.25" customHeight="1"/>
    <row r="6496" ht="14.25" customHeight="1"/>
    <row r="6497" ht="14.25" customHeight="1"/>
    <row r="6498" ht="14.25" customHeight="1"/>
    <row r="6499" ht="14.25" customHeight="1"/>
    <row r="6500" ht="14.25" customHeight="1"/>
    <row r="6501" ht="14.25" customHeight="1"/>
    <row r="6502" ht="14.25" customHeight="1"/>
    <row r="6503" ht="14.25" customHeight="1"/>
    <row r="6504" ht="14.25" customHeight="1"/>
    <row r="6505" ht="14.25" customHeight="1"/>
    <row r="6506" ht="14.25" customHeight="1"/>
    <row r="6507" ht="14.25" customHeight="1"/>
    <row r="6508" ht="14.25" customHeight="1"/>
    <row r="6509" ht="14.25" customHeight="1"/>
    <row r="6510" ht="14.25" customHeight="1"/>
    <row r="6511" ht="14.25" customHeight="1"/>
    <row r="6512" ht="14.25" customHeight="1"/>
    <row r="6513" ht="14.25" customHeight="1"/>
    <row r="6514" ht="14.25" customHeight="1"/>
    <row r="6515" ht="14.25" customHeight="1"/>
    <row r="6516" ht="14.25" customHeight="1"/>
    <row r="6517" ht="14.25" customHeight="1"/>
    <row r="6518" ht="14.25" customHeight="1"/>
    <row r="6519" ht="14.25" customHeight="1"/>
    <row r="6520" ht="14.25" customHeight="1"/>
    <row r="6521" ht="14.25" customHeight="1"/>
    <row r="6522" ht="14.25" customHeight="1"/>
    <row r="6523" ht="14.25" customHeight="1"/>
    <row r="6524" ht="14.25" customHeight="1"/>
    <row r="6525" ht="14.25" customHeight="1"/>
    <row r="6526" ht="14.25" customHeight="1"/>
    <row r="6527" ht="14.25" customHeight="1"/>
    <row r="6528" ht="14.25" customHeight="1"/>
    <row r="6529" ht="14.25" customHeight="1"/>
    <row r="6530" ht="14.25" customHeight="1"/>
    <row r="6531" ht="14.25" customHeight="1"/>
    <row r="6532" ht="14.25" customHeight="1"/>
    <row r="6533" ht="14.25" customHeight="1"/>
    <row r="6534" ht="14.25" customHeight="1"/>
    <row r="6535" ht="14.25" customHeight="1"/>
    <row r="6536" ht="14.25" customHeight="1"/>
    <row r="6537" ht="14.25" customHeight="1"/>
    <row r="6538" ht="14.25" customHeight="1"/>
    <row r="6539" ht="14.25" customHeight="1"/>
    <row r="6540" ht="14.25" customHeight="1"/>
    <row r="6541" ht="14.25" customHeight="1"/>
    <row r="6542" ht="14.25" customHeight="1"/>
    <row r="6543" ht="14.25" customHeight="1"/>
    <row r="6544" ht="14.25" customHeight="1"/>
    <row r="6545" ht="14.25" customHeight="1"/>
    <row r="6546" ht="14.25" customHeight="1"/>
    <row r="6547" ht="14.25" customHeight="1"/>
    <row r="6548" ht="14.25" customHeight="1"/>
    <row r="6549" ht="14.25" customHeight="1"/>
    <row r="6550" ht="14.25" customHeight="1"/>
    <row r="6551" ht="14.25" customHeight="1"/>
    <row r="6552" ht="14.25" customHeight="1"/>
    <row r="6553" ht="14.25" customHeight="1"/>
    <row r="6554" ht="14.25" customHeight="1"/>
    <row r="6555" ht="14.25" customHeight="1"/>
    <row r="6556" ht="14.25" customHeight="1"/>
    <row r="6557" ht="14.25" customHeight="1"/>
    <row r="6558" ht="14.25" customHeight="1"/>
    <row r="6559" ht="14.25" customHeight="1"/>
    <row r="6560" ht="14.25" customHeight="1"/>
    <row r="6561" ht="14.25" customHeight="1"/>
    <row r="6562" ht="14.25" customHeight="1"/>
    <row r="6563" ht="14.25" customHeight="1"/>
    <row r="6564" ht="14.25" customHeight="1"/>
    <row r="6565" ht="14.25" customHeight="1"/>
    <row r="6566" ht="14.25" customHeight="1"/>
    <row r="6567" ht="14.25" customHeight="1"/>
    <row r="6568" ht="14.25" customHeight="1"/>
    <row r="6569" ht="14.25" customHeight="1"/>
    <row r="6570" ht="14.25" customHeight="1"/>
    <row r="6571" ht="14.25" customHeight="1"/>
    <row r="6572" ht="14.25" customHeight="1"/>
    <row r="6573" ht="14.25" customHeight="1"/>
    <row r="6574" ht="14.25" customHeight="1"/>
    <row r="6575" ht="14.25" customHeight="1"/>
    <row r="6576" ht="14.25" customHeight="1"/>
    <row r="6577" ht="14.25" customHeight="1"/>
    <row r="6578" ht="14.25" customHeight="1"/>
    <row r="6579" ht="14.25" customHeight="1"/>
    <row r="6580" ht="14.25" customHeight="1"/>
    <row r="6581" ht="14.25" customHeight="1"/>
    <row r="6582" ht="14.25" customHeight="1"/>
    <row r="6583" ht="14.25" customHeight="1"/>
    <row r="6584" ht="14.25" customHeight="1"/>
    <row r="6585" ht="14.25" customHeight="1"/>
    <row r="6586" ht="14.25" customHeight="1"/>
    <row r="6587" ht="14.25" customHeight="1"/>
    <row r="6588" ht="14.25" customHeight="1"/>
    <row r="6589" ht="14.25" customHeight="1"/>
    <row r="6590" ht="14.25" customHeight="1"/>
    <row r="6591" ht="14.25" customHeight="1"/>
    <row r="6592" ht="14.25" customHeight="1"/>
    <row r="6593" ht="14.25" customHeight="1"/>
    <row r="6594" ht="14.25" customHeight="1"/>
    <row r="6595" ht="14.25" customHeight="1"/>
    <row r="6596" ht="14.25" customHeight="1"/>
    <row r="6597" ht="14.25" customHeight="1"/>
    <row r="6598" ht="14.25" customHeight="1"/>
    <row r="6599" ht="14.25" customHeight="1"/>
    <row r="6600" ht="14.25" customHeight="1"/>
    <row r="6601" ht="14.25" customHeight="1"/>
    <row r="6602" ht="14.25" customHeight="1"/>
    <row r="6603" ht="14.25" customHeight="1"/>
    <row r="6604" ht="14.25" customHeight="1"/>
    <row r="6605" ht="14.25" customHeight="1"/>
    <row r="6606" ht="14.25" customHeight="1"/>
    <row r="6607" ht="14.25" customHeight="1"/>
    <row r="6608" ht="14.25" customHeight="1"/>
    <row r="6609" ht="14.25" customHeight="1"/>
    <row r="6610" ht="14.25" customHeight="1"/>
    <row r="6611" ht="14.25" customHeight="1"/>
    <row r="6612" ht="14.25" customHeight="1"/>
    <row r="6613" ht="14.25" customHeight="1"/>
    <row r="6614" ht="14.25" customHeight="1"/>
    <row r="6615" ht="14.25" customHeight="1"/>
    <row r="6616" ht="14.25" customHeight="1"/>
    <row r="6617" ht="14.25" customHeight="1"/>
    <row r="6618" ht="14.25" customHeight="1"/>
    <row r="6619" ht="14.25" customHeight="1"/>
    <row r="6620" ht="14.25" customHeight="1"/>
    <row r="6621" ht="14.25" customHeight="1"/>
    <row r="6622" ht="14.25" customHeight="1"/>
    <row r="6623" ht="14.25" customHeight="1"/>
    <row r="6624" ht="14.25" customHeight="1"/>
    <row r="6625" ht="14.25" customHeight="1"/>
    <row r="6626" ht="14.25" customHeight="1"/>
    <row r="6627" ht="14.25" customHeight="1"/>
    <row r="6628" ht="14.25" customHeight="1"/>
    <row r="6629" ht="14.25" customHeight="1"/>
    <row r="6630" ht="14.25" customHeight="1"/>
    <row r="6631" ht="14.25" customHeight="1"/>
    <row r="6632" ht="14.25" customHeight="1"/>
    <row r="6633" ht="14.25" customHeight="1"/>
    <row r="6634" ht="14.25" customHeight="1"/>
    <row r="6635" ht="14.25" customHeight="1"/>
    <row r="6636" ht="14.25" customHeight="1"/>
    <row r="6637" ht="14.25" customHeight="1"/>
    <row r="6638" ht="14.25" customHeight="1"/>
    <row r="6639" ht="14.25" customHeight="1"/>
    <row r="6640" ht="14.25" customHeight="1"/>
    <row r="6641" ht="14.25" customHeight="1"/>
    <row r="6642" ht="14.25" customHeight="1"/>
    <row r="6643" ht="14.25" customHeight="1"/>
    <row r="6644" ht="14.25" customHeight="1"/>
    <row r="6645" ht="14.25" customHeight="1"/>
    <row r="6646" ht="14.25" customHeight="1"/>
    <row r="6647" ht="14.25" customHeight="1"/>
    <row r="6648" ht="14.25" customHeight="1"/>
    <row r="6649" ht="14.25" customHeight="1"/>
    <row r="6650" ht="14.25" customHeight="1"/>
    <row r="6651" ht="14.25" customHeight="1"/>
    <row r="6652" ht="14.25" customHeight="1"/>
    <row r="6653" ht="14.25" customHeight="1"/>
    <row r="6654" ht="14.25" customHeight="1"/>
    <row r="6655" ht="14.25" customHeight="1"/>
    <row r="6656" ht="14.25" customHeight="1"/>
    <row r="6657" ht="14.25" customHeight="1"/>
    <row r="6658" ht="14.25" customHeight="1"/>
    <row r="6659" ht="14.25" customHeight="1"/>
    <row r="6660" ht="14.25" customHeight="1"/>
    <row r="6661" ht="14.25" customHeight="1"/>
    <row r="6662" ht="14.25" customHeight="1"/>
    <row r="6663" ht="14.25" customHeight="1"/>
    <row r="6664" ht="14.25" customHeight="1"/>
    <row r="6665" ht="14.25" customHeight="1"/>
    <row r="6666" ht="14.25" customHeight="1"/>
    <row r="6667" ht="14.25" customHeight="1"/>
    <row r="6668" ht="14.25" customHeight="1"/>
    <row r="6669" ht="14.25" customHeight="1"/>
    <row r="6670" ht="14.25" customHeight="1"/>
    <row r="6671" ht="14.25" customHeight="1"/>
    <row r="6672" ht="14.25" customHeight="1"/>
    <row r="6673" ht="14.25" customHeight="1"/>
    <row r="6674" ht="14.25" customHeight="1"/>
    <row r="6675" ht="14.25" customHeight="1"/>
    <row r="6676" ht="14.25" customHeight="1"/>
    <row r="6677" ht="14.25" customHeight="1"/>
    <row r="6678" ht="14.25" customHeight="1"/>
    <row r="6679" ht="14.25" customHeight="1"/>
    <row r="6680" ht="14.25" customHeight="1"/>
    <row r="6681" ht="14.25" customHeight="1"/>
    <row r="6682" ht="14.25" customHeight="1"/>
    <row r="6683" ht="14.25" customHeight="1"/>
    <row r="6684" ht="14.25" customHeight="1"/>
    <row r="6685" ht="14.25" customHeight="1"/>
    <row r="6686" ht="14.25" customHeight="1"/>
    <row r="6687" ht="14.25" customHeight="1"/>
    <row r="6688" ht="14.25" customHeight="1"/>
    <row r="6689" ht="14.25" customHeight="1"/>
    <row r="6690" ht="14.25" customHeight="1"/>
    <row r="6691" ht="14.25" customHeight="1"/>
    <row r="6692" ht="14.25" customHeight="1"/>
    <row r="6693" ht="14.25" customHeight="1"/>
    <row r="6694" ht="14.25" customHeight="1"/>
    <row r="6695" ht="14.25" customHeight="1"/>
    <row r="6696" ht="14.25" customHeight="1"/>
    <row r="6697" ht="14.25" customHeight="1"/>
    <row r="6698" ht="14.25" customHeight="1"/>
    <row r="6699" ht="14.25" customHeight="1"/>
    <row r="6700" ht="14.25" customHeight="1"/>
    <row r="6701" ht="14.25" customHeight="1"/>
    <row r="6702" ht="14.25" customHeight="1"/>
    <row r="6703" ht="14.25" customHeight="1"/>
    <row r="6704" ht="14.25" customHeight="1"/>
    <row r="6705" ht="14.25" customHeight="1"/>
    <row r="6706" ht="14.25" customHeight="1"/>
    <row r="6707" ht="14.25" customHeight="1"/>
    <row r="6708" ht="14.25" customHeight="1"/>
    <row r="6709" ht="14.25" customHeight="1"/>
    <row r="6710" ht="14.25" customHeight="1"/>
    <row r="6711" ht="14.25" customHeight="1"/>
    <row r="6712" ht="14.25" customHeight="1"/>
    <row r="6713" ht="14.25" customHeight="1"/>
    <row r="6714" ht="14.25" customHeight="1"/>
    <row r="6715" ht="14.25" customHeight="1"/>
    <row r="6716" ht="14.25" customHeight="1"/>
    <row r="6717" ht="14.25" customHeight="1"/>
    <row r="6718" ht="14.25" customHeight="1"/>
    <row r="6719" ht="14.25" customHeight="1"/>
    <row r="6720" ht="14.25" customHeight="1"/>
    <row r="6721" ht="14.25" customHeight="1"/>
    <row r="6722" ht="14.25" customHeight="1"/>
    <row r="6723" ht="14.25" customHeight="1"/>
    <row r="6724" ht="14.25" customHeight="1"/>
    <row r="6725" ht="14.25" customHeight="1"/>
    <row r="6726" ht="14.25" customHeight="1"/>
    <row r="6727" ht="14.25" customHeight="1"/>
    <row r="6728" ht="14.25" customHeight="1"/>
    <row r="6729" ht="14.25" customHeight="1"/>
    <row r="6730" ht="14.25" customHeight="1"/>
    <row r="6731" ht="14.25" customHeight="1"/>
    <row r="6732" ht="14.25" customHeight="1"/>
    <row r="6733" ht="14.25" customHeight="1"/>
    <row r="6734" ht="14.25" customHeight="1"/>
    <row r="6735" ht="14.25" customHeight="1"/>
    <row r="6736" ht="14.25" customHeight="1"/>
    <row r="6737" ht="14.25" customHeight="1"/>
    <row r="6738" ht="14.25" customHeight="1"/>
    <row r="6739" ht="14.25" customHeight="1"/>
    <row r="6740" ht="14.25" customHeight="1"/>
    <row r="6741" ht="14.25" customHeight="1"/>
    <row r="6742" ht="14.25" customHeight="1"/>
    <row r="6743" ht="14.25" customHeight="1"/>
    <row r="6744" ht="14.25" customHeight="1"/>
    <row r="6745" ht="14.25" customHeight="1"/>
    <row r="6746" ht="14.25" customHeight="1"/>
    <row r="6747" ht="14.25" customHeight="1"/>
    <row r="6748" ht="14.25" customHeight="1"/>
    <row r="6749" ht="14.25" customHeight="1"/>
    <row r="6750" ht="14.25" customHeight="1"/>
    <row r="6751" ht="14.25" customHeight="1"/>
    <row r="6752" ht="14.25" customHeight="1"/>
    <row r="6753" ht="14.25" customHeight="1"/>
    <row r="6754" ht="14.25" customHeight="1"/>
    <row r="6755" ht="14.25" customHeight="1"/>
    <row r="6756" ht="14.25" customHeight="1"/>
    <row r="6757" ht="14.25" customHeight="1"/>
    <row r="6758" ht="14.25" customHeight="1"/>
    <row r="6759" ht="14.25" customHeight="1"/>
    <row r="6760" ht="14.25" customHeight="1"/>
    <row r="6761" ht="14.25" customHeight="1"/>
    <row r="6762" ht="14.25" customHeight="1"/>
    <row r="6763" ht="14.25" customHeight="1"/>
    <row r="6764" ht="14.25" customHeight="1"/>
    <row r="6765" ht="14.25" customHeight="1"/>
    <row r="6766" ht="14.25" customHeight="1"/>
    <row r="6767" ht="14.25" customHeight="1"/>
    <row r="6768" ht="14.25" customHeight="1"/>
    <row r="6769" ht="14.25" customHeight="1"/>
    <row r="6770" ht="14.25" customHeight="1"/>
    <row r="6771" ht="14.25" customHeight="1"/>
    <row r="6772" ht="14.25" customHeight="1"/>
    <row r="6773" ht="14.25" customHeight="1"/>
    <row r="6774" ht="14.25" customHeight="1"/>
    <row r="6775" ht="14.25" customHeight="1"/>
    <row r="6776" ht="14.25" customHeight="1"/>
    <row r="6777" ht="14.25" customHeight="1"/>
    <row r="6778" ht="14.25" customHeight="1"/>
    <row r="6779" ht="14.25" customHeight="1"/>
    <row r="6780" ht="14.25" customHeight="1"/>
    <row r="6781" ht="14.25" customHeight="1"/>
    <row r="6782" ht="14.25" customHeight="1"/>
    <row r="6783" ht="14.25" customHeight="1"/>
    <row r="6784" ht="14.25" customHeight="1"/>
    <row r="6785" ht="14.25" customHeight="1"/>
    <row r="6786" ht="14.25" customHeight="1"/>
    <row r="6787" ht="14.25" customHeight="1"/>
    <row r="6788" ht="14.25" customHeight="1"/>
    <row r="6789" ht="14.25" customHeight="1"/>
    <row r="6790" ht="14.25" customHeight="1"/>
    <row r="6791" ht="14.25" customHeight="1"/>
    <row r="6792" ht="14.25" customHeight="1"/>
    <row r="6793" ht="14.25" customHeight="1"/>
    <row r="6794" ht="14.25" customHeight="1"/>
    <row r="6795" ht="14.25" customHeight="1"/>
    <row r="6796" ht="14.25" customHeight="1"/>
    <row r="6797" ht="14.25" customHeight="1"/>
    <row r="6798" ht="14.25" customHeight="1"/>
    <row r="6799" ht="14.25" customHeight="1"/>
    <row r="6800" ht="14.25" customHeight="1"/>
    <row r="6801" ht="14.25" customHeight="1"/>
    <row r="6802" ht="14.25" customHeight="1"/>
    <row r="6803" ht="14.25" customHeight="1"/>
    <row r="6804" ht="14.25" customHeight="1"/>
    <row r="6805" ht="14.25" customHeight="1"/>
    <row r="6806" ht="14.25" customHeight="1"/>
    <row r="6807" ht="14.25" customHeight="1"/>
    <row r="6808" ht="14.25" customHeight="1"/>
    <row r="6809" ht="14.25" customHeight="1"/>
    <row r="6810" ht="14.25" customHeight="1"/>
    <row r="6811" ht="14.25" customHeight="1"/>
    <row r="6812" ht="14.25" customHeight="1"/>
    <row r="6813" ht="14.25" customHeight="1"/>
    <row r="6814" ht="14.25" customHeight="1"/>
    <row r="6815" ht="14.25" customHeight="1"/>
    <row r="6816" ht="14.25" customHeight="1"/>
    <row r="6817" ht="14.25" customHeight="1"/>
    <row r="6818" ht="14.25" customHeight="1"/>
    <row r="6819" ht="14.25" customHeight="1"/>
    <row r="6820" ht="14.25" customHeight="1"/>
    <row r="6821" ht="14.25" customHeight="1"/>
    <row r="6822" ht="14.25" customHeight="1"/>
    <row r="6823" ht="14.25" customHeight="1"/>
    <row r="6824" ht="14.25" customHeight="1"/>
    <row r="6825" ht="14.25" customHeight="1"/>
    <row r="6826" ht="14.25" customHeight="1"/>
    <row r="6827" ht="14.25" customHeight="1"/>
    <row r="6828" ht="14.25" customHeight="1"/>
    <row r="6829" ht="14.25" customHeight="1"/>
    <row r="6830" ht="14.25" customHeight="1"/>
    <row r="6831" ht="14.25" customHeight="1"/>
    <row r="6832" ht="14.25" customHeight="1"/>
    <row r="6833" ht="14.25" customHeight="1"/>
    <row r="6834" ht="14.25" customHeight="1"/>
    <row r="6835" ht="14.25" customHeight="1"/>
    <row r="6836" ht="14.25" customHeight="1"/>
    <row r="6837" ht="14.25" customHeight="1"/>
    <row r="6838" ht="14.25" customHeight="1"/>
    <row r="6839" ht="14.25" customHeight="1"/>
    <row r="6840" ht="14.25" customHeight="1"/>
    <row r="6841" ht="14.25" customHeight="1"/>
    <row r="6842" ht="14.25" customHeight="1"/>
    <row r="6843" ht="14.25" customHeight="1"/>
    <row r="6844" ht="14.25" customHeight="1"/>
    <row r="6845" ht="14.25" customHeight="1"/>
    <row r="6846" ht="14.25" customHeight="1"/>
    <row r="6847" ht="14.25" customHeight="1"/>
    <row r="6848" ht="14.25" customHeight="1"/>
    <row r="6849" ht="14.25" customHeight="1"/>
    <row r="6850" ht="14.25" customHeight="1"/>
    <row r="6851" ht="14.25" customHeight="1"/>
    <row r="6852" ht="14.25" customHeight="1"/>
    <row r="6853" ht="14.25" customHeight="1"/>
    <row r="6854" ht="14.25" customHeight="1"/>
    <row r="6855" ht="14.25" customHeight="1"/>
    <row r="6856" ht="14.25" customHeight="1"/>
    <row r="6857" ht="14.25" customHeight="1"/>
    <row r="6858" ht="14.25" customHeight="1"/>
    <row r="6859" ht="14.25" customHeight="1"/>
    <row r="6860" ht="14.25" customHeight="1"/>
    <row r="6861" ht="14.25" customHeight="1"/>
    <row r="6862" ht="14.25" customHeight="1"/>
    <row r="6863" ht="14.25" customHeight="1"/>
    <row r="6864" ht="14.25" customHeight="1"/>
    <row r="6865" ht="14.25" customHeight="1"/>
    <row r="6866" ht="14.25" customHeight="1"/>
    <row r="6867" ht="14.25" customHeight="1"/>
    <row r="6868" ht="14.25" customHeight="1"/>
    <row r="6869" ht="14.25" customHeight="1"/>
    <row r="6870" ht="14.25" customHeight="1"/>
    <row r="6871" ht="14.25" customHeight="1"/>
    <row r="6872" ht="14.25" customHeight="1"/>
    <row r="6873" ht="14.25" customHeight="1"/>
    <row r="6874" ht="14.25" customHeight="1"/>
    <row r="6875" ht="14.25" customHeight="1"/>
    <row r="6876" ht="14.25" customHeight="1"/>
    <row r="6877" ht="14.25" customHeight="1"/>
    <row r="6878" ht="14.25" customHeight="1"/>
    <row r="6879" ht="14.25" customHeight="1"/>
    <row r="6880" ht="14.25" customHeight="1"/>
    <row r="6881" ht="14.25" customHeight="1"/>
    <row r="6882" ht="14.25" customHeight="1"/>
    <row r="6883" ht="14.25" customHeight="1"/>
    <row r="6884" ht="14.25" customHeight="1"/>
    <row r="6885" ht="14.25" customHeight="1"/>
    <row r="6886" ht="14.25" customHeight="1"/>
    <row r="6887" ht="14.25" customHeight="1"/>
    <row r="6888" ht="14.25" customHeight="1"/>
    <row r="6889" ht="14.25" customHeight="1"/>
    <row r="6890" ht="14.25" customHeight="1"/>
    <row r="6891" ht="14.25" customHeight="1"/>
    <row r="6892" ht="14.25" customHeight="1"/>
    <row r="6893" ht="14.25" customHeight="1"/>
    <row r="6894" ht="14.25" customHeight="1"/>
    <row r="6895" ht="14.25" customHeight="1"/>
    <row r="6896" ht="14.25" customHeight="1"/>
    <row r="6897" ht="14.25" customHeight="1"/>
    <row r="6898" ht="14.25" customHeight="1"/>
    <row r="6899" ht="14.25" customHeight="1"/>
    <row r="6900" ht="14.25" customHeight="1"/>
    <row r="6901" ht="14.25" customHeight="1"/>
    <row r="6902" ht="14.25" customHeight="1"/>
    <row r="6903" ht="14.25" customHeight="1"/>
    <row r="6904" ht="14.25" customHeight="1"/>
    <row r="6905" ht="14.25" customHeight="1"/>
    <row r="6906" ht="14.25" customHeight="1"/>
    <row r="6907" ht="14.25" customHeight="1"/>
    <row r="6908" ht="14.25" customHeight="1"/>
    <row r="6909" ht="14.25" customHeight="1"/>
    <row r="6910" ht="14.25" customHeight="1"/>
    <row r="6911" ht="14.25" customHeight="1"/>
    <row r="6912" ht="14.25" customHeight="1"/>
    <row r="6913" ht="14.25" customHeight="1"/>
    <row r="6914" ht="14.25" customHeight="1"/>
    <row r="6915" ht="14.25" customHeight="1"/>
    <row r="6916" ht="14.25" customHeight="1"/>
    <row r="6917" ht="14.25" customHeight="1"/>
    <row r="6918" ht="14.25" customHeight="1"/>
    <row r="6919" ht="14.25" customHeight="1"/>
    <row r="6920" ht="14.25" customHeight="1"/>
    <row r="6921" ht="14.25" customHeight="1"/>
    <row r="6922" ht="14.25" customHeight="1"/>
    <row r="6923" ht="14.25" customHeight="1"/>
    <row r="6924" ht="14.25" customHeight="1"/>
    <row r="6925" ht="14.25" customHeight="1"/>
    <row r="6926" ht="14.25" customHeight="1"/>
    <row r="6927" ht="14.25" customHeight="1"/>
    <row r="6928" ht="14.25" customHeight="1"/>
    <row r="6929" ht="14.25" customHeight="1"/>
    <row r="6930" ht="14.25" customHeight="1"/>
    <row r="6931" ht="14.25" customHeight="1"/>
    <row r="6932" ht="14.25" customHeight="1"/>
    <row r="6933" ht="14.25" customHeight="1"/>
    <row r="6934" ht="14.25" customHeight="1"/>
    <row r="6935" ht="14.25" customHeight="1"/>
    <row r="6936" ht="14.25" customHeight="1"/>
    <row r="6937" ht="14.25" customHeight="1"/>
    <row r="6938" ht="14.25" customHeight="1"/>
    <row r="6939" ht="14.25" customHeight="1"/>
    <row r="6940" ht="14.25" customHeight="1"/>
    <row r="6941" ht="14.25" customHeight="1"/>
    <row r="6942" ht="14.25" customHeight="1"/>
    <row r="6943" ht="14.25" customHeight="1"/>
    <row r="6944" ht="14.25" customHeight="1"/>
    <row r="6945" ht="14.25" customHeight="1"/>
    <row r="6946" ht="14.25" customHeight="1"/>
    <row r="6947" ht="14.25" customHeight="1"/>
    <row r="6948" ht="14.25" customHeight="1"/>
    <row r="6949" ht="14.25" customHeight="1"/>
    <row r="6950" ht="14.25" customHeight="1"/>
    <row r="6951" ht="14.25" customHeight="1"/>
    <row r="6952" ht="14.25" customHeight="1"/>
    <row r="6953" ht="14.25" customHeight="1"/>
    <row r="6954" ht="14.25" customHeight="1"/>
    <row r="6955" ht="14.25" customHeight="1"/>
    <row r="6956" ht="14.25" customHeight="1"/>
    <row r="6957" ht="14.25" customHeight="1"/>
    <row r="6958" ht="14.25" customHeight="1"/>
    <row r="6959" ht="14.25" customHeight="1"/>
    <row r="6960" ht="14.25" customHeight="1"/>
    <row r="6961" ht="14.25" customHeight="1"/>
    <row r="6962" ht="14.25" customHeight="1"/>
    <row r="6963" ht="14.25" customHeight="1"/>
    <row r="6964" ht="14.25" customHeight="1"/>
    <row r="6965" ht="14.25" customHeight="1"/>
    <row r="6966" ht="14.25" customHeight="1"/>
    <row r="6967" ht="14.25" customHeight="1"/>
    <row r="6968" ht="14.25" customHeight="1"/>
    <row r="6969" ht="14.25" customHeight="1"/>
    <row r="6970" ht="14.25" customHeight="1"/>
    <row r="6971" ht="14.25" customHeight="1"/>
    <row r="6972" ht="14.25" customHeight="1"/>
    <row r="6973" ht="14.25" customHeight="1"/>
    <row r="6974" ht="14.25" customHeight="1"/>
    <row r="6975" ht="14.25" customHeight="1"/>
    <row r="6976" ht="14.25" customHeight="1"/>
    <row r="6977" ht="14.25" customHeight="1"/>
    <row r="6978" ht="14.25" customHeight="1"/>
    <row r="6979" ht="14.25" customHeight="1"/>
    <row r="6980" ht="14.25" customHeight="1"/>
    <row r="6981" ht="14.25" customHeight="1"/>
    <row r="6982" ht="14.25" customHeight="1"/>
    <row r="6983" ht="14.25" customHeight="1"/>
    <row r="6984" ht="14.25" customHeight="1"/>
    <row r="6985" ht="14.25" customHeight="1"/>
    <row r="6986" ht="14.25" customHeight="1"/>
    <row r="6987" ht="14.25" customHeight="1"/>
    <row r="6988" ht="14.25" customHeight="1"/>
    <row r="6989" ht="14.25" customHeight="1"/>
    <row r="6990" ht="14.25" customHeight="1"/>
    <row r="6991" ht="14.25" customHeight="1"/>
    <row r="6992" ht="14.25" customHeight="1"/>
    <row r="6993" ht="14.25" customHeight="1"/>
    <row r="6994" ht="14.25" customHeight="1"/>
    <row r="6995" ht="14.25" customHeight="1"/>
    <row r="6996" ht="14.25" customHeight="1"/>
    <row r="6997" ht="14.25" customHeight="1"/>
    <row r="6998" ht="14.25" customHeight="1"/>
    <row r="6999" ht="14.25" customHeight="1"/>
    <row r="7000" ht="14.25" customHeight="1"/>
    <row r="7001" ht="14.25" customHeight="1"/>
    <row r="7002" ht="14.25" customHeight="1"/>
    <row r="7003" ht="14.25" customHeight="1"/>
    <row r="7004" ht="14.25" customHeight="1"/>
    <row r="7005" ht="14.25" customHeight="1"/>
    <row r="7006" ht="14.25" customHeight="1"/>
    <row r="7007" ht="14.25" customHeight="1"/>
    <row r="7008" ht="14.25" customHeight="1"/>
    <row r="7009" ht="14.25" customHeight="1"/>
    <row r="7010" ht="14.25" customHeight="1"/>
    <row r="7011" ht="14.25" customHeight="1"/>
    <row r="7012" ht="14.25" customHeight="1"/>
    <row r="7013" ht="14.25" customHeight="1"/>
    <row r="7014" ht="14.25" customHeight="1"/>
    <row r="7015" ht="14.25" customHeight="1"/>
    <row r="7016" ht="14.25" customHeight="1"/>
    <row r="7017" ht="14.25" customHeight="1"/>
    <row r="7018" ht="14.25" customHeight="1"/>
    <row r="7019" ht="14.25" customHeight="1"/>
    <row r="7020" ht="14.25" customHeight="1"/>
    <row r="7021" ht="14.25" customHeight="1"/>
    <row r="7022" ht="14.25" customHeight="1"/>
    <row r="7023" ht="14.25" customHeight="1"/>
    <row r="7024" ht="14.25" customHeight="1"/>
    <row r="7025" ht="14.25" customHeight="1"/>
    <row r="7026" ht="14.25" customHeight="1"/>
    <row r="7027" ht="14.25" customHeight="1"/>
    <row r="7028" ht="14.25" customHeight="1"/>
    <row r="7029" ht="14.25" customHeight="1"/>
    <row r="7030" ht="14.25" customHeight="1"/>
    <row r="7031" ht="14.25" customHeight="1"/>
    <row r="7032" ht="14.25" customHeight="1"/>
    <row r="7033" ht="14.25" customHeight="1"/>
    <row r="7034" ht="14.25" customHeight="1"/>
    <row r="7035" ht="14.25" customHeight="1"/>
    <row r="7036" ht="14.25" customHeight="1"/>
    <row r="7037" ht="14.25" customHeight="1"/>
    <row r="7038" ht="14.25" customHeight="1"/>
    <row r="7039" ht="14.25" customHeight="1"/>
    <row r="7040" ht="14.25" customHeight="1"/>
    <row r="7041" ht="14.25" customHeight="1"/>
    <row r="7042" ht="14.25" customHeight="1"/>
    <row r="7043" ht="14.25" customHeight="1"/>
    <row r="7044" ht="14.25" customHeight="1"/>
    <row r="7045" ht="14.25" customHeight="1"/>
    <row r="7046" ht="14.25" customHeight="1"/>
    <row r="7047" ht="14.25" customHeight="1"/>
    <row r="7048" ht="14.25" customHeight="1"/>
    <row r="7049" ht="14.25" customHeight="1"/>
    <row r="7050" ht="14.25" customHeight="1"/>
    <row r="7051" ht="14.25" customHeight="1"/>
    <row r="7052" ht="14.25" customHeight="1"/>
    <row r="7053" ht="14.25" customHeight="1"/>
    <row r="7054" ht="14.25" customHeight="1"/>
    <row r="7055" ht="14.25" customHeight="1"/>
    <row r="7056" ht="14.25" customHeight="1"/>
    <row r="7057" ht="14.25" customHeight="1"/>
    <row r="7058" ht="14.25" customHeight="1"/>
    <row r="7059" ht="14.25" customHeight="1"/>
    <row r="7060" ht="14.25" customHeight="1"/>
    <row r="7061" ht="14.25" customHeight="1"/>
    <row r="7062" ht="14.25" customHeight="1"/>
    <row r="7063" ht="14.25" customHeight="1"/>
    <row r="7064" ht="14.25" customHeight="1"/>
    <row r="7065" ht="14.25" customHeight="1"/>
    <row r="7066" ht="14.25" customHeight="1"/>
    <row r="7067" ht="14.25" customHeight="1"/>
    <row r="7068" ht="14.25" customHeight="1"/>
    <row r="7069" ht="14.25" customHeight="1"/>
    <row r="7070" ht="14.25" customHeight="1"/>
    <row r="7071" ht="14.25" customHeight="1"/>
    <row r="7072" ht="14.25" customHeight="1"/>
    <row r="7073" ht="14.25" customHeight="1"/>
    <row r="7074" ht="14.25" customHeight="1"/>
    <row r="7075" ht="14.25" customHeight="1"/>
    <row r="7076" ht="14.25" customHeight="1"/>
    <row r="7077" ht="14.25" customHeight="1"/>
    <row r="7078" ht="14.25" customHeight="1"/>
    <row r="7079" ht="14.25" customHeight="1"/>
    <row r="7080" ht="14.25" customHeight="1"/>
    <row r="7081" ht="14.25" customHeight="1"/>
    <row r="7082" ht="14.25" customHeight="1"/>
    <row r="7083" ht="14.25" customHeight="1"/>
    <row r="7084" ht="14.25" customHeight="1"/>
    <row r="7085" ht="14.25" customHeight="1"/>
    <row r="7086" ht="14.25" customHeight="1"/>
    <row r="7087" ht="14.25" customHeight="1"/>
    <row r="7088" ht="14.25" customHeight="1"/>
    <row r="7089" ht="14.25" customHeight="1"/>
    <row r="7090" ht="14.25" customHeight="1"/>
    <row r="7091" ht="14.25" customHeight="1"/>
    <row r="7092" ht="14.25" customHeight="1"/>
    <row r="7093" ht="14.25" customHeight="1"/>
    <row r="7094" ht="14.25" customHeight="1"/>
    <row r="7095" ht="14.25" customHeight="1"/>
    <row r="7096" ht="14.25" customHeight="1"/>
    <row r="7097" ht="14.25" customHeight="1"/>
    <row r="7098" ht="14.25" customHeight="1"/>
    <row r="7099" ht="14.25" customHeight="1"/>
    <row r="7100" ht="14.25" customHeight="1"/>
    <row r="7101" ht="14.25" customHeight="1"/>
    <row r="7102" ht="14.25" customHeight="1"/>
    <row r="7103" ht="14.25" customHeight="1"/>
    <row r="7104" ht="14.25" customHeight="1"/>
    <row r="7105" ht="14.25" customHeight="1"/>
    <row r="7106" ht="14.25" customHeight="1"/>
    <row r="7107" ht="14.25" customHeight="1"/>
    <row r="7108" ht="14.25" customHeight="1"/>
    <row r="7109" ht="14.25" customHeight="1"/>
    <row r="7110" ht="14.25" customHeight="1"/>
    <row r="7111" ht="14.25" customHeight="1"/>
    <row r="7112" ht="14.25" customHeight="1"/>
    <row r="7113" ht="14.25" customHeight="1"/>
    <row r="7114" ht="14.25" customHeight="1"/>
    <row r="7115" ht="14.25" customHeight="1"/>
    <row r="7116" ht="14.25" customHeight="1"/>
    <row r="7117" ht="14.25" customHeight="1"/>
    <row r="7118" ht="14.25" customHeight="1"/>
    <row r="7119" ht="14.25" customHeight="1"/>
    <row r="7120" ht="14.25" customHeight="1"/>
    <row r="7121" ht="14.25" customHeight="1"/>
    <row r="7122" ht="14.25" customHeight="1"/>
    <row r="7123" ht="14.25" customHeight="1"/>
    <row r="7124" ht="14.25" customHeight="1"/>
    <row r="7125" ht="14.25" customHeight="1"/>
    <row r="7126" ht="14.25" customHeight="1"/>
    <row r="7127" ht="14.25" customHeight="1"/>
    <row r="7128" ht="14.25" customHeight="1"/>
    <row r="7129" ht="14.25" customHeight="1"/>
    <row r="7130" ht="14.25" customHeight="1"/>
    <row r="7131" ht="14.25" customHeight="1"/>
    <row r="7132" ht="14.25" customHeight="1"/>
    <row r="7133" ht="14.25" customHeight="1"/>
    <row r="7134" ht="14.25" customHeight="1"/>
    <row r="7135" ht="14.25" customHeight="1"/>
    <row r="7136" ht="14.25" customHeight="1"/>
    <row r="7137" ht="14.25" customHeight="1"/>
    <row r="7138" ht="14.25" customHeight="1"/>
    <row r="7139" ht="14.25" customHeight="1"/>
    <row r="7140" ht="14.25" customHeight="1"/>
    <row r="7141" ht="14.25" customHeight="1"/>
    <row r="7142" ht="14.25" customHeight="1"/>
    <row r="7143" ht="14.25" customHeight="1"/>
    <row r="7144" ht="14.25" customHeight="1"/>
    <row r="7145" ht="14.25" customHeight="1"/>
    <row r="7146" ht="14.25" customHeight="1"/>
    <row r="7147" ht="14.25" customHeight="1"/>
    <row r="7148" ht="14.25" customHeight="1"/>
    <row r="7149" ht="14.25" customHeight="1"/>
    <row r="7150" ht="14.25" customHeight="1"/>
    <row r="7151" ht="14.25" customHeight="1"/>
    <row r="7152" ht="14.25" customHeight="1"/>
    <row r="7153" ht="14.25" customHeight="1"/>
    <row r="7154" ht="14.25" customHeight="1"/>
    <row r="7155" ht="14.25" customHeight="1"/>
    <row r="7156" ht="14.25" customHeight="1"/>
    <row r="7157" ht="14.25" customHeight="1"/>
    <row r="7158" ht="14.25" customHeight="1"/>
    <row r="7159" ht="14.25" customHeight="1"/>
    <row r="7160" ht="14.25" customHeight="1"/>
    <row r="7161" ht="14.25" customHeight="1"/>
    <row r="7162" ht="14.25" customHeight="1"/>
    <row r="7163" ht="14.25" customHeight="1"/>
    <row r="7164" ht="14.25" customHeight="1"/>
    <row r="7165" ht="14.25" customHeight="1"/>
    <row r="7166" ht="14.25" customHeight="1"/>
    <row r="7167" ht="14.25" customHeight="1"/>
    <row r="7168" ht="14.25" customHeight="1"/>
    <row r="7169" ht="14.25" customHeight="1"/>
    <row r="7170" ht="14.25" customHeight="1"/>
    <row r="7171" ht="14.25" customHeight="1"/>
    <row r="7172" ht="14.25" customHeight="1"/>
    <row r="7173" ht="14.25" customHeight="1"/>
    <row r="7174" ht="14.25" customHeight="1"/>
    <row r="7175" ht="14.25" customHeight="1"/>
    <row r="7176" ht="14.25" customHeight="1"/>
    <row r="7177" ht="14.25" customHeight="1"/>
    <row r="7178" ht="14.25" customHeight="1"/>
    <row r="7179" ht="14.25" customHeight="1"/>
    <row r="7180" ht="14.25" customHeight="1"/>
    <row r="7181" ht="14.25" customHeight="1"/>
    <row r="7182" ht="14.25" customHeight="1"/>
    <row r="7183" ht="14.25" customHeight="1"/>
    <row r="7184" ht="14.25" customHeight="1"/>
    <row r="7185" ht="14.25" customHeight="1"/>
    <row r="7186" ht="14.25" customHeight="1"/>
    <row r="7187" ht="14.25" customHeight="1"/>
    <row r="7188" ht="14.25" customHeight="1"/>
    <row r="7189" ht="14.25" customHeight="1"/>
    <row r="7190" ht="14.25" customHeight="1"/>
    <row r="7191" ht="14.25" customHeight="1"/>
    <row r="7192" ht="14.25" customHeight="1"/>
    <row r="7193" ht="14.25" customHeight="1"/>
    <row r="7194" ht="14.25" customHeight="1"/>
    <row r="7195" ht="14.25" customHeight="1"/>
    <row r="7196" ht="14.25" customHeight="1"/>
    <row r="7197" ht="14.25" customHeight="1"/>
    <row r="7198" ht="14.25" customHeight="1"/>
    <row r="7199" ht="14.25" customHeight="1"/>
    <row r="7200" ht="14.25" customHeight="1"/>
    <row r="7201" ht="14.25" customHeight="1"/>
    <row r="7202" ht="14.25" customHeight="1"/>
    <row r="7203" ht="14.25" customHeight="1"/>
    <row r="7204" ht="14.25" customHeight="1"/>
    <row r="7205" ht="14.25" customHeight="1"/>
    <row r="7206" ht="14.25" customHeight="1"/>
    <row r="7207" ht="14.25" customHeight="1"/>
    <row r="7208" ht="14.25" customHeight="1"/>
    <row r="7209" ht="14.25" customHeight="1"/>
    <row r="7210" ht="14.25" customHeight="1"/>
    <row r="7211" ht="14.25" customHeight="1"/>
    <row r="7212" ht="14.25" customHeight="1"/>
    <row r="7213" ht="14.25" customHeight="1"/>
    <row r="7214" ht="14.25" customHeight="1"/>
    <row r="7215" ht="14.25" customHeight="1"/>
    <row r="7216" ht="14.25" customHeight="1"/>
    <row r="7217" ht="14.25" customHeight="1"/>
    <row r="7218" ht="14.25" customHeight="1"/>
    <row r="7219" ht="14.25" customHeight="1"/>
    <row r="7220" ht="14.25" customHeight="1"/>
    <row r="7221" ht="14.25" customHeight="1"/>
    <row r="7222" ht="14.25" customHeight="1"/>
    <row r="7223" ht="14.25" customHeight="1"/>
    <row r="7224" ht="14.25" customHeight="1"/>
    <row r="7225" ht="14.25" customHeight="1"/>
    <row r="7226" ht="14.25" customHeight="1"/>
    <row r="7227" ht="14.25" customHeight="1"/>
    <row r="7228" ht="14.25" customHeight="1"/>
    <row r="7229" ht="14.25" customHeight="1"/>
    <row r="7230" ht="14.25" customHeight="1"/>
    <row r="7231" ht="14.25" customHeight="1"/>
    <row r="7232" ht="14.25" customHeight="1"/>
    <row r="7233" ht="14.25" customHeight="1"/>
    <row r="7234" ht="14.25" customHeight="1"/>
    <row r="7235" ht="14.25" customHeight="1"/>
    <row r="7236" ht="14.25" customHeight="1"/>
    <row r="7237" ht="14.25" customHeight="1"/>
    <row r="7238" ht="14.25" customHeight="1"/>
    <row r="7239" ht="14.25" customHeight="1"/>
    <row r="7240" ht="14.25" customHeight="1"/>
    <row r="7241" ht="14.25" customHeight="1"/>
    <row r="7242" ht="14.25" customHeight="1"/>
    <row r="7243" ht="14.25" customHeight="1"/>
    <row r="7244" ht="14.25" customHeight="1"/>
    <row r="7245" ht="14.25" customHeight="1"/>
    <row r="7246" ht="14.25" customHeight="1"/>
    <row r="7247" ht="14.25" customHeight="1"/>
    <row r="7248" ht="14.25" customHeight="1"/>
    <row r="7249" ht="14.25" customHeight="1"/>
    <row r="7250" ht="14.25" customHeight="1"/>
    <row r="7251" ht="14.25" customHeight="1"/>
    <row r="7252" ht="14.25" customHeight="1"/>
    <row r="7253" ht="14.25" customHeight="1"/>
    <row r="7254" ht="14.25" customHeight="1"/>
    <row r="7255" ht="14.25" customHeight="1"/>
    <row r="7256" ht="14.25" customHeight="1"/>
    <row r="7257" ht="14.25" customHeight="1"/>
    <row r="7258" ht="14.25" customHeight="1"/>
    <row r="7259" ht="14.25" customHeight="1"/>
    <row r="7260" ht="14.25" customHeight="1"/>
    <row r="7261" ht="14.25" customHeight="1"/>
    <row r="7262" ht="14.25" customHeight="1"/>
    <row r="7263" ht="14.25" customHeight="1"/>
    <row r="7264" ht="14.25" customHeight="1"/>
    <row r="7265" ht="14.25" customHeight="1"/>
    <row r="7266" ht="14.25" customHeight="1"/>
    <row r="7267" ht="14.25" customHeight="1"/>
    <row r="7268" ht="14.25" customHeight="1"/>
    <row r="7269" ht="14.25" customHeight="1"/>
    <row r="7270" ht="14.25" customHeight="1"/>
    <row r="7271" ht="14.25" customHeight="1"/>
    <row r="7272" ht="14.25" customHeight="1"/>
    <row r="7273" ht="14.25" customHeight="1"/>
    <row r="7274" ht="14.25" customHeight="1"/>
    <row r="7275" ht="14.25" customHeight="1"/>
    <row r="7276" ht="14.25" customHeight="1"/>
    <row r="7277" ht="14.25" customHeight="1"/>
    <row r="7278" ht="14.25" customHeight="1"/>
    <row r="7279" ht="14.25" customHeight="1"/>
    <row r="7280" ht="14.25" customHeight="1"/>
    <row r="7281" ht="14.25" customHeight="1"/>
    <row r="7282" ht="14.25" customHeight="1"/>
    <row r="7283" ht="14.25" customHeight="1"/>
    <row r="7284" ht="14.25" customHeight="1"/>
    <row r="7285" ht="14.25" customHeight="1"/>
    <row r="7286" ht="14.25" customHeight="1"/>
    <row r="7287" ht="14.25" customHeight="1"/>
    <row r="7288" ht="14.25" customHeight="1"/>
    <row r="7289" ht="14.25" customHeight="1"/>
    <row r="7290" ht="14.25" customHeight="1"/>
    <row r="7291" ht="14.25" customHeight="1"/>
    <row r="7292" ht="14.25" customHeight="1"/>
    <row r="7293" ht="14.25" customHeight="1"/>
    <row r="7294" ht="14.25" customHeight="1"/>
    <row r="7295" ht="14.25" customHeight="1"/>
    <row r="7296" ht="14.25" customHeight="1"/>
    <row r="7297" ht="14.25" customHeight="1"/>
    <row r="7298" ht="14.25" customHeight="1"/>
    <row r="7299" ht="14.25" customHeight="1"/>
    <row r="7300" ht="14.25" customHeight="1"/>
    <row r="7301" ht="14.25" customHeight="1"/>
    <row r="7302" ht="14.25" customHeight="1"/>
    <row r="7303" ht="14.25" customHeight="1"/>
    <row r="7304" ht="14.25" customHeight="1"/>
    <row r="7305" ht="14.25" customHeight="1"/>
    <row r="7306" ht="14.25" customHeight="1"/>
    <row r="7307" ht="14.25" customHeight="1"/>
    <row r="7308" ht="14.25" customHeight="1"/>
    <row r="7309" ht="14.25" customHeight="1"/>
    <row r="7310" ht="14.25" customHeight="1"/>
    <row r="7311" ht="14.25" customHeight="1"/>
    <row r="7312" ht="14.25" customHeight="1"/>
    <row r="7313" ht="14.25" customHeight="1"/>
    <row r="7314" ht="14.25" customHeight="1"/>
    <row r="7315" ht="14.25" customHeight="1"/>
    <row r="7316" ht="14.25" customHeight="1"/>
    <row r="7317" ht="14.25" customHeight="1"/>
    <row r="7318" ht="14.25" customHeight="1"/>
    <row r="7319" ht="14.25" customHeight="1"/>
    <row r="7320" ht="14.25" customHeight="1"/>
    <row r="7321" ht="14.25" customHeight="1"/>
    <row r="7322" ht="14.25" customHeight="1"/>
    <row r="7323" ht="14.25" customHeight="1"/>
    <row r="7324" ht="14.25" customHeight="1"/>
    <row r="7325" ht="14.25" customHeight="1"/>
    <row r="7326" ht="14.25" customHeight="1"/>
    <row r="7327" ht="14.25" customHeight="1"/>
    <row r="7328" ht="14.25" customHeight="1"/>
    <row r="7329" ht="14.25" customHeight="1"/>
    <row r="7330" ht="14.25" customHeight="1"/>
    <row r="7331" ht="14.25" customHeight="1"/>
    <row r="7332" ht="14.25" customHeight="1"/>
    <row r="7333" ht="14.25" customHeight="1"/>
    <row r="7334" ht="14.25" customHeight="1"/>
    <row r="7335" ht="14.25" customHeight="1"/>
    <row r="7336" ht="14.25" customHeight="1"/>
    <row r="7337" ht="14.25" customHeight="1"/>
    <row r="7338" ht="14.25" customHeight="1"/>
    <row r="7339" ht="14.25" customHeight="1"/>
    <row r="7340" ht="14.25" customHeight="1"/>
    <row r="7341" ht="14.25" customHeight="1"/>
    <row r="7342" ht="14.25" customHeight="1"/>
    <row r="7343" ht="14.25" customHeight="1"/>
    <row r="7344" ht="14.25" customHeight="1"/>
    <row r="7345" ht="14.25" customHeight="1"/>
    <row r="7346" ht="14.25" customHeight="1"/>
    <row r="7347" ht="14.25" customHeight="1"/>
    <row r="7348" ht="14.25" customHeight="1"/>
    <row r="7349" ht="14.25" customHeight="1"/>
    <row r="7350" ht="14.25" customHeight="1"/>
    <row r="7351" ht="14.25" customHeight="1"/>
    <row r="7352" ht="14.25" customHeight="1"/>
    <row r="7353" ht="14.25" customHeight="1"/>
    <row r="7354" ht="14.25" customHeight="1"/>
    <row r="7355" ht="14.25" customHeight="1"/>
    <row r="7356" ht="14.25" customHeight="1"/>
    <row r="7357" ht="14.25" customHeight="1"/>
    <row r="7358" ht="14.25" customHeight="1"/>
    <row r="7359" ht="14.25" customHeight="1"/>
    <row r="7360" ht="14.25" customHeight="1"/>
    <row r="7361" ht="14.25" customHeight="1"/>
    <row r="7362" ht="14.25" customHeight="1"/>
    <row r="7363" ht="14.25" customHeight="1"/>
    <row r="7364" ht="14.25" customHeight="1"/>
    <row r="7365" ht="14.25" customHeight="1"/>
    <row r="7366" ht="14.25" customHeight="1"/>
    <row r="7367" ht="14.25" customHeight="1"/>
    <row r="7368" ht="14.25" customHeight="1"/>
    <row r="7369" ht="14.25" customHeight="1"/>
    <row r="7370" ht="14.25" customHeight="1"/>
    <row r="7371" ht="14.25" customHeight="1"/>
    <row r="7372" ht="14.25" customHeight="1"/>
    <row r="7373" ht="14.25" customHeight="1"/>
    <row r="7374" ht="14.25" customHeight="1"/>
    <row r="7375" ht="14.25" customHeight="1"/>
    <row r="7376" ht="14.25" customHeight="1"/>
    <row r="7377" ht="14.25" customHeight="1"/>
    <row r="7378" ht="14.25" customHeight="1"/>
    <row r="7379" ht="14.25" customHeight="1"/>
    <row r="7380" ht="14.25" customHeight="1"/>
    <row r="7381" ht="14.25" customHeight="1"/>
    <row r="7382" ht="14.25" customHeight="1"/>
    <row r="7383" ht="14.25" customHeight="1"/>
    <row r="7384" ht="14.25" customHeight="1"/>
    <row r="7385" ht="14.25" customHeight="1"/>
    <row r="7386" ht="14.25" customHeight="1"/>
    <row r="7387" ht="14.25" customHeight="1"/>
    <row r="7388" ht="14.25" customHeight="1"/>
    <row r="7389" ht="14.25" customHeight="1"/>
    <row r="7390" ht="14.25" customHeight="1"/>
    <row r="7391" ht="14.25" customHeight="1"/>
    <row r="7392" ht="14.25" customHeight="1"/>
    <row r="7393" ht="14.25" customHeight="1"/>
    <row r="7394" ht="14.25" customHeight="1"/>
    <row r="7395" ht="14.25" customHeight="1"/>
    <row r="7396" ht="14.25" customHeight="1"/>
    <row r="7397" ht="14.25" customHeight="1"/>
    <row r="7398" ht="14.25" customHeight="1"/>
    <row r="7399" ht="14.25" customHeight="1"/>
    <row r="7400" ht="14.25" customHeight="1"/>
    <row r="7401" ht="14.25" customHeight="1"/>
    <row r="7402" ht="14.25" customHeight="1"/>
    <row r="7403" ht="14.25" customHeight="1"/>
    <row r="7404" ht="14.25" customHeight="1"/>
    <row r="7405" ht="14.25" customHeight="1"/>
    <row r="7406" ht="14.25" customHeight="1"/>
    <row r="7407" ht="14.25" customHeight="1"/>
    <row r="7408" ht="14.25" customHeight="1"/>
    <row r="7409" ht="14.25" customHeight="1"/>
    <row r="7410" ht="14.25" customHeight="1"/>
    <row r="7411" ht="14.25" customHeight="1"/>
    <row r="7412" ht="14.25" customHeight="1"/>
    <row r="7413" ht="14.25" customHeight="1"/>
    <row r="7414" ht="14.25" customHeight="1"/>
    <row r="7415" ht="14.25" customHeight="1"/>
    <row r="7416" ht="14.25" customHeight="1"/>
    <row r="7417" ht="14.25" customHeight="1"/>
    <row r="7418" ht="14.25" customHeight="1"/>
    <row r="7419" ht="14.25" customHeight="1"/>
    <row r="7420" ht="14.25" customHeight="1"/>
    <row r="7421" ht="14.25" customHeight="1"/>
    <row r="7422" ht="14.25" customHeight="1"/>
    <row r="7423" ht="14.25" customHeight="1"/>
    <row r="7424" ht="14.25" customHeight="1"/>
    <row r="7425" ht="14.25" customHeight="1"/>
    <row r="7426" ht="14.25" customHeight="1"/>
    <row r="7427" ht="14.25" customHeight="1"/>
    <row r="7428" ht="14.25" customHeight="1"/>
    <row r="7429" ht="14.25" customHeight="1"/>
    <row r="7430" ht="14.25" customHeight="1"/>
    <row r="7431" ht="14.25" customHeight="1"/>
    <row r="7432" ht="14.25" customHeight="1"/>
    <row r="7433" ht="14.25" customHeight="1"/>
    <row r="7434" ht="14.25" customHeight="1"/>
    <row r="7435" ht="14.25" customHeight="1"/>
    <row r="7436" ht="14.25" customHeight="1"/>
    <row r="7437" ht="14.25" customHeight="1"/>
    <row r="7438" ht="14.25" customHeight="1"/>
    <row r="7439" ht="14.25" customHeight="1"/>
    <row r="7440" ht="14.25" customHeight="1"/>
    <row r="7441" ht="14.25" customHeight="1"/>
    <row r="7442" ht="14.25" customHeight="1"/>
    <row r="7443" ht="14.25" customHeight="1"/>
    <row r="7444" ht="14.25" customHeight="1"/>
    <row r="7445" ht="14.25" customHeight="1"/>
    <row r="7446" ht="14.25" customHeight="1"/>
    <row r="7447" ht="14.25" customHeight="1"/>
    <row r="7448" ht="14.25" customHeight="1"/>
    <row r="7449" ht="14.25" customHeight="1"/>
    <row r="7450" ht="14.25" customHeight="1"/>
    <row r="7451" ht="14.25" customHeight="1"/>
    <row r="7452" ht="14.25" customHeight="1"/>
    <row r="7453" ht="14.25" customHeight="1"/>
    <row r="7454" ht="14.25" customHeight="1"/>
    <row r="7455" ht="14.25" customHeight="1"/>
    <row r="7456" ht="14.25" customHeight="1"/>
    <row r="7457" ht="14.25" customHeight="1"/>
    <row r="7458" ht="14.25" customHeight="1"/>
    <row r="7459" ht="14.25" customHeight="1"/>
    <row r="7460" ht="14.25" customHeight="1"/>
    <row r="7461" ht="14.25" customHeight="1"/>
    <row r="7462" ht="14.25" customHeight="1"/>
    <row r="7463" ht="14.25" customHeight="1"/>
    <row r="7464" ht="14.25" customHeight="1"/>
    <row r="7465" ht="14.25" customHeight="1"/>
    <row r="7466" ht="14.25" customHeight="1"/>
    <row r="7467" ht="14.25" customHeight="1"/>
    <row r="7468" ht="14.25" customHeight="1"/>
    <row r="7469" ht="14.25" customHeight="1"/>
    <row r="7470" ht="14.25" customHeight="1"/>
    <row r="7471" ht="14.25" customHeight="1"/>
    <row r="7472" ht="14.25" customHeight="1"/>
    <row r="7473" ht="14.25" customHeight="1"/>
    <row r="7474" ht="14.25" customHeight="1"/>
    <row r="7475" ht="14.25" customHeight="1"/>
    <row r="7476" ht="14.25" customHeight="1"/>
    <row r="7477" ht="14.25" customHeight="1"/>
    <row r="7478" ht="14.25" customHeight="1"/>
    <row r="7479" ht="14.25" customHeight="1"/>
    <row r="7480" ht="14.25" customHeight="1"/>
    <row r="7481" ht="14.25" customHeight="1"/>
    <row r="7482" ht="14.25" customHeight="1"/>
    <row r="7483" ht="14.25" customHeight="1"/>
    <row r="7484" ht="14.25" customHeight="1"/>
    <row r="7485" ht="14.25" customHeight="1"/>
    <row r="7486" ht="14.25" customHeight="1"/>
    <row r="7487" ht="14.25" customHeight="1"/>
    <row r="7488" ht="14.25" customHeight="1"/>
    <row r="7489" ht="14.25" customHeight="1"/>
    <row r="7490" ht="14.25" customHeight="1"/>
    <row r="7491" ht="14.25" customHeight="1"/>
    <row r="7492" ht="14.25" customHeight="1"/>
    <row r="7493" ht="14.25" customHeight="1"/>
    <row r="7494" ht="14.25" customHeight="1"/>
    <row r="7495" ht="14.25" customHeight="1"/>
    <row r="7496" ht="14.25" customHeight="1"/>
    <row r="7497" ht="14.25" customHeight="1"/>
    <row r="7498" ht="14.25" customHeight="1"/>
    <row r="7499" ht="14.25" customHeight="1"/>
    <row r="7500" ht="14.25" customHeight="1"/>
    <row r="7501" ht="14.25" customHeight="1"/>
    <row r="7502" ht="14.25" customHeight="1"/>
    <row r="7503" ht="14.25" customHeight="1"/>
    <row r="7504" ht="14.25" customHeight="1"/>
    <row r="7505" ht="14.25" customHeight="1"/>
    <row r="7506" ht="14.25" customHeight="1"/>
    <row r="7507" ht="14.25" customHeight="1"/>
    <row r="7508" ht="14.25" customHeight="1"/>
    <row r="7509" ht="14.25" customHeight="1"/>
    <row r="7510" ht="14.25" customHeight="1"/>
    <row r="7511" ht="14.25" customHeight="1"/>
    <row r="7512" ht="14.25" customHeight="1"/>
    <row r="7513" ht="14.25" customHeight="1"/>
    <row r="7514" ht="14.25" customHeight="1"/>
    <row r="7515" ht="14.25" customHeight="1"/>
    <row r="7516" ht="14.25" customHeight="1"/>
    <row r="7517" ht="14.25" customHeight="1"/>
    <row r="7518" ht="14.25" customHeight="1"/>
    <row r="7519" ht="14.25" customHeight="1"/>
    <row r="7520" ht="14.25" customHeight="1"/>
    <row r="7521" ht="14.25" customHeight="1"/>
    <row r="7522" ht="14.25" customHeight="1"/>
    <row r="7523" ht="14.25" customHeight="1"/>
    <row r="7524" ht="14.25" customHeight="1"/>
    <row r="7525" ht="14.25" customHeight="1"/>
    <row r="7526" ht="14.25" customHeight="1"/>
    <row r="7527" ht="14.25" customHeight="1"/>
    <row r="7528" ht="14.25" customHeight="1"/>
    <row r="7529" ht="14.25" customHeight="1"/>
    <row r="7530" ht="14.25" customHeight="1"/>
    <row r="7531" ht="14.25" customHeight="1"/>
    <row r="7532" ht="14.25" customHeight="1"/>
    <row r="7533" ht="14.25" customHeight="1"/>
    <row r="7534" ht="14.25" customHeight="1"/>
    <row r="7535" ht="14.25" customHeight="1"/>
    <row r="7536" ht="14.25" customHeight="1"/>
    <row r="7537" ht="14.25" customHeight="1"/>
    <row r="7538" ht="14.25" customHeight="1"/>
    <row r="7539" ht="14.25" customHeight="1"/>
    <row r="7540" ht="14.25" customHeight="1"/>
    <row r="7541" ht="14.25" customHeight="1"/>
    <row r="7542" ht="14.25" customHeight="1"/>
    <row r="7543" ht="14.25" customHeight="1"/>
    <row r="7544" ht="14.25" customHeight="1"/>
    <row r="7545" ht="14.25" customHeight="1"/>
    <row r="7546" ht="14.25" customHeight="1"/>
    <row r="7547" ht="14.25" customHeight="1"/>
    <row r="7548" ht="14.25" customHeight="1"/>
    <row r="7549" ht="14.25" customHeight="1"/>
    <row r="7550" ht="14.25" customHeight="1"/>
    <row r="7551" ht="14.25" customHeight="1"/>
    <row r="7552" ht="14.25" customHeight="1"/>
    <row r="7553" ht="14.25" customHeight="1"/>
    <row r="7554" ht="14.25" customHeight="1"/>
    <row r="7555" ht="14.25" customHeight="1"/>
    <row r="7556" ht="14.25" customHeight="1"/>
    <row r="7557" ht="14.25" customHeight="1"/>
    <row r="7558" ht="14.25" customHeight="1"/>
    <row r="7559" ht="14.25" customHeight="1"/>
    <row r="7560" ht="14.25" customHeight="1"/>
    <row r="7561" ht="14.25" customHeight="1"/>
    <row r="7562" ht="14.25" customHeight="1"/>
    <row r="7563" ht="14.25" customHeight="1"/>
    <row r="7564" ht="14.25" customHeight="1"/>
    <row r="7565" ht="14.25" customHeight="1"/>
    <row r="7566" ht="14.25" customHeight="1"/>
    <row r="7567" ht="14.25" customHeight="1"/>
    <row r="7568" ht="14.25" customHeight="1"/>
    <row r="7569" ht="14.25" customHeight="1"/>
    <row r="7570" ht="14.25" customHeight="1"/>
    <row r="7571" ht="14.25" customHeight="1"/>
    <row r="7572" ht="14.25" customHeight="1"/>
    <row r="7573" ht="14.25" customHeight="1"/>
    <row r="7574" ht="14.25" customHeight="1"/>
    <row r="7575" ht="14.25" customHeight="1"/>
    <row r="7576" ht="14.25" customHeight="1"/>
    <row r="7577" ht="14.25" customHeight="1"/>
    <row r="7578" ht="14.25" customHeight="1"/>
    <row r="7579" ht="14.25" customHeight="1"/>
    <row r="7580" ht="14.25" customHeight="1"/>
    <row r="7581" ht="14.25" customHeight="1"/>
    <row r="7582" ht="14.25" customHeight="1"/>
    <row r="7583" ht="14.25" customHeight="1"/>
    <row r="7584" ht="14.25" customHeight="1"/>
    <row r="7585" ht="14.25" customHeight="1"/>
    <row r="7586" ht="14.25" customHeight="1"/>
    <row r="7587" ht="14.25" customHeight="1"/>
    <row r="7588" ht="14.25" customHeight="1"/>
    <row r="7589" ht="14.25" customHeight="1"/>
    <row r="7590" ht="14.25" customHeight="1"/>
    <row r="7591" ht="14.25" customHeight="1"/>
    <row r="7592" ht="14.25" customHeight="1"/>
    <row r="7593" ht="14.25" customHeight="1"/>
    <row r="7594" ht="14.25" customHeight="1"/>
    <row r="7595" ht="14.25" customHeight="1"/>
    <row r="7596" ht="14.25" customHeight="1"/>
    <row r="7597" ht="14.25" customHeight="1"/>
    <row r="7598" ht="14.25" customHeight="1"/>
    <row r="7599" ht="14.25" customHeight="1"/>
    <row r="7600" ht="14.25" customHeight="1"/>
    <row r="7601" ht="14.25" customHeight="1"/>
    <row r="7602" ht="14.25" customHeight="1"/>
    <row r="7603" ht="14.25" customHeight="1"/>
    <row r="7604" ht="14.25" customHeight="1"/>
    <row r="7605" ht="14.25" customHeight="1"/>
    <row r="7606" ht="14.25" customHeight="1"/>
    <row r="7607" ht="14.25" customHeight="1"/>
    <row r="7608" ht="14.25" customHeight="1"/>
    <row r="7609" ht="14.25" customHeight="1"/>
    <row r="7610" ht="14.25" customHeight="1"/>
    <row r="7611" ht="14.25" customHeight="1"/>
    <row r="7612" ht="14.25" customHeight="1"/>
    <row r="7613" ht="14.25" customHeight="1"/>
    <row r="7614" ht="14.25" customHeight="1"/>
    <row r="7615" ht="14.25" customHeight="1"/>
    <row r="7616" ht="14.25" customHeight="1"/>
    <row r="7617" ht="14.25" customHeight="1"/>
    <row r="7618" ht="14.25" customHeight="1"/>
    <row r="7619" ht="14.25" customHeight="1"/>
    <row r="7620" ht="14.25" customHeight="1"/>
    <row r="7621" ht="14.25" customHeight="1"/>
    <row r="7622" ht="14.25" customHeight="1"/>
    <row r="7623" ht="14.25" customHeight="1"/>
    <row r="7624" ht="14.25" customHeight="1"/>
    <row r="7625" ht="14.25" customHeight="1"/>
    <row r="7626" ht="14.25" customHeight="1"/>
    <row r="7627" ht="14.25" customHeight="1"/>
    <row r="7628" ht="14.25" customHeight="1"/>
    <row r="7629" ht="14.25" customHeight="1"/>
    <row r="7630" ht="14.25" customHeight="1"/>
    <row r="7631" ht="14.25" customHeight="1"/>
    <row r="7632" ht="14.25" customHeight="1"/>
    <row r="7633" ht="14.25" customHeight="1"/>
    <row r="7634" ht="14.25" customHeight="1"/>
    <row r="7635" ht="14.25" customHeight="1"/>
    <row r="7636" ht="14.25" customHeight="1"/>
    <row r="7637" ht="14.25" customHeight="1"/>
    <row r="7638" ht="14.25" customHeight="1"/>
    <row r="7639" ht="14.25" customHeight="1"/>
    <row r="7640" ht="14.25" customHeight="1"/>
    <row r="7641" ht="14.25" customHeight="1"/>
    <row r="7642" ht="14.25" customHeight="1"/>
    <row r="7643" ht="14.25" customHeight="1"/>
    <row r="7644" ht="14.25" customHeight="1"/>
    <row r="7645" ht="14.25" customHeight="1"/>
    <row r="7646" ht="14.25" customHeight="1"/>
    <row r="7647" ht="14.25" customHeight="1"/>
    <row r="7648" ht="14.25" customHeight="1"/>
    <row r="7649" ht="14.25" customHeight="1"/>
    <row r="7650" ht="14.25" customHeight="1"/>
    <row r="7651" ht="14.25" customHeight="1"/>
    <row r="7652" ht="14.25" customHeight="1"/>
    <row r="7653" ht="14.25" customHeight="1"/>
    <row r="7654" ht="14.25" customHeight="1"/>
    <row r="7655" ht="14.25" customHeight="1"/>
    <row r="7656" ht="14.25" customHeight="1"/>
    <row r="7657" ht="14.25" customHeight="1"/>
    <row r="7658" ht="14.25" customHeight="1"/>
    <row r="7659" ht="14.25" customHeight="1"/>
    <row r="7660" ht="14.25" customHeight="1"/>
    <row r="7661" ht="14.25" customHeight="1"/>
    <row r="7662" ht="14.25" customHeight="1"/>
    <row r="7663" ht="14.25" customHeight="1"/>
    <row r="7664" ht="14.25" customHeight="1"/>
    <row r="7665" ht="14.25" customHeight="1"/>
    <row r="7666" ht="14.25" customHeight="1"/>
    <row r="7667" ht="14.25" customHeight="1"/>
    <row r="7668" ht="14.25" customHeight="1"/>
    <row r="7669" ht="14.25" customHeight="1"/>
    <row r="7670" ht="14.25" customHeight="1"/>
    <row r="7671" ht="14.25" customHeight="1"/>
    <row r="7672" ht="14.25" customHeight="1"/>
    <row r="7673" ht="14.25" customHeight="1"/>
    <row r="7674" ht="14.25" customHeight="1"/>
    <row r="7675" ht="14.25" customHeight="1"/>
    <row r="7676" ht="14.25" customHeight="1"/>
    <row r="7677" ht="14.25" customHeight="1"/>
    <row r="7678" ht="14.25" customHeight="1"/>
    <row r="7679" ht="14.25" customHeight="1"/>
    <row r="7680" ht="14.25" customHeight="1"/>
    <row r="7681" ht="14.25" customHeight="1"/>
    <row r="7682" ht="14.25" customHeight="1"/>
    <row r="7683" ht="14.25" customHeight="1"/>
    <row r="7684" ht="14.25" customHeight="1"/>
    <row r="7685" ht="14.25" customHeight="1"/>
    <row r="7686" ht="14.25" customHeight="1"/>
    <row r="7687" ht="14.25" customHeight="1"/>
    <row r="7688" ht="14.25" customHeight="1"/>
    <row r="7689" ht="14.25" customHeight="1"/>
    <row r="7690" ht="14.25" customHeight="1"/>
    <row r="7691" ht="14.25" customHeight="1"/>
    <row r="7692" ht="14.25" customHeight="1"/>
    <row r="7693" ht="14.25" customHeight="1"/>
    <row r="7694" ht="14.25" customHeight="1"/>
    <row r="7695" ht="14.25" customHeight="1"/>
    <row r="7696" ht="14.25" customHeight="1"/>
    <row r="7697" ht="14.25" customHeight="1"/>
    <row r="7698" ht="14.25" customHeight="1"/>
    <row r="7699" ht="14.25" customHeight="1"/>
    <row r="7700" ht="14.25" customHeight="1"/>
    <row r="7701" ht="14.25" customHeight="1"/>
    <row r="7702" ht="14.25" customHeight="1"/>
    <row r="7703" ht="14.25" customHeight="1"/>
    <row r="7704" ht="14.25" customHeight="1"/>
    <row r="7705" ht="14.25" customHeight="1"/>
    <row r="7706" ht="14.25" customHeight="1"/>
    <row r="7707" ht="14.25" customHeight="1"/>
    <row r="7708" ht="14.25" customHeight="1"/>
    <row r="7709" ht="14.25" customHeight="1"/>
    <row r="7710" ht="14.25" customHeight="1"/>
    <row r="7711" ht="14.25" customHeight="1"/>
    <row r="7712" ht="14.25" customHeight="1"/>
    <row r="7713" ht="14.25" customHeight="1"/>
    <row r="7714" ht="14.25" customHeight="1"/>
    <row r="7715" ht="14.25" customHeight="1"/>
    <row r="7716" ht="14.25" customHeight="1"/>
    <row r="7717" ht="14.25" customHeight="1"/>
    <row r="7718" ht="14.25" customHeight="1"/>
    <row r="7719" ht="14.25" customHeight="1"/>
    <row r="7720" ht="14.25" customHeight="1"/>
    <row r="7721" ht="14.25" customHeight="1"/>
    <row r="7722" ht="14.25" customHeight="1"/>
    <row r="7723" ht="14.25" customHeight="1"/>
    <row r="7724" ht="14.25" customHeight="1"/>
    <row r="7725" ht="14.25" customHeight="1"/>
    <row r="7726" ht="14.25" customHeight="1"/>
    <row r="7727" ht="14.25" customHeight="1"/>
    <row r="7728" ht="14.25" customHeight="1"/>
    <row r="7729" ht="14.25" customHeight="1"/>
    <row r="7730" ht="14.25" customHeight="1"/>
    <row r="7731" ht="14.25" customHeight="1"/>
    <row r="7732" ht="14.25" customHeight="1"/>
    <row r="7733" ht="14.25" customHeight="1"/>
    <row r="7734" ht="14.25" customHeight="1"/>
    <row r="7735" ht="14.25" customHeight="1"/>
    <row r="7736" ht="14.25" customHeight="1"/>
    <row r="7737" ht="14.25" customHeight="1"/>
    <row r="7738" ht="14.25" customHeight="1"/>
    <row r="7739" ht="14.25" customHeight="1"/>
    <row r="7740" ht="14.25" customHeight="1"/>
    <row r="7741" ht="14.25" customHeight="1"/>
    <row r="7742" ht="14.25" customHeight="1"/>
    <row r="7743" ht="14.25" customHeight="1"/>
    <row r="7744" ht="14.25" customHeight="1"/>
    <row r="7745" ht="14.25" customHeight="1"/>
    <row r="7746" ht="14.25" customHeight="1"/>
    <row r="7747" ht="14.25" customHeight="1"/>
    <row r="7748" ht="14.25" customHeight="1"/>
    <row r="7749" ht="14.25" customHeight="1"/>
    <row r="7750" ht="14.25" customHeight="1"/>
    <row r="7751" ht="14.25" customHeight="1"/>
    <row r="7752" ht="14.25" customHeight="1"/>
    <row r="7753" ht="14.25" customHeight="1"/>
    <row r="7754" ht="14.25" customHeight="1"/>
    <row r="7755" ht="14.25" customHeight="1"/>
    <row r="7756" ht="14.25" customHeight="1"/>
    <row r="7757" ht="14.25" customHeight="1"/>
    <row r="7758" ht="14.25" customHeight="1"/>
    <row r="7759" ht="14.25" customHeight="1"/>
    <row r="7760" ht="14.25" customHeight="1"/>
    <row r="7761" ht="14.25" customHeight="1"/>
    <row r="7762" ht="14.25" customHeight="1"/>
    <row r="7763" ht="14.25" customHeight="1"/>
    <row r="7764" ht="14.25" customHeight="1"/>
    <row r="7765" ht="14.25" customHeight="1"/>
    <row r="7766" ht="14.25" customHeight="1"/>
    <row r="7767" ht="14.25" customHeight="1"/>
    <row r="7768" ht="14.25" customHeight="1"/>
    <row r="7769" ht="14.25" customHeight="1"/>
    <row r="7770" ht="14.25" customHeight="1"/>
    <row r="7771" ht="14.25" customHeight="1"/>
    <row r="7772" ht="14.25" customHeight="1"/>
    <row r="7773" ht="14.25" customHeight="1"/>
    <row r="7774" ht="14.25" customHeight="1"/>
    <row r="7775" ht="14.25" customHeight="1"/>
    <row r="7776" ht="14.25" customHeight="1"/>
    <row r="7777" ht="14.25" customHeight="1"/>
    <row r="7778" ht="14.25" customHeight="1"/>
    <row r="7779" ht="14.25" customHeight="1"/>
    <row r="7780" ht="14.25" customHeight="1"/>
    <row r="7781" ht="14.25" customHeight="1"/>
    <row r="7782" ht="14.25" customHeight="1"/>
    <row r="7783" ht="14.25" customHeight="1"/>
    <row r="7784" ht="14.25" customHeight="1"/>
    <row r="7785" ht="14.25" customHeight="1"/>
    <row r="7786" ht="14.25" customHeight="1"/>
    <row r="7787" ht="14.25" customHeight="1"/>
    <row r="7788" ht="14.25" customHeight="1"/>
    <row r="7789" ht="14.25" customHeight="1"/>
    <row r="7790" ht="14.25" customHeight="1"/>
    <row r="7791" ht="14.25" customHeight="1"/>
    <row r="7792" ht="14.25" customHeight="1"/>
    <row r="7793" ht="14.25" customHeight="1"/>
    <row r="7794" ht="14.25" customHeight="1"/>
    <row r="7795" ht="14.25" customHeight="1"/>
    <row r="7796" ht="14.25" customHeight="1"/>
    <row r="7797" ht="14.25" customHeight="1"/>
    <row r="7798" ht="14.25" customHeight="1"/>
    <row r="7799" ht="14.25" customHeight="1"/>
    <row r="7800" ht="14.25" customHeight="1"/>
    <row r="7801" ht="14.25" customHeight="1"/>
    <row r="7802" ht="14.25" customHeight="1"/>
    <row r="7803" ht="14.25" customHeight="1"/>
    <row r="7804" ht="14.25" customHeight="1"/>
    <row r="7805" ht="14.25" customHeight="1"/>
    <row r="7806" ht="14.25" customHeight="1"/>
    <row r="7807" ht="14.25" customHeight="1"/>
    <row r="7808" ht="14.25" customHeight="1"/>
    <row r="7809" ht="14.25" customHeight="1"/>
    <row r="7810" ht="14.25" customHeight="1"/>
    <row r="7811" ht="14.25" customHeight="1"/>
    <row r="7812" ht="14.25" customHeight="1"/>
    <row r="7813" ht="14.25" customHeight="1"/>
    <row r="7814" ht="14.25" customHeight="1"/>
    <row r="7815" ht="14.25" customHeight="1"/>
    <row r="7816" ht="14.25" customHeight="1"/>
    <row r="7817" ht="14.25" customHeight="1"/>
    <row r="7818" ht="14.25" customHeight="1"/>
    <row r="7819" ht="14.25" customHeight="1"/>
    <row r="7820" ht="14.25" customHeight="1"/>
    <row r="7821" ht="14.25" customHeight="1"/>
    <row r="7822" ht="14.25" customHeight="1"/>
    <row r="7823" ht="14.25" customHeight="1"/>
    <row r="7824" ht="14.25" customHeight="1"/>
    <row r="7825" ht="14.25" customHeight="1"/>
    <row r="7826" ht="14.25" customHeight="1"/>
    <row r="7827" ht="14.25" customHeight="1"/>
    <row r="7828" ht="14.25" customHeight="1"/>
    <row r="7829" ht="14.25" customHeight="1"/>
    <row r="7830" ht="14.25" customHeight="1"/>
    <row r="7831" ht="14.25" customHeight="1"/>
    <row r="7832" ht="14.25" customHeight="1"/>
    <row r="7833" ht="14.25" customHeight="1"/>
    <row r="7834" ht="14.25" customHeight="1"/>
    <row r="7835" ht="14.25" customHeight="1"/>
    <row r="7836" ht="14.25" customHeight="1"/>
    <row r="7837" ht="14.25" customHeight="1"/>
    <row r="7838" ht="14.25" customHeight="1"/>
    <row r="7839" ht="14.25" customHeight="1"/>
    <row r="7840" ht="14.25" customHeight="1"/>
    <row r="7841" ht="14.25" customHeight="1"/>
    <row r="7842" ht="14.25" customHeight="1"/>
    <row r="7843" ht="14.25" customHeight="1"/>
    <row r="7844" ht="14.25" customHeight="1"/>
    <row r="7845" ht="14.25" customHeight="1"/>
    <row r="7846" ht="14.25" customHeight="1"/>
    <row r="7847" ht="14.25" customHeight="1"/>
    <row r="7848" ht="14.25" customHeight="1"/>
    <row r="7849" ht="14.25" customHeight="1"/>
    <row r="7850" ht="14.25" customHeight="1"/>
    <row r="7851" ht="14.25" customHeight="1"/>
    <row r="7852" ht="14.25" customHeight="1"/>
    <row r="7853" ht="14.25" customHeight="1"/>
    <row r="7854" ht="14.25" customHeight="1"/>
    <row r="7855" ht="14.25" customHeight="1"/>
    <row r="7856" ht="14.25" customHeight="1"/>
    <row r="7857" ht="14.25" customHeight="1"/>
    <row r="7858" ht="14.25" customHeight="1"/>
    <row r="7859" ht="14.25" customHeight="1"/>
    <row r="7860" ht="14.25" customHeight="1"/>
    <row r="7861" ht="14.25" customHeight="1"/>
    <row r="7862" ht="14.25" customHeight="1"/>
    <row r="7863" ht="14.25" customHeight="1"/>
    <row r="7864" ht="14.25" customHeight="1"/>
    <row r="7865" ht="14.25" customHeight="1"/>
    <row r="7866" ht="14.25" customHeight="1"/>
    <row r="7867" ht="14.25" customHeight="1"/>
    <row r="7868" ht="14.25" customHeight="1"/>
    <row r="7869" ht="14.25" customHeight="1"/>
    <row r="7870" ht="14.25" customHeight="1"/>
    <row r="7871" ht="14.25" customHeight="1"/>
    <row r="7872" ht="14.25" customHeight="1"/>
    <row r="7873" ht="14.25" customHeight="1"/>
    <row r="7874" ht="14.25" customHeight="1"/>
    <row r="7875" ht="14.25" customHeight="1"/>
    <row r="7876" ht="14.25" customHeight="1"/>
    <row r="7877" ht="14.25" customHeight="1"/>
    <row r="7878" ht="14.25" customHeight="1"/>
    <row r="7879" ht="14.25" customHeight="1"/>
    <row r="7880" ht="14.25" customHeight="1"/>
    <row r="7881" ht="14.25" customHeight="1"/>
    <row r="7882" ht="14.25" customHeight="1"/>
    <row r="7883" ht="14.25" customHeight="1"/>
    <row r="7884" ht="14.25" customHeight="1"/>
    <row r="7885" ht="14.25" customHeight="1"/>
    <row r="7886" ht="14.25" customHeight="1"/>
    <row r="7887" ht="14.25" customHeight="1"/>
    <row r="7888" ht="14.25" customHeight="1"/>
    <row r="7889" ht="14.25" customHeight="1"/>
    <row r="7890" ht="14.25" customHeight="1"/>
    <row r="7891" ht="14.25" customHeight="1"/>
    <row r="7892" ht="14.25" customHeight="1"/>
    <row r="7893" ht="14.25" customHeight="1"/>
    <row r="7894" ht="14.25" customHeight="1"/>
    <row r="7895" ht="14.25" customHeight="1"/>
    <row r="7896" ht="14.25" customHeight="1"/>
    <row r="7897" ht="14.25" customHeight="1"/>
    <row r="7898" ht="14.25" customHeight="1"/>
    <row r="7899" ht="14.25" customHeight="1"/>
    <row r="7900" ht="14.25" customHeight="1"/>
    <row r="7901" ht="14.25" customHeight="1"/>
    <row r="7902" ht="14.25" customHeight="1"/>
    <row r="7903" ht="14.25" customHeight="1"/>
    <row r="7904" ht="14.25" customHeight="1"/>
    <row r="7905" ht="14.25" customHeight="1"/>
    <row r="7906" ht="14.25" customHeight="1"/>
    <row r="7907" ht="14.25" customHeight="1"/>
    <row r="7908" ht="14.25" customHeight="1"/>
    <row r="7909" ht="14.25" customHeight="1"/>
    <row r="7910" ht="14.25" customHeight="1"/>
    <row r="7911" ht="14.25" customHeight="1"/>
    <row r="7912" ht="14.25" customHeight="1"/>
    <row r="7913" ht="14.25" customHeight="1"/>
    <row r="7914" ht="14.25" customHeight="1"/>
    <row r="7915" ht="14.25" customHeight="1"/>
    <row r="7916" ht="14.25" customHeight="1"/>
    <row r="7917" ht="14.25" customHeight="1"/>
    <row r="7918" ht="14.25" customHeight="1"/>
    <row r="7919" ht="14.25" customHeight="1"/>
    <row r="7920" ht="14.25" customHeight="1"/>
    <row r="7921" ht="14.25" customHeight="1"/>
    <row r="7922" ht="14.25" customHeight="1"/>
    <row r="7923" ht="14.25" customHeight="1"/>
    <row r="7924" ht="14.25" customHeight="1"/>
    <row r="7925" ht="14.25" customHeight="1"/>
    <row r="7926" ht="14.25" customHeight="1"/>
    <row r="7927" ht="14.25" customHeight="1"/>
    <row r="7928" ht="14.25" customHeight="1"/>
    <row r="7929" ht="14.25" customHeight="1"/>
    <row r="7930" ht="14.25" customHeight="1"/>
    <row r="7931" ht="14.25" customHeight="1"/>
    <row r="7932" ht="14.25" customHeight="1"/>
    <row r="7933" ht="14.25" customHeight="1"/>
    <row r="7934" ht="14.25" customHeight="1"/>
    <row r="7935" ht="14.25" customHeight="1"/>
    <row r="7936" ht="14.25" customHeight="1"/>
    <row r="7937" ht="14.25" customHeight="1"/>
    <row r="7938" ht="14.25" customHeight="1"/>
    <row r="7939" ht="14.25" customHeight="1"/>
    <row r="7940" ht="14.25" customHeight="1"/>
    <row r="7941" ht="14.25" customHeight="1"/>
    <row r="7942" ht="14.25" customHeight="1"/>
    <row r="7943" ht="14.25" customHeight="1"/>
    <row r="7944" ht="14.25" customHeight="1"/>
    <row r="7945" ht="14.25" customHeight="1"/>
    <row r="7946" ht="14.25" customHeight="1"/>
    <row r="7947" ht="14.25" customHeight="1"/>
    <row r="7948" ht="14.25" customHeight="1"/>
    <row r="7949" ht="14.25" customHeight="1"/>
    <row r="7950" ht="14.25" customHeight="1"/>
    <row r="7951" ht="14.25" customHeight="1"/>
    <row r="7952" ht="14.25" customHeight="1"/>
    <row r="7953" ht="14.25" customHeight="1"/>
    <row r="7954" ht="14.25" customHeight="1"/>
    <row r="7955" ht="14.25" customHeight="1"/>
    <row r="7956" ht="14.25" customHeight="1"/>
    <row r="7957" ht="14.25" customHeight="1"/>
    <row r="7958" ht="14.25" customHeight="1"/>
    <row r="7959" ht="14.25" customHeight="1"/>
    <row r="7960" ht="14.25" customHeight="1"/>
    <row r="7961" ht="14.25" customHeight="1"/>
    <row r="7962" ht="14.25" customHeight="1"/>
    <row r="7963" ht="14.25" customHeight="1"/>
    <row r="7964" ht="14.25" customHeight="1"/>
    <row r="7965" ht="14.25" customHeight="1"/>
    <row r="7966" ht="14.25" customHeight="1"/>
    <row r="7967" ht="14.25" customHeight="1"/>
    <row r="7968" ht="14.25" customHeight="1"/>
    <row r="7969" ht="14.25" customHeight="1"/>
    <row r="7970" ht="14.25" customHeight="1"/>
    <row r="7971" ht="14.25" customHeight="1"/>
    <row r="7972" ht="14.25" customHeight="1"/>
    <row r="7973" ht="14.25" customHeight="1"/>
    <row r="7974" ht="14.25" customHeight="1"/>
    <row r="7975" ht="14.25" customHeight="1"/>
    <row r="7976" ht="14.25" customHeight="1"/>
    <row r="7977" ht="14.25" customHeight="1"/>
    <row r="7978" ht="14.25" customHeight="1"/>
    <row r="7979" ht="14.25" customHeight="1"/>
    <row r="7980" ht="14.25" customHeight="1"/>
    <row r="7981" ht="14.25" customHeight="1"/>
    <row r="7982" ht="14.25" customHeight="1"/>
    <row r="7983" ht="14.25" customHeight="1"/>
    <row r="7984" ht="14.25" customHeight="1"/>
    <row r="7985" ht="14.25" customHeight="1"/>
    <row r="7986" ht="14.25" customHeight="1"/>
    <row r="7987" ht="14.25" customHeight="1"/>
    <row r="7988" ht="14.25" customHeight="1"/>
    <row r="7989" ht="14.25" customHeight="1"/>
    <row r="7990" ht="14.25" customHeight="1"/>
    <row r="7991" ht="14.25" customHeight="1"/>
    <row r="7992" ht="14.25" customHeight="1"/>
    <row r="7993" ht="14.25" customHeight="1"/>
    <row r="7994" ht="14.25" customHeight="1"/>
    <row r="7995" ht="14.25" customHeight="1"/>
    <row r="7996" ht="14.25" customHeight="1"/>
    <row r="7997" ht="14.25" customHeight="1"/>
    <row r="7998" ht="14.25" customHeight="1"/>
    <row r="7999" ht="14.25" customHeight="1"/>
    <row r="8000" ht="14.25" customHeight="1"/>
    <row r="8001" ht="14.25" customHeight="1"/>
    <row r="8002" ht="14.25" customHeight="1"/>
    <row r="8003" ht="14.25" customHeight="1"/>
    <row r="8004" ht="14.25" customHeight="1"/>
    <row r="8005" ht="14.25" customHeight="1"/>
    <row r="8006" ht="14.25" customHeight="1"/>
    <row r="8007" ht="14.25" customHeight="1"/>
    <row r="8008" ht="14.25" customHeight="1"/>
    <row r="8009" ht="14.25" customHeight="1"/>
    <row r="8010" ht="14.25" customHeight="1"/>
    <row r="8011" ht="14.25" customHeight="1"/>
    <row r="8012" ht="14.25" customHeight="1"/>
    <row r="8013" ht="14.25" customHeight="1"/>
    <row r="8014" ht="14.25" customHeight="1"/>
    <row r="8015" ht="14.25" customHeight="1"/>
    <row r="8016" ht="14.25" customHeight="1"/>
    <row r="8017" ht="14.25" customHeight="1"/>
    <row r="8018" ht="14.25" customHeight="1"/>
    <row r="8019" ht="14.25" customHeight="1"/>
    <row r="8020" ht="14.25" customHeight="1"/>
    <row r="8021" ht="14.25" customHeight="1"/>
    <row r="8022" ht="14.25" customHeight="1"/>
    <row r="8023" ht="14.25" customHeight="1"/>
    <row r="8024" ht="14.25" customHeight="1"/>
    <row r="8025" ht="14.25" customHeight="1"/>
    <row r="8026" ht="14.25" customHeight="1"/>
    <row r="8027" ht="14.25" customHeight="1"/>
    <row r="8028" ht="14.25" customHeight="1"/>
    <row r="8029" ht="14.25" customHeight="1"/>
    <row r="8030" ht="14.25" customHeight="1"/>
    <row r="8031" ht="14.25" customHeight="1"/>
    <row r="8032" ht="14.25" customHeight="1"/>
    <row r="8033" ht="14.25" customHeight="1"/>
    <row r="8034" ht="14.25" customHeight="1"/>
    <row r="8035" ht="14.25" customHeight="1"/>
    <row r="8036" ht="14.25" customHeight="1"/>
    <row r="8037" ht="14.25" customHeight="1"/>
    <row r="8038" ht="14.25" customHeight="1"/>
    <row r="8039" ht="14.25" customHeight="1"/>
    <row r="8040" ht="14.25" customHeight="1"/>
    <row r="8041" ht="14.25" customHeight="1"/>
    <row r="8042" ht="14.25" customHeight="1"/>
    <row r="8043" ht="14.25" customHeight="1"/>
    <row r="8044" ht="14.25" customHeight="1"/>
    <row r="8045" ht="14.25" customHeight="1"/>
    <row r="8046" ht="14.25" customHeight="1"/>
    <row r="8047" ht="14.25" customHeight="1"/>
    <row r="8048" ht="14.25" customHeight="1"/>
    <row r="8049" ht="14.25" customHeight="1"/>
    <row r="8050" ht="14.25" customHeight="1"/>
    <row r="8051" ht="14.25" customHeight="1"/>
    <row r="8052" ht="14.25" customHeight="1"/>
    <row r="8053" ht="14.25" customHeight="1"/>
    <row r="8054" ht="14.25" customHeight="1"/>
    <row r="8055" ht="14.25" customHeight="1"/>
    <row r="8056" ht="14.25" customHeight="1"/>
    <row r="8057" ht="14.25" customHeight="1"/>
    <row r="8058" ht="14.25" customHeight="1"/>
    <row r="8059" ht="14.25" customHeight="1"/>
    <row r="8060" ht="14.25" customHeight="1"/>
    <row r="8061" ht="14.25" customHeight="1"/>
    <row r="8062" ht="14.25" customHeight="1"/>
    <row r="8063" ht="14.25" customHeight="1"/>
    <row r="8064" ht="14.25" customHeight="1"/>
    <row r="8065" ht="14.25" customHeight="1"/>
    <row r="8066" ht="14.25" customHeight="1"/>
    <row r="8067" ht="14.25" customHeight="1"/>
    <row r="8068" ht="14.25" customHeight="1"/>
    <row r="8069" ht="14.25" customHeight="1"/>
    <row r="8070" ht="14.25" customHeight="1"/>
    <row r="8071" ht="14.25" customHeight="1"/>
    <row r="8072" ht="14.25" customHeight="1"/>
    <row r="8073" ht="14.25" customHeight="1"/>
    <row r="8074" ht="14.25" customHeight="1"/>
    <row r="8075" ht="14.25" customHeight="1"/>
    <row r="8076" ht="14.25" customHeight="1"/>
    <row r="8077" ht="14.25" customHeight="1"/>
    <row r="8078" ht="14.25" customHeight="1"/>
    <row r="8079" ht="14.25" customHeight="1"/>
    <row r="8080" ht="14.25" customHeight="1"/>
    <row r="8081" ht="14.25" customHeight="1"/>
    <row r="8082" ht="14.25" customHeight="1"/>
    <row r="8083" ht="14.25" customHeight="1"/>
    <row r="8084" ht="14.25" customHeight="1"/>
    <row r="8085" ht="14.25" customHeight="1"/>
    <row r="8086" ht="14.25" customHeight="1"/>
    <row r="8087" ht="14.25" customHeight="1"/>
    <row r="8088" ht="14.25" customHeight="1"/>
    <row r="8089" ht="14.25" customHeight="1"/>
    <row r="8090" ht="14.25" customHeight="1"/>
    <row r="8091" ht="14.25" customHeight="1"/>
    <row r="8092" ht="14.25" customHeight="1"/>
    <row r="8093" ht="14.25" customHeight="1"/>
    <row r="8094" ht="14.25" customHeight="1"/>
    <row r="8095" ht="14.25" customHeight="1"/>
    <row r="8096" ht="14.25" customHeight="1"/>
    <row r="8097" ht="14.25" customHeight="1"/>
    <row r="8098" ht="14.25" customHeight="1"/>
    <row r="8099" ht="14.25" customHeight="1"/>
    <row r="8100" ht="14.25" customHeight="1"/>
    <row r="8101" ht="14.25" customHeight="1"/>
    <row r="8102" ht="14.25" customHeight="1"/>
    <row r="8103" ht="14.25" customHeight="1"/>
    <row r="8104" ht="14.25" customHeight="1"/>
    <row r="8105" ht="14.25" customHeight="1"/>
    <row r="8106" ht="14.25" customHeight="1"/>
    <row r="8107" ht="14.25" customHeight="1"/>
    <row r="8108" ht="14.25" customHeight="1"/>
    <row r="8109" ht="14.25" customHeight="1"/>
    <row r="8110" ht="14.25" customHeight="1"/>
    <row r="8111" ht="14.25" customHeight="1"/>
    <row r="8112" ht="14.25" customHeight="1"/>
    <row r="8113" ht="14.25" customHeight="1"/>
    <row r="8114" ht="14.25" customHeight="1"/>
    <row r="8115" ht="14.25" customHeight="1"/>
    <row r="8116" ht="14.25" customHeight="1"/>
    <row r="8117" ht="14.25" customHeight="1"/>
    <row r="8118" ht="14.25" customHeight="1"/>
    <row r="8119" ht="14.25" customHeight="1"/>
    <row r="8120" ht="14.25" customHeight="1"/>
    <row r="8121" ht="14.25" customHeight="1"/>
    <row r="8122" ht="14.25" customHeight="1"/>
    <row r="8123" ht="14.25" customHeight="1"/>
    <row r="8124" ht="14.25" customHeight="1"/>
    <row r="8125" ht="14.25" customHeight="1"/>
    <row r="8126" ht="14.25" customHeight="1"/>
    <row r="8127" ht="14.25" customHeight="1"/>
    <row r="8128" ht="14.25" customHeight="1"/>
    <row r="8129" ht="14.25" customHeight="1"/>
    <row r="8130" ht="14.25" customHeight="1"/>
    <row r="8131" ht="14.25" customHeight="1"/>
    <row r="8132" ht="14.25" customHeight="1"/>
    <row r="8133" ht="14.25" customHeight="1"/>
    <row r="8134" ht="14.25" customHeight="1"/>
    <row r="8135" ht="14.25" customHeight="1"/>
    <row r="8136" ht="14.25" customHeight="1"/>
    <row r="8137" ht="14.25" customHeight="1"/>
    <row r="8138" ht="14.25" customHeight="1"/>
    <row r="8139" ht="14.25" customHeight="1"/>
    <row r="8140" ht="14.25" customHeight="1"/>
    <row r="8141" ht="14.25" customHeight="1"/>
    <row r="8142" ht="14.25" customHeight="1"/>
    <row r="8143" ht="14.25" customHeight="1"/>
    <row r="8144" ht="14.25" customHeight="1"/>
    <row r="8145" ht="14.25" customHeight="1"/>
    <row r="8146" ht="14.25" customHeight="1"/>
    <row r="8147" ht="14.25" customHeight="1"/>
    <row r="8148" ht="14.25" customHeight="1"/>
    <row r="8149" ht="14.25" customHeight="1"/>
    <row r="8150" ht="14.25" customHeight="1"/>
    <row r="8151" ht="14.25" customHeight="1"/>
    <row r="8152" ht="14.25" customHeight="1"/>
    <row r="8153" ht="14.25" customHeight="1"/>
    <row r="8154" ht="14.25" customHeight="1"/>
    <row r="8155" ht="14.25" customHeight="1"/>
    <row r="8156" ht="14.25" customHeight="1"/>
    <row r="8157" ht="14.25" customHeight="1"/>
    <row r="8158" ht="14.25" customHeight="1"/>
    <row r="8159" ht="14.25" customHeight="1"/>
    <row r="8160" ht="14.25" customHeight="1"/>
    <row r="8161" ht="14.25" customHeight="1"/>
    <row r="8162" ht="14.25" customHeight="1"/>
    <row r="8163" ht="14.25" customHeight="1"/>
    <row r="8164" ht="14.25" customHeight="1"/>
    <row r="8165" ht="14.25" customHeight="1"/>
    <row r="8166" ht="14.25" customHeight="1"/>
    <row r="8167" ht="14.25" customHeight="1"/>
    <row r="8168" ht="14.25" customHeight="1"/>
    <row r="8169" ht="14.25" customHeight="1"/>
    <row r="8170" ht="14.25" customHeight="1"/>
    <row r="8171" ht="14.25" customHeight="1"/>
    <row r="8172" ht="14.25" customHeight="1"/>
    <row r="8173" ht="14.25" customHeight="1"/>
    <row r="8174" ht="14.25" customHeight="1"/>
    <row r="8175" ht="14.25" customHeight="1"/>
    <row r="8176" ht="14.25" customHeight="1"/>
    <row r="8177" ht="14.25" customHeight="1"/>
    <row r="8178" ht="14.25" customHeight="1"/>
    <row r="8179" ht="14.25" customHeight="1"/>
    <row r="8180" ht="14.25" customHeight="1"/>
    <row r="8181" ht="14.25" customHeight="1"/>
    <row r="8182" ht="14.25" customHeight="1"/>
    <row r="8183" ht="14.25" customHeight="1"/>
    <row r="8184" ht="14.25" customHeight="1"/>
    <row r="8185" ht="14.25" customHeight="1"/>
    <row r="8186" ht="14.25" customHeight="1"/>
    <row r="8187" ht="14.25" customHeight="1"/>
    <row r="8188" ht="14.25" customHeight="1"/>
    <row r="8189" ht="14.25" customHeight="1"/>
    <row r="8190" ht="14.25" customHeight="1"/>
    <row r="8191" ht="14.25" customHeight="1"/>
    <row r="8192" ht="14.25" customHeight="1"/>
    <row r="8193" ht="14.25" customHeight="1"/>
    <row r="8194" ht="14.25" customHeight="1"/>
    <row r="8195" ht="14.25" customHeight="1"/>
    <row r="8196" ht="14.25" customHeight="1"/>
    <row r="8197" ht="14.25" customHeight="1"/>
    <row r="8198" ht="14.25" customHeight="1"/>
    <row r="8199" ht="14.25" customHeight="1"/>
    <row r="8200" ht="14.25" customHeight="1"/>
    <row r="8201" ht="14.25" customHeight="1"/>
    <row r="8202" ht="14.25" customHeight="1"/>
    <row r="8203" ht="14.25" customHeight="1"/>
    <row r="8204" ht="14.25" customHeight="1"/>
    <row r="8205" ht="14.25" customHeight="1"/>
    <row r="8206" ht="14.25" customHeight="1"/>
    <row r="8207" ht="14.25" customHeight="1"/>
    <row r="8208" ht="14.25" customHeight="1"/>
    <row r="8209" ht="14.25" customHeight="1"/>
    <row r="8210" ht="14.25" customHeight="1"/>
    <row r="8211" ht="14.25" customHeight="1"/>
    <row r="8212" ht="14.25" customHeight="1"/>
    <row r="8213" ht="14.25" customHeight="1"/>
    <row r="8214" ht="14.25" customHeight="1"/>
    <row r="8215" ht="14.25" customHeight="1"/>
    <row r="8216" ht="14.25" customHeight="1"/>
    <row r="8217" ht="14.25" customHeight="1"/>
    <row r="8218" ht="14.25" customHeight="1"/>
    <row r="8219" ht="14.25" customHeight="1"/>
    <row r="8220" ht="14.25" customHeight="1"/>
    <row r="8221" ht="14.25" customHeight="1"/>
    <row r="8222" ht="14.25" customHeight="1"/>
    <row r="8223" ht="14.25" customHeight="1"/>
    <row r="8224" ht="14.25" customHeight="1"/>
    <row r="8225" ht="14.25" customHeight="1"/>
    <row r="8226" ht="14.25" customHeight="1"/>
    <row r="8227" ht="14.25" customHeight="1"/>
    <row r="8228" ht="14.25" customHeight="1"/>
    <row r="8229" ht="14.25" customHeight="1"/>
    <row r="8230" ht="14.25" customHeight="1"/>
    <row r="8231" ht="14.25" customHeight="1"/>
    <row r="8232" ht="14.25" customHeight="1"/>
    <row r="8233" ht="14.25" customHeight="1"/>
    <row r="8234" ht="14.25" customHeight="1"/>
    <row r="8235" ht="14.25" customHeight="1"/>
    <row r="8236" ht="14.25" customHeight="1"/>
    <row r="8237" ht="14.25" customHeight="1"/>
    <row r="8238" ht="14.25" customHeight="1"/>
    <row r="8239" ht="14.25" customHeight="1"/>
    <row r="8240" ht="14.25" customHeight="1"/>
    <row r="8241" ht="14.25" customHeight="1"/>
    <row r="8242" ht="14.25" customHeight="1"/>
    <row r="8243" ht="14.25" customHeight="1"/>
    <row r="8244" ht="14.25" customHeight="1"/>
    <row r="8245" ht="14.25" customHeight="1"/>
    <row r="8246" ht="14.25" customHeight="1"/>
    <row r="8247" ht="14.25" customHeight="1"/>
    <row r="8248" ht="14.25" customHeight="1"/>
    <row r="8249" ht="14.25" customHeight="1"/>
    <row r="8250" ht="14.25" customHeight="1"/>
    <row r="8251" ht="14.25" customHeight="1"/>
    <row r="8252" ht="14.25" customHeight="1"/>
    <row r="8253" ht="14.25" customHeight="1"/>
    <row r="8254" ht="14.25" customHeight="1"/>
    <row r="8255" ht="14.25" customHeight="1"/>
    <row r="8256" ht="14.25" customHeight="1"/>
    <row r="8257" ht="14.25" customHeight="1"/>
    <row r="8258" ht="14.25" customHeight="1"/>
    <row r="8259" ht="14.25" customHeight="1"/>
    <row r="8260" ht="14.25" customHeight="1"/>
    <row r="8261" ht="14.25" customHeight="1"/>
    <row r="8262" ht="14.25" customHeight="1"/>
    <row r="8263" ht="14.25" customHeight="1"/>
    <row r="8264" ht="14.25" customHeight="1"/>
    <row r="8265" ht="14.25" customHeight="1"/>
    <row r="8266" ht="14.25" customHeight="1"/>
    <row r="8267" ht="14.25" customHeight="1"/>
    <row r="8268" ht="14.25" customHeight="1"/>
    <row r="8269" ht="14.25" customHeight="1"/>
    <row r="8270" ht="14.25" customHeight="1"/>
    <row r="8271" ht="14.25" customHeight="1"/>
    <row r="8272" ht="14.25" customHeight="1"/>
    <row r="8273" ht="14.25" customHeight="1"/>
    <row r="8274" ht="14.25" customHeight="1"/>
    <row r="8275" ht="14.25" customHeight="1"/>
    <row r="8276" ht="14.25" customHeight="1"/>
    <row r="8277" ht="14.25" customHeight="1"/>
    <row r="8278" ht="14.25" customHeight="1"/>
    <row r="8279" ht="14.25" customHeight="1"/>
    <row r="8280" ht="14.25" customHeight="1"/>
    <row r="8281" ht="14.25" customHeight="1"/>
    <row r="8282" ht="14.25" customHeight="1"/>
    <row r="8283" ht="14.25" customHeight="1"/>
    <row r="8284" ht="14.25" customHeight="1"/>
    <row r="8285" ht="14.25" customHeight="1"/>
    <row r="8286" ht="14.25" customHeight="1"/>
    <row r="8287" ht="14.25" customHeight="1"/>
    <row r="8288" ht="14.25" customHeight="1"/>
    <row r="8289" ht="14.25" customHeight="1"/>
    <row r="8290" ht="14.25" customHeight="1"/>
    <row r="8291" ht="14.25" customHeight="1"/>
    <row r="8292" ht="14.25" customHeight="1"/>
    <row r="8293" ht="14.25" customHeight="1"/>
    <row r="8294" ht="14.25" customHeight="1"/>
    <row r="8295" ht="14.25" customHeight="1"/>
    <row r="8296" ht="14.25" customHeight="1"/>
    <row r="8297" ht="14.25" customHeight="1"/>
    <row r="8298" ht="14.25" customHeight="1"/>
    <row r="8299" ht="14.25" customHeight="1"/>
    <row r="8300" ht="14.25" customHeight="1"/>
    <row r="8301" ht="14.25" customHeight="1"/>
    <row r="8302" ht="14.25" customHeight="1"/>
    <row r="8303" ht="14.25" customHeight="1"/>
    <row r="8304" ht="14.25" customHeight="1"/>
    <row r="8305" ht="14.25" customHeight="1"/>
    <row r="8306" ht="14.25" customHeight="1"/>
    <row r="8307" ht="14.25" customHeight="1"/>
    <row r="8308" ht="14.25" customHeight="1"/>
    <row r="8309" ht="14.25" customHeight="1"/>
    <row r="8310" ht="14.25" customHeight="1"/>
    <row r="8311" ht="14.25" customHeight="1"/>
    <row r="8312" ht="14.25" customHeight="1"/>
    <row r="8313" ht="14.25" customHeight="1"/>
    <row r="8314" ht="14.25" customHeight="1"/>
    <row r="8315" ht="14.25" customHeight="1"/>
    <row r="8316" ht="14.25" customHeight="1"/>
    <row r="8317" ht="14.25" customHeight="1"/>
    <row r="8318" ht="14.25" customHeight="1"/>
    <row r="8319" ht="14.25" customHeight="1"/>
    <row r="8320" ht="14.25" customHeight="1"/>
    <row r="8321" ht="14.25" customHeight="1"/>
    <row r="8322" ht="14.25" customHeight="1"/>
    <row r="8323" ht="14.25" customHeight="1"/>
    <row r="8324" ht="14.25" customHeight="1"/>
    <row r="8325" ht="14.25" customHeight="1"/>
    <row r="8326" ht="14.25" customHeight="1"/>
    <row r="8327" ht="14.25" customHeight="1"/>
    <row r="8328" ht="14.25" customHeight="1"/>
    <row r="8329" ht="14.25" customHeight="1"/>
    <row r="8330" ht="14.25" customHeight="1"/>
    <row r="8331" ht="14.25" customHeight="1"/>
    <row r="8332" ht="14.25" customHeight="1"/>
    <row r="8333" ht="14.25" customHeight="1"/>
    <row r="8334" ht="14.25" customHeight="1"/>
    <row r="8335" ht="14.25" customHeight="1"/>
    <row r="8336" ht="14.25" customHeight="1"/>
    <row r="8337" ht="14.25" customHeight="1"/>
    <row r="8338" ht="14.25" customHeight="1"/>
    <row r="8339" ht="14.25" customHeight="1"/>
    <row r="8340" ht="14.25" customHeight="1"/>
    <row r="8341" ht="14.25" customHeight="1"/>
    <row r="8342" ht="14.25" customHeight="1"/>
    <row r="8343" ht="14.25" customHeight="1"/>
    <row r="8344" ht="14.25" customHeight="1"/>
    <row r="8345" ht="14.25" customHeight="1"/>
    <row r="8346" ht="14.25" customHeight="1"/>
    <row r="8347" ht="14.25" customHeight="1"/>
    <row r="8348" ht="14.25" customHeight="1"/>
    <row r="8349" ht="14.25" customHeight="1"/>
    <row r="8350" ht="14.25" customHeight="1"/>
    <row r="8351" ht="14.25" customHeight="1"/>
    <row r="8352" ht="14.25" customHeight="1"/>
    <row r="8353" ht="14.25" customHeight="1"/>
    <row r="8354" ht="14.25" customHeight="1"/>
    <row r="8355" ht="14.25" customHeight="1"/>
    <row r="8356" ht="14.25" customHeight="1"/>
    <row r="8357" ht="14.25" customHeight="1"/>
    <row r="8358" ht="14.25" customHeight="1"/>
    <row r="8359" ht="14.25" customHeight="1"/>
    <row r="8360" ht="14.25" customHeight="1"/>
    <row r="8361" ht="14.25" customHeight="1"/>
    <row r="8362" ht="14.25" customHeight="1"/>
    <row r="8363" ht="14.25" customHeight="1"/>
    <row r="8364" ht="14.25" customHeight="1"/>
    <row r="8365" ht="14.25" customHeight="1"/>
    <row r="8366" ht="14.25" customHeight="1"/>
    <row r="8367" ht="14.25" customHeight="1"/>
    <row r="8368" ht="14.25" customHeight="1"/>
    <row r="8369" ht="14.25" customHeight="1"/>
    <row r="8370" ht="14.25" customHeight="1"/>
    <row r="8371" ht="14.25" customHeight="1"/>
    <row r="8372" ht="14.25" customHeight="1"/>
    <row r="8373" ht="14.25" customHeight="1"/>
    <row r="8374" ht="14.25" customHeight="1"/>
    <row r="8375" ht="14.25" customHeight="1"/>
    <row r="8376" ht="14.25" customHeight="1"/>
    <row r="8377" ht="14.25" customHeight="1"/>
    <row r="8378" ht="14.25" customHeight="1"/>
    <row r="8379" ht="14.25" customHeight="1"/>
    <row r="8380" ht="14.25" customHeight="1"/>
    <row r="8381" ht="14.25" customHeight="1"/>
    <row r="8382" ht="14.25" customHeight="1"/>
    <row r="8383" ht="14.25" customHeight="1"/>
    <row r="8384" ht="14.25" customHeight="1"/>
    <row r="8385" ht="14.25" customHeight="1"/>
    <row r="8386" ht="14.25" customHeight="1"/>
    <row r="8387" ht="14.25" customHeight="1"/>
    <row r="8388" ht="14.25" customHeight="1"/>
    <row r="8389" ht="14.25" customHeight="1"/>
    <row r="8390" ht="14.25" customHeight="1"/>
    <row r="8391" ht="14.25" customHeight="1"/>
    <row r="8392" ht="14.25" customHeight="1"/>
    <row r="8393" ht="14.25" customHeight="1"/>
    <row r="8394" ht="14.25" customHeight="1"/>
    <row r="8395" ht="14.25" customHeight="1"/>
    <row r="8396" ht="14.25" customHeight="1"/>
    <row r="8397" ht="14.25" customHeight="1"/>
    <row r="8398" ht="14.25" customHeight="1"/>
    <row r="8399" ht="14.25" customHeight="1"/>
    <row r="8400" ht="14.25" customHeight="1"/>
    <row r="8401" ht="14.25" customHeight="1"/>
    <row r="8402" ht="14.25" customHeight="1"/>
    <row r="8403" ht="14.25" customHeight="1"/>
    <row r="8404" ht="14.25" customHeight="1"/>
    <row r="8405" ht="14.25" customHeight="1"/>
    <row r="8406" ht="14.25" customHeight="1"/>
    <row r="8407" ht="14.25" customHeight="1"/>
    <row r="8408" ht="14.25" customHeight="1"/>
    <row r="8409" ht="14.25" customHeight="1"/>
    <row r="8410" ht="14.25" customHeight="1"/>
    <row r="8411" ht="14.25" customHeight="1"/>
    <row r="8412" ht="14.25" customHeight="1"/>
    <row r="8413" ht="14.25" customHeight="1"/>
    <row r="8414" ht="14.25" customHeight="1"/>
    <row r="8415" ht="14.25" customHeight="1"/>
    <row r="8416" ht="14.25" customHeight="1"/>
    <row r="8417" ht="14.25" customHeight="1"/>
    <row r="8418" ht="14.25" customHeight="1"/>
    <row r="8419" ht="14.25" customHeight="1"/>
    <row r="8420" ht="14.25" customHeight="1"/>
    <row r="8421" ht="14.25" customHeight="1"/>
    <row r="8422" ht="14.25" customHeight="1"/>
    <row r="8423" ht="14.25" customHeight="1"/>
    <row r="8424" ht="14.25" customHeight="1"/>
    <row r="8425" ht="14.25" customHeight="1"/>
    <row r="8426" ht="14.25" customHeight="1"/>
    <row r="8427" ht="14.25" customHeight="1"/>
    <row r="8428" ht="14.25" customHeight="1"/>
    <row r="8429" ht="14.25" customHeight="1"/>
    <row r="8430" ht="14.25" customHeight="1"/>
    <row r="8431" ht="14.25" customHeight="1"/>
    <row r="8432" ht="14.25" customHeight="1"/>
    <row r="8433" ht="14.25" customHeight="1"/>
    <row r="8434" ht="14.25" customHeight="1"/>
    <row r="8435" ht="14.25" customHeight="1"/>
    <row r="8436" ht="14.25" customHeight="1"/>
    <row r="8437" ht="14.25" customHeight="1"/>
    <row r="8438" ht="14.25" customHeight="1"/>
    <row r="8439" ht="14.25" customHeight="1"/>
    <row r="8440" ht="14.25" customHeight="1"/>
    <row r="8441" ht="14.25" customHeight="1"/>
    <row r="8442" ht="14.25" customHeight="1"/>
    <row r="8443" ht="14.25" customHeight="1"/>
    <row r="8444" ht="14.25" customHeight="1"/>
    <row r="8445" ht="14.25" customHeight="1"/>
    <row r="8446" ht="14.25" customHeight="1"/>
    <row r="8447" ht="14.25" customHeight="1"/>
    <row r="8448" ht="14.25" customHeight="1"/>
    <row r="8449" ht="14.25" customHeight="1"/>
    <row r="8450" ht="14.25" customHeight="1"/>
    <row r="8451" ht="14.25" customHeight="1"/>
    <row r="8452" ht="14.25" customHeight="1"/>
    <row r="8453" ht="14.25" customHeight="1"/>
    <row r="8454" ht="14.25" customHeight="1"/>
    <row r="8455" ht="14.25" customHeight="1"/>
    <row r="8456" ht="14.25" customHeight="1"/>
    <row r="8457" ht="14.25" customHeight="1"/>
    <row r="8458" ht="14.25" customHeight="1"/>
    <row r="8459" ht="14.25" customHeight="1"/>
    <row r="8460" ht="14.25" customHeight="1"/>
    <row r="8461" ht="14.25" customHeight="1"/>
    <row r="8462" ht="14.25" customHeight="1"/>
    <row r="8463" ht="14.25" customHeight="1"/>
    <row r="8464" ht="14.25" customHeight="1"/>
    <row r="8465" ht="14.25" customHeight="1"/>
    <row r="8466" ht="14.25" customHeight="1"/>
    <row r="8467" ht="14.25" customHeight="1"/>
    <row r="8468" ht="14.25" customHeight="1"/>
    <row r="8469" ht="14.25" customHeight="1"/>
    <row r="8470" ht="14.25" customHeight="1"/>
    <row r="8471" ht="14.25" customHeight="1"/>
    <row r="8472" ht="14.25" customHeight="1"/>
    <row r="8473" ht="14.25" customHeight="1"/>
    <row r="8474" ht="14.25" customHeight="1"/>
    <row r="8475" ht="14.25" customHeight="1"/>
    <row r="8476" ht="14.25" customHeight="1"/>
    <row r="8477" ht="14.25" customHeight="1"/>
    <row r="8478" ht="14.25" customHeight="1"/>
    <row r="8479" ht="14.25" customHeight="1"/>
    <row r="8480" ht="14.25" customHeight="1"/>
    <row r="8481" ht="14.25" customHeight="1"/>
    <row r="8482" ht="14.25" customHeight="1"/>
    <row r="8483" ht="14.25" customHeight="1"/>
    <row r="8484" ht="14.25" customHeight="1"/>
    <row r="8485" ht="14.25" customHeight="1"/>
    <row r="8486" ht="14.25" customHeight="1"/>
    <row r="8487" ht="14.25" customHeight="1"/>
    <row r="8488" ht="14.25" customHeight="1"/>
    <row r="8489" ht="14.25" customHeight="1"/>
    <row r="8490" ht="14.25" customHeight="1"/>
    <row r="8491" ht="14.25" customHeight="1"/>
    <row r="8492" ht="14.25" customHeight="1"/>
    <row r="8493" ht="14.25" customHeight="1"/>
    <row r="8494" ht="14.25" customHeight="1"/>
    <row r="8495" ht="14.25" customHeight="1"/>
    <row r="8496" ht="14.25" customHeight="1"/>
    <row r="8497" ht="14.25" customHeight="1"/>
    <row r="8498" ht="14.25" customHeight="1"/>
    <row r="8499" ht="14.25" customHeight="1"/>
    <row r="8500" ht="14.25" customHeight="1"/>
    <row r="8501" ht="14.25" customHeight="1"/>
    <row r="8502" ht="14.25" customHeight="1"/>
    <row r="8503" ht="14.25" customHeight="1"/>
    <row r="8504" ht="14.25" customHeight="1"/>
    <row r="8505" ht="14.25" customHeight="1"/>
    <row r="8506" ht="14.25" customHeight="1"/>
    <row r="8507" ht="14.25" customHeight="1"/>
    <row r="8508" ht="14.25" customHeight="1"/>
    <row r="8509" ht="14.25" customHeight="1"/>
    <row r="8510" ht="14.25" customHeight="1"/>
    <row r="8511" ht="14.25" customHeight="1"/>
    <row r="8512" ht="14.25" customHeight="1"/>
    <row r="8513" ht="14.25" customHeight="1"/>
    <row r="8514" ht="14.25" customHeight="1"/>
    <row r="8515" ht="14.25" customHeight="1"/>
    <row r="8516" ht="14.25" customHeight="1"/>
    <row r="8517" ht="14.25" customHeight="1"/>
    <row r="8518" ht="14.25" customHeight="1"/>
    <row r="8519" ht="14.25" customHeight="1"/>
    <row r="8520" ht="14.25" customHeight="1"/>
    <row r="8521" ht="14.25" customHeight="1"/>
    <row r="8522" ht="14.25" customHeight="1"/>
    <row r="8523" ht="14.25" customHeight="1"/>
    <row r="8524" ht="14.25" customHeight="1"/>
    <row r="8525" ht="14.25" customHeight="1"/>
    <row r="8526" ht="14.25" customHeight="1"/>
    <row r="8527" ht="14.25" customHeight="1"/>
    <row r="8528" ht="14.25" customHeight="1"/>
    <row r="8529" ht="14.25" customHeight="1"/>
    <row r="8530" ht="14.25" customHeight="1"/>
    <row r="8531" ht="14.25" customHeight="1"/>
    <row r="8532" ht="14.25" customHeight="1"/>
    <row r="8533" ht="14.25" customHeight="1"/>
    <row r="8534" ht="14.25" customHeight="1"/>
    <row r="8535" ht="14.25" customHeight="1"/>
    <row r="8536" ht="14.25" customHeight="1"/>
    <row r="8537" ht="14.25" customHeight="1"/>
    <row r="8538" ht="14.25" customHeight="1"/>
    <row r="8539" ht="14.25" customHeight="1"/>
    <row r="8540" ht="14.25" customHeight="1"/>
    <row r="8541" ht="14.25" customHeight="1"/>
    <row r="8542" ht="14.25" customHeight="1"/>
    <row r="8543" ht="14.25" customHeight="1"/>
    <row r="8544" ht="14.25" customHeight="1"/>
    <row r="8545" ht="14.25" customHeight="1"/>
    <row r="8546" ht="14.25" customHeight="1"/>
    <row r="8547" ht="14.25" customHeight="1"/>
    <row r="8548" ht="14.25" customHeight="1"/>
    <row r="8549" ht="14.25" customHeight="1"/>
    <row r="8550" ht="14.25" customHeight="1"/>
    <row r="8551" ht="14.25" customHeight="1"/>
    <row r="8552" ht="14.25" customHeight="1"/>
    <row r="8553" ht="14.25" customHeight="1"/>
    <row r="8554" ht="14.25" customHeight="1"/>
    <row r="8555" ht="14.25" customHeight="1"/>
    <row r="8556" ht="14.25" customHeight="1"/>
    <row r="8557" ht="14.25" customHeight="1"/>
    <row r="8558" ht="14.25" customHeight="1"/>
    <row r="8559" ht="14.25" customHeight="1"/>
    <row r="8560" ht="14.25" customHeight="1"/>
    <row r="8561" ht="14.25" customHeight="1"/>
    <row r="8562" ht="14.25" customHeight="1"/>
    <row r="8563" ht="14.25" customHeight="1"/>
    <row r="8564" ht="14.25" customHeight="1"/>
    <row r="8565" ht="14.25" customHeight="1"/>
    <row r="8566" ht="14.25" customHeight="1"/>
    <row r="8567" ht="14.25" customHeight="1"/>
    <row r="8568" ht="14.25" customHeight="1"/>
    <row r="8569" ht="14.25" customHeight="1"/>
    <row r="8570" ht="14.25" customHeight="1"/>
    <row r="8571" ht="14.25" customHeight="1"/>
    <row r="8572" ht="14.25" customHeight="1"/>
    <row r="8573" ht="14.25" customHeight="1"/>
    <row r="8574" ht="14.25" customHeight="1"/>
    <row r="8575" ht="14.25" customHeight="1"/>
    <row r="8576" ht="14.25" customHeight="1"/>
    <row r="8577" ht="14.25" customHeight="1"/>
    <row r="8578" ht="14.25" customHeight="1"/>
    <row r="8579" ht="14.25" customHeight="1"/>
    <row r="8580" ht="14.25" customHeight="1"/>
    <row r="8581" ht="14.25" customHeight="1"/>
    <row r="8582" ht="14.25" customHeight="1"/>
    <row r="8583" ht="14.25" customHeight="1"/>
    <row r="8584" ht="14.25" customHeight="1"/>
    <row r="8585" ht="14.25" customHeight="1"/>
    <row r="8586" ht="14.25" customHeight="1"/>
    <row r="8587" ht="14.25" customHeight="1"/>
    <row r="8588" ht="14.25" customHeight="1"/>
    <row r="8589" ht="14.25" customHeight="1"/>
    <row r="8590" ht="14.25" customHeight="1"/>
    <row r="8591" ht="14.25" customHeight="1"/>
    <row r="8592" ht="14.25" customHeight="1"/>
    <row r="8593" ht="14.25" customHeight="1"/>
    <row r="8594" ht="14.25" customHeight="1"/>
    <row r="8595" ht="14.25" customHeight="1"/>
    <row r="8596" ht="14.25" customHeight="1"/>
    <row r="8597" ht="14.25" customHeight="1"/>
    <row r="8598" ht="14.25" customHeight="1"/>
    <row r="8599" ht="14.25" customHeight="1"/>
    <row r="8600" ht="14.25" customHeight="1"/>
    <row r="8601" ht="14.25" customHeight="1"/>
    <row r="8602" ht="14.25" customHeight="1"/>
    <row r="8603" ht="14.25" customHeight="1"/>
    <row r="8604" ht="14.25" customHeight="1"/>
    <row r="8605" ht="14.25" customHeight="1"/>
    <row r="8606" ht="14.25" customHeight="1"/>
    <row r="8607" ht="14.25" customHeight="1"/>
    <row r="8608" ht="14.25" customHeight="1"/>
    <row r="8609" ht="14.25" customHeight="1"/>
    <row r="8610" ht="14.25" customHeight="1"/>
    <row r="8611" ht="14.25" customHeight="1"/>
    <row r="8612" ht="14.25" customHeight="1"/>
    <row r="8613" ht="14.25" customHeight="1"/>
    <row r="8614" ht="14.25" customHeight="1"/>
    <row r="8615" ht="14.25" customHeight="1"/>
    <row r="8616" ht="14.25" customHeight="1"/>
    <row r="8617" ht="14.25" customHeight="1"/>
    <row r="8618" ht="14.25" customHeight="1"/>
    <row r="8619" ht="14.25" customHeight="1"/>
    <row r="8620" ht="14.25" customHeight="1"/>
    <row r="8621" ht="14.25" customHeight="1"/>
    <row r="8622" ht="14.25" customHeight="1"/>
    <row r="8623" ht="14.25" customHeight="1"/>
    <row r="8624" ht="14.25" customHeight="1"/>
    <row r="8625" ht="14.25" customHeight="1"/>
    <row r="8626" ht="14.25" customHeight="1"/>
    <row r="8627" ht="14.25" customHeight="1"/>
    <row r="8628" ht="14.25" customHeight="1"/>
    <row r="8629" ht="14.25" customHeight="1"/>
    <row r="8630" ht="14.25" customHeight="1"/>
    <row r="8631" ht="14.25" customHeight="1"/>
    <row r="8632" ht="14.25" customHeight="1"/>
    <row r="8633" ht="14.25" customHeight="1"/>
    <row r="8634" ht="14.25" customHeight="1"/>
    <row r="8635" ht="14.25" customHeight="1"/>
    <row r="8636" ht="14.25" customHeight="1"/>
    <row r="8637" ht="14.25" customHeight="1"/>
    <row r="8638" ht="14.25" customHeight="1"/>
    <row r="8639" ht="14.25" customHeight="1"/>
    <row r="8640" ht="14.25" customHeight="1"/>
    <row r="8641" ht="14.25" customHeight="1"/>
    <row r="8642" ht="14.25" customHeight="1"/>
    <row r="8643" ht="14.25" customHeight="1"/>
    <row r="8644" ht="14.25" customHeight="1"/>
    <row r="8645" ht="14.25" customHeight="1"/>
    <row r="8646" ht="14.25" customHeight="1"/>
    <row r="8647" ht="14.25" customHeight="1"/>
    <row r="8648" ht="14.25" customHeight="1"/>
    <row r="8649" ht="14.25" customHeight="1"/>
    <row r="8650" ht="14.25" customHeight="1"/>
    <row r="8651" ht="14.25" customHeight="1"/>
    <row r="8652" ht="14.25" customHeight="1"/>
    <row r="8653" ht="14.25" customHeight="1"/>
    <row r="8654" ht="14.25" customHeight="1"/>
    <row r="8655" ht="14.25" customHeight="1"/>
    <row r="8656" ht="14.25" customHeight="1"/>
    <row r="8657" ht="14.25" customHeight="1"/>
    <row r="8658" ht="14.25" customHeight="1"/>
    <row r="8659" ht="14.25" customHeight="1"/>
    <row r="8660" ht="14.25" customHeight="1"/>
    <row r="8661" ht="14.25" customHeight="1"/>
    <row r="8662" ht="14.25" customHeight="1"/>
    <row r="8663" ht="14.25" customHeight="1"/>
    <row r="8664" ht="14.25" customHeight="1"/>
    <row r="8665" ht="14.25" customHeight="1"/>
    <row r="8666" ht="14.25" customHeight="1"/>
    <row r="8667" ht="14.25" customHeight="1"/>
    <row r="8668" ht="14.25" customHeight="1"/>
    <row r="8669" ht="14.25" customHeight="1"/>
    <row r="8670" ht="14.25" customHeight="1"/>
    <row r="8671" ht="14.25" customHeight="1"/>
    <row r="8672" ht="14.25" customHeight="1"/>
    <row r="8673" ht="14.25" customHeight="1"/>
    <row r="8674" ht="14.25" customHeight="1"/>
    <row r="8675" ht="14.25" customHeight="1"/>
    <row r="8676" ht="14.25" customHeight="1"/>
    <row r="8677" ht="14.25" customHeight="1"/>
    <row r="8678" ht="14.25" customHeight="1"/>
    <row r="8679" ht="14.25" customHeight="1"/>
    <row r="8680" ht="14.25" customHeight="1"/>
    <row r="8681" ht="14.25" customHeight="1"/>
    <row r="8682" ht="14.25" customHeight="1"/>
    <row r="8683" ht="14.25" customHeight="1"/>
    <row r="8684" ht="14.25" customHeight="1"/>
    <row r="8685" ht="14.25" customHeight="1"/>
    <row r="8686" ht="14.25" customHeight="1"/>
    <row r="8687" ht="14.25" customHeight="1"/>
    <row r="8688" ht="14.25" customHeight="1"/>
    <row r="8689" ht="14.25" customHeight="1"/>
    <row r="8690" ht="14.25" customHeight="1"/>
    <row r="8691" ht="14.25" customHeight="1"/>
    <row r="8692" ht="14.25" customHeight="1"/>
    <row r="8693" ht="14.25" customHeight="1"/>
    <row r="8694" ht="14.25" customHeight="1"/>
    <row r="8695" ht="14.25" customHeight="1"/>
    <row r="8696" ht="14.25" customHeight="1"/>
    <row r="8697" ht="14.25" customHeight="1"/>
    <row r="8698" ht="14.25" customHeight="1"/>
    <row r="8699" ht="14.25" customHeight="1"/>
    <row r="8700" ht="14.25" customHeight="1"/>
    <row r="8701" ht="14.25" customHeight="1"/>
    <row r="8702" ht="14.25" customHeight="1"/>
    <row r="8703" ht="14.25" customHeight="1"/>
    <row r="8704" ht="14.25" customHeight="1"/>
    <row r="8705" ht="14.25" customHeight="1"/>
    <row r="8706" ht="14.25" customHeight="1"/>
    <row r="8707" ht="14.25" customHeight="1"/>
    <row r="8708" ht="14.25" customHeight="1"/>
    <row r="8709" ht="14.25" customHeight="1"/>
    <row r="8710" ht="14.25" customHeight="1"/>
    <row r="8711" ht="14.25" customHeight="1"/>
    <row r="8712" ht="14.25" customHeight="1"/>
    <row r="8713" ht="14.25" customHeight="1"/>
    <row r="8714" ht="14.25" customHeight="1"/>
    <row r="8715" ht="14.25" customHeight="1"/>
    <row r="8716" ht="14.25" customHeight="1"/>
    <row r="8717" ht="14.25" customHeight="1"/>
    <row r="8718" ht="14.25" customHeight="1"/>
    <row r="8719" ht="14.25" customHeight="1"/>
    <row r="8720" ht="14.25" customHeight="1"/>
    <row r="8721" ht="14.25" customHeight="1"/>
    <row r="8722" ht="14.25" customHeight="1"/>
    <row r="8723" ht="14.25" customHeight="1"/>
    <row r="8724" ht="14.25" customHeight="1"/>
    <row r="8725" ht="14.25" customHeight="1"/>
    <row r="8726" ht="14.25" customHeight="1"/>
    <row r="8727" ht="14.25" customHeight="1"/>
    <row r="8728" ht="14.25" customHeight="1"/>
    <row r="8729" ht="14.25" customHeight="1"/>
    <row r="8730" ht="14.25" customHeight="1"/>
    <row r="8731" ht="14.25" customHeight="1"/>
    <row r="8732" ht="14.25" customHeight="1"/>
    <row r="8733" ht="14.25" customHeight="1"/>
    <row r="8734" ht="14.25" customHeight="1"/>
    <row r="8735" ht="14.25" customHeight="1"/>
    <row r="8736" ht="14.25" customHeight="1"/>
    <row r="8737" ht="14.25" customHeight="1"/>
    <row r="8738" ht="14.25" customHeight="1"/>
    <row r="8739" ht="14.25" customHeight="1"/>
    <row r="8740" ht="14.25" customHeight="1"/>
    <row r="8741" ht="14.25" customHeight="1"/>
    <row r="8742" ht="14.25" customHeight="1"/>
    <row r="8743" ht="14.25" customHeight="1"/>
    <row r="8744" ht="14.25" customHeight="1"/>
    <row r="8745" ht="14.25" customHeight="1"/>
    <row r="8746" ht="14.25" customHeight="1"/>
    <row r="8747" ht="14.25" customHeight="1"/>
    <row r="8748" ht="14.25" customHeight="1"/>
    <row r="8749" ht="14.25" customHeight="1"/>
    <row r="8750" ht="14.25" customHeight="1"/>
    <row r="8751" ht="14.25" customHeight="1"/>
    <row r="8752" ht="14.25" customHeight="1"/>
    <row r="8753" ht="14.25" customHeight="1"/>
    <row r="8754" ht="14.25" customHeight="1"/>
    <row r="8755" ht="14.25" customHeight="1"/>
    <row r="8756" ht="14.25" customHeight="1"/>
    <row r="8757" ht="14.25" customHeight="1"/>
    <row r="8758" ht="14.25" customHeight="1"/>
    <row r="8759" ht="14.25" customHeight="1"/>
    <row r="8760" ht="14.25" customHeight="1"/>
    <row r="8761" ht="14.25" customHeight="1"/>
    <row r="8762" ht="14.25" customHeight="1"/>
    <row r="8763" ht="14.25" customHeight="1"/>
    <row r="8764" ht="14.25" customHeight="1"/>
    <row r="8765" ht="14.25" customHeight="1"/>
    <row r="8766" ht="14.25" customHeight="1"/>
    <row r="8767" ht="14.25" customHeight="1"/>
    <row r="8768" ht="14.25" customHeight="1"/>
    <row r="8769" ht="14.25" customHeight="1"/>
    <row r="8770" ht="14.25" customHeight="1"/>
    <row r="8771" ht="14.25" customHeight="1"/>
    <row r="8772" ht="14.25" customHeight="1"/>
    <row r="8773" ht="14.25" customHeight="1"/>
    <row r="8774" ht="14.25" customHeight="1"/>
    <row r="8775" ht="14.25" customHeight="1"/>
    <row r="8776" ht="14.25" customHeight="1"/>
    <row r="8777" ht="14.25" customHeight="1"/>
    <row r="8778" ht="14.25" customHeight="1"/>
    <row r="8779" ht="14.25" customHeight="1"/>
    <row r="8780" ht="14.25" customHeight="1"/>
    <row r="8781" ht="14.25" customHeight="1"/>
    <row r="8782" ht="14.25" customHeight="1"/>
    <row r="8783" ht="14.25" customHeight="1"/>
    <row r="8784" ht="14.25" customHeight="1"/>
    <row r="8785" ht="14.25" customHeight="1"/>
    <row r="8786" ht="14.25" customHeight="1"/>
    <row r="8787" ht="14.25" customHeight="1"/>
    <row r="8788" ht="14.25" customHeight="1"/>
    <row r="8789" ht="14.25" customHeight="1"/>
    <row r="8790" ht="14.25" customHeight="1"/>
    <row r="8791" ht="14.25" customHeight="1"/>
    <row r="8792" ht="14.25" customHeight="1"/>
    <row r="8793" ht="14.25" customHeight="1"/>
    <row r="8794" ht="14.25" customHeight="1"/>
    <row r="8795" ht="14.25" customHeight="1"/>
    <row r="8796" ht="14.25" customHeight="1"/>
    <row r="8797" ht="14.25" customHeight="1"/>
    <row r="8798" ht="14.25" customHeight="1"/>
    <row r="8799" ht="14.25" customHeight="1"/>
    <row r="8800" ht="14.25" customHeight="1"/>
    <row r="8801" ht="14.25" customHeight="1"/>
    <row r="8802" ht="14.25" customHeight="1"/>
    <row r="8803" ht="14.25" customHeight="1"/>
    <row r="8804" ht="14.25" customHeight="1"/>
    <row r="8805" ht="14.25" customHeight="1"/>
    <row r="8806" ht="14.25" customHeight="1"/>
    <row r="8807" ht="14.25" customHeight="1"/>
    <row r="8808" ht="14.25" customHeight="1"/>
    <row r="8809" ht="14.25" customHeight="1"/>
    <row r="8810" ht="14.25" customHeight="1"/>
    <row r="8811" ht="14.25" customHeight="1"/>
    <row r="8812" ht="14.25" customHeight="1"/>
    <row r="8813" ht="14.25" customHeight="1"/>
    <row r="8814" ht="14.25" customHeight="1"/>
    <row r="8815" ht="14.25" customHeight="1"/>
    <row r="8816" ht="14.25" customHeight="1"/>
    <row r="8817" ht="14.25" customHeight="1"/>
    <row r="8818" ht="14.25" customHeight="1"/>
    <row r="8819" ht="14.25" customHeight="1"/>
    <row r="8820" ht="14.25" customHeight="1"/>
    <row r="8821" ht="14.25" customHeight="1"/>
    <row r="8822" ht="14.25" customHeight="1"/>
    <row r="8823" ht="14.25" customHeight="1"/>
    <row r="8824" ht="14.25" customHeight="1"/>
    <row r="8825" ht="14.25" customHeight="1"/>
    <row r="8826" ht="14.25" customHeight="1"/>
    <row r="8827" ht="14.25" customHeight="1"/>
    <row r="8828" ht="14.25" customHeight="1"/>
    <row r="8829" ht="14.25" customHeight="1"/>
    <row r="8830" ht="14.25" customHeight="1"/>
    <row r="8831" ht="14.25" customHeight="1"/>
    <row r="8832" ht="14.25" customHeight="1"/>
    <row r="8833" ht="14.25" customHeight="1"/>
    <row r="8834" ht="14.25" customHeight="1"/>
    <row r="8835" ht="14.25" customHeight="1"/>
    <row r="8836" ht="14.25" customHeight="1"/>
    <row r="8837" ht="14.25" customHeight="1"/>
    <row r="8838" ht="14.25" customHeight="1"/>
    <row r="8839" ht="14.25" customHeight="1"/>
    <row r="8840" ht="14.25" customHeight="1"/>
    <row r="8841" ht="14.25" customHeight="1"/>
    <row r="8842" ht="14.25" customHeight="1"/>
    <row r="8843" ht="14.25" customHeight="1"/>
    <row r="8844" ht="14.25" customHeight="1"/>
    <row r="8845" ht="14.25" customHeight="1"/>
    <row r="8846" ht="14.25" customHeight="1"/>
    <row r="8847" ht="14.25" customHeight="1"/>
    <row r="8848" ht="14.25" customHeight="1"/>
    <row r="8849" ht="14.25" customHeight="1"/>
    <row r="8850" ht="14.25" customHeight="1"/>
    <row r="8851" ht="14.25" customHeight="1"/>
    <row r="8852" ht="14.25" customHeight="1"/>
    <row r="8853" ht="14.25" customHeight="1"/>
    <row r="8854" ht="14.25" customHeight="1"/>
    <row r="8855" ht="14.25" customHeight="1"/>
    <row r="8856" ht="14.25" customHeight="1"/>
    <row r="8857" ht="14.25" customHeight="1"/>
    <row r="8858" ht="14.25" customHeight="1"/>
    <row r="8859" ht="14.25" customHeight="1"/>
    <row r="8860" ht="14.25" customHeight="1"/>
    <row r="8861" ht="14.25" customHeight="1"/>
    <row r="8862" ht="14.25" customHeight="1"/>
    <row r="8863" ht="14.25" customHeight="1"/>
    <row r="8864" ht="14.25" customHeight="1"/>
    <row r="8865" ht="14.25" customHeight="1"/>
    <row r="8866" ht="14.25" customHeight="1"/>
    <row r="8867" ht="14.25" customHeight="1"/>
    <row r="8868" ht="14.25" customHeight="1"/>
    <row r="8869" ht="14.25" customHeight="1"/>
    <row r="8870" ht="14.25" customHeight="1"/>
    <row r="8871" ht="14.25" customHeight="1"/>
    <row r="8872" ht="14.25" customHeight="1"/>
    <row r="8873" ht="14.25" customHeight="1"/>
    <row r="8874" ht="14.25" customHeight="1"/>
    <row r="8875" ht="14.25" customHeight="1"/>
    <row r="8876" ht="14.25" customHeight="1"/>
    <row r="8877" ht="14.25" customHeight="1"/>
    <row r="8878" ht="14.25" customHeight="1"/>
    <row r="8879" ht="14.25" customHeight="1"/>
    <row r="8880" ht="14.25" customHeight="1"/>
    <row r="8881" ht="14.25" customHeight="1"/>
    <row r="8882" ht="14.25" customHeight="1"/>
    <row r="8883" ht="14.25" customHeight="1"/>
    <row r="8884" ht="14.25" customHeight="1"/>
    <row r="8885" ht="14.25" customHeight="1"/>
    <row r="8886" ht="14.25" customHeight="1"/>
    <row r="8887" ht="14.25" customHeight="1"/>
    <row r="8888" ht="14.25" customHeight="1"/>
    <row r="8889" ht="14.25" customHeight="1"/>
    <row r="8890" ht="14.25" customHeight="1"/>
    <row r="8891" ht="14.25" customHeight="1"/>
    <row r="8892" ht="14.25" customHeight="1"/>
    <row r="8893" ht="14.25" customHeight="1"/>
    <row r="8894" ht="14.25" customHeight="1"/>
    <row r="8895" ht="14.25" customHeight="1"/>
    <row r="8896" ht="14.25" customHeight="1"/>
    <row r="8897" ht="14.25" customHeight="1"/>
    <row r="8898" ht="14.25" customHeight="1"/>
    <row r="8899" ht="14.25" customHeight="1"/>
    <row r="8900" ht="14.25" customHeight="1"/>
    <row r="8901" ht="14.25" customHeight="1"/>
    <row r="8902" ht="14.25" customHeight="1"/>
    <row r="8903" ht="14.25" customHeight="1"/>
    <row r="8904" ht="14.25" customHeight="1"/>
    <row r="8905" ht="14.25" customHeight="1"/>
    <row r="8906" ht="14.25" customHeight="1"/>
    <row r="8907" ht="14.25" customHeight="1"/>
    <row r="8908" ht="14.25" customHeight="1"/>
    <row r="8909" ht="14.25" customHeight="1"/>
    <row r="8910" ht="14.25" customHeight="1"/>
    <row r="8911" ht="14.25" customHeight="1"/>
    <row r="8912" ht="14.25" customHeight="1"/>
    <row r="8913" ht="14.25" customHeight="1"/>
    <row r="8914" ht="14.25" customHeight="1"/>
    <row r="8915" ht="14.25" customHeight="1"/>
    <row r="8916" ht="14.25" customHeight="1"/>
    <row r="8917" ht="14.25" customHeight="1"/>
    <row r="8918" ht="14.25" customHeight="1"/>
    <row r="8919" ht="14.25" customHeight="1"/>
    <row r="8920" ht="14.25" customHeight="1"/>
    <row r="8921" ht="14.25" customHeight="1"/>
    <row r="8922" ht="14.25" customHeight="1"/>
    <row r="8923" ht="14.25" customHeight="1"/>
    <row r="8924" ht="14.25" customHeight="1"/>
    <row r="8925" ht="14.25" customHeight="1"/>
    <row r="8926" ht="14.25" customHeight="1"/>
    <row r="8927" ht="14.25" customHeight="1"/>
    <row r="8928" ht="14.25" customHeight="1"/>
    <row r="8929" ht="14.25" customHeight="1"/>
    <row r="8930" ht="14.25" customHeight="1"/>
    <row r="8931" ht="14.25" customHeight="1"/>
    <row r="8932" ht="14.25" customHeight="1"/>
    <row r="8933" ht="14.25" customHeight="1"/>
    <row r="8934" ht="14.25" customHeight="1"/>
    <row r="8935" ht="14.25" customHeight="1"/>
    <row r="8936" ht="14.25" customHeight="1"/>
    <row r="8937" ht="14.25" customHeight="1"/>
    <row r="8938" ht="14.25" customHeight="1"/>
    <row r="8939" ht="14.25" customHeight="1"/>
    <row r="8940" ht="14.25" customHeight="1"/>
    <row r="8941" ht="14.25" customHeight="1"/>
    <row r="8942" ht="14.25" customHeight="1"/>
    <row r="8943" ht="14.25" customHeight="1"/>
    <row r="8944" ht="14.25" customHeight="1"/>
    <row r="8945" ht="14.25" customHeight="1"/>
    <row r="8946" ht="14.25" customHeight="1"/>
    <row r="8947" ht="14.25" customHeight="1"/>
    <row r="8948" ht="14.25" customHeight="1"/>
    <row r="8949" ht="14.25" customHeight="1"/>
    <row r="8950" ht="14.25" customHeight="1"/>
    <row r="8951" ht="14.25" customHeight="1"/>
    <row r="8952" ht="14.25" customHeight="1"/>
    <row r="8953" ht="14.25" customHeight="1"/>
    <row r="8954" ht="14.25" customHeight="1"/>
    <row r="8955" ht="14.25" customHeight="1"/>
    <row r="8956" ht="14.25" customHeight="1"/>
    <row r="8957" ht="14.25" customHeight="1"/>
    <row r="8958" ht="14.25" customHeight="1"/>
    <row r="8959" ht="14.25" customHeight="1"/>
    <row r="8960" ht="14.25" customHeight="1"/>
    <row r="8961" ht="14.25" customHeight="1"/>
    <row r="8962" ht="14.25" customHeight="1"/>
    <row r="8963" ht="14.25" customHeight="1"/>
    <row r="8964" ht="14.25" customHeight="1"/>
    <row r="8965" ht="14.25" customHeight="1"/>
    <row r="8966" ht="14.25" customHeight="1"/>
    <row r="8967" ht="14.25" customHeight="1"/>
    <row r="8968" ht="14.25" customHeight="1"/>
    <row r="8969" ht="14.25" customHeight="1"/>
    <row r="8970" ht="14.25" customHeight="1"/>
    <row r="8971" ht="14.25" customHeight="1"/>
    <row r="8972" ht="14.25" customHeight="1"/>
    <row r="8973" ht="14.25" customHeight="1"/>
    <row r="8974" ht="14.25" customHeight="1"/>
    <row r="8975" ht="14.25" customHeight="1"/>
    <row r="8976" ht="14.25" customHeight="1"/>
    <row r="8977" ht="14.25" customHeight="1"/>
    <row r="8978" ht="14.25" customHeight="1"/>
    <row r="8979" ht="14.25" customHeight="1"/>
    <row r="8980" ht="14.25" customHeight="1"/>
    <row r="8981" ht="14.25" customHeight="1"/>
    <row r="8982" ht="14.25" customHeight="1"/>
    <row r="8983" ht="14.25" customHeight="1"/>
    <row r="8984" ht="14.25" customHeight="1"/>
    <row r="8985" ht="14.25" customHeight="1"/>
    <row r="8986" ht="14.25" customHeight="1"/>
    <row r="8987" ht="14.25" customHeight="1"/>
    <row r="8988" ht="14.25" customHeight="1"/>
    <row r="8989" ht="14.25" customHeight="1"/>
    <row r="8990" ht="14.25" customHeight="1"/>
    <row r="8991" ht="14.25" customHeight="1"/>
    <row r="8992" ht="14.25" customHeight="1"/>
    <row r="8993" ht="14.25" customHeight="1"/>
    <row r="8994" ht="14.25" customHeight="1"/>
    <row r="8995" ht="14.25" customHeight="1"/>
    <row r="8996" ht="14.25" customHeight="1"/>
    <row r="8997" ht="14.25" customHeight="1"/>
    <row r="8998" ht="14.25" customHeight="1"/>
    <row r="8999" ht="14.25" customHeight="1"/>
    <row r="9000" ht="14.25" customHeight="1"/>
    <row r="9001" ht="14.25" customHeight="1"/>
    <row r="9002" ht="14.25" customHeight="1"/>
    <row r="9003" ht="14.25" customHeight="1"/>
    <row r="9004" ht="14.25" customHeight="1"/>
    <row r="9005" ht="14.25" customHeight="1"/>
    <row r="9006" ht="14.25" customHeight="1"/>
    <row r="9007" ht="14.25" customHeight="1"/>
    <row r="9008" ht="14.25" customHeight="1"/>
    <row r="9009" ht="14.25" customHeight="1"/>
    <row r="9010" ht="14.25" customHeight="1"/>
    <row r="9011" ht="14.25" customHeight="1"/>
    <row r="9012" ht="14.25" customHeight="1"/>
    <row r="9013" ht="14.25" customHeight="1"/>
    <row r="9014" ht="14.25" customHeight="1"/>
    <row r="9015" ht="14.25" customHeight="1"/>
    <row r="9016" ht="14.25" customHeight="1"/>
    <row r="9017" ht="14.25" customHeight="1"/>
    <row r="9018" ht="14.25" customHeight="1"/>
    <row r="9019" ht="14.25" customHeight="1"/>
    <row r="9020" ht="14.25" customHeight="1"/>
    <row r="9021" ht="14.25" customHeight="1"/>
    <row r="9022" ht="14.25" customHeight="1"/>
    <row r="9023" ht="14.25" customHeight="1"/>
    <row r="9024" ht="14.25" customHeight="1"/>
    <row r="9025" ht="14.25" customHeight="1"/>
    <row r="9026" ht="14.25" customHeight="1"/>
    <row r="9027" ht="14.25" customHeight="1"/>
    <row r="9028" ht="14.25" customHeight="1"/>
    <row r="9029" ht="14.25" customHeight="1"/>
    <row r="9030" ht="14.25" customHeight="1"/>
    <row r="9031" ht="14.25" customHeight="1"/>
    <row r="9032" ht="14.25" customHeight="1"/>
    <row r="9033" ht="14.25" customHeight="1"/>
    <row r="9034" ht="14.25" customHeight="1"/>
    <row r="9035" ht="14.25" customHeight="1"/>
    <row r="9036" ht="14.25" customHeight="1"/>
    <row r="9037" ht="14.25" customHeight="1"/>
    <row r="9038" ht="14.25" customHeight="1"/>
    <row r="9039" ht="14.25" customHeight="1"/>
    <row r="9040" ht="14.25" customHeight="1"/>
    <row r="9041" ht="14.25" customHeight="1"/>
    <row r="9042" ht="14.25" customHeight="1"/>
    <row r="9043" ht="14.25" customHeight="1"/>
    <row r="9044" ht="14.25" customHeight="1"/>
    <row r="9045" ht="14.25" customHeight="1"/>
    <row r="9046" ht="14.25" customHeight="1"/>
    <row r="9047" ht="14.25" customHeight="1"/>
    <row r="9048" ht="14.25" customHeight="1"/>
    <row r="9049" ht="14.25" customHeight="1"/>
    <row r="9050" ht="14.25" customHeight="1"/>
    <row r="9051" ht="14.25" customHeight="1"/>
    <row r="9052" ht="14.25" customHeight="1"/>
    <row r="9053" ht="14.25" customHeight="1"/>
    <row r="9054" ht="14.25" customHeight="1"/>
    <row r="9055" ht="14.25" customHeight="1"/>
    <row r="9056" ht="14.25" customHeight="1"/>
    <row r="9057" ht="14.25" customHeight="1"/>
    <row r="9058" ht="14.25" customHeight="1"/>
    <row r="9059" ht="14.25" customHeight="1"/>
    <row r="9060" ht="14.25" customHeight="1"/>
    <row r="9061" ht="14.25" customHeight="1"/>
    <row r="9062" ht="14.25" customHeight="1"/>
    <row r="9063" ht="14.25" customHeight="1"/>
    <row r="9064" ht="14.25" customHeight="1"/>
    <row r="9065" ht="14.25" customHeight="1"/>
    <row r="9066" ht="14.25" customHeight="1"/>
    <row r="9067" ht="14.25" customHeight="1"/>
    <row r="9068" ht="14.25" customHeight="1"/>
    <row r="9069" ht="14.25" customHeight="1"/>
    <row r="9070" ht="14.25" customHeight="1"/>
    <row r="9071" ht="14.25" customHeight="1"/>
    <row r="9072" ht="14.25" customHeight="1"/>
    <row r="9073" ht="14.25" customHeight="1"/>
    <row r="9074" ht="14.25" customHeight="1"/>
    <row r="9075" ht="14.25" customHeight="1"/>
    <row r="9076" ht="14.25" customHeight="1"/>
    <row r="9077" ht="14.25" customHeight="1"/>
    <row r="9078" ht="14.25" customHeight="1"/>
    <row r="9079" ht="14.25" customHeight="1"/>
    <row r="9080" ht="14.25" customHeight="1"/>
    <row r="9081" ht="14.25" customHeight="1"/>
    <row r="9082" ht="14.25" customHeight="1"/>
    <row r="9083" ht="14.25" customHeight="1"/>
    <row r="9084" ht="14.25" customHeight="1"/>
    <row r="9085" ht="14.25" customHeight="1"/>
    <row r="9086" ht="14.25" customHeight="1"/>
    <row r="9087" ht="14.25" customHeight="1"/>
    <row r="9088" ht="14.25" customHeight="1"/>
    <row r="9089" ht="14.25" customHeight="1"/>
    <row r="9090" ht="14.25" customHeight="1"/>
    <row r="9091" ht="14.25" customHeight="1"/>
    <row r="9092" ht="14.25" customHeight="1"/>
    <row r="9093" ht="14.25" customHeight="1"/>
    <row r="9094" ht="14.25" customHeight="1"/>
    <row r="9095" ht="14.25" customHeight="1"/>
    <row r="9096" ht="14.25" customHeight="1"/>
    <row r="9097" ht="14.25" customHeight="1"/>
    <row r="9098" ht="14.25" customHeight="1"/>
    <row r="9099" ht="14.25" customHeight="1"/>
    <row r="9100" ht="14.25" customHeight="1"/>
    <row r="9101" ht="14.25" customHeight="1"/>
    <row r="9102" ht="14.25" customHeight="1"/>
    <row r="9103" ht="14.25" customHeight="1"/>
    <row r="9104" ht="14.25" customHeight="1"/>
    <row r="9105" ht="14.25" customHeight="1"/>
    <row r="9106" ht="14.25" customHeight="1"/>
    <row r="9107" ht="14.25" customHeight="1"/>
    <row r="9108" ht="14.25" customHeight="1"/>
    <row r="9109" ht="14.25" customHeight="1"/>
    <row r="9110" ht="14.25" customHeight="1"/>
    <row r="9111" ht="14.25" customHeight="1"/>
    <row r="9112" ht="14.25" customHeight="1"/>
    <row r="9113" ht="14.25" customHeight="1"/>
    <row r="9114" ht="14.25" customHeight="1"/>
    <row r="9115" ht="14.25" customHeight="1"/>
    <row r="9116" ht="14.25" customHeight="1"/>
    <row r="9117" ht="14.25" customHeight="1"/>
    <row r="9118" ht="14.25" customHeight="1"/>
    <row r="9119" ht="14.25" customHeight="1"/>
    <row r="9120" ht="14.25" customHeight="1"/>
    <row r="9121" ht="14.25" customHeight="1"/>
    <row r="9122" ht="14.25" customHeight="1"/>
    <row r="9123" ht="14.25" customHeight="1"/>
    <row r="9124" ht="14.25" customHeight="1"/>
    <row r="9125" ht="14.25" customHeight="1"/>
    <row r="9126" ht="14.25" customHeight="1"/>
    <row r="9127" ht="14.25" customHeight="1"/>
    <row r="9128" ht="14.25" customHeight="1"/>
    <row r="9129" ht="14.25" customHeight="1"/>
    <row r="9130" ht="14.25" customHeight="1"/>
    <row r="9131" ht="14.25" customHeight="1"/>
    <row r="9132" ht="14.25" customHeight="1"/>
    <row r="9133" ht="14.25" customHeight="1"/>
    <row r="9134" ht="14.25" customHeight="1"/>
    <row r="9135" ht="14.25" customHeight="1"/>
    <row r="9136" ht="14.25" customHeight="1"/>
    <row r="9137" ht="14.25" customHeight="1"/>
    <row r="9138" ht="14.25" customHeight="1"/>
    <row r="9139" ht="14.25" customHeight="1"/>
    <row r="9140" ht="14.25" customHeight="1"/>
    <row r="9141" ht="14.25" customHeight="1"/>
    <row r="9142" ht="14.25" customHeight="1"/>
    <row r="9143" ht="14.25" customHeight="1"/>
    <row r="9144" ht="14.25" customHeight="1"/>
    <row r="9145" ht="14.25" customHeight="1"/>
    <row r="9146" ht="14.25" customHeight="1"/>
    <row r="9147" ht="14.25" customHeight="1"/>
    <row r="9148" ht="14.25" customHeight="1"/>
    <row r="9149" ht="14.25" customHeight="1"/>
    <row r="9150" ht="14.25" customHeight="1"/>
    <row r="9151" ht="14.25" customHeight="1"/>
    <row r="9152" ht="14.25" customHeight="1"/>
    <row r="9153" ht="14.25" customHeight="1"/>
    <row r="9154" ht="14.25" customHeight="1"/>
    <row r="9155" ht="14.25" customHeight="1"/>
    <row r="9156" ht="14.25" customHeight="1"/>
    <row r="9157" ht="14.25" customHeight="1"/>
    <row r="9158" ht="14.25" customHeight="1"/>
    <row r="9159" ht="14.25" customHeight="1"/>
    <row r="9160" ht="14.25" customHeight="1"/>
    <row r="9161" ht="14.25" customHeight="1"/>
    <row r="9162" ht="14.25" customHeight="1"/>
    <row r="9163" ht="14.25" customHeight="1"/>
    <row r="9164" ht="14.25" customHeight="1"/>
    <row r="9165" ht="14.25" customHeight="1"/>
    <row r="9166" ht="14.25" customHeight="1"/>
    <row r="9167" ht="14.25" customHeight="1"/>
    <row r="9168" ht="14.25" customHeight="1"/>
    <row r="9169" ht="14.25" customHeight="1"/>
    <row r="9170" ht="14.25" customHeight="1"/>
    <row r="9171" ht="14.25" customHeight="1"/>
    <row r="9172" ht="14.25" customHeight="1"/>
    <row r="9173" ht="14.25" customHeight="1"/>
    <row r="9174" ht="14.25" customHeight="1"/>
    <row r="9175" ht="14.25" customHeight="1"/>
    <row r="9176" ht="14.25" customHeight="1"/>
    <row r="9177" ht="14.25" customHeight="1"/>
    <row r="9178" ht="14.25" customHeight="1"/>
    <row r="9179" ht="14.25" customHeight="1"/>
    <row r="9180" ht="14.25" customHeight="1"/>
    <row r="9181" ht="14.25" customHeight="1"/>
    <row r="9182" ht="14.25" customHeight="1"/>
    <row r="9183" ht="14.25" customHeight="1"/>
    <row r="9184" ht="14.25" customHeight="1"/>
    <row r="9185" ht="14.25" customHeight="1"/>
    <row r="9186" ht="14.25" customHeight="1"/>
    <row r="9187" ht="14.25" customHeight="1"/>
    <row r="9188" ht="14.25" customHeight="1"/>
    <row r="9189" ht="14.25" customHeight="1"/>
    <row r="9190" ht="14.25" customHeight="1"/>
    <row r="9191" ht="14.25" customHeight="1"/>
    <row r="9192" ht="14.25" customHeight="1"/>
    <row r="9193" ht="14.25" customHeight="1"/>
    <row r="9194" ht="14.25" customHeight="1"/>
    <row r="9195" ht="14.25" customHeight="1"/>
    <row r="9196" ht="14.25" customHeight="1"/>
    <row r="9197" ht="14.25" customHeight="1"/>
    <row r="9198" ht="14.25" customHeight="1"/>
    <row r="9199" ht="14.25" customHeight="1"/>
    <row r="9200" ht="14.25" customHeight="1"/>
    <row r="9201" ht="14.25" customHeight="1"/>
    <row r="9202" ht="14.25" customHeight="1"/>
    <row r="9203" ht="14.25" customHeight="1"/>
    <row r="9204" ht="14.25" customHeight="1"/>
    <row r="9205" ht="14.25" customHeight="1"/>
    <row r="9206" ht="14.25" customHeight="1"/>
    <row r="9207" ht="14.25" customHeight="1"/>
    <row r="9208" ht="14.25" customHeight="1"/>
    <row r="9209" ht="14.25" customHeight="1"/>
    <row r="9210" ht="14.25" customHeight="1"/>
    <row r="9211" ht="14.25" customHeight="1"/>
    <row r="9212" ht="14.25" customHeight="1"/>
    <row r="9213" ht="14.25" customHeight="1"/>
    <row r="9214" ht="14.25" customHeight="1"/>
    <row r="9215" ht="14.25" customHeight="1"/>
    <row r="9216" ht="14.25" customHeight="1"/>
    <row r="9217" ht="14.25" customHeight="1"/>
    <row r="9218" ht="14.25" customHeight="1"/>
    <row r="9219" ht="14.25" customHeight="1"/>
    <row r="9220" ht="14.25" customHeight="1"/>
    <row r="9221" ht="14.25" customHeight="1"/>
    <row r="9222" ht="14.25" customHeight="1"/>
    <row r="9223" ht="14.25" customHeight="1"/>
    <row r="9224" ht="14.25" customHeight="1"/>
    <row r="9225" ht="14.25" customHeight="1"/>
    <row r="9226" ht="14.25" customHeight="1"/>
    <row r="9227" ht="14.25" customHeight="1"/>
    <row r="9228" ht="14.25" customHeight="1"/>
    <row r="9229" ht="14.25" customHeight="1"/>
    <row r="9230" ht="14.25" customHeight="1"/>
    <row r="9231" ht="14.25" customHeight="1"/>
    <row r="9232" ht="14.25" customHeight="1"/>
    <row r="9233" ht="14.25" customHeight="1"/>
    <row r="9234" ht="14.25" customHeight="1"/>
    <row r="9235" ht="14.25" customHeight="1"/>
    <row r="9236" ht="14.25" customHeight="1"/>
    <row r="9237" ht="14.25" customHeight="1"/>
    <row r="9238" ht="14.25" customHeight="1"/>
    <row r="9239" ht="14.25" customHeight="1"/>
    <row r="9240" ht="14.25" customHeight="1"/>
    <row r="9241" ht="14.25" customHeight="1"/>
    <row r="9242" ht="14.25" customHeight="1"/>
    <row r="9243" ht="14.25" customHeight="1"/>
    <row r="9244" ht="14.25" customHeight="1"/>
    <row r="9245" ht="14.25" customHeight="1"/>
    <row r="9246" ht="14.25" customHeight="1"/>
    <row r="9247" ht="14.25" customHeight="1"/>
    <row r="9248" ht="14.25" customHeight="1"/>
    <row r="9249" ht="14.25" customHeight="1"/>
    <row r="9250" ht="14.25" customHeight="1"/>
    <row r="9251" ht="14.25" customHeight="1"/>
    <row r="9252" ht="14.25" customHeight="1"/>
    <row r="9253" ht="14.25" customHeight="1"/>
    <row r="9254" ht="14.25" customHeight="1"/>
    <row r="9255" ht="14.25" customHeight="1"/>
    <row r="9256" ht="14.25" customHeight="1"/>
    <row r="9257" ht="14.25" customHeight="1"/>
    <row r="9258" ht="14.25" customHeight="1"/>
    <row r="9259" ht="14.25" customHeight="1"/>
    <row r="9260" ht="14.25" customHeight="1"/>
    <row r="9261" ht="14.25" customHeight="1"/>
    <row r="9262" ht="14.25" customHeight="1"/>
    <row r="9263" ht="14.25" customHeight="1"/>
    <row r="9264" ht="14.25" customHeight="1"/>
    <row r="9265" ht="14.25" customHeight="1"/>
    <row r="9266" ht="14.25" customHeight="1"/>
    <row r="9267" ht="14.25" customHeight="1"/>
    <row r="9268" ht="14.25" customHeight="1"/>
    <row r="9269" ht="14.25" customHeight="1"/>
    <row r="9270" ht="14.25" customHeight="1"/>
    <row r="9271" ht="14.25" customHeight="1"/>
    <row r="9272" ht="14.25" customHeight="1"/>
    <row r="9273" ht="14.25" customHeight="1"/>
    <row r="9274" ht="14.25" customHeight="1"/>
    <row r="9275" ht="14.25" customHeight="1"/>
    <row r="9276" ht="14.25" customHeight="1"/>
    <row r="9277" ht="14.25" customHeight="1"/>
    <row r="9278" ht="14.25" customHeight="1"/>
    <row r="9279" ht="14.25" customHeight="1"/>
    <row r="9280" ht="14.25" customHeight="1"/>
    <row r="9281" ht="14.25" customHeight="1"/>
    <row r="9282" ht="14.25" customHeight="1"/>
    <row r="9283" ht="14.25" customHeight="1"/>
    <row r="9284" ht="14.25" customHeight="1"/>
    <row r="9285" ht="14.25" customHeight="1"/>
    <row r="9286" ht="14.25" customHeight="1"/>
    <row r="9287" ht="14.25" customHeight="1"/>
    <row r="9288" ht="14.25" customHeight="1"/>
    <row r="9289" ht="14.25" customHeight="1"/>
    <row r="9290" ht="14.25" customHeight="1"/>
    <row r="9291" ht="14.25" customHeight="1"/>
    <row r="9292" ht="14.25" customHeight="1"/>
    <row r="9293" ht="14.25" customHeight="1"/>
    <row r="9294" ht="14.25" customHeight="1"/>
    <row r="9295" ht="14.25" customHeight="1"/>
    <row r="9296" ht="14.25" customHeight="1"/>
    <row r="9297" ht="14.25" customHeight="1"/>
    <row r="9298" ht="14.25" customHeight="1"/>
    <row r="9299" ht="14.25" customHeight="1"/>
    <row r="9300" ht="14.25" customHeight="1"/>
    <row r="9301" ht="14.25" customHeight="1"/>
    <row r="9302" ht="14.25" customHeight="1"/>
    <row r="9303" ht="14.25" customHeight="1"/>
    <row r="9304" ht="14.25" customHeight="1"/>
    <row r="9305" ht="14.25" customHeight="1"/>
    <row r="9306" ht="14.25" customHeight="1"/>
    <row r="9307" ht="14.25" customHeight="1"/>
    <row r="9308" ht="14.25" customHeight="1"/>
    <row r="9309" ht="14.25" customHeight="1"/>
    <row r="9310" ht="14.25" customHeight="1"/>
    <row r="9311" ht="14.25" customHeight="1"/>
    <row r="9312" ht="14.25" customHeight="1"/>
    <row r="9313" ht="14.25" customHeight="1"/>
    <row r="9314" ht="14.25" customHeight="1"/>
    <row r="9315" ht="14.25" customHeight="1"/>
    <row r="9316" ht="14.25" customHeight="1"/>
    <row r="9317" ht="14.25" customHeight="1"/>
    <row r="9318" ht="14.25" customHeight="1"/>
    <row r="9319" ht="14.25" customHeight="1"/>
    <row r="9320" ht="14.25" customHeight="1"/>
    <row r="9321" ht="14.25" customHeight="1"/>
    <row r="9322" ht="14.25" customHeight="1"/>
    <row r="9323" ht="14.25" customHeight="1"/>
    <row r="9324" ht="14.25" customHeight="1"/>
    <row r="9325" ht="14.25" customHeight="1"/>
    <row r="9326" ht="14.25" customHeight="1"/>
    <row r="9327" ht="14.25" customHeight="1"/>
    <row r="9328" ht="14.25" customHeight="1"/>
    <row r="9329" ht="14.25" customHeight="1"/>
    <row r="9330" ht="14.25" customHeight="1"/>
    <row r="9331" ht="14.25" customHeight="1"/>
    <row r="9332" ht="14.25" customHeight="1"/>
    <row r="9333" ht="14.25" customHeight="1"/>
    <row r="9334" ht="14.25" customHeight="1"/>
    <row r="9335" ht="14.25" customHeight="1"/>
    <row r="9336" ht="14.25" customHeight="1"/>
    <row r="9337" ht="14.25" customHeight="1"/>
    <row r="9338" ht="14.25" customHeight="1"/>
    <row r="9339" ht="14.25" customHeight="1"/>
    <row r="9340" ht="14.25" customHeight="1"/>
    <row r="9341" ht="14.25" customHeight="1"/>
    <row r="9342" ht="14.25" customHeight="1"/>
    <row r="9343" ht="14.25" customHeight="1"/>
    <row r="9344" ht="14.25" customHeight="1"/>
    <row r="9345" ht="14.25" customHeight="1"/>
    <row r="9346" ht="14.25" customHeight="1"/>
    <row r="9347" ht="14.25" customHeight="1"/>
    <row r="9348" ht="14.25" customHeight="1"/>
    <row r="9349" ht="14.25" customHeight="1"/>
    <row r="9350" ht="14.25" customHeight="1"/>
    <row r="9351" ht="14.25" customHeight="1"/>
    <row r="9352" ht="14.25" customHeight="1"/>
    <row r="9353" ht="14.25" customHeight="1"/>
    <row r="9354" ht="14.25" customHeight="1"/>
    <row r="9355" ht="14.25" customHeight="1"/>
    <row r="9356" ht="14.25" customHeight="1"/>
    <row r="9357" ht="14.25" customHeight="1"/>
    <row r="9358" ht="14.25" customHeight="1"/>
    <row r="9359" ht="14.25" customHeight="1"/>
    <row r="9360" ht="14.25" customHeight="1"/>
    <row r="9361" ht="14.25" customHeight="1"/>
    <row r="9362" ht="14.25" customHeight="1"/>
    <row r="9363" ht="14.25" customHeight="1"/>
    <row r="9364" ht="14.25" customHeight="1"/>
    <row r="9365" ht="14.25" customHeight="1"/>
    <row r="9366" ht="14.25" customHeight="1"/>
    <row r="9367" ht="14.25" customHeight="1"/>
    <row r="9368" ht="14.25" customHeight="1"/>
    <row r="9369" ht="14.25" customHeight="1"/>
    <row r="9370" ht="14.25" customHeight="1"/>
    <row r="9371" ht="14.25" customHeight="1"/>
    <row r="9372" ht="14.25" customHeight="1"/>
    <row r="9373" ht="14.25" customHeight="1"/>
    <row r="9374" ht="14.25" customHeight="1"/>
    <row r="9375" ht="14.25" customHeight="1"/>
    <row r="9376" ht="14.25" customHeight="1"/>
    <row r="9377" ht="14.25" customHeight="1"/>
    <row r="9378" ht="14.25" customHeight="1"/>
    <row r="9379" ht="14.25" customHeight="1"/>
    <row r="9380" ht="14.25" customHeight="1"/>
    <row r="9381" ht="14.25" customHeight="1"/>
    <row r="9382" ht="14.25" customHeight="1"/>
    <row r="9383" ht="14.25" customHeight="1"/>
    <row r="9384" ht="14.25" customHeight="1"/>
    <row r="9385" ht="14.25" customHeight="1"/>
    <row r="9386" ht="14.25" customHeight="1"/>
    <row r="9387" ht="14.25" customHeight="1"/>
    <row r="9388" ht="14.25" customHeight="1"/>
    <row r="9389" ht="14.25" customHeight="1"/>
    <row r="9390" ht="14.25" customHeight="1"/>
    <row r="9391" ht="14.25" customHeight="1"/>
    <row r="9392" ht="14.25" customHeight="1"/>
    <row r="9393" ht="14.25" customHeight="1"/>
    <row r="9394" ht="14.25" customHeight="1"/>
    <row r="9395" ht="14.25" customHeight="1"/>
    <row r="9396" ht="14.25" customHeight="1"/>
    <row r="9397" ht="14.25" customHeight="1"/>
    <row r="9398" ht="14.25" customHeight="1"/>
    <row r="9399" ht="14.25" customHeight="1"/>
    <row r="9400" ht="14.25" customHeight="1"/>
    <row r="9401" ht="14.25" customHeight="1"/>
    <row r="9402" ht="14.25" customHeight="1"/>
    <row r="9403" ht="14.25" customHeight="1"/>
    <row r="9404" ht="14.25" customHeight="1"/>
    <row r="9405" ht="14.25" customHeight="1"/>
    <row r="9406" ht="14.25" customHeight="1"/>
    <row r="9407" ht="14.25" customHeight="1"/>
    <row r="9408" ht="14.25" customHeight="1"/>
    <row r="9409" ht="14.25" customHeight="1"/>
    <row r="9410" ht="14.25" customHeight="1"/>
    <row r="9411" ht="14.25" customHeight="1"/>
    <row r="9412" ht="14.25" customHeight="1"/>
    <row r="9413" ht="14.25" customHeight="1"/>
    <row r="9414" ht="14.25" customHeight="1"/>
    <row r="9415" ht="14.25" customHeight="1"/>
    <row r="9416" ht="14.25" customHeight="1"/>
    <row r="9417" ht="14.25" customHeight="1"/>
    <row r="9418" ht="14.25" customHeight="1"/>
    <row r="9419" ht="14.25" customHeight="1"/>
    <row r="9420" ht="14.25" customHeight="1"/>
    <row r="9421" ht="14.25" customHeight="1"/>
    <row r="9422" ht="14.25" customHeight="1"/>
    <row r="9423" ht="14.25" customHeight="1"/>
    <row r="9424" ht="14.25" customHeight="1"/>
    <row r="9425" ht="14.25" customHeight="1"/>
    <row r="9426" ht="14.25" customHeight="1"/>
    <row r="9427" ht="14.25" customHeight="1"/>
    <row r="9428" ht="14.25" customHeight="1"/>
    <row r="9429" ht="14.25" customHeight="1"/>
    <row r="9430" ht="14.25" customHeight="1"/>
    <row r="9431" ht="14.25" customHeight="1"/>
    <row r="9432" ht="14.25" customHeight="1"/>
    <row r="9433" ht="14.25" customHeight="1"/>
    <row r="9434" ht="14.25" customHeight="1"/>
    <row r="9435" ht="14.25" customHeight="1"/>
    <row r="9436" ht="14.25" customHeight="1"/>
    <row r="9437" ht="14.25" customHeight="1"/>
    <row r="9438" ht="14.25" customHeight="1"/>
    <row r="9439" ht="14.25" customHeight="1"/>
    <row r="9440" ht="14.25" customHeight="1"/>
    <row r="9441" ht="14.25" customHeight="1"/>
    <row r="9442" ht="14.25" customHeight="1"/>
    <row r="9443" ht="14.25" customHeight="1"/>
    <row r="9444" ht="14.25" customHeight="1"/>
    <row r="9445" ht="14.25" customHeight="1"/>
    <row r="9446" ht="14.25" customHeight="1"/>
    <row r="9447" ht="14.25" customHeight="1"/>
    <row r="9448" ht="14.25" customHeight="1"/>
    <row r="9449" ht="14.25" customHeight="1"/>
    <row r="9450" ht="14.25" customHeight="1"/>
    <row r="9451" ht="14.25" customHeight="1"/>
    <row r="9452" ht="14.25" customHeight="1"/>
    <row r="9453" ht="14.25" customHeight="1"/>
    <row r="9454" ht="14.25" customHeight="1"/>
    <row r="9455" ht="14.25" customHeight="1"/>
    <row r="9456" ht="14.25" customHeight="1"/>
    <row r="9457" ht="14.25" customHeight="1"/>
    <row r="9458" ht="14.25" customHeight="1"/>
    <row r="9459" ht="14.25" customHeight="1"/>
    <row r="9460" ht="14.25" customHeight="1"/>
    <row r="9461" ht="14.25" customHeight="1"/>
    <row r="9462" ht="14.25" customHeight="1"/>
    <row r="9463" ht="14.25" customHeight="1"/>
    <row r="9464" ht="14.25" customHeight="1"/>
    <row r="9465" ht="14.25" customHeight="1"/>
    <row r="9466" ht="14.25" customHeight="1"/>
    <row r="9467" ht="14.25" customHeight="1"/>
    <row r="9468" ht="14.25" customHeight="1"/>
    <row r="9469" ht="14.25" customHeight="1"/>
    <row r="9470" ht="14.25" customHeight="1"/>
    <row r="9471" ht="14.25" customHeight="1"/>
    <row r="9472" ht="14.25" customHeight="1"/>
    <row r="9473" ht="14.25" customHeight="1"/>
    <row r="9474" ht="14.25" customHeight="1"/>
    <row r="9475" ht="14.25" customHeight="1"/>
    <row r="9476" ht="14.25" customHeight="1"/>
    <row r="9477" ht="14.25" customHeight="1"/>
    <row r="9478" ht="14.25" customHeight="1"/>
    <row r="9479" ht="14.25" customHeight="1"/>
    <row r="9480" ht="14.25" customHeight="1"/>
    <row r="9481" ht="14.25" customHeight="1"/>
    <row r="9482" ht="14.25" customHeight="1"/>
    <row r="9483" ht="14.25" customHeight="1"/>
    <row r="9484" ht="14.25" customHeight="1"/>
    <row r="9485" ht="14.25" customHeight="1"/>
    <row r="9486" ht="14.25" customHeight="1"/>
    <row r="9487" ht="14.25" customHeight="1"/>
    <row r="9488" ht="14.25" customHeight="1"/>
    <row r="9489" ht="14.25" customHeight="1"/>
    <row r="9490" ht="14.25" customHeight="1"/>
    <row r="9491" ht="14.25" customHeight="1"/>
    <row r="9492" ht="14.25" customHeight="1"/>
    <row r="9493" ht="14.25" customHeight="1"/>
    <row r="9494" ht="14.25" customHeight="1"/>
    <row r="9495" ht="14.25" customHeight="1"/>
    <row r="9496" ht="14.25" customHeight="1"/>
    <row r="9497" ht="14.25" customHeight="1"/>
    <row r="9498" ht="14.25" customHeight="1"/>
    <row r="9499" ht="14.25" customHeight="1"/>
    <row r="9500" ht="14.25" customHeight="1"/>
    <row r="9501" ht="14.25" customHeight="1"/>
    <row r="9502" ht="14.25" customHeight="1"/>
    <row r="9503" ht="14.25" customHeight="1"/>
    <row r="9504" ht="14.25" customHeight="1"/>
    <row r="9505" ht="14.25" customHeight="1"/>
    <row r="9506" ht="14.25" customHeight="1"/>
    <row r="9507" ht="14.25" customHeight="1"/>
    <row r="9508" ht="14.25" customHeight="1"/>
    <row r="9509" ht="14.25" customHeight="1"/>
    <row r="9510" ht="14.25" customHeight="1"/>
    <row r="9511" ht="14.25" customHeight="1"/>
    <row r="9512" ht="14.25" customHeight="1"/>
    <row r="9513" ht="14.25" customHeight="1"/>
    <row r="9514" ht="14.25" customHeight="1"/>
    <row r="9515" ht="14.25" customHeight="1"/>
    <row r="9516" ht="14.25" customHeight="1"/>
    <row r="9517" ht="14.25" customHeight="1"/>
    <row r="9518" ht="14.25" customHeight="1"/>
    <row r="9519" ht="14.25" customHeight="1"/>
    <row r="9520" ht="14.25" customHeight="1"/>
    <row r="9521" ht="14.25" customHeight="1"/>
    <row r="9522" ht="14.25" customHeight="1"/>
    <row r="9523" ht="14.25" customHeight="1"/>
    <row r="9524" ht="14.25" customHeight="1"/>
    <row r="9525" ht="14.25" customHeight="1"/>
    <row r="9526" ht="14.25" customHeight="1"/>
    <row r="9527" ht="14.25" customHeight="1"/>
    <row r="9528" ht="14.25" customHeight="1"/>
    <row r="9529" ht="14.25" customHeight="1"/>
    <row r="9530" ht="14.25" customHeight="1"/>
    <row r="9531" ht="14.25" customHeight="1"/>
    <row r="9532" ht="14.25" customHeight="1"/>
    <row r="9533" ht="14.25" customHeight="1"/>
    <row r="9534" ht="14.25" customHeight="1"/>
    <row r="9535" ht="14.25" customHeight="1"/>
    <row r="9536" ht="14.25" customHeight="1"/>
    <row r="9537" ht="14.25" customHeight="1"/>
    <row r="9538" ht="14.25" customHeight="1"/>
    <row r="9539" ht="14.25" customHeight="1"/>
    <row r="9540" ht="14.25" customHeight="1"/>
    <row r="9541" ht="14.25" customHeight="1"/>
    <row r="9542" ht="14.25" customHeight="1"/>
    <row r="9543" ht="14.25" customHeight="1"/>
    <row r="9544" ht="14.25" customHeight="1"/>
    <row r="9545" ht="14.25" customHeight="1"/>
    <row r="9546" ht="14.25" customHeight="1"/>
    <row r="9547" ht="14.25" customHeight="1"/>
    <row r="9548" ht="14.25" customHeight="1"/>
    <row r="9549" ht="14.25" customHeight="1"/>
    <row r="9550" ht="14.25" customHeight="1"/>
    <row r="9551" ht="14.25" customHeight="1"/>
    <row r="9552" ht="14.25" customHeight="1"/>
    <row r="9553" ht="14.25" customHeight="1"/>
    <row r="9554" ht="14.25" customHeight="1"/>
    <row r="9555" ht="14.25" customHeight="1"/>
    <row r="9556" ht="14.25" customHeight="1"/>
    <row r="9557" ht="14.25" customHeight="1"/>
    <row r="9558" ht="14.25" customHeight="1"/>
    <row r="9559" ht="14.25" customHeight="1"/>
    <row r="9560" ht="14.25" customHeight="1"/>
    <row r="9561" ht="14.25" customHeight="1"/>
    <row r="9562" ht="14.25" customHeight="1"/>
    <row r="9563" ht="14.25" customHeight="1"/>
    <row r="9564" ht="14.25" customHeight="1"/>
    <row r="9565" ht="14.25" customHeight="1"/>
    <row r="9566" ht="14.25" customHeight="1"/>
    <row r="9567" ht="14.25" customHeight="1"/>
    <row r="9568" ht="14.25" customHeight="1"/>
    <row r="9569" ht="14.25" customHeight="1"/>
    <row r="9570" ht="14.25" customHeight="1"/>
    <row r="9571" ht="14.25" customHeight="1"/>
    <row r="9572" ht="14.25" customHeight="1"/>
    <row r="9573" ht="14.25" customHeight="1"/>
    <row r="9574" ht="14.25" customHeight="1"/>
    <row r="9575" ht="14.25" customHeight="1"/>
    <row r="9576" ht="14.25" customHeight="1"/>
    <row r="9577" ht="14.25" customHeight="1"/>
    <row r="9578" ht="14.25" customHeight="1"/>
    <row r="9579" ht="14.25" customHeight="1"/>
    <row r="9580" ht="14.25" customHeight="1"/>
    <row r="9581" ht="14.25" customHeight="1"/>
    <row r="9582" ht="14.25" customHeight="1"/>
    <row r="9583" ht="14.25" customHeight="1"/>
    <row r="9584" ht="14.25" customHeight="1"/>
    <row r="9585" ht="14.25" customHeight="1"/>
    <row r="9586" ht="14.25" customHeight="1"/>
    <row r="9587" ht="14.25" customHeight="1"/>
    <row r="9588" ht="14.25" customHeight="1"/>
    <row r="9589" ht="14.25" customHeight="1"/>
    <row r="9590" ht="14.25" customHeight="1"/>
    <row r="9591" ht="14.25" customHeight="1"/>
    <row r="9592" ht="14.25" customHeight="1"/>
    <row r="9593" ht="14.25" customHeight="1"/>
    <row r="9594" ht="14.25" customHeight="1"/>
    <row r="9595" ht="14.25" customHeight="1"/>
    <row r="9596" ht="14.25" customHeight="1"/>
    <row r="9597" ht="14.25" customHeight="1"/>
    <row r="9598" ht="14.25" customHeight="1"/>
    <row r="9599" ht="14.25" customHeight="1"/>
    <row r="9600" ht="14.25" customHeight="1"/>
    <row r="9601" ht="14.25" customHeight="1"/>
    <row r="9602" ht="14.25" customHeight="1"/>
    <row r="9603" ht="14.25" customHeight="1"/>
    <row r="9604" ht="14.25" customHeight="1"/>
    <row r="9605" ht="14.25" customHeight="1"/>
    <row r="9606" ht="14.25" customHeight="1"/>
    <row r="9607" ht="14.25" customHeight="1"/>
    <row r="9608" ht="14.25" customHeight="1"/>
    <row r="9609" ht="14.25" customHeight="1"/>
    <row r="9610" ht="14.25" customHeight="1"/>
    <row r="9611" ht="14.25" customHeight="1"/>
    <row r="9612" ht="14.25" customHeight="1"/>
    <row r="9613" ht="14.25" customHeight="1"/>
    <row r="9614" ht="14.25" customHeight="1"/>
    <row r="9615" ht="14.25" customHeight="1"/>
    <row r="9616" ht="14.25" customHeight="1"/>
    <row r="9617" ht="14.25" customHeight="1"/>
    <row r="9618" ht="14.25" customHeight="1"/>
    <row r="9619" ht="14.25" customHeight="1"/>
    <row r="9620" ht="14.25" customHeight="1"/>
    <row r="9621" ht="14.25" customHeight="1"/>
    <row r="9622" ht="14.25" customHeight="1"/>
    <row r="9623" ht="14.25" customHeight="1"/>
    <row r="9624" ht="14.25" customHeight="1"/>
    <row r="9625" ht="14.25" customHeight="1"/>
    <row r="9626" ht="14.25" customHeight="1"/>
    <row r="9627" ht="14.25" customHeight="1"/>
    <row r="9628" ht="14.25" customHeight="1"/>
    <row r="9629" ht="14.25" customHeight="1"/>
    <row r="9630" ht="14.25" customHeight="1"/>
    <row r="9631" ht="14.25" customHeight="1"/>
    <row r="9632" ht="14.25" customHeight="1"/>
    <row r="9633" ht="14.25" customHeight="1"/>
    <row r="9634" ht="14.25" customHeight="1"/>
    <row r="9635" ht="14.25" customHeight="1"/>
    <row r="9636" ht="14.25" customHeight="1"/>
    <row r="9637" ht="14.25" customHeight="1"/>
    <row r="9638" ht="14.25" customHeight="1"/>
    <row r="9639" ht="14.25" customHeight="1"/>
    <row r="9640" ht="14.25" customHeight="1"/>
    <row r="9641" ht="14.25" customHeight="1"/>
    <row r="9642" ht="14.25" customHeight="1"/>
    <row r="9643" ht="14.25" customHeight="1"/>
    <row r="9644" ht="14.25" customHeight="1"/>
    <row r="9645" ht="14.25" customHeight="1"/>
    <row r="9646" ht="14.25" customHeight="1"/>
    <row r="9647" ht="14.25" customHeight="1"/>
    <row r="9648" ht="14.25" customHeight="1"/>
    <row r="9649" ht="14.25" customHeight="1"/>
    <row r="9650" ht="14.25" customHeight="1"/>
    <row r="9651" ht="14.25" customHeight="1"/>
    <row r="9652" ht="14.25" customHeight="1"/>
    <row r="9653" ht="14.25" customHeight="1"/>
    <row r="9654" ht="14.25" customHeight="1"/>
    <row r="9655" ht="14.25" customHeight="1"/>
    <row r="9656" ht="14.25" customHeight="1"/>
    <row r="9657" ht="14.25" customHeight="1"/>
    <row r="9658" ht="14.25" customHeight="1"/>
    <row r="9659" ht="14.25" customHeight="1"/>
    <row r="9660" ht="14.25" customHeight="1"/>
    <row r="9661" ht="14.25" customHeight="1"/>
    <row r="9662" ht="14.25" customHeight="1"/>
    <row r="9663" ht="14.25" customHeight="1"/>
    <row r="9664" ht="14.25" customHeight="1"/>
    <row r="9665" ht="14.25" customHeight="1"/>
    <row r="9666" ht="14.25" customHeight="1"/>
    <row r="9667" ht="14.25" customHeight="1"/>
    <row r="9668" ht="14.25" customHeight="1"/>
    <row r="9669" ht="14.25" customHeight="1"/>
    <row r="9670" ht="14.25" customHeight="1"/>
    <row r="9671" ht="14.25" customHeight="1"/>
    <row r="9672" ht="14.25" customHeight="1"/>
    <row r="9673" ht="14.25" customHeight="1"/>
    <row r="9674" ht="14.25" customHeight="1"/>
    <row r="9675" ht="14.25" customHeight="1"/>
    <row r="9676" ht="14.25" customHeight="1"/>
    <row r="9677" ht="14.25" customHeight="1"/>
    <row r="9678" ht="14.25" customHeight="1"/>
    <row r="9679" ht="14.25" customHeight="1"/>
    <row r="9680" ht="14.25" customHeight="1"/>
    <row r="9681" ht="14.25" customHeight="1"/>
    <row r="9682" ht="14.25" customHeight="1"/>
    <row r="9683" ht="14.25" customHeight="1"/>
    <row r="9684" ht="14.25" customHeight="1"/>
    <row r="9685" ht="14.25" customHeight="1"/>
    <row r="9686" ht="14.25" customHeight="1"/>
    <row r="9687" ht="14.25" customHeight="1"/>
    <row r="9688" ht="14.25" customHeight="1"/>
    <row r="9689" ht="14.25" customHeight="1"/>
    <row r="9690" ht="14.25" customHeight="1"/>
    <row r="9691" ht="14.25" customHeight="1"/>
    <row r="9692" ht="14.25" customHeight="1"/>
    <row r="9693" ht="14.25" customHeight="1"/>
    <row r="9694" ht="14.25" customHeight="1"/>
    <row r="9695" ht="14.25" customHeight="1"/>
    <row r="9696" ht="14.25" customHeight="1"/>
    <row r="9697" ht="14.25" customHeight="1"/>
    <row r="9698" ht="14.25" customHeight="1"/>
    <row r="9699" ht="14.25" customHeight="1"/>
    <row r="9700" ht="14.25" customHeight="1"/>
    <row r="9701" ht="14.25" customHeight="1"/>
    <row r="9702" ht="14.25" customHeight="1"/>
    <row r="9703" ht="14.25" customHeight="1"/>
    <row r="9704" ht="14.25" customHeight="1"/>
    <row r="9705" ht="14.25" customHeight="1"/>
    <row r="9706" ht="14.25" customHeight="1"/>
    <row r="9707" ht="14.25" customHeight="1"/>
    <row r="9708" ht="14.25" customHeight="1"/>
    <row r="9709" ht="14.25" customHeight="1"/>
    <row r="9710" ht="14.25" customHeight="1"/>
    <row r="9711" ht="14.25" customHeight="1"/>
    <row r="9712" ht="14.25" customHeight="1"/>
    <row r="9713" ht="14.25" customHeight="1"/>
    <row r="9714" ht="14.25" customHeight="1"/>
    <row r="9715" ht="14.25" customHeight="1"/>
    <row r="9716" ht="14.25" customHeight="1"/>
    <row r="9717" ht="14.25" customHeight="1"/>
    <row r="9718" ht="14.25" customHeight="1"/>
    <row r="9719" ht="14.25" customHeight="1"/>
    <row r="9720" ht="14.25" customHeight="1"/>
    <row r="9721" ht="14.25" customHeight="1"/>
    <row r="9722" ht="14.25" customHeight="1"/>
    <row r="9723" ht="14.25" customHeight="1"/>
    <row r="9724" ht="14.25" customHeight="1"/>
    <row r="9725" ht="14.25" customHeight="1"/>
    <row r="9726" ht="14.25" customHeight="1"/>
    <row r="9727" ht="14.25" customHeight="1"/>
    <row r="9728" ht="14.25" customHeight="1"/>
    <row r="9729" ht="14.25" customHeight="1"/>
    <row r="9730" ht="14.25" customHeight="1"/>
    <row r="9731" ht="14.25" customHeight="1"/>
    <row r="9732" ht="14.25" customHeight="1"/>
    <row r="9733" ht="14.25" customHeight="1"/>
    <row r="9734" ht="14.25" customHeight="1"/>
    <row r="9735" ht="14.25" customHeight="1"/>
    <row r="9736" ht="14.25" customHeight="1"/>
    <row r="9737" ht="14.25" customHeight="1"/>
    <row r="9738" ht="14.25" customHeight="1"/>
    <row r="9739" ht="14.25" customHeight="1"/>
    <row r="9740" ht="14.25" customHeight="1"/>
    <row r="9741" ht="14.25" customHeight="1"/>
    <row r="9742" ht="14.25" customHeight="1"/>
    <row r="9743" ht="14.25" customHeight="1"/>
    <row r="9744" ht="14.25" customHeight="1"/>
    <row r="9745" ht="14.25" customHeight="1"/>
    <row r="9746" ht="14.25" customHeight="1"/>
    <row r="9747" ht="14.25" customHeight="1"/>
    <row r="9748" ht="14.25" customHeight="1"/>
    <row r="9749" ht="14.25" customHeight="1"/>
    <row r="9750" ht="14.25" customHeight="1"/>
    <row r="9751" ht="14.25" customHeight="1"/>
    <row r="9752" ht="14.25" customHeight="1"/>
    <row r="9753" ht="14.25" customHeight="1"/>
    <row r="9754" ht="14.25" customHeight="1"/>
    <row r="9755" ht="14.25" customHeight="1"/>
    <row r="9756" ht="14.25" customHeight="1"/>
    <row r="9757" ht="14.25" customHeight="1"/>
    <row r="9758" ht="14.25" customHeight="1"/>
    <row r="9759" ht="14.25" customHeight="1"/>
    <row r="9760" ht="14.25" customHeight="1"/>
    <row r="9761" ht="14.25" customHeight="1"/>
    <row r="9762" ht="14.25" customHeight="1"/>
    <row r="9763" ht="14.25" customHeight="1"/>
    <row r="9764" ht="14.25" customHeight="1"/>
    <row r="9765" ht="14.25" customHeight="1"/>
    <row r="9766" ht="14.25" customHeight="1"/>
    <row r="9767" ht="14.25" customHeight="1"/>
    <row r="9768" ht="14.25" customHeight="1"/>
    <row r="9769" ht="14.25" customHeight="1"/>
    <row r="9770" ht="14.25" customHeight="1"/>
    <row r="9771" ht="14.25" customHeight="1"/>
    <row r="9772" ht="14.25" customHeight="1"/>
    <row r="9773" ht="14.25" customHeight="1"/>
    <row r="9774" ht="14.25" customHeight="1"/>
    <row r="9775" ht="14.25" customHeight="1"/>
    <row r="9776" ht="14.25" customHeight="1"/>
    <row r="9777" ht="14.25" customHeight="1"/>
    <row r="9778" ht="14.25" customHeight="1"/>
    <row r="9779" ht="14.25" customHeight="1"/>
    <row r="9780" ht="14.25" customHeight="1"/>
    <row r="9781" ht="14.25" customHeight="1"/>
    <row r="9782" ht="14.25" customHeight="1"/>
    <row r="9783" ht="14.25" customHeight="1"/>
    <row r="9784" ht="14.25" customHeight="1"/>
    <row r="9785" ht="14.25" customHeight="1"/>
    <row r="9786" ht="14.25" customHeight="1"/>
    <row r="9787" ht="14.25" customHeight="1"/>
    <row r="9788" ht="14.25" customHeight="1"/>
    <row r="9789" ht="14.25" customHeight="1"/>
    <row r="9790" ht="14.25" customHeight="1"/>
    <row r="9791" ht="14.25" customHeight="1"/>
    <row r="9792" ht="14.25" customHeight="1"/>
    <row r="9793" ht="14.25" customHeight="1"/>
    <row r="9794" ht="14.25" customHeight="1"/>
    <row r="9795" ht="14.25" customHeight="1"/>
    <row r="9796" ht="14.25" customHeight="1"/>
    <row r="9797" ht="14.25" customHeight="1"/>
    <row r="9798" ht="14.25" customHeight="1"/>
    <row r="9799" ht="14.25" customHeight="1"/>
    <row r="9800" ht="14.25" customHeight="1"/>
    <row r="9801" ht="14.25" customHeight="1"/>
    <row r="9802" ht="14.25" customHeight="1"/>
    <row r="9803" ht="14.25" customHeight="1"/>
    <row r="9804" ht="14.25" customHeight="1"/>
    <row r="9805" ht="14.25" customHeight="1"/>
    <row r="9806" ht="14.25" customHeight="1"/>
    <row r="9807" ht="14.25" customHeight="1"/>
    <row r="9808" ht="14.25" customHeight="1"/>
    <row r="9809" ht="14.25" customHeight="1"/>
    <row r="9810" ht="14.25" customHeight="1"/>
    <row r="9811" ht="14.25" customHeight="1"/>
    <row r="9812" ht="14.25" customHeight="1"/>
    <row r="9813" ht="14.25" customHeight="1"/>
    <row r="9814" ht="14.25" customHeight="1"/>
    <row r="9815" ht="14.25" customHeight="1"/>
    <row r="9816" ht="14.25" customHeight="1"/>
    <row r="9817" ht="14.25" customHeight="1"/>
    <row r="9818" ht="14.25" customHeight="1"/>
    <row r="9819" ht="14.25" customHeight="1"/>
    <row r="9820" ht="14.25" customHeight="1"/>
    <row r="9821" ht="14.25" customHeight="1"/>
    <row r="9822" ht="14.25" customHeight="1"/>
    <row r="9823" ht="14.25" customHeight="1"/>
    <row r="9824" ht="14.25" customHeight="1"/>
    <row r="9825" ht="14.25" customHeight="1"/>
    <row r="9826" ht="14.25" customHeight="1"/>
    <row r="9827" ht="14.25" customHeight="1"/>
    <row r="9828" ht="14.25" customHeight="1"/>
    <row r="9829" ht="14.25" customHeight="1"/>
    <row r="9830" ht="14.25" customHeight="1"/>
    <row r="9831" ht="14.25" customHeight="1"/>
    <row r="9832" ht="14.25" customHeight="1"/>
    <row r="9833" ht="14.25" customHeight="1"/>
    <row r="9834" ht="14.25" customHeight="1"/>
    <row r="9835" ht="14.25" customHeight="1"/>
    <row r="9836" ht="14.25" customHeight="1"/>
    <row r="9837" ht="14.25" customHeight="1"/>
    <row r="9838" ht="14.25" customHeight="1"/>
    <row r="9839" ht="14.25" customHeight="1"/>
    <row r="9840" ht="14.25" customHeight="1"/>
    <row r="9841" ht="14.25" customHeight="1"/>
    <row r="9842" ht="14.25" customHeight="1"/>
    <row r="9843" ht="14.25" customHeight="1"/>
    <row r="9844" ht="14.25" customHeight="1"/>
    <row r="9845" ht="14.25" customHeight="1"/>
    <row r="9846" ht="14.25" customHeight="1"/>
    <row r="9847" ht="14.25" customHeight="1"/>
    <row r="9848" ht="14.25" customHeight="1"/>
    <row r="9849" ht="14.25" customHeight="1"/>
    <row r="9850" ht="14.25" customHeight="1"/>
    <row r="9851" ht="14.25" customHeight="1"/>
    <row r="9852" ht="14.25" customHeight="1"/>
    <row r="9853" ht="14.25" customHeight="1"/>
    <row r="9854" ht="14.25" customHeight="1"/>
    <row r="9855" ht="14.25" customHeight="1"/>
    <row r="9856" ht="14.25" customHeight="1"/>
    <row r="9857" ht="14.25" customHeight="1"/>
    <row r="9858" ht="14.25" customHeight="1"/>
    <row r="9859" ht="14.25" customHeight="1"/>
    <row r="9860" ht="14.25" customHeight="1"/>
    <row r="9861" ht="14.25" customHeight="1"/>
    <row r="9862" ht="14.25" customHeight="1"/>
    <row r="9863" ht="14.25" customHeight="1"/>
    <row r="9864" ht="14.25" customHeight="1"/>
    <row r="9865" ht="14.25" customHeight="1"/>
    <row r="9866" ht="14.25" customHeight="1"/>
    <row r="9867" ht="14.25" customHeight="1"/>
    <row r="9868" ht="14.25" customHeight="1"/>
    <row r="9869" ht="14.25" customHeight="1"/>
    <row r="9870" ht="14.25" customHeight="1"/>
    <row r="9871" ht="14.25" customHeight="1"/>
    <row r="9872" ht="14.25" customHeight="1"/>
    <row r="9873" ht="14.25" customHeight="1"/>
    <row r="9874" ht="14.25" customHeight="1"/>
    <row r="9875" ht="14.25" customHeight="1"/>
    <row r="9876" ht="14.25" customHeight="1"/>
    <row r="9877" ht="14.25" customHeight="1"/>
    <row r="9878" ht="14.25" customHeight="1"/>
    <row r="9879" ht="14.25" customHeight="1"/>
    <row r="9880" ht="14.25" customHeight="1"/>
    <row r="9881" ht="14.25" customHeight="1"/>
    <row r="9882" ht="14.25" customHeight="1"/>
    <row r="9883" ht="14.25" customHeight="1"/>
    <row r="9884" ht="14.25" customHeight="1"/>
    <row r="9885" ht="14.25" customHeight="1"/>
    <row r="9886" ht="14.25" customHeight="1"/>
    <row r="9887" ht="14.25" customHeight="1"/>
    <row r="9888" ht="14.25" customHeight="1"/>
    <row r="9889" ht="14.25" customHeight="1"/>
    <row r="9890" ht="14.25" customHeight="1"/>
    <row r="9891" ht="14.25" customHeight="1"/>
    <row r="9892" ht="14.25" customHeight="1"/>
    <row r="9893" ht="14.25" customHeight="1"/>
    <row r="9894" ht="14.25" customHeight="1"/>
    <row r="9895" ht="14.25" customHeight="1"/>
    <row r="9896" ht="14.25" customHeight="1"/>
    <row r="9897" ht="14.25" customHeight="1"/>
    <row r="9898" ht="14.25" customHeight="1"/>
    <row r="9899" ht="14.25" customHeight="1"/>
    <row r="9900" ht="14.25" customHeight="1"/>
    <row r="9901" ht="14.25" customHeight="1"/>
    <row r="9902" ht="14.25" customHeight="1"/>
    <row r="9903" ht="14.25" customHeight="1"/>
    <row r="9904" ht="14.25" customHeight="1"/>
    <row r="9905" ht="14.25" customHeight="1"/>
    <row r="9906" ht="14.25" customHeight="1"/>
    <row r="9907" ht="14.25" customHeight="1"/>
    <row r="9908" ht="14.25" customHeight="1"/>
    <row r="9909" ht="14.25" customHeight="1"/>
    <row r="9910" ht="14.25" customHeight="1"/>
    <row r="9911" ht="14.25" customHeight="1"/>
    <row r="9912" ht="14.25" customHeight="1"/>
    <row r="9913" ht="14.25" customHeight="1"/>
    <row r="9914" ht="14.25" customHeight="1"/>
    <row r="9915" ht="14.25" customHeight="1"/>
    <row r="9916" ht="14.25" customHeight="1"/>
    <row r="9917" ht="14.25" customHeight="1"/>
    <row r="9918" ht="14.25" customHeight="1"/>
    <row r="9919" ht="14.25" customHeight="1"/>
    <row r="9920" ht="14.25" customHeight="1"/>
    <row r="9921" ht="14.25" customHeight="1"/>
    <row r="9922" ht="14.25" customHeight="1"/>
    <row r="9923" ht="14.25" customHeight="1"/>
    <row r="9924" ht="14.25" customHeight="1"/>
    <row r="9925" ht="14.25" customHeight="1"/>
    <row r="9926" ht="14.25" customHeight="1"/>
    <row r="9927" ht="14.25" customHeight="1"/>
    <row r="9928" ht="14.25" customHeight="1"/>
    <row r="9929" ht="14.25" customHeight="1"/>
    <row r="9930" ht="14.25" customHeight="1"/>
    <row r="9931" ht="14.25" customHeight="1"/>
    <row r="9932" ht="14.25" customHeight="1"/>
    <row r="9933" ht="14.25" customHeight="1"/>
    <row r="9934" ht="14.25" customHeight="1"/>
    <row r="9935" ht="14.25" customHeight="1"/>
    <row r="9936" ht="14.25" customHeight="1"/>
    <row r="9937" ht="14.25" customHeight="1"/>
    <row r="9938" ht="14.25" customHeight="1"/>
    <row r="9939" ht="14.25" customHeight="1"/>
    <row r="9940" ht="14.25" customHeight="1"/>
    <row r="9941" ht="14.25" customHeight="1"/>
    <row r="9942" ht="14.25" customHeight="1"/>
    <row r="9943" ht="14.25" customHeight="1"/>
    <row r="9944" ht="14.25" customHeight="1"/>
    <row r="9945" ht="14.25" customHeight="1"/>
    <row r="9946" ht="14.25" customHeight="1"/>
    <row r="9947" ht="14.25" customHeight="1"/>
    <row r="9948" ht="14.25" customHeight="1"/>
    <row r="9949" ht="14.25" customHeight="1"/>
    <row r="9950" ht="14.25" customHeight="1"/>
    <row r="9951" ht="14.25" customHeight="1"/>
    <row r="9952" ht="14.25" customHeight="1"/>
    <row r="9953" ht="14.25" customHeight="1"/>
    <row r="9954" ht="14.25" customHeight="1"/>
    <row r="9955" ht="14.25" customHeight="1"/>
    <row r="9956" ht="14.25" customHeight="1"/>
    <row r="9957" ht="14.25" customHeight="1"/>
    <row r="9958" ht="14.25" customHeight="1"/>
    <row r="9959" ht="14.25" customHeight="1"/>
    <row r="9960" ht="14.25" customHeight="1"/>
    <row r="9961" ht="14.25" customHeight="1"/>
    <row r="9962" ht="14.25" customHeight="1"/>
    <row r="9963" ht="14.25" customHeight="1"/>
    <row r="9964" ht="14.25" customHeight="1"/>
    <row r="9965" ht="14.25" customHeight="1"/>
    <row r="9966" ht="14.25" customHeight="1"/>
    <row r="9967" ht="14.25" customHeight="1"/>
    <row r="9968" ht="14.25" customHeight="1"/>
    <row r="9969" ht="14.25" customHeight="1"/>
    <row r="9970" ht="14.25" customHeight="1"/>
    <row r="9971" ht="14.25" customHeight="1"/>
    <row r="9972" ht="14.25" customHeight="1"/>
    <row r="9973" ht="14.25" customHeight="1"/>
    <row r="9974" ht="14.25" customHeight="1"/>
    <row r="9975" ht="14.25" customHeight="1"/>
    <row r="9976" ht="14.25" customHeight="1"/>
    <row r="9977" ht="14.25" customHeight="1"/>
    <row r="9978" ht="14.25" customHeight="1"/>
    <row r="9979" ht="14.25" customHeight="1"/>
    <row r="9980" ht="14.25" customHeight="1"/>
    <row r="9981" ht="14.25" customHeight="1"/>
    <row r="9982" ht="14.25" customHeight="1"/>
    <row r="9983" ht="14.25" customHeight="1"/>
    <row r="9984" ht="14.25" customHeight="1"/>
    <row r="9985" ht="14.25" customHeight="1"/>
    <row r="9986" ht="14.25" customHeight="1"/>
    <row r="9987" ht="14.25" customHeight="1"/>
    <row r="9988" ht="14.25" customHeight="1"/>
    <row r="9989" ht="14.25" customHeight="1"/>
    <row r="9990" ht="14.25" customHeight="1"/>
    <row r="9991" ht="14.25" customHeight="1"/>
    <row r="9992" ht="14.25" customHeight="1"/>
    <row r="9993" ht="14.25" customHeight="1"/>
    <row r="9994" ht="14.25" customHeight="1"/>
    <row r="9995" ht="14.25" customHeight="1"/>
    <row r="9996" ht="14.25" customHeight="1"/>
    <row r="9997" ht="14.25" customHeight="1"/>
    <row r="9998" ht="14.25" customHeight="1"/>
    <row r="9999" ht="14.25" customHeight="1"/>
    <row r="10000" ht="14.25" customHeight="1"/>
    <row r="10001" ht="14.25" customHeight="1"/>
    <row r="10002" ht="14.25" customHeight="1"/>
    <row r="10003" ht="14.25" customHeight="1"/>
    <row r="10004" ht="14.25" customHeight="1"/>
    <row r="10005" ht="14.25" customHeight="1"/>
    <row r="10006" ht="14.25" customHeight="1"/>
    <row r="10007" ht="14.25" customHeight="1"/>
    <row r="10008" ht="14.25" customHeight="1"/>
    <row r="10009" ht="14.25" customHeight="1"/>
    <row r="10010" ht="14.25" customHeight="1"/>
    <row r="10011" ht="14.25" customHeight="1"/>
    <row r="10012" ht="14.25" customHeight="1"/>
    <row r="10013" ht="14.25" customHeight="1"/>
    <row r="10014" ht="14.25" customHeight="1"/>
    <row r="10015" ht="14.25" customHeight="1"/>
    <row r="10016" ht="14.25" customHeight="1"/>
    <row r="10017" ht="14.25" customHeight="1"/>
    <row r="10018" ht="14.25" customHeight="1"/>
    <row r="10019" ht="14.25" customHeight="1"/>
    <row r="10020" ht="14.25" customHeight="1"/>
    <row r="10021" ht="14.25" customHeight="1"/>
    <row r="10022" ht="14.25" customHeight="1"/>
    <row r="10023" ht="14.25" customHeight="1"/>
    <row r="10024" ht="14.25" customHeight="1"/>
    <row r="10025" ht="14.25" customHeight="1"/>
    <row r="10026" ht="14.25" customHeight="1"/>
    <row r="10027" ht="14.25" customHeight="1"/>
    <row r="10028" ht="14.25" customHeight="1"/>
    <row r="10029" ht="14.25" customHeight="1"/>
    <row r="10030" ht="14.25" customHeight="1"/>
    <row r="10031" ht="14.25" customHeight="1"/>
    <row r="10032" ht="14.25" customHeight="1"/>
    <row r="10033" ht="14.25" customHeight="1"/>
    <row r="10034" ht="14.25" customHeight="1"/>
    <row r="10035" ht="14.25" customHeight="1"/>
    <row r="10036" ht="14.25" customHeight="1"/>
    <row r="10037" ht="14.25" customHeight="1"/>
    <row r="10038" ht="14.25" customHeight="1"/>
    <row r="10039" ht="14.25" customHeight="1"/>
    <row r="10040" ht="14.25" customHeight="1"/>
    <row r="10041" ht="14.25" customHeight="1"/>
    <row r="10042" ht="14.25" customHeight="1"/>
    <row r="10043" ht="14.25" customHeight="1"/>
    <row r="10044" ht="14.25" customHeight="1"/>
    <row r="10045" ht="14.25" customHeight="1"/>
    <row r="10046" ht="14.25" customHeight="1"/>
    <row r="10047" ht="14.25" customHeight="1"/>
    <row r="10048" ht="14.25" customHeight="1"/>
    <row r="10049" ht="14.25" customHeight="1"/>
    <row r="10050" ht="14.25" customHeight="1"/>
    <row r="10051" ht="14.25" customHeight="1"/>
    <row r="10052" ht="14.25" customHeight="1"/>
    <row r="10053" ht="14.25" customHeight="1"/>
    <row r="10054" ht="14.25" customHeight="1"/>
    <row r="10055" ht="14.25" customHeight="1"/>
    <row r="10056" ht="14.25" customHeight="1"/>
    <row r="10057" ht="14.25" customHeight="1"/>
    <row r="10058" ht="14.25" customHeight="1"/>
    <row r="10059" ht="14.25" customHeight="1"/>
    <row r="10060" ht="14.25" customHeight="1"/>
    <row r="10061" ht="14.25" customHeight="1"/>
    <row r="10062" ht="14.25" customHeight="1"/>
    <row r="10063" ht="14.25" customHeight="1"/>
    <row r="10064" ht="14.25" customHeight="1"/>
    <row r="10065" ht="14.25" customHeight="1"/>
    <row r="10066" ht="14.25" customHeight="1"/>
    <row r="10067" ht="14.25" customHeight="1"/>
    <row r="10068" ht="14.25" customHeight="1"/>
    <row r="10069" ht="14.25" customHeight="1"/>
    <row r="10070" ht="14.25" customHeight="1"/>
    <row r="10071" ht="14.25" customHeight="1"/>
    <row r="10072" ht="14.25" customHeight="1"/>
    <row r="10073" ht="14.25" customHeight="1"/>
    <row r="10074" ht="14.25" customHeight="1"/>
    <row r="10075" ht="14.25" customHeight="1"/>
    <row r="10076" ht="14.25" customHeight="1"/>
    <row r="10077" ht="14.25" customHeight="1"/>
    <row r="10078" ht="14.25" customHeight="1"/>
    <row r="10079" ht="14.25" customHeight="1"/>
    <row r="10080" ht="14.25" customHeight="1"/>
    <row r="10081" ht="14.25" customHeight="1"/>
    <row r="10082" ht="14.25" customHeight="1"/>
    <row r="10083" ht="14.25" customHeight="1"/>
    <row r="10084" ht="14.25" customHeight="1"/>
    <row r="10085" ht="14.25" customHeight="1"/>
    <row r="10086" ht="14.25" customHeight="1"/>
    <row r="10087" ht="14.25" customHeight="1"/>
    <row r="10088" ht="14.25" customHeight="1"/>
    <row r="10089" ht="14.25" customHeight="1"/>
    <row r="10090" ht="14.25" customHeight="1"/>
    <row r="10091" ht="14.25" customHeight="1"/>
    <row r="10092" ht="14.25" customHeight="1"/>
    <row r="10093" ht="14.25" customHeight="1"/>
    <row r="10094" ht="14.25" customHeight="1"/>
    <row r="10095" ht="14.25" customHeight="1"/>
    <row r="10096" ht="14.25" customHeight="1"/>
    <row r="10097" ht="14.25" customHeight="1"/>
    <row r="10098" ht="14.25" customHeight="1"/>
    <row r="10099" ht="14.25" customHeight="1"/>
    <row r="10100" ht="14.25" customHeight="1"/>
    <row r="10101" ht="14.25" customHeight="1"/>
    <row r="10102" ht="14.25" customHeight="1"/>
    <row r="10103" ht="14.25" customHeight="1"/>
    <row r="10104" ht="14.25" customHeight="1"/>
    <row r="10105" ht="14.25" customHeight="1"/>
    <row r="10106" ht="14.25" customHeight="1"/>
    <row r="10107" ht="14.25" customHeight="1"/>
    <row r="10108" ht="14.25" customHeight="1"/>
    <row r="10109" ht="14.25" customHeight="1"/>
    <row r="10110" ht="14.25" customHeight="1"/>
    <row r="10111" ht="14.25" customHeight="1"/>
    <row r="10112" ht="14.25" customHeight="1"/>
    <row r="10113" ht="14.25" customHeight="1"/>
    <row r="10114" ht="14.25" customHeight="1"/>
    <row r="10115" ht="14.25" customHeight="1"/>
    <row r="10116" ht="14.25" customHeight="1"/>
    <row r="10117" ht="14.25" customHeight="1"/>
    <row r="10118" ht="14.25" customHeight="1"/>
    <row r="10119" ht="14.25" customHeight="1"/>
    <row r="10120" ht="14.25" customHeight="1"/>
    <row r="10121" ht="14.25" customHeight="1"/>
    <row r="10122" ht="14.25" customHeight="1"/>
    <row r="10123" ht="14.25" customHeight="1"/>
    <row r="10124" ht="14.25" customHeight="1"/>
    <row r="10125" ht="14.25" customHeight="1"/>
    <row r="10126" ht="14.25" customHeight="1"/>
    <row r="10127" ht="14.25" customHeight="1"/>
    <row r="10128" ht="14.25" customHeight="1"/>
    <row r="10129" ht="14.25" customHeight="1"/>
    <row r="10130" ht="14.25" customHeight="1"/>
    <row r="10131" ht="14.25" customHeight="1"/>
    <row r="10132" ht="14.25" customHeight="1"/>
    <row r="10133" ht="14.25" customHeight="1"/>
    <row r="10134" ht="14.25" customHeight="1"/>
    <row r="10135" ht="14.25" customHeight="1"/>
    <row r="10136" ht="14.25" customHeight="1"/>
    <row r="10137" ht="14.25" customHeight="1"/>
    <row r="10138" ht="14.25" customHeight="1"/>
    <row r="10139" ht="14.25" customHeight="1"/>
    <row r="10140" ht="14.25" customHeight="1"/>
    <row r="10141" ht="14.25" customHeight="1"/>
    <row r="10142" ht="14.25" customHeight="1"/>
    <row r="10143" ht="14.25" customHeight="1"/>
    <row r="10144" ht="14.25" customHeight="1"/>
    <row r="10145" ht="14.25" customHeight="1"/>
    <row r="10146" ht="14.25" customHeight="1"/>
    <row r="10147" ht="14.25" customHeight="1"/>
    <row r="10148" ht="14.25" customHeight="1"/>
    <row r="10149" ht="14.25" customHeight="1"/>
    <row r="10150" ht="14.25" customHeight="1"/>
    <row r="10151" ht="14.25" customHeight="1"/>
    <row r="10152" ht="14.25" customHeight="1"/>
    <row r="10153" ht="14.25" customHeight="1"/>
    <row r="10154" ht="14.25" customHeight="1"/>
    <row r="10155" ht="14.25" customHeight="1"/>
    <row r="10156" ht="14.25" customHeight="1"/>
    <row r="10157" ht="14.25" customHeight="1"/>
    <row r="10158" ht="14.25" customHeight="1"/>
    <row r="10159" ht="14.25" customHeight="1"/>
    <row r="10160" ht="14.25" customHeight="1"/>
    <row r="10161" ht="14.25" customHeight="1"/>
    <row r="10162" ht="14.25" customHeight="1"/>
    <row r="10163" ht="14.25" customHeight="1"/>
    <row r="10164" ht="14.25" customHeight="1"/>
    <row r="10165" ht="14.25" customHeight="1"/>
    <row r="10166" ht="14.25" customHeight="1"/>
    <row r="10167" ht="14.25" customHeight="1"/>
    <row r="10168" ht="14.25" customHeight="1"/>
    <row r="10169" ht="14.25" customHeight="1"/>
    <row r="10170" ht="14.25" customHeight="1"/>
    <row r="10171" ht="14.25" customHeight="1"/>
    <row r="10172" ht="14.25" customHeight="1"/>
    <row r="10173" ht="14.25" customHeight="1"/>
    <row r="10174" ht="14.25" customHeight="1"/>
    <row r="10175" ht="14.25" customHeight="1"/>
    <row r="10176" ht="14.25" customHeight="1"/>
    <row r="10177" ht="14.25" customHeight="1"/>
    <row r="10178" ht="14.25" customHeight="1"/>
    <row r="10179" ht="14.25" customHeight="1"/>
    <row r="10180" ht="14.25" customHeight="1"/>
    <row r="10181" ht="14.25" customHeight="1"/>
    <row r="10182" ht="14.25" customHeight="1"/>
    <row r="10183" ht="14.25" customHeight="1"/>
    <row r="10184" ht="14.25" customHeight="1"/>
    <row r="10185" ht="14.25" customHeight="1"/>
    <row r="10186" ht="14.25" customHeight="1"/>
    <row r="10187" ht="14.25" customHeight="1"/>
    <row r="10188" ht="14.25" customHeight="1"/>
    <row r="10189" ht="14.25" customHeight="1"/>
    <row r="10190" ht="14.25" customHeight="1"/>
    <row r="10191" ht="14.25" customHeight="1"/>
    <row r="10192" ht="14.25" customHeight="1"/>
    <row r="10193" ht="14.25" customHeight="1"/>
    <row r="10194" ht="14.25" customHeight="1"/>
    <row r="10195" ht="14.25" customHeight="1"/>
    <row r="10196" ht="14.25" customHeight="1"/>
    <row r="10197" ht="14.25" customHeight="1"/>
    <row r="10198" ht="14.25" customHeight="1"/>
    <row r="10199" ht="14.25" customHeight="1"/>
    <row r="10200" ht="14.25" customHeight="1"/>
    <row r="10201" ht="14.25" customHeight="1"/>
    <row r="10202" ht="14.25" customHeight="1"/>
    <row r="10203" ht="14.25" customHeight="1"/>
    <row r="10204" ht="14.25" customHeight="1"/>
    <row r="10205" ht="14.25" customHeight="1"/>
    <row r="10206" ht="14.25" customHeight="1"/>
    <row r="10207" ht="14.25" customHeight="1"/>
    <row r="10208" ht="14.25" customHeight="1"/>
    <row r="10209" ht="14.25" customHeight="1"/>
    <row r="10210" ht="14.25" customHeight="1"/>
    <row r="10211" ht="14.25" customHeight="1"/>
    <row r="10212" ht="14.25" customHeight="1"/>
    <row r="10213" ht="14.25" customHeight="1"/>
    <row r="10214" ht="14.25" customHeight="1"/>
    <row r="10215" ht="14.25" customHeight="1"/>
    <row r="10216" ht="14.25" customHeight="1"/>
    <row r="10217" ht="14.25" customHeight="1"/>
    <row r="10218" ht="14.25" customHeight="1"/>
    <row r="10219" ht="14.25" customHeight="1"/>
    <row r="10220" ht="14.25" customHeight="1"/>
    <row r="10221" ht="14.25" customHeight="1"/>
    <row r="10222" ht="14.25" customHeight="1"/>
    <row r="10223" ht="14.25" customHeight="1"/>
    <row r="10224" ht="14.25" customHeight="1"/>
    <row r="10225" ht="14.25" customHeight="1"/>
    <row r="10226" ht="14.25" customHeight="1"/>
    <row r="10227" ht="14.25" customHeight="1"/>
    <row r="10228" ht="14.25" customHeight="1"/>
    <row r="10229" ht="14.25" customHeight="1"/>
    <row r="10230" ht="14.25" customHeight="1"/>
    <row r="10231" ht="14.25" customHeight="1"/>
    <row r="10232" ht="14.25" customHeight="1"/>
    <row r="10233" ht="14.25" customHeight="1"/>
    <row r="10234" ht="14.25" customHeight="1"/>
    <row r="10235" ht="14.25" customHeight="1"/>
    <row r="10236" ht="14.25" customHeight="1"/>
    <row r="10237" ht="14.25" customHeight="1"/>
    <row r="10238" ht="14.25" customHeight="1"/>
    <row r="10239" ht="14.25" customHeight="1"/>
    <row r="10240" ht="14.25" customHeight="1"/>
    <row r="10241" ht="14.25" customHeight="1"/>
    <row r="10242" ht="14.25" customHeight="1"/>
    <row r="10243" ht="14.25" customHeight="1"/>
    <row r="10244" ht="14.25" customHeight="1"/>
    <row r="10245" ht="14.25" customHeight="1"/>
    <row r="10246" ht="14.25" customHeight="1"/>
    <row r="10247" ht="14.25" customHeight="1"/>
    <row r="10248" ht="14.25" customHeight="1"/>
    <row r="10249" ht="14.25" customHeight="1"/>
    <row r="10250" ht="14.25" customHeight="1"/>
    <row r="10251" ht="14.25" customHeight="1"/>
    <row r="10252" ht="14.25" customHeight="1"/>
    <row r="10253" ht="14.25" customHeight="1"/>
    <row r="10254" ht="14.25" customHeight="1"/>
    <row r="10255" ht="14.25" customHeight="1"/>
    <row r="10256" ht="14.25" customHeight="1"/>
    <row r="10257" ht="14.25" customHeight="1"/>
    <row r="10258" ht="14.25" customHeight="1"/>
    <row r="10259" ht="14.25" customHeight="1"/>
    <row r="10260" ht="14.25" customHeight="1"/>
    <row r="10261" ht="14.25" customHeight="1"/>
    <row r="10262" ht="14.25" customHeight="1"/>
    <row r="10263" ht="14.25" customHeight="1"/>
    <row r="10264" ht="14.25" customHeight="1"/>
    <row r="10265" ht="14.25" customHeight="1"/>
    <row r="10266" ht="14.25" customHeight="1"/>
    <row r="10267" ht="14.25" customHeight="1"/>
    <row r="10268" ht="14.25" customHeight="1"/>
    <row r="10269" ht="14.25" customHeight="1"/>
    <row r="10270" ht="14.25" customHeight="1"/>
    <row r="10271" ht="14.25" customHeight="1"/>
    <row r="10272" ht="14.25" customHeight="1"/>
    <row r="10273" ht="14.25" customHeight="1"/>
    <row r="10274" ht="14.25" customHeight="1"/>
    <row r="10275" ht="14.25" customHeight="1"/>
    <row r="10276" ht="14.25" customHeight="1"/>
    <row r="10277" ht="14.25" customHeight="1"/>
    <row r="10278" ht="14.25" customHeight="1"/>
    <row r="10279" ht="14.25" customHeight="1"/>
    <row r="10280" ht="14.25" customHeight="1"/>
    <row r="10281" ht="14.25" customHeight="1"/>
    <row r="10282" ht="14.25" customHeight="1"/>
    <row r="10283" ht="14.25" customHeight="1"/>
    <row r="10284" ht="14.25" customHeight="1"/>
    <row r="10285" ht="14.25" customHeight="1"/>
    <row r="10286" ht="14.25" customHeight="1"/>
    <row r="10287" ht="14.25" customHeight="1"/>
    <row r="10288" ht="14.25" customHeight="1"/>
    <row r="10289" ht="14.25" customHeight="1"/>
    <row r="10290" ht="14.25" customHeight="1"/>
    <row r="10291" ht="14.25" customHeight="1"/>
    <row r="10292" ht="14.25" customHeight="1"/>
    <row r="10293" ht="14.25" customHeight="1"/>
    <row r="10294" ht="14.25" customHeight="1"/>
    <row r="10295" ht="14.25" customHeight="1"/>
    <row r="10296" ht="14.25" customHeight="1"/>
    <row r="10297" ht="14.25" customHeight="1"/>
    <row r="10298" ht="14.25" customHeight="1"/>
    <row r="10299" ht="14.25" customHeight="1"/>
    <row r="10300" ht="14.25" customHeight="1"/>
    <row r="10301" ht="14.25" customHeight="1"/>
    <row r="10302" ht="14.25" customHeight="1"/>
    <row r="10303" ht="14.25" customHeight="1"/>
    <row r="10304" ht="14.25" customHeight="1"/>
    <row r="10305" ht="14.25" customHeight="1"/>
    <row r="10306" ht="14.25" customHeight="1"/>
    <row r="10307" ht="14.25" customHeight="1"/>
    <row r="10308" ht="14.25" customHeight="1"/>
    <row r="10309" ht="14.25" customHeight="1"/>
    <row r="10310" ht="14.25" customHeight="1"/>
    <row r="10311" ht="14.25" customHeight="1"/>
    <row r="10312" ht="14.25" customHeight="1"/>
    <row r="10313" ht="14.25" customHeight="1"/>
    <row r="10314" ht="14.25" customHeight="1"/>
    <row r="10315" ht="14.25" customHeight="1"/>
    <row r="10316" ht="14.25" customHeight="1"/>
    <row r="10317" ht="14.25" customHeight="1"/>
    <row r="10318" ht="14.25" customHeight="1"/>
    <row r="10319" ht="14.25" customHeight="1"/>
    <row r="10320" ht="14.25" customHeight="1"/>
    <row r="10321" ht="14.25" customHeight="1"/>
    <row r="10322" ht="14.25" customHeight="1"/>
    <row r="10323" ht="14.25" customHeight="1"/>
    <row r="10324" ht="14.25" customHeight="1"/>
    <row r="10325" ht="14.25" customHeight="1"/>
    <row r="10326" ht="14.25" customHeight="1"/>
    <row r="10327" ht="14.25" customHeight="1"/>
    <row r="10328" ht="14.25" customHeight="1"/>
    <row r="10329" ht="14.25" customHeight="1"/>
    <row r="10330" ht="14.25" customHeight="1"/>
    <row r="10331" ht="14.25" customHeight="1"/>
    <row r="10332" ht="14.25" customHeight="1"/>
    <row r="10333" ht="14.25" customHeight="1"/>
    <row r="10334" ht="14.25" customHeight="1"/>
    <row r="10335" ht="14.25" customHeight="1"/>
    <row r="10336" ht="14.25" customHeight="1"/>
    <row r="10337" ht="14.25" customHeight="1"/>
    <row r="10338" ht="14.25" customHeight="1"/>
    <row r="10339" ht="14.25" customHeight="1"/>
    <row r="10340" ht="14.25" customHeight="1"/>
    <row r="10341" ht="14.25" customHeight="1"/>
    <row r="10342" ht="14.25" customHeight="1"/>
    <row r="10343" ht="14.25" customHeight="1"/>
    <row r="10344" ht="14.25" customHeight="1"/>
    <row r="10345" ht="14.25" customHeight="1"/>
    <row r="10346" ht="14.25" customHeight="1"/>
    <row r="10347" ht="14.25" customHeight="1"/>
    <row r="10348" ht="14.25" customHeight="1"/>
    <row r="10349" ht="14.25" customHeight="1"/>
    <row r="10350" ht="14.25" customHeight="1"/>
    <row r="10351" ht="14.25" customHeight="1"/>
    <row r="10352" ht="14.25" customHeight="1"/>
    <row r="10353" ht="14.25" customHeight="1"/>
    <row r="10354" ht="14.25" customHeight="1"/>
    <row r="10355" ht="14.25" customHeight="1"/>
    <row r="10356" ht="14.25" customHeight="1"/>
    <row r="10357" ht="14.25" customHeight="1"/>
    <row r="10358" ht="14.25" customHeight="1"/>
    <row r="10359" ht="14.25" customHeight="1"/>
    <row r="10360" ht="14.25" customHeight="1"/>
    <row r="10361" ht="14.25" customHeight="1"/>
    <row r="10362" ht="14.25" customHeight="1"/>
    <row r="10363" ht="14.25" customHeight="1"/>
    <row r="10364" ht="14.25" customHeight="1"/>
    <row r="10365" ht="14.25" customHeight="1"/>
    <row r="10366" ht="14.25" customHeight="1"/>
    <row r="10367" ht="14.25" customHeight="1"/>
    <row r="10368" ht="14.25" customHeight="1"/>
    <row r="10369" ht="14.25" customHeight="1"/>
    <row r="10370" ht="14.25" customHeight="1"/>
    <row r="10371" ht="14.25" customHeight="1"/>
    <row r="10372" ht="14.25" customHeight="1"/>
    <row r="10373" ht="14.25" customHeight="1"/>
    <row r="10374" ht="14.25" customHeight="1"/>
    <row r="10375" ht="14.25" customHeight="1"/>
    <row r="10376" ht="14.25" customHeight="1"/>
    <row r="10377" ht="14.25" customHeight="1"/>
    <row r="10378" ht="14.25" customHeight="1"/>
    <row r="10379" ht="14.25" customHeight="1"/>
    <row r="10380" ht="14.25" customHeight="1"/>
    <row r="10381" ht="14.25" customHeight="1"/>
    <row r="10382" ht="14.25" customHeight="1"/>
    <row r="10383" ht="14.25" customHeight="1"/>
    <row r="10384" ht="14.25" customHeight="1"/>
    <row r="10385" ht="14.25" customHeight="1"/>
    <row r="10386" ht="14.25" customHeight="1"/>
    <row r="10387" ht="14.25" customHeight="1"/>
    <row r="10388" ht="14.25" customHeight="1"/>
    <row r="10389" ht="14.25" customHeight="1"/>
    <row r="10390" ht="14.25" customHeight="1"/>
    <row r="10391" ht="14.25" customHeight="1"/>
    <row r="10392" ht="14.25" customHeight="1"/>
    <row r="10393" ht="14.25" customHeight="1"/>
    <row r="10394" ht="14.25" customHeight="1"/>
    <row r="10395" ht="14.25" customHeight="1"/>
    <row r="10396" ht="14.25" customHeight="1"/>
    <row r="10397" ht="14.25" customHeight="1"/>
    <row r="10398" ht="14.25" customHeight="1"/>
    <row r="10399" ht="14.25" customHeight="1"/>
    <row r="10400" ht="14.25" customHeight="1"/>
    <row r="10401" ht="14.25" customHeight="1"/>
    <row r="10402" ht="14.25" customHeight="1"/>
    <row r="10403" ht="14.25" customHeight="1"/>
    <row r="10404" ht="14.25" customHeight="1"/>
    <row r="10405" ht="14.25" customHeight="1"/>
    <row r="10406" ht="14.25" customHeight="1"/>
    <row r="10407" ht="14.25" customHeight="1"/>
    <row r="10408" ht="14.25" customHeight="1"/>
    <row r="10409" ht="14.25" customHeight="1"/>
    <row r="10410" ht="14.25" customHeight="1"/>
    <row r="10411" ht="14.25" customHeight="1"/>
    <row r="10412" ht="14.25" customHeight="1"/>
    <row r="10413" ht="14.25" customHeight="1"/>
    <row r="10414" ht="14.25" customHeight="1"/>
    <row r="10415" ht="14.25" customHeight="1"/>
    <row r="10416" ht="14.25" customHeight="1"/>
    <row r="10417" ht="14.25" customHeight="1"/>
    <row r="10418" ht="14.25" customHeight="1"/>
    <row r="10419" ht="14.25" customHeight="1"/>
    <row r="10420" ht="14.25" customHeight="1"/>
    <row r="10421" ht="14.25" customHeight="1"/>
    <row r="10422" ht="14.25" customHeight="1"/>
    <row r="10423" ht="14.25" customHeight="1"/>
    <row r="10424" ht="14.25" customHeight="1"/>
    <row r="10425" ht="14.25" customHeight="1"/>
    <row r="10426" ht="14.25" customHeight="1"/>
    <row r="10427" ht="14.25" customHeight="1"/>
    <row r="10428" ht="14.25" customHeight="1"/>
    <row r="10429" ht="14.25" customHeight="1"/>
    <row r="10430" ht="14.25" customHeight="1"/>
    <row r="10431" ht="14.25" customHeight="1"/>
    <row r="10432" ht="14.25" customHeight="1"/>
    <row r="10433" ht="14.25" customHeight="1"/>
    <row r="10434" ht="14.25" customHeight="1"/>
    <row r="10435" ht="14.25" customHeight="1"/>
    <row r="10436" ht="14.25" customHeight="1"/>
    <row r="10437" ht="14.25" customHeight="1"/>
    <row r="10438" ht="14.25" customHeight="1"/>
    <row r="10439" ht="14.25" customHeight="1"/>
    <row r="10440" ht="14.25" customHeight="1"/>
    <row r="10441" ht="14.25" customHeight="1"/>
    <row r="10442" ht="14.25" customHeight="1"/>
    <row r="10443" ht="14.25" customHeight="1"/>
    <row r="10444" ht="14.25" customHeight="1"/>
    <row r="10445" ht="14.25" customHeight="1"/>
    <row r="10446" ht="14.25" customHeight="1"/>
    <row r="10447" ht="14.25" customHeight="1"/>
    <row r="10448" ht="14.25" customHeight="1"/>
    <row r="10449" ht="14.25" customHeight="1"/>
    <row r="10450" ht="14.25" customHeight="1"/>
    <row r="10451" ht="14.25" customHeight="1"/>
    <row r="10452" ht="14.25" customHeight="1"/>
    <row r="10453" ht="14.25" customHeight="1"/>
    <row r="10454" ht="14.25" customHeight="1"/>
    <row r="10455" ht="14.25" customHeight="1"/>
    <row r="10456" ht="14.25" customHeight="1"/>
    <row r="10457" ht="14.25" customHeight="1"/>
    <row r="10458" ht="14.25" customHeight="1"/>
    <row r="10459" ht="14.25" customHeight="1"/>
    <row r="10460" ht="14.25" customHeight="1"/>
    <row r="10461" ht="14.25" customHeight="1"/>
    <row r="10462" ht="14.25" customHeight="1"/>
    <row r="10463" ht="14.25" customHeight="1"/>
    <row r="10464" ht="14.25" customHeight="1"/>
    <row r="10465" ht="14.25" customHeight="1"/>
    <row r="10466" ht="14.25" customHeight="1"/>
    <row r="10467" ht="14.25" customHeight="1"/>
    <row r="10468" ht="14.25" customHeight="1"/>
    <row r="10469" ht="14.25" customHeight="1"/>
    <row r="10470" ht="14.25" customHeight="1"/>
    <row r="10471" ht="14.25" customHeight="1"/>
    <row r="10472" ht="14.25" customHeight="1"/>
    <row r="10473" ht="14.25" customHeight="1"/>
    <row r="10474" ht="14.25" customHeight="1"/>
    <row r="10475" ht="14.25" customHeight="1"/>
    <row r="10476" ht="14.25" customHeight="1"/>
    <row r="10477" ht="14.25" customHeight="1"/>
    <row r="10478" ht="14.25" customHeight="1"/>
    <row r="10479" ht="14.25" customHeight="1"/>
    <row r="10480" ht="14.25" customHeight="1"/>
    <row r="10481" ht="14.25" customHeight="1"/>
    <row r="10482" ht="14.25" customHeight="1"/>
    <row r="10483" ht="14.25" customHeight="1"/>
    <row r="10484" ht="14.25" customHeight="1"/>
    <row r="10485" ht="14.25" customHeight="1"/>
    <row r="10486" ht="14.25" customHeight="1"/>
    <row r="10487" ht="14.25" customHeight="1"/>
    <row r="10488" ht="14.25" customHeight="1"/>
    <row r="10489" ht="14.25" customHeight="1"/>
    <row r="10490" ht="14.25" customHeight="1"/>
    <row r="10491" ht="14.25" customHeight="1"/>
    <row r="10492" ht="14.25" customHeight="1"/>
    <row r="10493" ht="14.25" customHeight="1"/>
    <row r="10494" ht="14.25" customHeight="1"/>
    <row r="10495" ht="14.25" customHeight="1"/>
    <row r="10496" ht="14.25" customHeight="1"/>
    <row r="10497" ht="14.25" customHeight="1"/>
    <row r="10498" ht="14.25" customHeight="1"/>
    <row r="10499" ht="14.25" customHeight="1"/>
    <row r="10500" ht="14.25" customHeight="1"/>
    <row r="10501" ht="14.25" customHeight="1"/>
    <row r="10502" ht="14.25" customHeight="1"/>
    <row r="10503" ht="14.25" customHeight="1"/>
    <row r="10504" ht="14.25" customHeight="1"/>
    <row r="10505" ht="14.25" customHeight="1"/>
    <row r="10506" ht="14.25" customHeight="1"/>
    <row r="10507" ht="14.25" customHeight="1"/>
    <row r="10508" ht="14.25" customHeight="1"/>
    <row r="10509" ht="14.25" customHeight="1"/>
    <row r="10510" ht="14.25" customHeight="1"/>
    <row r="10511" ht="14.25" customHeight="1"/>
    <row r="10512" ht="14.25" customHeight="1"/>
    <row r="10513" ht="14.25" customHeight="1"/>
    <row r="10514" ht="14.25" customHeight="1"/>
    <row r="10515" ht="14.25" customHeight="1"/>
    <row r="10516" ht="14.25" customHeight="1"/>
    <row r="10517" ht="14.25" customHeight="1"/>
    <row r="10518" ht="14.25" customHeight="1"/>
    <row r="10519" ht="14.25" customHeight="1"/>
    <row r="10520" ht="14.25" customHeight="1"/>
    <row r="10521" ht="14.25" customHeight="1"/>
    <row r="10522" ht="14.25" customHeight="1"/>
    <row r="10523" ht="14.25" customHeight="1"/>
    <row r="10524" ht="14.25" customHeight="1"/>
    <row r="10525" ht="14.25" customHeight="1"/>
    <row r="10526" ht="14.25" customHeight="1"/>
    <row r="10527" ht="14.25" customHeight="1"/>
    <row r="10528" ht="14.25" customHeight="1"/>
    <row r="10529" ht="14.25" customHeight="1"/>
    <row r="10530" ht="14.25" customHeight="1"/>
    <row r="10531" ht="14.25" customHeight="1"/>
    <row r="10532" ht="14.25" customHeight="1"/>
    <row r="10533" ht="14.25" customHeight="1"/>
    <row r="10534" ht="14.25" customHeight="1"/>
    <row r="10535" ht="14.25" customHeight="1"/>
    <row r="10536" ht="14.25" customHeight="1"/>
    <row r="10537" ht="14.25" customHeight="1"/>
    <row r="10538" ht="14.25" customHeight="1"/>
    <row r="10539" ht="14.25" customHeight="1"/>
    <row r="10540" ht="14.25" customHeight="1"/>
    <row r="10541" ht="14.25" customHeight="1"/>
    <row r="10542" ht="14.25" customHeight="1"/>
    <row r="10543" ht="14.25" customHeight="1"/>
    <row r="10544" ht="14.25" customHeight="1"/>
    <row r="10545" ht="14.25" customHeight="1"/>
    <row r="10546" ht="14.25" customHeight="1"/>
    <row r="10547" ht="14.25" customHeight="1"/>
    <row r="10548" ht="14.25" customHeight="1"/>
    <row r="10549" ht="14.25" customHeight="1"/>
    <row r="10550" ht="14.25" customHeight="1"/>
    <row r="10551" ht="14.25" customHeight="1"/>
    <row r="10552" ht="14.25" customHeight="1"/>
    <row r="10553" ht="14.25" customHeight="1"/>
    <row r="10554" ht="14.25" customHeight="1"/>
    <row r="10555" ht="14.25" customHeight="1"/>
    <row r="10556" ht="14.25" customHeight="1"/>
    <row r="10557" ht="14.25" customHeight="1"/>
    <row r="10558" ht="14.25" customHeight="1"/>
    <row r="10559" ht="14.25" customHeight="1"/>
    <row r="10560" ht="14.25" customHeight="1"/>
    <row r="10561" ht="14.25" customHeight="1"/>
    <row r="10562" ht="14.25" customHeight="1"/>
    <row r="10563" ht="14.25" customHeight="1"/>
    <row r="10564" ht="14.25" customHeight="1"/>
    <row r="10565" ht="14.25" customHeight="1"/>
    <row r="10566" ht="14.25" customHeight="1"/>
    <row r="10567" ht="14.25" customHeight="1"/>
    <row r="10568" ht="14.25" customHeight="1"/>
    <row r="10569" ht="14.25" customHeight="1"/>
    <row r="10570" ht="14.25" customHeight="1"/>
    <row r="10571" ht="14.25" customHeight="1"/>
    <row r="10572" ht="14.25" customHeight="1"/>
    <row r="10573" ht="14.25" customHeight="1"/>
    <row r="10574" ht="14.25" customHeight="1"/>
    <row r="10575" ht="14.25" customHeight="1"/>
    <row r="10576" ht="14.25" customHeight="1"/>
    <row r="10577" ht="14.25" customHeight="1"/>
    <row r="10578" ht="14.25" customHeight="1"/>
    <row r="10579" ht="14.25" customHeight="1"/>
    <row r="10580" ht="14.25" customHeight="1"/>
    <row r="10581" ht="14.25" customHeight="1"/>
    <row r="10582" ht="14.25" customHeight="1"/>
    <row r="10583" ht="14.25" customHeight="1"/>
    <row r="10584" ht="14.25" customHeight="1"/>
    <row r="10585" ht="14.25" customHeight="1"/>
    <row r="10586" ht="14.25" customHeight="1"/>
    <row r="10587" ht="14.25" customHeight="1"/>
    <row r="10588" ht="14.25" customHeight="1"/>
    <row r="10589" ht="14.25" customHeight="1"/>
    <row r="10590" ht="14.25" customHeight="1"/>
    <row r="10591" ht="14.25" customHeight="1"/>
    <row r="10592" ht="14.25" customHeight="1"/>
    <row r="10593" ht="14.25" customHeight="1"/>
    <row r="10594" ht="14.25" customHeight="1"/>
    <row r="10595" ht="14.25" customHeight="1"/>
    <row r="10596" ht="14.25" customHeight="1"/>
    <row r="10597" ht="14.25" customHeight="1"/>
    <row r="10598" ht="14.25" customHeight="1"/>
    <row r="10599" ht="14.25" customHeight="1"/>
    <row r="10600" ht="14.25" customHeight="1"/>
    <row r="10601" ht="14.25" customHeight="1"/>
    <row r="10602" ht="14.25" customHeight="1"/>
    <row r="10603" ht="14.25" customHeight="1"/>
    <row r="10604" ht="14.25" customHeight="1"/>
    <row r="10605" ht="14.25" customHeight="1"/>
    <row r="10606" ht="14.25" customHeight="1"/>
    <row r="10607" ht="14.25" customHeight="1"/>
    <row r="10608" ht="14.25" customHeight="1"/>
    <row r="10609" ht="14.25" customHeight="1"/>
    <row r="10610" ht="14.25" customHeight="1"/>
    <row r="10611" ht="14.25" customHeight="1"/>
    <row r="10612" ht="14.25" customHeight="1"/>
    <row r="10613" ht="14.25" customHeight="1"/>
    <row r="10614" ht="14.25" customHeight="1"/>
    <row r="10615" ht="14.25" customHeight="1"/>
    <row r="10616" ht="14.25" customHeight="1"/>
    <row r="10617" ht="14.25" customHeight="1"/>
    <row r="10618" ht="14.25" customHeight="1"/>
    <row r="10619" ht="14.25" customHeight="1"/>
    <row r="10620" ht="14.25" customHeight="1"/>
    <row r="10621" ht="14.25" customHeight="1"/>
    <row r="10622" ht="14.25" customHeight="1"/>
    <row r="10623" ht="14.25" customHeight="1"/>
    <row r="10624" ht="14.25" customHeight="1"/>
    <row r="10625" ht="14.25" customHeight="1"/>
    <row r="10626" ht="14.25" customHeight="1"/>
    <row r="10627" ht="14.25" customHeight="1"/>
    <row r="10628" ht="14.25" customHeight="1"/>
    <row r="10629" ht="14.25" customHeight="1"/>
    <row r="10630" ht="14.25" customHeight="1"/>
    <row r="10631" ht="14.25" customHeight="1"/>
    <row r="10632" ht="14.25" customHeight="1"/>
    <row r="10633" ht="14.25" customHeight="1"/>
    <row r="10634" ht="14.25" customHeight="1"/>
    <row r="10635" ht="14.25" customHeight="1"/>
    <row r="10636" ht="14.25" customHeight="1"/>
    <row r="10637" ht="14.25" customHeight="1"/>
    <row r="10638" ht="14.25" customHeight="1"/>
    <row r="10639" ht="14.25" customHeight="1"/>
    <row r="10640" ht="14.25" customHeight="1"/>
    <row r="10641" ht="14.25" customHeight="1"/>
    <row r="10642" ht="14.25" customHeight="1"/>
    <row r="10643" ht="14.25" customHeight="1"/>
    <row r="10644" ht="14.25" customHeight="1"/>
    <row r="10645" ht="14.25" customHeight="1"/>
    <row r="10646" ht="14.25" customHeight="1"/>
    <row r="10647" ht="14.25" customHeight="1"/>
    <row r="10648" ht="14.25" customHeight="1"/>
    <row r="10649" ht="14.25" customHeight="1"/>
    <row r="10650" ht="14.25" customHeight="1"/>
    <row r="10651" ht="14.25" customHeight="1"/>
    <row r="10652" ht="14.25" customHeight="1"/>
    <row r="10653" ht="14.25" customHeight="1"/>
    <row r="10654" ht="14.25" customHeight="1"/>
    <row r="10655" ht="14.25" customHeight="1"/>
    <row r="10656" ht="14.25" customHeight="1"/>
    <row r="10657" ht="14.25" customHeight="1"/>
    <row r="10658" ht="14.25" customHeight="1"/>
    <row r="10659" ht="14.25" customHeight="1"/>
    <row r="10660" ht="14.25" customHeight="1"/>
    <row r="10661" ht="14.25" customHeight="1"/>
    <row r="10662" ht="14.25" customHeight="1"/>
    <row r="10663" ht="14.25" customHeight="1"/>
    <row r="10664" ht="14.25" customHeight="1"/>
    <row r="10665" ht="14.25" customHeight="1"/>
    <row r="10666" ht="14.25" customHeight="1"/>
    <row r="10667" ht="14.25" customHeight="1"/>
    <row r="10668" ht="14.25" customHeight="1"/>
    <row r="10669" ht="14.25" customHeight="1"/>
    <row r="10670" ht="14.25" customHeight="1"/>
    <row r="10671" ht="14.25" customHeight="1"/>
    <row r="10672" ht="14.25" customHeight="1"/>
    <row r="10673" ht="14.25" customHeight="1"/>
    <row r="10674" ht="14.25" customHeight="1"/>
    <row r="10675" ht="14.25" customHeight="1"/>
    <row r="10676" ht="14.25" customHeight="1"/>
    <row r="10677" ht="14.25" customHeight="1"/>
    <row r="10678" ht="14.25" customHeight="1"/>
    <row r="10679" ht="14.25" customHeight="1"/>
    <row r="10680" ht="14.25" customHeight="1"/>
    <row r="10681" ht="14.25" customHeight="1"/>
    <row r="10682" ht="14.25" customHeight="1"/>
    <row r="10683" ht="14.25" customHeight="1"/>
    <row r="10684" ht="14.25" customHeight="1"/>
    <row r="10685" ht="14.25" customHeight="1"/>
    <row r="10686" ht="14.25" customHeight="1"/>
    <row r="10687" ht="14.25" customHeight="1"/>
    <row r="10688" ht="14.25" customHeight="1"/>
    <row r="10689" ht="14.25" customHeight="1"/>
    <row r="10690" ht="14.25" customHeight="1"/>
    <row r="10691" ht="14.25" customHeight="1"/>
    <row r="10692" ht="14.25" customHeight="1"/>
    <row r="10693" ht="14.25" customHeight="1"/>
    <row r="10694" ht="14.25" customHeight="1"/>
    <row r="10695" ht="14.25" customHeight="1"/>
    <row r="10696" ht="14.25" customHeight="1"/>
    <row r="10697" ht="14.25" customHeight="1"/>
    <row r="10698" ht="14.25" customHeight="1"/>
    <row r="10699" ht="14.25" customHeight="1"/>
    <row r="10700" ht="14.25" customHeight="1"/>
    <row r="10701" ht="14.25" customHeight="1"/>
    <row r="10702" ht="14.25" customHeight="1"/>
    <row r="10703" ht="14.25" customHeight="1"/>
    <row r="10704" ht="14.25" customHeight="1"/>
    <row r="10705" ht="14.25" customHeight="1"/>
    <row r="10706" ht="14.25" customHeight="1"/>
    <row r="10707" ht="14.25" customHeight="1"/>
    <row r="10708" ht="14.25" customHeight="1"/>
    <row r="10709" ht="14.25" customHeight="1"/>
    <row r="10710" ht="14.25" customHeight="1"/>
    <row r="10711" ht="14.25" customHeight="1"/>
    <row r="10712" ht="14.25" customHeight="1"/>
    <row r="10713" ht="14.25" customHeight="1"/>
    <row r="10714" ht="14.25" customHeight="1"/>
    <row r="10715" ht="14.25" customHeight="1"/>
    <row r="10716" ht="14.25" customHeight="1"/>
    <row r="10717" ht="14.25" customHeight="1"/>
    <row r="10718" ht="14.25" customHeight="1"/>
    <row r="10719" ht="14.25" customHeight="1"/>
    <row r="10720" ht="14.25" customHeight="1"/>
    <row r="10721" ht="14.25" customHeight="1"/>
    <row r="10722" ht="14.25" customHeight="1"/>
    <row r="10723" ht="14.25" customHeight="1"/>
    <row r="10724" ht="14.25" customHeight="1"/>
    <row r="10725" ht="14.25" customHeight="1"/>
    <row r="10726" ht="14.25" customHeight="1"/>
    <row r="10727" ht="14.25" customHeight="1"/>
    <row r="10728" ht="14.25" customHeight="1"/>
    <row r="10729" ht="14.25" customHeight="1"/>
    <row r="10730" ht="14.25" customHeight="1"/>
    <row r="10731" ht="14.25" customHeight="1"/>
    <row r="10732" ht="14.25" customHeight="1"/>
    <row r="10733" ht="14.25" customHeight="1"/>
    <row r="10734" ht="14.25" customHeight="1"/>
    <row r="10735" ht="14.25" customHeight="1"/>
    <row r="10736" ht="14.25" customHeight="1"/>
    <row r="10737" ht="14.25" customHeight="1"/>
    <row r="10738" ht="14.25" customHeight="1"/>
    <row r="10739" ht="14.25" customHeight="1"/>
    <row r="10740" ht="14.25" customHeight="1"/>
    <row r="10741" ht="14.25" customHeight="1"/>
    <row r="10742" ht="14.25" customHeight="1"/>
    <row r="10743" ht="14.25" customHeight="1"/>
    <row r="10744" ht="14.25" customHeight="1"/>
    <row r="10745" ht="14.25" customHeight="1"/>
    <row r="10746" ht="14.25" customHeight="1"/>
    <row r="10747" ht="14.25" customHeight="1"/>
    <row r="10748" ht="14.25" customHeight="1"/>
    <row r="10749" ht="14.25" customHeight="1"/>
    <row r="10750" ht="14.25" customHeight="1"/>
    <row r="10751" ht="14.25" customHeight="1"/>
    <row r="10752" ht="14.25" customHeight="1"/>
    <row r="10753" ht="14.25" customHeight="1"/>
    <row r="10754" ht="14.25" customHeight="1"/>
    <row r="10755" ht="14.25" customHeight="1"/>
    <row r="10756" ht="14.25" customHeight="1"/>
    <row r="10757" ht="14.25" customHeight="1"/>
    <row r="10758" ht="14.25" customHeight="1"/>
    <row r="10759" ht="14.25" customHeight="1"/>
    <row r="10760" ht="14.25" customHeight="1"/>
    <row r="10761" ht="14.25" customHeight="1"/>
    <row r="10762" ht="14.25" customHeight="1"/>
    <row r="10763" ht="14.25" customHeight="1"/>
    <row r="10764" ht="14.25" customHeight="1"/>
    <row r="10765" ht="14.25" customHeight="1"/>
    <row r="10766" ht="14.25" customHeight="1"/>
    <row r="10767" ht="14.25" customHeight="1"/>
    <row r="10768" ht="14.25" customHeight="1"/>
    <row r="10769" ht="14.25" customHeight="1"/>
    <row r="10770" ht="14.25" customHeight="1"/>
    <row r="10771" ht="14.25" customHeight="1"/>
    <row r="10772" ht="14.25" customHeight="1"/>
    <row r="10773" ht="14.25" customHeight="1"/>
    <row r="10774" ht="14.25" customHeight="1"/>
    <row r="10775" ht="14.25" customHeight="1"/>
    <row r="10776" ht="14.25" customHeight="1"/>
    <row r="10777" ht="14.25" customHeight="1"/>
    <row r="10778" ht="14.25" customHeight="1"/>
    <row r="10779" ht="14.25" customHeight="1"/>
    <row r="10780" ht="14.25" customHeight="1"/>
    <row r="10781" ht="14.25" customHeight="1"/>
    <row r="10782" ht="14.25" customHeight="1"/>
    <row r="10783" ht="14.25" customHeight="1"/>
    <row r="10784" ht="14.25" customHeight="1"/>
    <row r="10785" ht="14.25" customHeight="1"/>
    <row r="10786" ht="14.25" customHeight="1"/>
    <row r="10787" ht="14.25" customHeight="1"/>
    <row r="10788" ht="14.25" customHeight="1"/>
    <row r="10789" ht="14.25" customHeight="1"/>
    <row r="10790" ht="14.25" customHeight="1"/>
    <row r="10791" ht="14.25" customHeight="1"/>
    <row r="10792" ht="14.25" customHeight="1"/>
    <row r="10793" ht="14.25" customHeight="1"/>
    <row r="10794" ht="14.25" customHeight="1"/>
    <row r="10795" ht="14.25" customHeight="1"/>
    <row r="10796" ht="14.25" customHeight="1"/>
    <row r="10797" ht="14.25" customHeight="1"/>
    <row r="10798" ht="14.25" customHeight="1"/>
    <row r="10799" ht="14.25" customHeight="1"/>
    <row r="10800" ht="14.25" customHeight="1"/>
    <row r="10801" ht="14.25" customHeight="1"/>
    <row r="10802" ht="14.25" customHeight="1"/>
    <row r="10803" ht="14.25" customHeight="1"/>
    <row r="10804" ht="14.25" customHeight="1"/>
    <row r="10805" ht="14.25" customHeight="1"/>
    <row r="10806" ht="14.25" customHeight="1"/>
    <row r="10807" ht="14.25" customHeight="1"/>
    <row r="10808" ht="14.25" customHeight="1"/>
    <row r="10809" ht="14.25" customHeight="1"/>
    <row r="10810" ht="14.25" customHeight="1"/>
    <row r="10811" ht="14.25" customHeight="1"/>
    <row r="10812" ht="14.25" customHeight="1"/>
    <row r="10813" ht="14.25" customHeight="1"/>
    <row r="10814" ht="14.25" customHeight="1"/>
    <row r="10815" ht="14.25" customHeight="1"/>
    <row r="10816" ht="14.25" customHeight="1"/>
    <row r="10817" ht="14.25" customHeight="1"/>
    <row r="10818" ht="14.25" customHeight="1"/>
    <row r="10819" ht="14.25" customHeight="1"/>
    <row r="10820" ht="14.25" customHeight="1"/>
    <row r="10821" ht="14.25" customHeight="1"/>
    <row r="10822" ht="14.25" customHeight="1"/>
    <row r="10823" ht="14.25" customHeight="1"/>
    <row r="10824" ht="14.25" customHeight="1"/>
    <row r="10825" ht="14.25" customHeight="1"/>
    <row r="10826" ht="14.25" customHeight="1"/>
    <row r="10827" ht="14.25" customHeight="1"/>
    <row r="10828" ht="14.25" customHeight="1"/>
    <row r="10829" ht="14.25" customHeight="1"/>
    <row r="10830" ht="14.25" customHeight="1"/>
    <row r="10831" ht="14.25" customHeight="1"/>
    <row r="10832" ht="14.25" customHeight="1"/>
    <row r="10833" ht="14.25" customHeight="1"/>
    <row r="10834" ht="14.25" customHeight="1"/>
    <row r="10835" ht="14.25" customHeight="1"/>
    <row r="10836" ht="14.25" customHeight="1"/>
    <row r="10837" ht="14.25" customHeight="1"/>
    <row r="10838" ht="14.25" customHeight="1"/>
    <row r="10839" ht="14.25" customHeight="1"/>
    <row r="10840" ht="14.25" customHeight="1"/>
    <row r="10841" ht="14.25" customHeight="1"/>
    <row r="10842" ht="14.25" customHeight="1"/>
    <row r="10843" ht="14.25" customHeight="1"/>
    <row r="10844" ht="14.25" customHeight="1"/>
    <row r="10845" ht="14.25" customHeight="1"/>
    <row r="10846" ht="14.25" customHeight="1"/>
    <row r="10847" ht="14.25" customHeight="1"/>
    <row r="10848" ht="14.25" customHeight="1"/>
    <row r="10849" ht="14.25" customHeight="1"/>
    <row r="10850" ht="14.25" customHeight="1"/>
    <row r="10851" ht="14.25" customHeight="1"/>
    <row r="10852" ht="14.25" customHeight="1"/>
    <row r="10853" ht="14.25" customHeight="1"/>
    <row r="10854" ht="14.25" customHeight="1"/>
    <row r="10855" ht="14.25" customHeight="1"/>
    <row r="10856" ht="14.25" customHeight="1"/>
    <row r="10857" ht="14.25" customHeight="1"/>
    <row r="10858" ht="14.25" customHeight="1"/>
    <row r="10859" ht="14.25" customHeight="1"/>
    <row r="10860" ht="14.25" customHeight="1"/>
    <row r="10861" ht="14.25" customHeight="1"/>
    <row r="10862" ht="14.25" customHeight="1"/>
    <row r="10863" ht="14.25" customHeight="1"/>
    <row r="10864" ht="14.25" customHeight="1"/>
    <row r="10865" ht="14.25" customHeight="1"/>
    <row r="10866" ht="14.25" customHeight="1"/>
    <row r="10867" ht="14.25" customHeight="1"/>
    <row r="10868" ht="14.25" customHeight="1"/>
    <row r="10869" ht="14.25" customHeight="1"/>
    <row r="10870" ht="14.25" customHeight="1"/>
    <row r="10871" ht="14.25" customHeight="1"/>
    <row r="10872" ht="14.25" customHeight="1"/>
    <row r="10873" ht="14.25" customHeight="1"/>
    <row r="10874" ht="14.25" customHeight="1"/>
    <row r="10875" ht="14.25" customHeight="1"/>
    <row r="10876" ht="14.25" customHeight="1"/>
    <row r="10877" ht="14.25" customHeight="1"/>
    <row r="10878" ht="14.25" customHeight="1"/>
    <row r="10879" ht="14.25" customHeight="1"/>
    <row r="10880" ht="14.25" customHeight="1"/>
    <row r="10881" ht="14.25" customHeight="1"/>
    <row r="10882" ht="14.25" customHeight="1"/>
    <row r="10883" ht="14.25" customHeight="1"/>
    <row r="10884" ht="14.25" customHeight="1"/>
    <row r="10885" ht="14.25" customHeight="1"/>
    <row r="10886" ht="14.25" customHeight="1"/>
    <row r="10887" ht="14.25" customHeight="1"/>
    <row r="10888" ht="14.25" customHeight="1"/>
    <row r="10889" ht="14.25" customHeight="1"/>
    <row r="10890" ht="14.25" customHeight="1"/>
    <row r="10891" ht="14.25" customHeight="1"/>
    <row r="10892" ht="14.25" customHeight="1"/>
    <row r="10893" ht="14.25" customHeight="1"/>
    <row r="10894" ht="14.25" customHeight="1"/>
    <row r="10895" ht="14.25" customHeight="1"/>
    <row r="10896" ht="14.25" customHeight="1"/>
    <row r="10897" ht="14.25" customHeight="1"/>
    <row r="10898" ht="14.25" customHeight="1"/>
    <row r="10899" ht="14.25" customHeight="1"/>
    <row r="10900" ht="14.25" customHeight="1"/>
    <row r="10901" ht="14.25" customHeight="1"/>
    <row r="10902" ht="14.25" customHeight="1"/>
    <row r="10903" ht="14.25" customHeight="1"/>
    <row r="10904" ht="14.25" customHeight="1"/>
    <row r="10905" ht="14.25" customHeight="1"/>
    <row r="10906" ht="14.25" customHeight="1"/>
    <row r="10907" ht="14.25" customHeight="1"/>
    <row r="10908" ht="14.25" customHeight="1"/>
    <row r="10909" ht="14.25" customHeight="1"/>
    <row r="10910" ht="14.25" customHeight="1"/>
    <row r="10911" ht="14.25" customHeight="1"/>
    <row r="10912" ht="14.25" customHeight="1"/>
    <row r="10913" ht="14.25" customHeight="1"/>
    <row r="10914" ht="14.25" customHeight="1"/>
    <row r="10915" ht="14.25" customHeight="1"/>
    <row r="10916" ht="14.25" customHeight="1"/>
    <row r="10917" ht="14.25" customHeight="1"/>
    <row r="10918" ht="14.25" customHeight="1"/>
    <row r="10919" ht="14.25" customHeight="1"/>
    <row r="10920" ht="14.25" customHeight="1"/>
    <row r="10921" ht="14.25" customHeight="1"/>
    <row r="10922" ht="14.25" customHeight="1"/>
    <row r="10923" ht="14.25" customHeight="1"/>
    <row r="10924" ht="14.25" customHeight="1"/>
    <row r="10925" ht="14.25" customHeight="1"/>
    <row r="10926" ht="14.25" customHeight="1"/>
    <row r="10927" ht="14.25" customHeight="1"/>
    <row r="10928" ht="14.25" customHeight="1"/>
    <row r="10929" ht="14.25" customHeight="1"/>
    <row r="10930" ht="14.25" customHeight="1"/>
    <row r="10931" ht="14.25" customHeight="1"/>
    <row r="10932" ht="14.25" customHeight="1"/>
    <row r="10933" ht="14.25" customHeight="1"/>
    <row r="10934" ht="14.25" customHeight="1"/>
    <row r="10935" ht="14.25" customHeight="1"/>
    <row r="10936" ht="14.25" customHeight="1"/>
    <row r="10937" ht="14.25" customHeight="1"/>
    <row r="10938" ht="14.25" customHeight="1"/>
    <row r="10939" ht="14.25" customHeight="1"/>
    <row r="10940" ht="14.25" customHeight="1"/>
    <row r="10941" ht="14.25" customHeight="1"/>
    <row r="10942" ht="14.25" customHeight="1"/>
    <row r="10943" ht="14.25" customHeight="1"/>
    <row r="10944" ht="14.25" customHeight="1"/>
    <row r="10945" ht="14.25" customHeight="1"/>
    <row r="10946" ht="14.25" customHeight="1"/>
    <row r="10947" ht="14.25" customHeight="1"/>
    <row r="10948" ht="14.25" customHeight="1"/>
    <row r="10949" ht="14.25" customHeight="1"/>
    <row r="10950" ht="14.25" customHeight="1"/>
    <row r="10951" ht="14.25" customHeight="1"/>
    <row r="10952" ht="14.25" customHeight="1"/>
    <row r="10953" ht="14.25" customHeight="1"/>
    <row r="10954" ht="14.25" customHeight="1"/>
    <row r="10955" ht="14.25" customHeight="1"/>
    <row r="10956" ht="14.25" customHeight="1"/>
    <row r="10957" ht="14.25" customHeight="1"/>
    <row r="10958" ht="14.25" customHeight="1"/>
    <row r="10959" ht="14.25" customHeight="1"/>
    <row r="10960" ht="14.25" customHeight="1"/>
    <row r="10961" ht="14.25" customHeight="1"/>
    <row r="10962" ht="14.25" customHeight="1"/>
    <row r="10963" ht="14.25" customHeight="1"/>
    <row r="10964" ht="14.25" customHeight="1"/>
    <row r="10965" ht="14.25" customHeight="1"/>
    <row r="10966" ht="14.25" customHeight="1"/>
    <row r="10967" ht="14.25" customHeight="1"/>
    <row r="10968" ht="14.25" customHeight="1"/>
    <row r="10969" ht="14.25" customHeight="1"/>
    <row r="10970" ht="14.25" customHeight="1"/>
    <row r="10971" ht="14.25" customHeight="1"/>
    <row r="10972" ht="14.25" customHeight="1"/>
    <row r="10973" ht="14.25" customHeight="1"/>
    <row r="10974" ht="14.25" customHeight="1"/>
    <row r="10975" ht="14.25" customHeight="1"/>
    <row r="10976" ht="14.25" customHeight="1"/>
    <row r="10977" ht="14.25" customHeight="1"/>
    <row r="10978" ht="14.25" customHeight="1"/>
    <row r="10979" ht="14.25" customHeight="1"/>
    <row r="10980" ht="14.25" customHeight="1"/>
    <row r="10981" ht="14.25" customHeight="1"/>
    <row r="10982" ht="14.25" customHeight="1"/>
    <row r="10983" ht="14.25" customHeight="1"/>
    <row r="10984" ht="14.25" customHeight="1"/>
    <row r="10985" ht="14.25" customHeight="1"/>
    <row r="10986" ht="14.25" customHeight="1"/>
    <row r="10987" ht="14.25" customHeight="1"/>
    <row r="10988" ht="14.25" customHeight="1"/>
    <row r="10989" ht="14.25" customHeight="1"/>
    <row r="10990" ht="14.25" customHeight="1"/>
    <row r="10991" ht="14.25" customHeight="1"/>
    <row r="10992" ht="14.25" customHeight="1"/>
    <row r="10993" ht="14.25" customHeight="1"/>
    <row r="10994" ht="14.25" customHeight="1"/>
    <row r="10995" ht="14.25" customHeight="1"/>
    <row r="10996" ht="14.25" customHeight="1"/>
    <row r="10997" ht="14.25" customHeight="1"/>
    <row r="10998" ht="14.25" customHeight="1"/>
    <row r="10999" ht="14.25" customHeight="1"/>
    <row r="11000" ht="14.25" customHeight="1"/>
    <row r="11001" ht="14.25" customHeight="1"/>
    <row r="11002" ht="14.25" customHeight="1"/>
    <row r="11003" ht="14.25" customHeight="1"/>
    <row r="11004" ht="14.25" customHeight="1"/>
    <row r="11005" ht="14.25" customHeight="1"/>
    <row r="11006" ht="14.25" customHeight="1"/>
    <row r="11007" ht="14.25" customHeight="1"/>
    <row r="11008" ht="14.25" customHeight="1"/>
    <row r="11009" ht="14.25" customHeight="1"/>
    <row r="11010" ht="14.25" customHeight="1"/>
    <row r="11011" ht="14.25" customHeight="1"/>
    <row r="11012" ht="14.25" customHeight="1"/>
    <row r="11013" ht="14.25" customHeight="1"/>
    <row r="11014" ht="14.25" customHeight="1"/>
    <row r="11015" ht="14.25" customHeight="1"/>
    <row r="11016" ht="14.25" customHeight="1"/>
    <row r="11017" ht="14.25" customHeight="1"/>
    <row r="11018" ht="14.25" customHeight="1"/>
    <row r="11019" ht="14.25" customHeight="1"/>
    <row r="11020" ht="14.25" customHeight="1"/>
    <row r="11021" ht="14.25" customHeight="1"/>
    <row r="11022" ht="14.25" customHeight="1"/>
    <row r="11023" ht="14.25" customHeight="1"/>
    <row r="11024" ht="14.25" customHeight="1"/>
    <row r="11025" ht="14.25" customHeight="1"/>
    <row r="11026" ht="14.25" customHeight="1"/>
    <row r="11027" ht="14.25" customHeight="1"/>
    <row r="11028" ht="14.25" customHeight="1"/>
    <row r="11029" ht="14.25" customHeight="1"/>
    <row r="11030" ht="14.25" customHeight="1"/>
    <row r="11031" ht="14.25" customHeight="1"/>
    <row r="11032" ht="14.25" customHeight="1"/>
    <row r="11033" ht="14.25" customHeight="1"/>
    <row r="11034" ht="14.25" customHeight="1"/>
    <row r="11035" ht="14.25" customHeight="1"/>
    <row r="11036" ht="14.25" customHeight="1"/>
    <row r="11037" ht="14.25" customHeight="1"/>
    <row r="11038" ht="14.25" customHeight="1"/>
    <row r="11039" ht="14.25" customHeight="1"/>
    <row r="11040" ht="14.25" customHeight="1"/>
    <row r="11041" ht="14.25" customHeight="1"/>
    <row r="11042" ht="14.25" customHeight="1"/>
    <row r="11043" ht="14.25" customHeight="1"/>
    <row r="11044" ht="14.25" customHeight="1"/>
    <row r="11045" ht="14.25" customHeight="1"/>
    <row r="11046" ht="14.25" customHeight="1"/>
    <row r="11047" ht="14.25" customHeight="1"/>
    <row r="11048" ht="14.25" customHeight="1"/>
    <row r="11049" ht="14.25" customHeight="1"/>
    <row r="11050" ht="14.25" customHeight="1"/>
    <row r="11051" ht="14.25" customHeight="1"/>
    <row r="11052" ht="14.25" customHeight="1"/>
    <row r="11053" ht="14.25" customHeight="1"/>
    <row r="11054" ht="14.25" customHeight="1"/>
    <row r="11055" ht="14.25" customHeight="1"/>
    <row r="11056" ht="14.25" customHeight="1"/>
    <row r="11057" ht="14.25" customHeight="1"/>
    <row r="11058" ht="14.25" customHeight="1"/>
    <row r="11059" ht="14.25" customHeight="1"/>
    <row r="11060" ht="14.25" customHeight="1"/>
    <row r="11061" ht="14.25" customHeight="1"/>
    <row r="11062" ht="14.25" customHeight="1"/>
    <row r="11063" ht="14.25" customHeight="1"/>
    <row r="11064" ht="14.25" customHeight="1"/>
    <row r="11065" ht="14.25" customHeight="1"/>
    <row r="11066" ht="14.25" customHeight="1"/>
    <row r="11067" ht="14.25" customHeight="1"/>
    <row r="11068" ht="14.25" customHeight="1"/>
    <row r="11069" ht="14.25" customHeight="1"/>
    <row r="11070" ht="14.25" customHeight="1"/>
    <row r="11071" ht="14.25" customHeight="1"/>
    <row r="11072" ht="14.25" customHeight="1"/>
    <row r="11073" ht="14.25" customHeight="1"/>
    <row r="11074" ht="14.25" customHeight="1"/>
    <row r="11075" ht="14.25" customHeight="1"/>
    <row r="11076" ht="14.25" customHeight="1"/>
    <row r="11077" ht="14.25" customHeight="1"/>
    <row r="11078" ht="14.25" customHeight="1"/>
    <row r="11079" ht="14.25" customHeight="1"/>
    <row r="11080" ht="14.25" customHeight="1"/>
    <row r="11081" ht="14.25" customHeight="1"/>
    <row r="11082" ht="14.25" customHeight="1"/>
    <row r="11083" ht="14.25" customHeight="1"/>
    <row r="11084" ht="14.25" customHeight="1"/>
    <row r="11085" ht="14.25" customHeight="1"/>
    <row r="11086" ht="14.25" customHeight="1"/>
    <row r="11087" ht="14.25" customHeight="1"/>
    <row r="11088" ht="14.25" customHeight="1"/>
    <row r="11089" ht="14.25" customHeight="1"/>
    <row r="11090" ht="14.25" customHeight="1"/>
    <row r="11091" ht="14.25" customHeight="1"/>
    <row r="11092" ht="14.25" customHeight="1"/>
    <row r="11093" ht="14.25" customHeight="1"/>
    <row r="11094" ht="14.25" customHeight="1"/>
    <row r="11095" ht="14.25" customHeight="1"/>
    <row r="11096" ht="14.25" customHeight="1"/>
    <row r="11097" ht="14.25" customHeight="1"/>
    <row r="11098" ht="14.25" customHeight="1"/>
    <row r="11099" ht="14.25" customHeight="1"/>
    <row r="11100" ht="14.25" customHeight="1"/>
    <row r="11101" ht="14.25" customHeight="1"/>
    <row r="11102" ht="14.25" customHeight="1"/>
    <row r="11103" ht="14.25" customHeight="1"/>
    <row r="11104" ht="14.25" customHeight="1"/>
    <row r="11105" ht="14.25" customHeight="1"/>
    <row r="11106" ht="14.25" customHeight="1"/>
    <row r="11107" ht="14.25" customHeight="1"/>
    <row r="11108" ht="14.25" customHeight="1"/>
    <row r="11109" ht="14.25" customHeight="1"/>
    <row r="11110" ht="14.25" customHeight="1"/>
    <row r="11111" ht="14.25" customHeight="1"/>
    <row r="11112" ht="14.25" customHeight="1"/>
    <row r="11113" ht="14.25" customHeight="1"/>
    <row r="11114" ht="14.25" customHeight="1"/>
    <row r="11115" ht="14.25" customHeight="1"/>
    <row r="11116" ht="14.25" customHeight="1"/>
    <row r="11117" ht="14.25" customHeight="1"/>
    <row r="11118" ht="14.25" customHeight="1"/>
    <row r="11119" ht="14.25" customHeight="1"/>
    <row r="11120" ht="14.25" customHeight="1"/>
    <row r="11121" ht="14.25" customHeight="1"/>
    <row r="11122" ht="14.25" customHeight="1"/>
    <row r="11123" ht="14.25" customHeight="1"/>
    <row r="11124" ht="14.25" customHeight="1"/>
    <row r="11125" ht="14.25" customHeight="1"/>
    <row r="11126" ht="14.25" customHeight="1"/>
    <row r="11127" ht="14.25" customHeight="1"/>
    <row r="11128" ht="14.25" customHeight="1"/>
    <row r="11129" ht="14.25" customHeight="1"/>
    <row r="11130" ht="14.25" customHeight="1"/>
    <row r="11131" ht="14.25" customHeight="1"/>
    <row r="11132" ht="14.25" customHeight="1"/>
    <row r="11133" ht="14.25" customHeight="1"/>
    <row r="11134" ht="14.25" customHeight="1"/>
    <row r="11135" ht="14.25" customHeight="1"/>
    <row r="11136" ht="14.25" customHeight="1"/>
    <row r="11137" ht="14.25" customHeight="1"/>
    <row r="11138" ht="14.25" customHeight="1"/>
    <row r="11139" ht="14.25" customHeight="1"/>
    <row r="11140" ht="14.25" customHeight="1"/>
    <row r="11141" ht="14.25" customHeight="1"/>
    <row r="11142" ht="14.25" customHeight="1"/>
    <row r="11143" ht="14.25" customHeight="1"/>
    <row r="11144" ht="14.25" customHeight="1"/>
    <row r="11145" ht="14.25" customHeight="1"/>
    <row r="11146" ht="14.25" customHeight="1"/>
    <row r="11147" ht="14.25" customHeight="1"/>
    <row r="11148" ht="14.25" customHeight="1"/>
    <row r="11149" ht="14.25" customHeight="1"/>
    <row r="11150" ht="14.25" customHeight="1"/>
    <row r="11151" ht="14.25" customHeight="1"/>
    <row r="11152" ht="14.25" customHeight="1"/>
    <row r="11153" ht="14.25" customHeight="1"/>
    <row r="11154" ht="14.25" customHeight="1"/>
    <row r="11155" ht="14.25" customHeight="1"/>
    <row r="11156" ht="14.25" customHeight="1"/>
    <row r="11157" ht="14.25" customHeight="1"/>
    <row r="11158" ht="14.25" customHeight="1"/>
    <row r="11159" ht="14.25" customHeight="1"/>
    <row r="11160" ht="14.25" customHeight="1"/>
    <row r="11161" ht="14.25" customHeight="1"/>
    <row r="11162" ht="14.25" customHeight="1"/>
    <row r="11163" ht="14.25" customHeight="1"/>
    <row r="11164" ht="14.25" customHeight="1"/>
    <row r="11165" ht="14.25" customHeight="1"/>
    <row r="11166" ht="14.25" customHeight="1"/>
    <row r="11167" ht="14.25" customHeight="1"/>
    <row r="11168" ht="14.25" customHeight="1"/>
    <row r="11169" ht="14.25" customHeight="1"/>
    <row r="11170" ht="14.25" customHeight="1"/>
    <row r="11171" ht="14.25" customHeight="1"/>
    <row r="11172" ht="14.25" customHeight="1"/>
    <row r="11173" ht="14.25" customHeight="1"/>
    <row r="11174" ht="14.25" customHeight="1"/>
    <row r="11175" ht="14.25" customHeight="1"/>
    <row r="11176" ht="14.25" customHeight="1"/>
    <row r="11177" ht="14.25" customHeight="1"/>
    <row r="11178" ht="14.25" customHeight="1"/>
    <row r="11179" ht="14.25" customHeight="1"/>
    <row r="11180" ht="14.25" customHeight="1"/>
    <row r="11181" ht="14.25" customHeight="1"/>
    <row r="11182" ht="14.25" customHeight="1"/>
    <row r="11183" ht="14.25" customHeight="1"/>
    <row r="11184" ht="14.25" customHeight="1"/>
    <row r="11185" ht="14.25" customHeight="1"/>
    <row r="11186" ht="14.25" customHeight="1"/>
    <row r="11187" ht="14.25" customHeight="1"/>
    <row r="11188" ht="14.25" customHeight="1"/>
    <row r="11189" ht="14.25" customHeight="1"/>
    <row r="11190" ht="14.25" customHeight="1"/>
    <row r="11191" ht="14.25" customHeight="1"/>
    <row r="11192" ht="14.25" customHeight="1"/>
    <row r="11193" ht="14.25" customHeight="1"/>
    <row r="11194" ht="14.25" customHeight="1"/>
    <row r="11195" ht="14.25" customHeight="1"/>
    <row r="11196" ht="14.25" customHeight="1"/>
    <row r="11197" ht="14.25" customHeight="1"/>
    <row r="11198" ht="14.25" customHeight="1"/>
    <row r="11199" ht="14.25" customHeight="1"/>
    <row r="11200" ht="14.25" customHeight="1"/>
    <row r="11201" ht="14.25" customHeight="1"/>
    <row r="11202" ht="14.25" customHeight="1"/>
    <row r="11203" ht="14.25" customHeight="1"/>
    <row r="11204" ht="14.25" customHeight="1"/>
    <row r="11205" ht="14.25" customHeight="1"/>
    <row r="11206" ht="14.25" customHeight="1"/>
    <row r="11207" ht="14.25" customHeight="1"/>
    <row r="11208" ht="14.25" customHeight="1"/>
    <row r="11209" ht="14.25" customHeight="1"/>
    <row r="11210" ht="14.25" customHeight="1"/>
    <row r="11211" ht="14.25" customHeight="1"/>
    <row r="11212" ht="14.25" customHeight="1"/>
    <row r="11213" ht="14.25" customHeight="1"/>
    <row r="11214" ht="14.25" customHeight="1"/>
    <row r="11215" ht="14.25" customHeight="1"/>
    <row r="11216" ht="14.25" customHeight="1"/>
    <row r="11217" ht="14.25" customHeight="1"/>
    <row r="11218" ht="14.25" customHeight="1"/>
    <row r="11219" ht="14.25" customHeight="1"/>
    <row r="11220" ht="14.25" customHeight="1"/>
    <row r="11221" ht="14.25" customHeight="1"/>
    <row r="11222" ht="14.25" customHeight="1"/>
    <row r="11223" ht="14.25" customHeight="1"/>
    <row r="11224" ht="14.25" customHeight="1"/>
    <row r="11225" ht="14.25" customHeight="1"/>
    <row r="11226" ht="14.25" customHeight="1"/>
    <row r="11227" ht="14.25" customHeight="1"/>
    <row r="11228" ht="14.25" customHeight="1"/>
    <row r="11229" ht="14.25" customHeight="1"/>
    <row r="11230" ht="14.25" customHeight="1"/>
    <row r="11231" ht="14.25" customHeight="1"/>
    <row r="11232" ht="14.25" customHeight="1"/>
    <row r="11233" ht="14.25" customHeight="1"/>
    <row r="11234" ht="14.25" customHeight="1"/>
    <row r="11235" ht="14.25" customHeight="1"/>
    <row r="11236" ht="14.25" customHeight="1"/>
    <row r="11237" ht="14.25" customHeight="1"/>
    <row r="11238" ht="14.25" customHeight="1"/>
    <row r="11239" ht="14.25" customHeight="1"/>
    <row r="11240" ht="14.25" customHeight="1"/>
    <row r="11241" ht="14.25" customHeight="1"/>
    <row r="11242" ht="14.25" customHeight="1"/>
    <row r="11243" ht="14.25" customHeight="1"/>
    <row r="11244" ht="14.25" customHeight="1"/>
    <row r="11245" ht="14.25" customHeight="1"/>
    <row r="11246" ht="14.25" customHeight="1"/>
    <row r="11247" ht="14.25" customHeight="1"/>
    <row r="11248" ht="14.25" customHeight="1"/>
    <row r="11249" ht="14.25" customHeight="1"/>
    <row r="11250" ht="14.25" customHeight="1"/>
    <row r="11251" ht="14.25" customHeight="1"/>
    <row r="11252" ht="14.25" customHeight="1"/>
    <row r="11253" ht="14.25" customHeight="1"/>
    <row r="11254" ht="14.25" customHeight="1"/>
    <row r="11255" ht="14.25" customHeight="1"/>
    <row r="11256" ht="14.25" customHeight="1"/>
    <row r="11257" ht="14.25" customHeight="1"/>
    <row r="11258" ht="14.25" customHeight="1"/>
    <row r="11259" ht="14.25" customHeight="1"/>
    <row r="11260" ht="14.25" customHeight="1"/>
    <row r="11261" ht="14.25" customHeight="1"/>
    <row r="11262" ht="14.25" customHeight="1"/>
    <row r="11263" ht="14.25" customHeight="1"/>
    <row r="11264" ht="14.25" customHeight="1"/>
    <row r="11265" ht="14.25" customHeight="1"/>
    <row r="11266" ht="14.25" customHeight="1"/>
    <row r="11267" ht="14.25" customHeight="1"/>
    <row r="11268" ht="14.25" customHeight="1"/>
    <row r="11269" ht="14.25" customHeight="1"/>
    <row r="11270" ht="14.25" customHeight="1"/>
    <row r="11271" ht="14.25" customHeight="1"/>
    <row r="11272" ht="14.25" customHeight="1"/>
    <row r="11273" ht="14.25" customHeight="1"/>
    <row r="11274" ht="14.25" customHeight="1"/>
    <row r="11275" ht="14.25" customHeight="1"/>
    <row r="11276" ht="14.25" customHeight="1"/>
    <row r="11277" ht="14.25" customHeight="1"/>
    <row r="11278" ht="14.25" customHeight="1"/>
    <row r="11279" ht="14.25" customHeight="1"/>
    <row r="11280" ht="14.25" customHeight="1"/>
    <row r="11281" ht="14.25" customHeight="1"/>
    <row r="11282" ht="14.25" customHeight="1"/>
    <row r="11283" ht="14.25" customHeight="1"/>
    <row r="11284" ht="14.25" customHeight="1"/>
    <row r="11285" ht="14.25" customHeight="1"/>
    <row r="11286" ht="14.25" customHeight="1"/>
    <row r="11287" ht="14.25" customHeight="1"/>
    <row r="11288" ht="14.25" customHeight="1"/>
    <row r="11289" ht="14.25" customHeight="1"/>
    <row r="11290" ht="14.25" customHeight="1"/>
    <row r="11291" ht="14.25" customHeight="1"/>
    <row r="11292" ht="14.25" customHeight="1"/>
    <row r="11293" ht="14.25" customHeight="1"/>
    <row r="11294" ht="14.25" customHeight="1"/>
    <row r="11295" ht="14.25" customHeight="1"/>
    <row r="11296" ht="14.25" customHeight="1"/>
    <row r="11297" ht="14.25" customHeight="1"/>
    <row r="11298" ht="14.25" customHeight="1"/>
    <row r="11299" ht="14.25" customHeight="1"/>
    <row r="11300" ht="14.25" customHeight="1"/>
    <row r="11301" ht="14.25" customHeight="1"/>
    <row r="11302" ht="14.25" customHeight="1"/>
    <row r="11303" ht="14.25" customHeight="1"/>
    <row r="11304" ht="14.25" customHeight="1"/>
    <row r="11305" ht="14.25" customHeight="1"/>
    <row r="11306" ht="14.25" customHeight="1"/>
    <row r="11307" ht="14.25" customHeight="1"/>
    <row r="11308" ht="14.25" customHeight="1"/>
    <row r="11309" ht="14.25" customHeight="1"/>
    <row r="11310" ht="14.25" customHeight="1"/>
    <row r="11311" ht="14.25" customHeight="1"/>
    <row r="11312" ht="14.25" customHeight="1"/>
    <row r="11313" ht="14.25" customHeight="1"/>
    <row r="11314" ht="14.25" customHeight="1"/>
    <row r="11315" ht="14.25" customHeight="1"/>
    <row r="11316" ht="14.25" customHeight="1"/>
    <row r="11317" ht="14.25" customHeight="1"/>
    <row r="11318" ht="14.25" customHeight="1"/>
    <row r="11319" ht="14.25" customHeight="1"/>
    <row r="11320" ht="14.25" customHeight="1"/>
    <row r="11321" ht="14.25" customHeight="1"/>
    <row r="11322" ht="14.25" customHeight="1"/>
    <row r="11323" ht="14.25" customHeight="1"/>
    <row r="11324" ht="14.25" customHeight="1"/>
    <row r="11325" ht="14.25" customHeight="1"/>
    <row r="11326" ht="14.25" customHeight="1"/>
    <row r="11327" ht="14.25" customHeight="1"/>
    <row r="11328" ht="14.25" customHeight="1"/>
    <row r="11329" ht="14.25" customHeight="1"/>
    <row r="11330" ht="14.25" customHeight="1"/>
    <row r="11331" ht="14.25" customHeight="1"/>
    <row r="11332" ht="14.25" customHeight="1"/>
    <row r="11333" ht="14.25" customHeight="1"/>
    <row r="11334" ht="14.25" customHeight="1"/>
    <row r="11335" ht="14.25" customHeight="1"/>
    <row r="11336" ht="14.25" customHeight="1"/>
    <row r="11337" ht="14.25" customHeight="1"/>
    <row r="11338" ht="14.25" customHeight="1"/>
    <row r="11339" ht="14.25" customHeight="1"/>
    <row r="11340" ht="14.25" customHeight="1"/>
    <row r="11341" ht="14.25" customHeight="1"/>
    <row r="11342" ht="14.25" customHeight="1"/>
    <row r="11343" ht="14.25" customHeight="1"/>
    <row r="11344" ht="14.25" customHeight="1"/>
    <row r="11345" ht="14.25" customHeight="1"/>
    <row r="11346" ht="14.25" customHeight="1"/>
    <row r="11347" ht="14.25" customHeight="1"/>
    <row r="11348" ht="14.25" customHeight="1"/>
    <row r="11349" ht="14.25" customHeight="1"/>
    <row r="11350" ht="14.25" customHeight="1"/>
    <row r="11351" ht="14.25" customHeight="1"/>
    <row r="11352" ht="14.25" customHeight="1"/>
    <row r="11353" ht="14.25" customHeight="1"/>
    <row r="11354" ht="14.25" customHeight="1"/>
    <row r="11355" ht="14.25" customHeight="1"/>
    <row r="11356" ht="14.25" customHeight="1"/>
    <row r="11357" ht="14.25" customHeight="1"/>
    <row r="11358" ht="14.25" customHeight="1"/>
    <row r="11359" ht="14.25" customHeight="1"/>
    <row r="11360" ht="14.25" customHeight="1"/>
    <row r="11361" ht="14.25" customHeight="1"/>
    <row r="11362" ht="14.25" customHeight="1"/>
    <row r="11363" ht="14.25" customHeight="1"/>
    <row r="11364" ht="14.25" customHeight="1"/>
    <row r="11365" ht="14.25" customHeight="1"/>
    <row r="11366" ht="14.25" customHeight="1"/>
    <row r="11367" ht="14.25" customHeight="1"/>
    <row r="11368" ht="14.25" customHeight="1"/>
    <row r="11369" ht="14.25" customHeight="1"/>
    <row r="11370" ht="14.25" customHeight="1"/>
    <row r="11371" ht="14.25" customHeight="1"/>
    <row r="11372" ht="14.25" customHeight="1"/>
    <row r="11373" ht="14.25" customHeight="1"/>
    <row r="11374" ht="14.25" customHeight="1"/>
    <row r="11375" ht="14.25" customHeight="1"/>
    <row r="11376" ht="14.25" customHeight="1"/>
    <row r="11377" ht="14.25" customHeight="1"/>
    <row r="11378" ht="14.25" customHeight="1"/>
    <row r="11379" ht="14.25" customHeight="1"/>
    <row r="11380" ht="14.25" customHeight="1"/>
    <row r="11381" ht="14.25" customHeight="1"/>
    <row r="11382" ht="14.25" customHeight="1"/>
    <row r="11383" ht="14.25" customHeight="1"/>
    <row r="11384" ht="14.25" customHeight="1"/>
    <row r="11385" ht="14.25" customHeight="1"/>
    <row r="11386" ht="14.25" customHeight="1"/>
    <row r="11387" ht="14.25" customHeight="1"/>
    <row r="11388" ht="14.25" customHeight="1"/>
    <row r="11389" ht="14.25" customHeight="1"/>
    <row r="11390" ht="14.25" customHeight="1"/>
    <row r="11391" ht="14.25" customHeight="1"/>
    <row r="11392" ht="14.25" customHeight="1"/>
    <row r="11393" ht="14.25" customHeight="1"/>
    <row r="11394" ht="14.25" customHeight="1"/>
    <row r="11395" ht="14.25" customHeight="1"/>
    <row r="11396" ht="14.25" customHeight="1"/>
    <row r="11397" ht="14.25" customHeight="1"/>
    <row r="11398" ht="14.25" customHeight="1"/>
    <row r="11399" ht="14.25" customHeight="1"/>
    <row r="11400" ht="14.25" customHeight="1"/>
    <row r="11401" ht="14.25" customHeight="1"/>
    <row r="11402" ht="14.25" customHeight="1"/>
    <row r="11403" ht="14.25" customHeight="1"/>
    <row r="11404" ht="14.25" customHeight="1"/>
    <row r="11405" ht="14.25" customHeight="1"/>
    <row r="11406" ht="14.25" customHeight="1"/>
    <row r="11407" ht="14.25" customHeight="1"/>
    <row r="11408" ht="14.25" customHeight="1"/>
    <row r="11409" ht="14.25" customHeight="1"/>
    <row r="11410" ht="14.25" customHeight="1"/>
    <row r="11411" ht="14.25" customHeight="1"/>
    <row r="11412" ht="14.25" customHeight="1"/>
    <row r="11413" ht="14.25" customHeight="1"/>
    <row r="11414" ht="14.25" customHeight="1"/>
    <row r="11415" ht="14.25" customHeight="1"/>
    <row r="11416" ht="14.25" customHeight="1"/>
    <row r="11417" ht="14.25" customHeight="1"/>
    <row r="11418" ht="14.25" customHeight="1"/>
    <row r="11419" ht="14.25" customHeight="1"/>
    <row r="11420" ht="14.25" customHeight="1"/>
    <row r="11421" ht="14.25" customHeight="1"/>
    <row r="11422" ht="14.25" customHeight="1"/>
    <row r="11423" ht="14.25" customHeight="1"/>
    <row r="11424" ht="14.25" customHeight="1"/>
    <row r="11425" ht="14.25" customHeight="1"/>
    <row r="11426" ht="14.25" customHeight="1"/>
    <row r="11427" ht="14.25" customHeight="1"/>
    <row r="11428" ht="14.25" customHeight="1"/>
    <row r="11429" ht="14.25" customHeight="1"/>
    <row r="11430" ht="14.25" customHeight="1"/>
    <row r="11431" ht="14.25" customHeight="1"/>
    <row r="11432" ht="14.25" customHeight="1"/>
    <row r="11433" ht="14.25" customHeight="1"/>
    <row r="11434" ht="14.25" customHeight="1"/>
    <row r="11435" ht="14.25" customHeight="1"/>
    <row r="11436" ht="14.25" customHeight="1"/>
    <row r="11437" ht="14.25" customHeight="1"/>
    <row r="11438" ht="14.25" customHeight="1"/>
    <row r="11439" ht="14.25" customHeight="1"/>
    <row r="11440" ht="14.25" customHeight="1"/>
    <row r="11441" ht="14.25" customHeight="1"/>
    <row r="11442" ht="14.25" customHeight="1"/>
    <row r="11443" ht="14.25" customHeight="1"/>
    <row r="11444" ht="14.25" customHeight="1"/>
    <row r="11445" ht="14.25" customHeight="1"/>
    <row r="11446" ht="14.25" customHeight="1"/>
    <row r="11447" ht="14.25" customHeight="1"/>
    <row r="11448" ht="14.25" customHeight="1"/>
    <row r="11449" ht="14.25" customHeight="1"/>
    <row r="11450" ht="14.25" customHeight="1"/>
    <row r="11451" ht="14.25" customHeight="1"/>
    <row r="11452" ht="14.25" customHeight="1"/>
    <row r="11453" ht="14.25" customHeight="1"/>
    <row r="11454" ht="14.25" customHeight="1"/>
    <row r="11455" ht="14.25" customHeight="1"/>
    <row r="11456" ht="14.25" customHeight="1"/>
    <row r="11457" ht="14.25" customHeight="1"/>
    <row r="11458" ht="14.25" customHeight="1"/>
    <row r="11459" ht="14.25" customHeight="1"/>
    <row r="11460" ht="14.25" customHeight="1"/>
    <row r="11461" ht="14.25" customHeight="1"/>
    <row r="11462" ht="14.25" customHeight="1"/>
    <row r="11463" ht="14.25" customHeight="1"/>
    <row r="11464" ht="14.25" customHeight="1"/>
    <row r="11465" ht="14.25" customHeight="1"/>
    <row r="11466" ht="14.25" customHeight="1"/>
    <row r="11467" ht="14.25" customHeight="1"/>
    <row r="11468" ht="14.25" customHeight="1"/>
    <row r="11469" ht="14.25" customHeight="1"/>
    <row r="11470" ht="14.25" customHeight="1"/>
    <row r="11471" ht="14.25" customHeight="1"/>
    <row r="11472" ht="14.25" customHeight="1"/>
    <row r="11473" ht="14.25" customHeight="1"/>
    <row r="11474" ht="14.25" customHeight="1"/>
    <row r="11475" ht="14.25" customHeight="1"/>
    <row r="11476" ht="14.25" customHeight="1"/>
    <row r="11477" ht="14.25" customHeight="1"/>
    <row r="11478" ht="14.25" customHeight="1"/>
    <row r="11479" ht="14.25" customHeight="1"/>
    <row r="11480" ht="14.25" customHeight="1"/>
    <row r="11481" ht="14.25" customHeight="1"/>
    <row r="11482" ht="14.25" customHeight="1"/>
    <row r="11483" ht="14.25" customHeight="1"/>
    <row r="11484" ht="14.25" customHeight="1"/>
    <row r="11485" ht="14.25" customHeight="1"/>
    <row r="11486" ht="14.25" customHeight="1"/>
    <row r="11487" ht="14.25" customHeight="1"/>
    <row r="11488" ht="14.25" customHeight="1"/>
    <row r="11489" ht="14.25" customHeight="1"/>
    <row r="11490" ht="14.25" customHeight="1"/>
    <row r="11491" ht="14.25" customHeight="1"/>
    <row r="11492" ht="14.25" customHeight="1"/>
    <row r="11493" ht="14.25" customHeight="1"/>
    <row r="11494" ht="14.25" customHeight="1"/>
    <row r="11495" ht="14.25" customHeight="1"/>
    <row r="11496" ht="14.25" customHeight="1"/>
    <row r="11497" ht="14.25" customHeight="1"/>
    <row r="11498" ht="14.25" customHeight="1"/>
    <row r="11499" ht="14.25" customHeight="1"/>
    <row r="11500" ht="14.25" customHeight="1"/>
    <row r="11501" ht="14.25" customHeight="1"/>
    <row r="11502" ht="14.25" customHeight="1"/>
    <row r="11503" ht="14.25" customHeight="1"/>
    <row r="11504" ht="14.25" customHeight="1"/>
    <row r="11505" ht="14.25" customHeight="1"/>
    <row r="11506" ht="14.25" customHeight="1"/>
    <row r="11507" ht="14.25" customHeight="1"/>
    <row r="11508" ht="14.25" customHeight="1"/>
    <row r="11509" ht="14.25" customHeight="1"/>
    <row r="11510" ht="14.25" customHeight="1"/>
    <row r="11511" ht="14.25" customHeight="1"/>
    <row r="11512" ht="14.25" customHeight="1"/>
    <row r="11513" ht="14.25" customHeight="1"/>
    <row r="11514" ht="14.25" customHeight="1"/>
    <row r="11515" ht="14.25" customHeight="1"/>
    <row r="11516" ht="14.25" customHeight="1"/>
    <row r="11517" ht="14.25" customHeight="1"/>
    <row r="11518" ht="14.25" customHeight="1"/>
    <row r="11519" ht="14.25" customHeight="1"/>
    <row r="11520" ht="14.25" customHeight="1"/>
    <row r="11521" ht="14.25" customHeight="1"/>
    <row r="11522" ht="14.25" customHeight="1"/>
    <row r="11523" ht="14.25" customHeight="1"/>
    <row r="11524" ht="14.25" customHeight="1"/>
    <row r="11525" ht="14.25" customHeight="1"/>
    <row r="11526" ht="14.25" customHeight="1"/>
    <row r="11527" ht="14.25" customHeight="1"/>
    <row r="11528" ht="14.25" customHeight="1"/>
    <row r="11529" ht="14.25" customHeight="1"/>
    <row r="11530" ht="14.25" customHeight="1"/>
    <row r="11531" ht="14.25" customHeight="1"/>
    <row r="11532" ht="14.25" customHeight="1"/>
    <row r="11533" ht="14.25" customHeight="1"/>
    <row r="11534" ht="14.25" customHeight="1"/>
    <row r="11535" ht="14.25" customHeight="1"/>
    <row r="11536" ht="14.25" customHeight="1"/>
    <row r="11537" ht="14.25" customHeight="1"/>
    <row r="11538" ht="14.25" customHeight="1"/>
    <row r="11539" ht="14.25" customHeight="1"/>
    <row r="11540" ht="14.25" customHeight="1"/>
    <row r="11541" ht="14.25" customHeight="1"/>
    <row r="11542" ht="14.25" customHeight="1"/>
    <row r="11543" ht="14.25" customHeight="1"/>
    <row r="11544" ht="14.25" customHeight="1"/>
    <row r="11545" ht="14.25" customHeight="1"/>
    <row r="11546" ht="14.25" customHeight="1"/>
    <row r="11547" ht="14.25" customHeight="1"/>
    <row r="11548" ht="14.25" customHeight="1"/>
    <row r="11549" ht="14.25" customHeight="1"/>
    <row r="11550" ht="14.25" customHeight="1"/>
    <row r="11551" ht="14.25" customHeight="1"/>
    <row r="11552" ht="14.25" customHeight="1"/>
    <row r="11553" ht="14.25" customHeight="1"/>
    <row r="11554" ht="14.25" customHeight="1"/>
    <row r="11555" ht="14.25" customHeight="1"/>
    <row r="11556" ht="14.25" customHeight="1"/>
    <row r="11557" ht="14.25" customHeight="1"/>
    <row r="11558" ht="14.25" customHeight="1"/>
    <row r="11559" ht="14.25" customHeight="1"/>
    <row r="11560" ht="14.25" customHeight="1"/>
    <row r="11561" ht="14.25" customHeight="1"/>
    <row r="11562" ht="14.25" customHeight="1"/>
    <row r="11563" ht="14.25" customHeight="1"/>
    <row r="11564" ht="14.25" customHeight="1"/>
    <row r="11565" ht="14.25" customHeight="1"/>
    <row r="11566" ht="14.25" customHeight="1"/>
    <row r="11567" ht="14.25" customHeight="1"/>
    <row r="11568" ht="14.25" customHeight="1"/>
    <row r="11569" ht="14.25" customHeight="1"/>
    <row r="11570" ht="14.25" customHeight="1"/>
    <row r="11571" ht="14.25" customHeight="1"/>
    <row r="11572" ht="14.25" customHeight="1"/>
    <row r="11573" ht="14.25" customHeight="1"/>
    <row r="11574" ht="14.25" customHeight="1"/>
    <row r="11575" ht="14.25" customHeight="1"/>
    <row r="11576" ht="14.25" customHeight="1"/>
    <row r="11577" ht="14.25" customHeight="1"/>
    <row r="11578" ht="14.25" customHeight="1"/>
    <row r="11579" ht="14.25" customHeight="1"/>
    <row r="11580" ht="14.25" customHeight="1"/>
    <row r="11581" ht="14.25" customHeight="1"/>
    <row r="11582" ht="14.25" customHeight="1"/>
    <row r="11583" ht="14.25" customHeight="1"/>
    <row r="11584" ht="14.25" customHeight="1"/>
    <row r="11585" ht="14.25" customHeight="1"/>
    <row r="11586" ht="14.25" customHeight="1"/>
    <row r="11587" ht="14.25" customHeight="1"/>
    <row r="11588" ht="14.25" customHeight="1"/>
    <row r="11589" ht="14.25" customHeight="1"/>
    <row r="11590" ht="14.25" customHeight="1"/>
    <row r="11591" ht="14.25" customHeight="1"/>
    <row r="11592" ht="14.25" customHeight="1"/>
    <row r="11593" ht="14.25" customHeight="1"/>
    <row r="11594" ht="14.25" customHeight="1"/>
    <row r="11595" ht="14.25" customHeight="1"/>
    <row r="11596" ht="14.25" customHeight="1"/>
    <row r="11597" ht="14.25" customHeight="1"/>
    <row r="11598" ht="14.25" customHeight="1"/>
    <row r="11599" ht="14.25" customHeight="1"/>
    <row r="11600" ht="14.25" customHeight="1"/>
    <row r="11601" ht="14.25" customHeight="1"/>
    <row r="11602" ht="14.25" customHeight="1"/>
    <row r="11603" ht="14.25" customHeight="1"/>
    <row r="11604" ht="14.25" customHeight="1"/>
    <row r="11605" ht="14.25" customHeight="1"/>
    <row r="11606" ht="14.25" customHeight="1"/>
    <row r="11607" ht="14.25" customHeight="1"/>
    <row r="11608" ht="14.25" customHeight="1"/>
    <row r="11609" ht="14.25" customHeight="1"/>
    <row r="11610" ht="14.25" customHeight="1"/>
    <row r="11611" ht="14.25" customHeight="1"/>
    <row r="11612" ht="14.25" customHeight="1"/>
    <row r="11613" ht="14.25" customHeight="1"/>
    <row r="11614" ht="14.25" customHeight="1"/>
    <row r="11615" ht="14.25" customHeight="1"/>
    <row r="11616" ht="14.25" customHeight="1"/>
    <row r="11617" ht="14.25" customHeight="1"/>
    <row r="11618" ht="14.25" customHeight="1"/>
    <row r="11619" ht="14.25" customHeight="1"/>
    <row r="11620" ht="14.25" customHeight="1"/>
    <row r="11621" ht="14.25" customHeight="1"/>
    <row r="11622" ht="14.25" customHeight="1"/>
    <row r="11623" ht="14.25" customHeight="1"/>
    <row r="11624" ht="14.25" customHeight="1"/>
    <row r="11625" ht="14.25" customHeight="1"/>
    <row r="11626" ht="14.25" customHeight="1"/>
    <row r="11627" ht="14.25" customHeight="1"/>
    <row r="11628" ht="14.25" customHeight="1"/>
    <row r="11629" ht="14.25" customHeight="1"/>
    <row r="11630" ht="14.25" customHeight="1"/>
    <row r="11631" ht="14.25" customHeight="1"/>
    <row r="11632" ht="14.25" customHeight="1"/>
    <row r="11633" ht="14.25" customHeight="1"/>
    <row r="11634" ht="14.25" customHeight="1"/>
    <row r="11635" ht="14.25" customHeight="1"/>
    <row r="11636" ht="14.25" customHeight="1"/>
    <row r="11637" ht="14.25" customHeight="1"/>
    <row r="11638" ht="14.25" customHeight="1"/>
    <row r="11639" ht="14.25" customHeight="1"/>
    <row r="11640" ht="14.25" customHeight="1"/>
    <row r="11641" ht="14.25" customHeight="1"/>
    <row r="11642" ht="14.25" customHeight="1"/>
    <row r="11643" ht="14.25" customHeight="1"/>
    <row r="11644" ht="14.25" customHeight="1"/>
    <row r="11645" ht="14.25" customHeight="1"/>
    <row r="11646" ht="14.25" customHeight="1"/>
    <row r="11647" ht="14.25" customHeight="1"/>
    <row r="11648" ht="14.25" customHeight="1"/>
    <row r="11649" ht="14.25" customHeight="1"/>
    <row r="11650" ht="14.25" customHeight="1"/>
    <row r="11651" ht="14.25" customHeight="1"/>
    <row r="11652" ht="14.25" customHeight="1"/>
    <row r="11653" ht="14.25" customHeight="1"/>
    <row r="11654" ht="14.25" customHeight="1"/>
    <row r="11655" ht="14.25" customHeight="1"/>
    <row r="11656" ht="14.25" customHeight="1"/>
    <row r="11657" ht="14.25" customHeight="1"/>
    <row r="11658" ht="14.25" customHeight="1"/>
    <row r="11659" ht="14.25" customHeight="1"/>
    <row r="11660" ht="14.25" customHeight="1"/>
    <row r="11661" ht="14.25" customHeight="1"/>
    <row r="11662" ht="14.25" customHeight="1"/>
    <row r="11663" ht="14.25" customHeight="1"/>
    <row r="11664" ht="14.25" customHeight="1"/>
    <row r="11665" ht="14.25" customHeight="1"/>
    <row r="11666" ht="14.25" customHeight="1"/>
    <row r="11667" ht="14.25" customHeight="1"/>
    <row r="11668" ht="14.25" customHeight="1"/>
    <row r="11669" ht="14.25" customHeight="1"/>
    <row r="11670" ht="14.25" customHeight="1"/>
    <row r="11671" ht="14.25" customHeight="1"/>
    <row r="11672" ht="14.25" customHeight="1"/>
    <row r="11673" ht="14.25" customHeight="1"/>
    <row r="11674" ht="14.25" customHeight="1"/>
    <row r="11675" ht="14.25" customHeight="1"/>
    <row r="11676" ht="14.25" customHeight="1"/>
    <row r="11677" ht="14.25" customHeight="1"/>
    <row r="11678" ht="14.25" customHeight="1"/>
    <row r="11679" ht="14.25" customHeight="1"/>
    <row r="11680" ht="14.25" customHeight="1"/>
    <row r="11681" ht="14.25" customHeight="1"/>
    <row r="11682" ht="14.25" customHeight="1"/>
    <row r="11683" ht="14.25" customHeight="1"/>
    <row r="11684" ht="14.25" customHeight="1"/>
    <row r="11685" ht="14.25" customHeight="1"/>
    <row r="11686" ht="14.25" customHeight="1"/>
    <row r="11687" ht="14.25" customHeight="1"/>
    <row r="11688" ht="14.25" customHeight="1"/>
    <row r="11689" ht="14.25" customHeight="1"/>
    <row r="11690" ht="14.25" customHeight="1"/>
    <row r="11691" ht="14.25" customHeight="1"/>
    <row r="11692" ht="14.25" customHeight="1"/>
    <row r="11693" ht="14.25" customHeight="1"/>
    <row r="11694" ht="14.25" customHeight="1"/>
    <row r="11695" ht="14.25" customHeight="1"/>
    <row r="11696" ht="14.25" customHeight="1"/>
    <row r="11697" ht="14.25" customHeight="1"/>
    <row r="11698" ht="14.25" customHeight="1"/>
    <row r="11699" ht="14.25" customHeight="1"/>
    <row r="11700" ht="14.25" customHeight="1"/>
    <row r="11701" ht="14.25" customHeight="1"/>
    <row r="11702" ht="14.25" customHeight="1"/>
    <row r="11703" ht="14.25" customHeight="1"/>
    <row r="11704" ht="14.25" customHeight="1"/>
    <row r="11705" ht="14.25" customHeight="1"/>
    <row r="11706" ht="14.25" customHeight="1"/>
    <row r="11707" ht="14.25" customHeight="1"/>
    <row r="11708" ht="14.25" customHeight="1"/>
    <row r="11709" ht="14.25" customHeight="1"/>
    <row r="11710" ht="14.25" customHeight="1"/>
    <row r="11711" ht="14.25" customHeight="1"/>
    <row r="11712" ht="14.25" customHeight="1"/>
    <row r="11713" ht="14.25" customHeight="1"/>
    <row r="11714" ht="14.25" customHeight="1"/>
    <row r="11715" ht="14.25" customHeight="1"/>
    <row r="11716" ht="14.25" customHeight="1"/>
    <row r="11717" ht="14.25" customHeight="1"/>
    <row r="11718" ht="14.25" customHeight="1"/>
    <row r="11719" ht="14.25" customHeight="1"/>
    <row r="11720" ht="14.25" customHeight="1"/>
    <row r="11721" ht="14.25" customHeight="1"/>
    <row r="11722" ht="14.25" customHeight="1"/>
    <row r="11723" ht="14.25" customHeight="1"/>
    <row r="11724" ht="14.25" customHeight="1"/>
    <row r="11725" ht="14.25" customHeight="1"/>
    <row r="11726" ht="14.25" customHeight="1"/>
    <row r="11727" ht="14.25" customHeight="1"/>
    <row r="11728" ht="14.25" customHeight="1"/>
    <row r="11729" ht="14.25" customHeight="1"/>
    <row r="11730" ht="14.25" customHeight="1"/>
    <row r="11731" ht="14.25" customHeight="1"/>
    <row r="11732" ht="14.25" customHeight="1"/>
    <row r="11733" ht="14.25" customHeight="1"/>
    <row r="11734" ht="14.25" customHeight="1"/>
    <row r="11735" ht="14.25" customHeight="1"/>
    <row r="11736" ht="14.25" customHeight="1"/>
    <row r="11737" ht="14.25" customHeight="1"/>
    <row r="11738" ht="14.25" customHeight="1"/>
    <row r="11739" ht="14.25" customHeight="1"/>
    <row r="11740" ht="14.25" customHeight="1"/>
    <row r="11741" ht="14.25" customHeight="1"/>
    <row r="11742" ht="14.25" customHeight="1"/>
    <row r="11743" ht="14.25" customHeight="1"/>
    <row r="11744" ht="14.25" customHeight="1"/>
    <row r="11745" ht="14.25" customHeight="1"/>
    <row r="11746" ht="14.25" customHeight="1"/>
    <row r="11747" ht="14.25" customHeight="1"/>
    <row r="11748" ht="14.25" customHeight="1"/>
    <row r="11749" ht="14.25" customHeight="1"/>
    <row r="11750" ht="14.25" customHeight="1"/>
    <row r="11751" ht="14.25" customHeight="1"/>
    <row r="11752" ht="14.25" customHeight="1"/>
    <row r="11753" ht="14.25" customHeight="1"/>
    <row r="11754" ht="14.25" customHeight="1"/>
    <row r="11755" ht="14.25" customHeight="1"/>
    <row r="11756" ht="14.25" customHeight="1"/>
    <row r="11757" ht="14.25" customHeight="1"/>
    <row r="11758" ht="14.25" customHeight="1"/>
    <row r="11759" ht="14.25" customHeight="1"/>
    <row r="11760" ht="14.25" customHeight="1"/>
    <row r="11761" ht="14.25" customHeight="1"/>
    <row r="11762" ht="14.25" customHeight="1"/>
    <row r="11763" ht="14.25" customHeight="1"/>
    <row r="11764" ht="14.25" customHeight="1"/>
    <row r="11765" ht="14.25" customHeight="1"/>
    <row r="11766" ht="14.25" customHeight="1"/>
    <row r="11767" ht="14.25" customHeight="1"/>
    <row r="11768" ht="14.25" customHeight="1"/>
    <row r="11769" ht="14.25" customHeight="1"/>
    <row r="11770" ht="14.25" customHeight="1"/>
    <row r="11771" ht="14.25" customHeight="1"/>
    <row r="11772" ht="14.25" customHeight="1"/>
    <row r="11773" ht="14.25" customHeight="1"/>
    <row r="11774" ht="14.25" customHeight="1"/>
    <row r="11775" ht="14.25" customHeight="1"/>
    <row r="11776" ht="14.25" customHeight="1"/>
    <row r="11777" ht="14.25" customHeight="1"/>
    <row r="11778" ht="14.25" customHeight="1"/>
    <row r="11779" ht="14.25" customHeight="1"/>
    <row r="11780" ht="14.25" customHeight="1"/>
    <row r="11781" ht="14.25" customHeight="1"/>
    <row r="11782" ht="14.25" customHeight="1"/>
    <row r="11783" ht="14.25" customHeight="1"/>
    <row r="11784" ht="14.25" customHeight="1"/>
    <row r="11785" ht="14.25" customHeight="1"/>
    <row r="11786" ht="14.25" customHeight="1"/>
    <row r="11787" ht="14.25" customHeight="1"/>
    <row r="11788" ht="14.25" customHeight="1"/>
    <row r="11789" ht="14.25" customHeight="1"/>
    <row r="11790" ht="14.25" customHeight="1"/>
    <row r="11791" ht="14.25" customHeight="1"/>
    <row r="11792" ht="14.25" customHeight="1"/>
    <row r="11793" ht="14.25" customHeight="1"/>
    <row r="11794" ht="14.25" customHeight="1"/>
    <row r="11795" ht="14.25" customHeight="1"/>
    <row r="11796" ht="14.25" customHeight="1"/>
    <row r="11797" ht="14.25" customHeight="1"/>
    <row r="11798" ht="14.25" customHeight="1"/>
    <row r="11799" ht="14.25" customHeight="1"/>
    <row r="11800" ht="14.25" customHeight="1"/>
    <row r="11801" ht="14.25" customHeight="1"/>
    <row r="11802" ht="14.25" customHeight="1"/>
    <row r="11803" ht="14.25" customHeight="1"/>
    <row r="11804" ht="14.25" customHeight="1"/>
    <row r="11805" ht="14.25" customHeight="1"/>
    <row r="11806" ht="14.25" customHeight="1"/>
    <row r="11807" ht="14.25" customHeight="1"/>
    <row r="11808" ht="14.25" customHeight="1"/>
    <row r="11809" ht="14.25" customHeight="1"/>
    <row r="11810" ht="14.25" customHeight="1"/>
    <row r="11811" ht="14.25" customHeight="1"/>
    <row r="11812" ht="14.25" customHeight="1"/>
    <row r="11813" ht="14.25" customHeight="1"/>
    <row r="11814" ht="14.25" customHeight="1"/>
    <row r="11815" ht="14.25" customHeight="1"/>
    <row r="11816" ht="14.25" customHeight="1"/>
    <row r="11817" ht="14.25" customHeight="1"/>
    <row r="11818" ht="14.25" customHeight="1"/>
    <row r="11819" ht="14.25" customHeight="1"/>
    <row r="11820" ht="14.25" customHeight="1"/>
    <row r="11821" ht="14.25" customHeight="1"/>
    <row r="11822" ht="14.25" customHeight="1"/>
    <row r="11823" ht="14.25" customHeight="1"/>
    <row r="11824" ht="14.25" customHeight="1"/>
    <row r="11825" ht="14.25" customHeight="1"/>
    <row r="11826" ht="14.25" customHeight="1"/>
    <row r="11827" ht="14.25" customHeight="1"/>
    <row r="11828" ht="14.25" customHeight="1"/>
    <row r="11829" ht="14.25" customHeight="1"/>
    <row r="11830" ht="14.25" customHeight="1"/>
    <row r="11831" ht="14.25" customHeight="1"/>
    <row r="11832" ht="14.25" customHeight="1"/>
    <row r="11833" ht="14.25" customHeight="1"/>
    <row r="11834" ht="14.25" customHeight="1"/>
    <row r="11835" ht="14.25" customHeight="1"/>
    <row r="11836" ht="14.25" customHeight="1"/>
    <row r="11837" ht="14.25" customHeight="1"/>
    <row r="11838" ht="14.25" customHeight="1"/>
    <row r="11839" ht="14.25" customHeight="1"/>
    <row r="11840" ht="14.25" customHeight="1"/>
    <row r="11841" ht="14.25" customHeight="1"/>
    <row r="11842" ht="14.25" customHeight="1"/>
    <row r="11843" ht="14.25" customHeight="1"/>
    <row r="11844" ht="14.25" customHeight="1"/>
    <row r="11845" ht="14.25" customHeight="1"/>
    <row r="11846" ht="14.25" customHeight="1"/>
    <row r="11847" ht="14.25" customHeight="1"/>
    <row r="11848" ht="14.25" customHeight="1"/>
    <row r="11849" ht="14.25" customHeight="1"/>
    <row r="11850" ht="14.25" customHeight="1"/>
    <row r="11851" ht="14.25" customHeight="1"/>
    <row r="11852" ht="14.25" customHeight="1"/>
    <row r="11853" ht="14.25" customHeight="1"/>
    <row r="11854" ht="14.25" customHeight="1"/>
    <row r="11855" ht="14.25" customHeight="1"/>
    <row r="11856" ht="14.25" customHeight="1"/>
    <row r="11857" ht="14.25" customHeight="1"/>
    <row r="11858" ht="14.25" customHeight="1"/>
    <row r="11859" ht="14.25" customHeight="1"/>
    <row r="11860" ht="14.25" customHeight="1"/>
    <row r="11861" ht="14.25" customHeight="1"/>
    <row r="11862" ht="14.25" customHeight="1"/>
    <row r="11863" ht="14.25" customHeight="1"/>
    <row r="11864" ht="14.25" customHeight="1"/>
    <row r="11865" ht="14.25" customHeight="1"/>
    <row r="11866" ht="14.25" customHeight="1"/>
    <row r="11867" ht="14.25" customHeight="1"/>
    <row r="11868" ht="14.25" customHeight="1"/>
    <row r="11869" ht="14.25" customHeight="1"/>
    <row r="11870" ht="14.25" customHeight="1"/>
    <row r="11871" ht="14.25" customHeight="1"/>
    <row r="11872" ht="14.25" customHeight="1"/>
    <row r="11873" ht="14.25" customHeight="1"/>
    <row r="11874" ht="14.25" customHeight="1"/>
    <row r="11875" ht="14.25" customHeight="1"/>
    <row r="11876" ht="14.25" customHeight="1"/>
    <row r="11877" ht="14.25" customHeight="1"/>
    <row r="11878" ht="14.25" customHeight="1"/>
    <row r="11879" ht="14.25" customHeight="1"/>
    <row r="11880" ht="14.25" customHeight="1"/>
    <row r="11881" ht="14.25" customHeight="1"/>
    <row r="11882" ht="14.25" customHeight="1"/>
    <row r="11883" ht="14.25" customHeight="1"/>
    <row r="11884" ht="14.25" customHeight="1"/>
    <row r="11885" ht="14.25" customHeight="1"/>
    <row r="11886" ht="14.25" customHeight="1"/>
    <row r="11887" ht="14.25" customHeight="1"/>
    <row r="11888" ht="14.25" customHeight="1"/>
    <row r="11889" ht="14.25" customHeight="1"/>
    <row r="11890" ht="14.25" customHeight="1"/>
    <row r="11891" ht="14.25" customHeight="1"/>
    <row r="11892" ht="14.25" customHeight="1"/>
    <row r="11893" ht="14.25" customHeight="1"/>
    <row r="11894" ht="14.25" customHeight="1"/>
    <row r="11895" ht="14.25" customHeight="1"/>
    <row r="11896" ht="14.25" customHeight="1"/>
    <row r="11897" ht="14.25" customHeight="1"/>
    <row r="11898" ht="14.25" customHeight="1"/>
    <row r="11899" ht="14.25" customHeight="1"/>
    <row r="11900" ht="14.25" customHeight="1"/>
    <row r="11901" ht="14.25" customHeight="1"/>
    <row r="11902" ht="14.25" customHeight="1"/>
    <row r="11903" ht="14.25" customHeight="1"/>
    <row r="11904" ht="14.25" customHeight="1"/>
    <row r="11905" ht="14.25" customHeight="1"/>
    <row r="11906" ht="14.25" customHeight="1"/>
    <row r="11907" ht="14.25" customHeight="1"/>
    <row r="11908" ht="14.25" customHeight="1"/>
    <row r="11909" ht="14.25" customHeight="1"/>
    <row r="11910" ht="14.25" customHeight="1"/>
    <row r="11911" ht="14.25" customHeight="1"/>
    <row r="11912" ht="14.25" customHeight="1"/>
    <row r="11913" ht="14.25" customHeight="1"/>
    <row r="11914" ht="14.25" customHeight="1"/>
    <row r="11915" ht="14.25" customHeight="1"/>
    <row r="11916" ht="14.25" customHeight="1"/>
    <row r="11917" ht="14.25" customHeight="1"/>
    <row r="11918" ht="14.25" customHeight="1"/>
    <row r="11919" ht="14.25" customHeight="1"/>
    <row r="11920" ht="14.25" customHeight="1"/>
    <row r="11921" ht="14.25" customHeight="1"/>
    <row r="11922" ht="14.25" customHeight="1"/>
    <row r="11923" ht="14.25" customHeight="1"/>
    <row r="11924" ht="14.25" customHeight="1"/>
    <row r="11925" ht="14.25" customHeight="1"/>
    <row r="11926" ht="14.25" customHeight="1"/>
    <row r="11927" ht="14.25" customHeight="1"/>
    <row r="11928" ht="14.25" customHeight="1"/>
    <row r="11929" ht="14.25" customHeight="1"/>
    <row r="11930" ht="14.25" customHeight="1"/>
    <row r="11931" ht="14.25" customHeight="1"/>
    <row r="11932" ht="14.25" customHeight="1"/>
    <row r="11933" ht="14.25" customHeight="1"/>
    <row r="11934" ht="14.25" customHeight="1"/>
    <row r="11935" ht="14.25" customHeight="1"/>
    <row r="11936" ht="14.25" customHeight="1"/>
    <row r="11937" ht="14.25" customHeight="1"/>
    <row r="11938" ht="14.25" customHeight="1"/>
    <row r="11939" ht="14.25" customHeight="1"/>
    <row r="11940" ht="14.25" customHeight="1"/>
    <row r="11941" ht="14.25" customHeight="1"/>
    <row r="11942" ht="14.25" customHeight="1"/>
    <row r="11943" ht="14.25" customHeight="1"/>
    <row r="11944" ht="14.25" customHeight="1"/>
    <row r="11945" ht="14.25" customHeight="1"/>
    <row r="11946" ht="14.25" customHeight="1"/>
    <row r="11947" ht="14.25" customHeight="1"/>
    <row r="11948" ht="14.25" customHeight="1"/>
    <row r="11949" ht="14.25" customHeight="1"/>
    <row r="11950" ht="14.25" customHeight="1"/>
    <row r="11951" ht="14.25" customHeight="1"/>
    <row r="11952" ht="14.25" customHeight="1"/>
    <row r="11953" ht="14.25" customHeight="1"/>
    <row r="11954" ht="14.25" customHeight="1"/>
    <row r="11955" ht="14.25" customHeight="1"/>
    <row r="11956" ht="14.25" customHeight="1"/>
    <row r="11957" ht="14.25" customHeight="1"/>
    <row r="11958" ht="14.25" customHeight="1"/>
    <row r="11959" ht="14.25" customHeight="1"/>
    <row r="11960" ht="14.25" customHeight="1"/>
    <row r="11961" ht="14.25" customHeight="1"/>
    <row r="11962" ht="14.25" customHeight="1"/>
    <row r="11963" ht="14.25" customHeight="1"/>
    <row r="11964" ht="14.25" customHeight="1"/>
    <row r="11965" ht="14.25" customHeight="1"/>
    <row r="11966" ht="14.25" customHeight="1"/>
    <row r="11967" ht="14.25" customHeight="1"/>
    <row r="11968" ht="14.25" customHeight="1"/>
    <row r="11969" ht="14.25" customHeight="1"/>
    <row r="11970" ht="14.25" customHeight="1"/>
    <row r="11971" ht="14.25" customHeight="1"/>
    <row r="11972" ht="14.25" customHeight="1"/>
    <row r="11973" ht="14.25" customHeight="1"/>
    <row r="11974" ht="14.25" customHeight="1"/>
    <row r="11975" ht="14.25" customHeight="1"/>
    <row r="11976" ht="14.25" customHeight="1"/>
    <row r="11977" ht="14.25" customHeight="1"/>
    <row r="11978" ht="14.25" customHeight="1"/>
    <row r="11979" ht="14.25" customHeight="1"/>
    <row r="11980" ht="14.25" customHeight="1"/>
    <row r="11981" ht="14.25" customHeight="1"/>
    <row r="11982" ht="14.25" customHeight="1"/>
    <row r="11983" ht="14.25" customHeight="1"/>
    <row r="11984" ht="14.25" customHeight="1"/>
    <row r="11985" ht="14.25" customHeight="1"/>
    <row r="11986" ht="14.25" customHeight="1"/>
    <row r="11987" ht="14.25" customHeight="1"/>
    <row r="11988" ht="14.25" customHeight="1"/>
    <row r="11989" ht="14.25" customHeight="1"/>
    <row r="11990" ht="14.25" customHeight="1"/>
    <row r="11991" ht="14.25" customHeight="1"/>
    <row r="11992" ht="14.25" customHeight="1"/>
    <row r="11993" ht="14.25" customHeight="1"/>
    <row r="11994" ht="14.25" customHeight="1"/>
    <row r="11995" ht="14.25" customHeight="1"/>
    <row r="11996" ht="14.25" customHeight="1"/>
    <row r="11997" ht="14.25" customHeight="1"/>
    <row r="11998" ht="14.25" customHeight="1"/>
    <row r="11999" ht="14.25" customHeight="1"/>
    <row r="12000" ht="14.25" customHeight="1"/>
    <row r="12001" ht="14.25" customHeight="1"/>
    <row r="12002" ht="14.25" customHeight="1"/>
    <row r="12003" ht="14.25" customHeight="1"/>
    <row r="12004" ht="14.25" customHeight="1"/>
    <row r="12005" ht="14.25" customHeight="1"/>
    <row r="12006" ht="14.25" customHeight="1"/>
    <row r="12007" ht="14.25" customHeight="1"/>
    <row r="12008" ht="14.25" customHeight="1"/>
    <row r="12009" ht="14.25" customHeight="1"/>
    <row r="12010" ht="14.25" customHeight="1"/>
    <row r="12011" ht="14.25" customHeight="1"/>
    <row r="12012" ht="14.25" customHeight="1"/>
    <row r="12013" ht="14.25" customHeight="1"/>
    <row r="12014" ht="14.25" customHeight="1"/>
    <row r="12015" ht="14.25" customHeight="1"/>
    <row r="12016" ht="14.25" customHeight="1"/>
    <row r="12017" ht="14.25" customHeight="1"/>
    <row r="12018" ht="14.25" customHeight="1"/>
    <row r="12019" ht="14.25" customHeight="1"/>
    <row r="12020" ht="14.25" customHeight="1"/>
    <row r="12021" ht="14.25" customHeight="1"/>
    <row r="12022" ht="14.25" customHeight="1"/>
    <row r="12023" ht="14.25" customHeight="1"/>
    <row r="12024" ht="14.25" customHeight="1"/>
    <row r="12025" ht="14.25" customHeight="1"/>
    <row r="12026" ht="14.25" customHeight="1"/>
    <row r="12027" ht="14.25" customHeight="1"/>
    <row r="12028" ht="14.25" customHeight="1"/>
    <row r="12029" ht="14.25" customHeight="1"/>
    <row r="12030" ht="14.25" customHeight="1"/>
    <row r="12031" ht="14.25" customHeight="1"/>
    <row r="12032" ht="14.25" customHeight="1"/>
    <row r="12033" ht="14.25" customHeight="1"/>
    <row r="12034" ht="14.25" customHeight="1"/>
    <row r="12035" ht="14.25" customHeight="1"/>
    <row r="12036" ht="14.25" customHeight="1"/>
    <row r="12037" ht="14.25" customHeight="1"/>
    <row r="12038" ht="14.25" customHeight="1"/>
    <row r="12039" ht="14.25" customHeight="1"/>
    <row r="12040" ht="14.25" customHeight="1"/>
    <row r="12041" ht="14.25" customHeight="1"/>
    <row r="12042" ht="14.25" customHeight="1"/>
    <row r="12043" ht="14.25" customHeight="1"/>
    <row r="12044" ht="14.25" customHeight="1"/>
    <row r="12045" ht="14.25" customHeight="1"/>
    <row r="12046" ht="14.25" customHeight="1"/>
    <row r="12047" ht="14.25" customHeight="1"/>
    <row r="12048" ht="14.25" customHeight="1"/>
    <row r="12049" ht="14.25" customHeight="1"/>
    <row r="12050" ht="14.25" customHeight="1"/>
    <row r="12051" ht="14.25" customHeight="1"/>
    <row r="12052" ht="14.25" customHeight="1"/>
    <row r="12053" ht="14.25" customHeight="1"/>
    <row r="12054" ht="14.25" customHeight="1"/>
    <row r="12055" ht="14.25" customHeight="1"/>
    <row r="12056" ht="14.25" customHeight="1"/>
    <row r="12057" ht="14.25" customHeight="1"/>
    <row r="12058" ht="14.25" customHeight="1"/>
    <row r="12059" ht="14.25" customHeight="1"/>
    <row r="12060" ht="14.25" customHeight="1"/>
    <row r="12061" ht="14.25" customHeight="1"/>
    <row r="12062" ht="14.25" customHeight="1"/>
    <row r="12063" ht="14.25" customHeight="1"/>
    <row r="12064" ht="14.25" customHeight="1"/>
    <row r="12065" ht="14.25" customHeight="1"/>
    <row r="12066" ht="14.25" customHeight="1"/>
    <row r="12067" ht="14.25" customHeight="1"/>
    <row r="12068" ht="14.25" customHeight="1"/>
    <row r="12069" ht="14.25" customHeight="1"/>
    <row r="12070" ht="14.25" customHeight="1"/>
    <row r="12071" ht="14.25" customHeight="1"/>
    <row r="12072" ht="14.25" customHeight="1"/>
    <row r="12073" ht="14.25" customHeight="1"/>
    <row r="12074" ht="14.25" customHeight="1"/>
    <row r="12075" ht="14.25" customHeight="1"/>
    <row r="12076" ht="14.25" customHeight="1"/>
    <row r="12077" ht="14.25" customHeight="1"/>
    <row r="12078" ht="14.25" customHeight="1"/>
    <row r="12079" ht="14.25" customHeight="1"/>
    <row r="12080" ht="14.25" customHeight="1"/>
    <row r="12081" ht="14.25" customHeight="1"/>
    <row r="12082" ht="14.25" customHeight="1"/>
    <row r="12083" ht="14.25" customHeight="1"/>
    <row r="12084" ht="14.25" customHeight="1"/>
    <row r="12085" ht="14.25" customHeight="1"/>
    <row r="12086" ht="14.25" customHeight="1"/>
    <row r="12087" ht="14.25" customHeight="1"/>
    <row r="12088" ht="14.25" customHeight="1"/>
    <row r="12089" ht="14.25" customHeight="1"/>
    <row r="12090" ht="14.25" customHeight="1"/>
    <row r="12091" ht="14.25" customHeight="1"/>
    <row r="12092" ht="14.25" customHeight="1"/>
    <row r="12093" ht="14.25" customHeight="1"/>
    <row r="12094" ht="14.25" customHeight="1"/>
    <row r="12095" ht="14.25" customHeight="1"/>
    <row r="12096" ht="14.25" customHeight="1"/>
    <row r="12097" ht="14.25" customHeight="1"/>
    <row r="12098" ht="14.25" customHeight="1"/>
    <row r="12099" ht="14.25" customHeight="1"/>
    <row r="12100" ht="14.25" customHeight="1"/>
    <row r="12101" ht="14.25" customHeight="1"/>
    <row r="12102" ht="14.25" customHeight="1"/>
    <row r="12103" ht="14.25" customHeight="1"/>
    <row r="12104" ht="14.25" customHeight="1"/>
    <row r="12105" ht="14.25" customHeight="1"/>
    <row r="12106" ht="14.25" customHeight="1"/>
    <row r="12107" ht="14.25" customHeight="1"/>
    <row r="12108" ht="14.25" customHeight="1"/>
    <row r="12109" ht="14.25" customHeight="1"/>
    <row r="12110" ht="14.25" customHeight="1"/>
    <row r="12111" ht="14.25" customHeight="1"/>
    <row r="12112" ht="14.25" customHeight="1"/>
    <row r="12113" ht="14.25" customHeight="1"/>
    <row r="12114" ht="14.25" customHeight="1"/>
    <row r="12115" ht="14.25" customHeight="1"/>
    <row r="12116" ht="14.25" customHeight="1"/>
    <row r="12117" ht="14.25" customHeight="1"/>
    <row r="12118" ht="14.25" customHeight="1"/>
    <row r="12119" ht="14.25" customHeight="1"/>
    <row r="12120" ht="14.25" customHeight="1"/>
    <row r="12121" ht="14.25" customHeight="1"/>
    <row r="12122" ht="14.25" customHeight="1"/>
    <row r="12123" ht="14.25" customHeight="1"/>
    <row r="12124" ht="14.25" customHeight="1"/>
    <row r="12125" ht="14.25" customHeight="1"/>
    <row r="12126" ht="14.25" customHeight="1"/>
    <row r="12127" ht="14.25" customHeight="1"/>
    <row r="12128" ht="14.25" customHeight="1"/>
    <row r="12129" ht="14.25" customHeight="1"/>
    <row r="12130" ht="14.25" customHeight="1"/>
    <row r="12131" ht="14.25" customHeight="1"/>
    <row r="12132" ht="14.25" customHeight="1"/>
    <row r="12133" ht="14.25" customHeight="1"/>
    <row r="12134" ht="14.25" customHeight="1"/>
    <row r="12135" ht="14.25" customHeight="1"/>
    <row r="12136" ht="14.25" customHeight="1"/>
    <row r="12137" ht="14.25" customHeight="1"/>
    <row r="12138" ht="14.25" customHeight="1"/>
    <row r="12139" ht="14.25" customHeight="1"/>
    <row r="12140" ht="14.25" customHeight="1"/>
    <row r="12141" ht="14.25" customHeight="1"/>
    <row r="12142" ht="14.25" customHeight="1"/>
    <row r="12143" ht="14.25" customHeight="1"/>
    <row r="12144" ht="14.25" customHeight="1"/>
    <row r="12145" ht="14.25" customHeight="1"/>
    <row r="12146" ht="14.25" customHeight="1"/>
    <row r="12147" ht="14.25" customHeight="1"/>
    <row r="12148" ht="14.25" customHeight="1"/>
    <row r="12149" ht="14.25" customHeight="1"/>
    <row r="12150" ht="14.25" customHeight="1"/>
    <row r="12151" ht="14.25" customHeight="1"/>
    <row r="12152" ht="14.25" customHeight="1"/>
    <row r="12153" ht="14.25" customHeight="1"/>
    <row r="12154" ht="14.25" customHeight="1"/>
    <row r="12155" ht="14.25" customHeight="1"/>
    <row r="12156" ht="14.25" customHeight="1"/>
    <row r="12157" ht="14.25" customHeight="1"/>
    <row r="12158" ht="14.25" customHeight="1"/>
    <row r="12159" ht="14.25" customHeight="1"/>
    <row r="12160" ht="14.25" customHeight="1"/>
    <row r="12161" ht="14.25" customHeight="1"/>
    <row r="12162" ht="14.25" customHeight="1"/>
    <row r="12163" ht="14.25" customHeight="1"/>
    <row r="12164" ht="14.25" customHeight="1"/>
    <row r="12165" ht="14.25" customHeight="1"/>
    <row r="12166" ht="14.25" customHeight="1"/>
    <row r="12167" ht="14.25" customHeight="1"/>
    <row r="12168" ht="14.25" customHeight="1"/>
    <row r="12169" ht="14.25" customHeight="1"/>
    <row r="12170" ht="14.25" customHeight="1"/>
    <row r="12171" ht="14.25" customHeight="1"/>
    <row r="12172" ht="14.25" customHeight="1"/>
    <row r="12173" ht="14.25" customHeight="1"/>
    <row r="12174" ht="14.25" customHeight="1"/>
    <row r="12175" ht="14.25" customHeight="1"/>
    <row r="12176" ht="14.25" customHeight="1"/>
    <row r="12177" ht="14.25" customHeight="1"/>
    <row r="12178" ht="14.25" customHeight="1"/>
    <row r="12179" ht="14.25" customHeight="1"/>
    <row r="12180" ht="14.25" customHeight="1"/>
    <row r="12181" ht="14.25" customHeight="1"/>
    <row r="12182" ht="14.25" customHeight="1"/>
    <row r="12183" ht="14.25" customHeight="1"/>
    <row r="12184" ht="14.25" customHeight="1"/>
    <row r="12185" ht="14.25" customHeight="1"/>
    <row r="12186" ht="14.25" customHeight="1"/>
    <row r="12187" ht="14.25" customHeight="1"/>
    <row r="12188" ht="14.25" customHeight="1"/>
    <row r="12189" ht="14.25" customHeight="1"/>
    <row r="12190" ht="14.25" customHeight="1"/>
    <row r="12191" ht="14.25" customHeight="1"/>
    <row r="12192" ht="14.25" customHeight="1"/>
    <row r="12193" ht="14.25" customHeight="1"/>
    <row r="12194" ht="14.25" customHeight="1"/>
    <row r="12195" ht="14.25" customHeight="1"/>
    <row r="12196" ht="14.25" customHeight="1"/>
    <row r="12197" ht="14.25" customHeight="1"/>
    <row r="12198" ht="14.25" customHeight="1"/>
    <row r="12199" ht="14.25" customHeight="1"/>
    <row r="12200" ht="14.25" customHeight="1"/>
    <row r="12201" ht="14.25" customHeight="1"/>
    <row r="12202" ht="14.25" customHeight="1"/>
    <row r="12203" ht="14.25" customHeight="1"/>
    <row r="12204" ht="14.25" customHeight="1"/>
    <row r="12205" ht="14.25" customHeight="1"/>
    <row r="12206" ht="14.25" customHeight="1"/>
    <row r="12207" ht="14.25" customHeight="1"/>
    <row r="12208" ht="14.25" customHeight="1"/>
    <row r="12209" ht="14.25" customHeight="1"/>
    <row r="12210" ht="14.25" customHeight="1"/>
    <row r="12211" ht="14.25" customHeight="1"/>
    <row r="12212" ht="14.25" customHeight="1"/>
    <row r="12213" ht="14.25" customHeight="1"/>
    <row r="12214" ht="14.25" customHeight="1"/>
    <row r="12215" ht="14.25" customHeight="1"/>
    <row r="12216" ht="14.25" customHeight="1"/>
    <row r="12217" ht="14.25" customHeight="1"/>
    <row r="12218" ht="14.25" customHeight="1"/>
    <row r="12219" ht="14.25" customHeight="1"/>
    <row r="12220" ht="14.25" customHeight="1"/>
    <row r="12221" ht="14.25" customHeight="1"/>
    <row r="12222" ht="14.25" customHeight="1"/>
    <row r="12223" ht="14.25" customHeight="1"/>
    <row r="12224" ht="14.25" customHeight="1"/>
    <row r="12225" ht="14.25" customHeight="1"/>
    <row r="12226" ht="14.25" customHeight="1"/>
    <row r="12227" ht="14.25" customHeight="1"/>
    <row r="12228" ht="14.25" customHeight="1"/>
    <row r="12229" ht="14.25" customHeight="1"/>
    <row r="12230" ht="14.25" customHeight="1"/>
    <row r="12231" ht="14.25" customHeight="1"/>
    <row r="12232" ht="14.25" customHeight="1"/>
    <row r="12233" ht="14.25" customHeight="1"/>
    <row r="12234" ht="14.25" customHeight="1"/>
    <row r="12235" ht="14.25" customHeight="1"/>
    <row r="12236" ht="14.25" customHeight="1"/>
    <row r="12237" ht="14.25" customHeight="1"/>
    <row r="12238" ht="14.25" customHeight="1"/>
    <row r="12239" ht="14.25" customHeight="1"/>
    <row r="12240" ht="14.25" customHeight="1"/>
    <row r="12241" ht="14.25" customHeight="1"/>
    <row r="12242" ht="14.25" customHeight="1"/>
    <row r="12243" ht="14.25" customHeight="1"/>
    <row r="12244" ht="14.25" customHeight="1"/>
    <row r="12245" ht="14.25" customHeight="1"/>
    <row r="12246" ht="14.25" customHeight="1"/>
  </sheetData>
  <sheetProtection formatCells="0"/>
  <printOptions/>
  <pageMargins left="0.7" right="0.7" top="0.75" bottom="0.75" header="0.3" footer="0.3"/>
  <pageSetup useFirstPageNumber="1" fitToHeight="-1" fitToWidth="1" paperSize="5" firstPageNumber="1" scale="59" pageOrder="downThenOver" orientation="landscape"/>
  <headerFooter>
    <oddHeader>&amp;L&amp;C&amp;R</oddHeader>
    <oddFooter>&amp;L&amp;C&amp;R</oddFooter>
  </headerFooter>
  <colBreaks count="1" manualBreakCount="1">
    <brk id="165" man="1" max="16384"/>
  </colBreaks>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3564058E-3323-A824-68E3-2BE317EE8F49}" mc:Ignorable="x14ac xr xr2 xr3">
  <sheetPr>
    <tabColor theme="8" tint="-0.5"/>
  </sheetPr>
  <dimension ref="A1:DK1008"/>
  <sheetViews>
    <sheetView topLeftCell="A1" zoomScale="80" workbookViewId="0">
      <selection activeCell="B3" sqref="B3:B1001"/>
    </sheetView>
  </sheetViews>
  <sheetFormatPr defaultRowHeight="14.497499999999997" defaultColWidth="9.140625" customHeight="1"/>
  <cols>
    <col min="1" max="1" width="20.7109375" customWidth="1"/>
    <col min="2" max="4" width="30.7109375" customWidth="1"/>
    <col min="5" max="29" width="15.7109375" customWidth="1"/>
    <col min="30" max="30" width="2.7109375" customWidth="1"/>
    <col min="31" max="33" width="30.7109375" customWidth="1"/>
    <col min="34" max="46" width="15.7109375" customWidth="1"/>
    <col min="47" max="47" width="2.7109375" customWidth="1"/>
    <col min="48" max="50" width="30.7109375" customWidth="1"/>
    <col min="51" max="63" width="15.7109375" customWidth="1"/>
    <col min="64" max="64" width="2.7109375" customWidth="1"/>
    <col min="65" max="67" width="30.7109375" customWidth="1"/>
    <col min="68" max="80" width="15.7109375" customWidth="1"/>
    <col min="81" max="81" width="2.7109375" customWidth="1"/>
    <col min="82" max="84" width="30.7109375" customWidth="1"/>
    <col min="85" max="97" width="15.7109375" customWidth="1"/>
    <col min="98" max="98" width="2.7109375" customWidth="1"/>
    <col min="99" max="102" width="30.7109375" customWidth="1"/>
    <col min="103" max="103" width="4.57421875" hidden="1" customWidth="1"/>
    <col min="104" max="113" width="14.00390625" customWidth="1"/>
    <col min="114" max="114" width="4.57421875" customWidth="1"/>
  </cols>
  <sheetData>
    <row r="1" ht="33" customHeight="1">
      <c r="AE1" t="s">
        <v>2989</v>
      </c>
      <c r="AV1" t="s">
        <v>2990</v>
      </c>
      <c r="BM1" t="s">
        <v>2991</v>
      </c>
      <c r="CD1" t="s">
        <v>1865</v>
      </c>
      <c r="CU1" t="s">
        <v>1866</v>
      </c>
      <c r="CZ1" t="s">
        <v>1738</v>
      </c>
      <c r="DB1" t="s">
        <v>2992</v>
      </c>
      <c r="DD1" t="s">
        <v>2993</v>
      </c>
      <c r="DF1" t="s">
        <v>2994</v>
      </c>
      <c r="DH1" t="s">
        <v>1865</v>
      </c>
    </row>
    <row r="2" ht="36.75" customHeight="1">
      <c r="A2" t="s">
        <v>2995</v>
      </c>
      <c r="B2" t="s">
        <v>2996</v>
      </c>
      <c r="C2" t="s">
        <v>2997</v>
      </c>
      <c r="D2" t="s">
        <v>2998</v>
      </c>
      <c r="E2" s="1">
        <v>44470</v>
      </c>
      <c r="F2" s="1">
        <v>44501</v>
      </c>
      <c r="G2" s="1">
        <v>44531</v>
      </c>
      <c r="H2" s="1">
        <v>44562</v>
      </c>
      <c r="I2" s="1">
        <v>44593</v>
      </c>
      <c r="J2" s="1">
        <v>44621</v>
      </c>
      <c r="K2" s="1">
        <v>44652</v>
      </c>
      <c r="L2" s="1">
        <v>44682</v>
      </c>
      <c r="M2" s="1">
        <v>44713</v>
      </c>
      <c r="N2" s="1">
        <v>44743</v>
      </c>
      <c r="O2" s="1">
        <v>44774</v>
      </c>
      <c r="P2" s="1">
        <v>44805</v>
      </c>
      <c r="Q2" t="s">
        <v>2999</v>
      </c>
      <c r="R2" t="s">
        <v>1735</v>
      </c>
      <c r="S2" t="s">
        <v>1862</v>
      </c>
      <c r="T2" t="s">
        <v>1736</v>
      </c>
      <c r="U2" t="s">
        <v>1861</v>
      </c>
      <c r="V2" t="s">
        <v>1860</v>
      </c>
      <c r="W2" t="s">
        <v>1737</v>
      </c>
      <c r="X2" t="s">
        <v>1859</v>
      </c>
      <c r="Y2" t="s">
        <v>1858</v>
      </c>
      <c r="Z2" t="s">
        <v>1857</v>
      </c>
      <c r="AA2" t="s">
        <v>1856</v>
      </c>
      <c r="AB2" t="s">
        <v>1855</v>
      </c>
      <c r="AC2" t="s">
        <v>1738</v>
      </c>
      <c r="AE2" t="s">
        <v>3000</v>
      </c>
      <c r="AF2" t="s">
        <v>2997</v>
      </c>
      <c r="AG2" t="s">
        <v>2998</v>
      </c>
      <c r="AH2" s="1">
        <v>44440</v>
      </c>
      <c r="AI2" s="1">
        <v>44470</v>
      </c>
      <c r="AJ2" s="1">
        <v>44501</v>
      </c>
      <c r="AK2" s="1">
        <v>44531</v>
      </c>
      <c r="AL2" s="1">
        <v>44562</v>
      </c>
      <c r="AM2" s="1">
        <v>44593</v>
      </c>
      <c r="AN2" s="1">
        <v>44621</v>
      </c>
      <c r="AO2" s="1">
        <v>44652</v>
      </c>
      <c r="AP2" s="1">
        <v>44682</v>
      </c>
      <c r="AQ2" s="1">
        <v>44713</v>
      </c>
      <c r="AR2" s="1">
        <v>44743</v>
      </c>
      <c r="AS2" s="1">
        <v>44774</v>
      </c>
      <c r="AT2" t="s">
        <v>2999</v>
      </c>
      <c r="AV2" t="s">
        <v>3000</v>
      </c>
      <c r="AW2" t="s">
        <v>2997</v>
      </c>
      <c r="AX2" t="s">
        <v>2998</v>
      </c>
      <c r="AY2" s="1">
        <v>44075</v>
      </c>
      <c r="AZ2" s="1">
        <v>44105</v>
      </c>
      <c r="BA2" s="1">
        <v>44136</v>
      </c>
      <c r="BB2" s="1">
        <v>44166</v>
      </c>
      <c r="BC2" s="1">
        <v>44197</v>
      </c>
      <c r="BD2" s="1">
        <v>44228</v>
      </c>
      <c r="BE2" s="1">
        <v>44256</v>
      </c>
      <c r="BF2" s="1">
        <v>44287</v>
      </c>
      <c r="BG2" s="1">
        <v>44317</v>
      </c>
      <c r="BH2" s="1">
        <v>44348</v>
      </c>
      <c r="BI2" s="1">
        <v>44378</v>
      </c>
      <c r="BJ2" s="1">
        <v>44409</v>
      </c>
      <c r="BK2" t="s">
        <v>2999</v>
      </c>
      <c r="BM2" t="s">
        <v>3000</v>
      </c>
      <c r="BN2" t="s">
        <v>2997</v>
      </c>
      <c r="BO2" t="s">
        <v>2998</v>
      </c>
      <c r="BP2" s="1">
        <v>43709</v>
      </c>
      <c r="BQ2" s="1">
        <v>43739</v>
      </c>
      <c r="BR2" s="1">
        <v>43770</v>
      </c>
      <c r="BS2" s="1">
        <v>43800</v>
      </c>
      <c r="BT2" s="1">
        <v>43831</v>
      </c>
      <c r="BU2" s="1">
        <v>43862</v>
      </c>
      <c r="BV2" s="1">
        <v>43891</v>
      </c>
      <c r="BW2" s="1">
        <v>43922</v>
      </c>
      <c r="BX2" s="1">
        <v>43952</v>
      </c>
      <c r="BY2" s="1">
        <v>43983</v>
      </c>
      <c r="BZ2" s="1">
        <v>44013</v>
      </c>
      <c r="CA2" s="1">
        <v>44044</v>
      </c>
      <c r="CB2" t="s">
        <v>2999</v>
      </c>
      <c r="CD2" t="s">
        <v>3000</v>
      </c>
      <c r="CE2" t="s">
        <v>2997</v>
      </c>
      <c r="CF2" t="s">
        <v>2998</v>
      </c>
      <c r="CG2">
        <v>1</v>
      </c>
      <c r="CH2">
        <v>2</v>
      </c>
      <c r="CI2">
        <v>3</v>
      </c>
      <c r="CJ2">
        <v>4</v>
      </c>
      <c r="CK2">
        <v>5</v>
      </c>
      <c r="CL2">
        <v>6</v>
      </c>
      <c r="CM2">
        <v>7</v>
      </c>
      <c r="CN2">
        <v>8</v>
      </c>
      <c r="CO2">
        <v>9</v>
      </c>
      <c r="CP2">
        <v>10</v>
      </c>
      <c r="CQ2">
        <v>11</v>
      </c>
      <c r="CR2">
        <v>12</v>
      </c>
      <c r="CS2" t="s">
        <v>2999</v>
      </c>
      <c r="CU2" t="s">
        <v>3000</v>
      </c>
      <c r="CV2" t="s">
        <v>3001</v>
      </c>
      <c r="CW2" t="s">
        <v>3002</v>
      </c>
      <c r="CX2" t="s">
        <v>3003</v>
      </c>
      <c r="CZ2" t="s">
        <v>3004</v>
      </c>
      <c r="DA2" t="s">
        <v>3005</v>
      </c>
      <c r="DB2" t="s">
        <v>3004</v>
      </c>
      <c r="DC2" t="s">
        <v>3005</v>
      </c>
      <c r="DD2" t="s">
        <v>3004</v>
      </c>
      <c r="DE2" t="s">
        <v>3005</v>
      </c>
      <c r="DF2" t="s">
        <v>3004</v>
      </c>
      <c r="DG2" t="s">
        <v>3005</v>
      </c>
      <c r="DH2" t="s">
        <v>3004</v>
      </c>
      <c r="DI2" t="s">
        <v>3005</v>
      </c>
    </row>
    <row r="3" ht="15" customHeight="1">
      <c r="B3" t="str">
        <f t="shared" si="2" ref="B3:B1003">IF(C3=0,"",IF(C3="NOI","Operating Statement NOI",C3))</f>
        <v>Gross Potential Rent (GPR)</v>
      </c>
      <c r="C3" t="s">
        <v>1395</v>
      </c>
      <c r="D3" t="s">
        <v>1395</v>
      </c>
      <c r="E3">
        <v>423358</v>
      </c>
      <c r="F3">
        <v>421974</v>
      </c>
      <c r="G3">
        <v>391571</v>
      </c>
      <c r="H3">
        <v>420163</v>
      </c>
      <c r="I3">
        <v>424893</v>
      </c>
      <c r="J3">
        <v>394849</v>
      </c>
      <c r="K3">
        <v>407072</v>
      </c>
      <c r="L3">
        <v>423823</v>
      </c>
      <c r="M3">
        <v>436729</v>
      </c>
      <c r="N3">
        <v>424353</v>
      </c>
      <c r="O3">
        <v>433447</v>
      </c>
      <c r="P3">
        <v>426092</v>
      </c>
      <c r="Q3">
        <v>5028324</v>
      </c>
      <c r="R3">
        <f t="shared" si="3" ref="R3:R1002">P3</f>
        <v>426092</v>
      </c>
      <c r="S3">
        <f t="shared" si="4" ref="S3:S1002">SUM(O3:P3)</f>
        <v>859539</v>
      </c>
      <c r="T3">
        <f t="shared" si="5" ref="T3:T1002">SUM(N3:P3)</f>
        <v>1283892</v>
      </c>
      <c r="U3">
        <f t="shared" si="6" ref="U3:U1002">SUM(M3:P3)</f>
        <v>1720621</v>
      </c>
      <c r="V3">
        <f t="shared" si="7" ref="V3:V1002">SUM(L3:P3)</f>
        <v>2144444</v>
      </c>
      <c r="W3">
        <f t="shared" si="8" ref="W3:W1002">SUM(K3:P3)</f>
        <v>2551516</v>
      </c>
      <c r="X3">
        <f t="shared" si="9" ref="X3:X1002">SUM(J3:P3)</f>
        <v>2946365</v>
      </c>
      <c r="Y3">
        <f t="shared" si="10" ref="Y3:Y1002">SUM(I3:P3)</f>
        <v>3371258</v>
      </c>
      <c r="Z3">
        <f t="shared" si="11" ref="Z3:Z1002">SUM(H3:P3)</f>
        <v>3791421</v>
      </c>
      <c r="AA3">
        <f t="shared" si="12" ref="AA3:AA1002">SUM(G3:P3)</f>
        <v>4182992</v>
      </c>
      <c r="AB3">
        <f t="shared" si="13" ref="AB3:AB1002">SUM(F3:P3)</f>
        <v>4604966</v>
      </c>
      <c r="AC3">
        <f t="shared" si="14" ref="AC3:AC1002">SUM(E3:P3)</f>
        <v>5028324</v>
      </c>
      <c r="AE3">
        <f t="shared" si="0" ref="AE3:CD1003">_xlfn.IFERROR(IF(INDEX($B:$B,MATCH(AG3,$D:$D,0))=0,IF(AF3=0,"",AF3),INDEX($B:$B,MATCH(AG3,$D:$D,0))),IF(AF3=0,"",IF(AF3="NOI","Operating Statement NOI",AF3)))</f>
      </c>
      <c r="AV3">
        <f t="shared" si="15" ref="AV3:AV1003">_xlfn.IFERROR(IF(INDEX($AE:$AE,MATCH(AX3,$AG:$AG,0))=0,IF(AW3=0,"",AW3),INDEX($AE:$AE,MATCH(AX3,$AG:$AG,0))),IF(AW3=0,"",IF(AW3="NOI","Operating Statement NOI",AW3)))</f>
      </c>
      <c r="BM3">
        <f t="shared" si="16" ref="BM3:BM1003">_xlfn.IFERROR(IF(INDEX($AV:$AV,MATCH(BO3,$AX:$AX,0))=0,IF(BN3=0,"",BN3),INDEX($AV:$AV,MATCH(BO3,$AX:$AX,0))),IF(BN3=0,"",IF(BN3="NOI","Operating Statement NOI",BN3)))</f>
      </c>
      <c r="CD3">
        <f t="shared" si="0"/>
      </c>
      <c r="CZ3">
        <f t="shared" si="17" ref="CZ3:CZ1002">_xlfn.IFERROR(AVERAGE(INDIRECT("E"&amp;ROW()):INDIRECT("P"&amp;ROW())),"")</f>
        <v>419027</v>
      </c>
      <c r="DA3">
        <f t="shared" si="1" ref="DA3:DI1002">_xlfn.IFERROR(_xlfn.STDEV.P(INDIRECT("E"&amp;ROW()):INDIRECT("P"&amp;ROW())),"")</f>
        <v>13438.290404660855</v>
      </c>
      <c r="DB3">
        <f t="shared" si="18" ref="DB3:DB1002">_xlfn.IFERROR(AVERAGE(INDIRECT("AH"&amp;ROW()):INDIRECT("AS"&amp;ROW())),"")</f>
      </c>
      <c r="DC3">
        <f t="shared" si="19" ref="DC3:DC1002">_xlfn.IFERROR(_xlfn.STDEV.P(INDIRECT("AH"&amp;ROW()):INDIRECT("AS"&amp;ROW())),"")</f>
      </c>
      <c r="DD3">
        <f t="shared" si="20" ref="DD3:DD1002">_xlfn.IFERROR(AVERAGE(INDIRECT("AY"&amp;ROW()):INDIRECT("BJ"&amp;ROW())),"")</f>
      </c>
      <c r="DE3">
        <f t="shared" si="21" ref="DE3:DE1002">_xlfn.IFERROR(_xlfn.STDEV.P(INDIRECT("AY"&amp;ROW()):INDIRECT("BJ"&amp;ROW())),"")</f>
      </c>
      <c r="DF3">
        <f t="shared" si="22" ref="DF3:DF1002">_xlfn.IFERROR(AVERAGE(INDIRECT("BP"&amp;ROW()):INDIRECT("CA"&amp;ROW())),"")</f>
      </c>
      <c r="DG3">
        <f t="shared" si="23" ref="DG3:DG1002">_xlfn.IFERROR(_xlfn.STDEV.P(INDIRECT("BP"&amp;ROW()):INDIRECT("CA"&amp;ROW())),"")</f>
      </c>
      <c r="DH3">
        <f t="shared" si="24" ref="DH3:DH1002">_xlfn.IFERROR(AVERAGE(INDIRECT("CG"&amp;ROW()):INDIRECT("CR"&amp;ROW())),"")</f>
      </c>
      <c r="DI3">
        <f t="shared" si="1"/>
        <v>13438.290404660855</v>
      </c>
    </row>
    <row r="4" ht="15" customHeight="1">
      <c r="B4" t="str">
        <f t="shared" si="2"/>
        <v>Less Vacancy Loss</v>
      </c>
      <c r="C4" t="s">
        <v>1884</v>
      </c>
      <c r="D4" t="s">
        <v>1884</v>
      </c>
      <c r="E4">
        <v>-15246</v>
      </c>
      <c r="F4">
        <v>-20081</v>
      </c>
      <c r="G4">
        <v>-15238</v>
      </c>
      <c r="H4">
        <v>-23382</v>
      </c>
      <c r="I4">
        <v>-16013</v>
      </c>
      <c r="J4">
        <v>-10561</v>
      </c>
      <c r="K4">
        <v>-5433</v>
      </c>
      <c r="L4">
        <v>-8948</v>
      </c>
      <c r="M4">
        <v>-13393</v>
      </c>
      <c r="N4">
        <v>-12545</v>
      </c>
      <c r="O4">
        <v>-14867</v>
      </c>
      <c r="P4">
        <v>-19131</v>
      </c>
      <c r="Q4">
        <v>-174838</v>
      </c>
      <c r="R4">
        <f t="shared" si="3"/>
        <v>-19131</v>
      </c>
      <c r="S4">
        <f t="shared" si="4"/>
        <v>-33998</v>
      </c>
      <c r="T4">
        <f t="shared" si="5"/>
        <v>-46543</v>
      </c>
      <c r="U4">
        <f t="shared" si="6"/>
        <v>-59936</v>
      </c>
      <c r="V4">
        <f t="shared" si="7"/>
        <v>-68884</v>
      </c>
      <c r="W4">
        <f t="shared" si="8"/>
        <v>-74317</v>
      </c>
      <c r="X4">
        <f t="shared" si="9"/>
        <v>-84878</v>
      </c>
      <c r="Y4">
        <f t="shared" si="10"/>
        <v>-100891</v>
      </c>
      <c r="Z4">
        <f t="shared" si="11"/>
        <v>-124273</v>
      </c>
      <c r="AA4">
        <f t="shared" si="12"/>
        <v>-139511</v>
      </c>
      <c r="AB4">
        <f t="shared" si="13"/>
        <v>-159592</v>
      </c>
      <c r="AC4">
        <f t="shared" si="14"/>
        <v>-174838</v>
      </c>
      <c r="AE4">
        <f t="shared" si="0"/>
      </c>
      <c r="AV4">
        <f t="shared" si="15"/>
      </c>
      <c r="BM4">
        <f t="shared" si="16"/>
      </c>
      <c r="CD4">
        <f t="shared" si="0"/>
      </c>
      <c r="CZ4">
        <f t="shared" si="17"/>
        <v>-14569.833333333334</v>
      </c>
      <c r="DA4">
        <f t="shared" si="1"/>
        <v>4730.649459171072</v>
      </c>
      <c r="DB4">
        <f t="shared" si="18"/>
      </c>
      <c r="DC4">
        <f t="shared" si="19"/>
      </c>
      <c r="DD4">
        <f t="shared" si="20"/>
      </c>
      <c r="DE4">
        <f t="shared" si="21"/>
      </c>
      <c r="DF4">
        <f t="shared" si="22"/>
      </c>
      <c r="DG4">
        <f t="shared" si="23"/>
      </c>
      <c r="DH4">
        <f t="shared" si="24"/>
      </c>
      <c r="DI4">
        <f t="shared" si="1"/>
        <v>4730.649459171072</v>
      </c>
    </row>
    <row r="5" ht="15" customHeight="1">
      <c r="B5" t="str">
        <f t="shared" si="2"/>
        <v>Less Bad Debt</v>
      </c>
      <c r="C5" t="s">
        <v>1885</v>
      </c>
      <c r="D5" t="s">
        <v>1885</v>
      </c>
      <c r="E5">
        <v>21</v>
      </c>
      <c r="F5">
        <v>327</v>
      </c>
      <c r="G5">
        <v>-2555</v>
      </c>
      <c r="H5">
        <v>-6240</v>
      </c>
      <c r="I5">
        <v>-5812</v>
      </c>
      <c r="J5">
        <v>-9388</v>
      </c>
      <c r="K5">
        <v>-8547</v>
      </c>
      <c r="L5">
        <v>-3771</v>
      </c>
      <c r="M5">
        <v>741</v>
      </c>
      <c r="N5">
        <v>-5254</v>
      </c>
      <c r="O5">
        <v>-866</v>
      </c>
      <c r="P5">
        <v>-5010</v>
      </c>
      <c r="Q5">
        <v>-46354</v>
      </c>
      <c r="R5">
        <f t="shared" si="3"/>
        <v>-5010</v>
      </c>
      <c r="S5">
        <f t="shared" si="4"/>
        <v>-5876</v>
      </c>
      <c r="T5">
        <f t="shared" si="5"/>
        <v>-11130</v>
      </c>
      <c r="U5">
        <f t="shared" si="6"/>
        <v>-10389</v>
      </c>
      <c r="V5">
        <f t="shared" si="7"/>
        <v>-14160</v>
      </c>
      <c r="W5">
        <f t="shared" si="8"/>
        <v>-22707</v>
      </c>
      <c r="X5">
        <f t="shared" si="9"/>
        <v>-32095</v>
      </c>
      <c r="Y5">
        <f t="shared" si="10"/>
        <v>-37907</v>
      </c>
      <c r="Z5">
        <f t="shared" si="11"/>
        <v>-44147</v>
      </c>
      <c r="AA5">
        <f t="shared" si="12"/>
        <v>-46702</v>
      </c>
      <c r="AB5">
        <f t="shared" si="13"/>
        <v>-46375</v>
      </c>
      <c r="AC5">
        <f t="shared" si="14"/>
        <v>-46354</v>
      </c>
      <c r="AE5">
        <f t="shared" si="0"/>
      </c>
      <c r="AV5">
        <f t="shared" si="15"/>
      </c>
      <c r="BM5">
        <f t="shared" si="16"/>
      </c>
      <c r="CD5">
        <f t="shared" si="0"/>
      </c>
      <c r="CZ5">
        <f t="shared" si="17"/>
        <v>-3862.8333333333335</v>
      </c>
      <c r="DA5">
        <f t="shared" si="1"/>
        <v>3287.658863926663</v>
      </c>
      <c r="DB5">
        <f t="shared" si="18"/>
      </c>
      <c r="DC5">
        <f t="shared" si="19"/>
      </c>
      <c r="DD5">
        <f t="shared" si="20"/>
      </c>
      <c r="DE5">
        <f t="shared" si="21"/>
      </c>
      <c r="DF5">
        <f t="shared" si="22"/>
      </c>
      <c r="DG5">
        <f t="shared" si="23"/>
      </c>
      <c r="DH5">
        <f t="shared" si="24"/>
      </c>
      <c r="DI5">
        <f t="shared" si="1"/>
        <v>3287.658863926663</v>
      </c>
    </row>
    <row r="6" ht="15" customHeight="1">
      <c r="B6" t="str">
        <f t="shared" si="2"/>
        <v>Other Income (Allowable)</v>
      </c>
      <c r="C6" t="s">
        <v>1896</v>
      </c>
      <c r="D6" t="s">
        <v>3006</v>
      </c>
      <c r="E6">
        <v>-3965</v>
      </c>
      <c r="F6">
        <v>-2012</v>
      </c>
      <c r="G6">
        <v>-252</v>
      </c>
      <c r="H6">
        <v>-269</v>
      </c>
      <c r="I6">
        <v>-257</v>
      </c>
      <c r="J6">
        <v>-531</v>
      </c>
      <c r="K6">
        <v>-266</v>
      </c>
      <c r="L6">
        <v>-252</v>
      </c>
      <c r="M6">
        <v>-269</v>
      </c>
      <c r="N6">
        <v>-536</v>
      </c>
      <c r="O6">
        <v>-656</v>
      </c>
      <c r="P6">
        <v>-251</v>
      </c>
      <c r="Q6">
        <v>-9516</v>
      </c>
      <c r="R6">
        <f t="shared" si="3"/>
        <v>-251</v>
      </c>
      <c r="S6">
        <f t="shared" si="4"/>
        <v>-907</v>
      </c>
      <c r="T6">
        <f t="shared" si="5"/>
        <v>-1443</v>
      </c>
      <c r="U6">
        <f t="shared" si="6"/>
        <v>-1712</v>
      </c>
      <c r="V6">
        <f t="shared" si="7"/>
        <v>-1964</v>
      </c>
      <c r="W6">
        <f t="shared" si="8"/>
        <v>-2230</v>
      </c>
      <c r="X6">
        <f t="shared" si="9"/>
        <v>-2761</v>
      </c>
      <c r="Y6">
        <f t="shared" si="10"/>
        <v>-3018</v>
      </c>
      <c r="Z6">
        <f t="shared" si="11"/>
        <v>-3287</v>
      </c>
      <c r="AA6">
        <f t="shared" si="12"/>
        <v>-3539</v>
      </c>
      <c r="AB6">
        <f t="shared" si="13"/>
        <v>-5551</v>
      </c>
      <c r="AC6">
        <f t="shared" si="14"/>
        <v>-9516</v>
      </c>
      <c r="AE6">
        <f t="shared" si="0"/>
      </c>
      <c r="AV6">
        <f t="shared" si="15"/>
      </c>
      <c r="BM6">
        <f t="shared" si="16"/>
      </c>
      <c r="CD6">
        <f t="shared" si="0"/>
      </c>
      <c r="CZ6">
        <f t="shared" si="17"/>
        <v>-793</v>
      </c>
      <c r="DA6">
        <f t="shared" si="1"/>
        <v>1068.2661185303969</v>
      </c>
      <c r="DB6">
        <f t="shared" si="18"/>
      </c>
      <c r="DC6">
        <f t="shared" si="19"/>
      </c>
      <c r="DD6">
        <f t="shared" si="20"/>
      </c>
      <c r="DE6">
        <f t="shared" si="21"/>
      </c>
      <c r="DF6">
        <f t="shared" si="22"/>
      </c>
      <c r="DG6">
        <f t="shared" si="23"/>
      </c>
      <c r="DH6">
        <f t="shared" si="24"/>
      </c>
      <c r="DI6">
        <f t="shared" si="1"/>
        <v>1068.2661185303969</v>
      </c>
    </row>
    <row r="7" ht="15" customHeight="1">
      <c r="B7" t="str">
        <f t="shared" si="2"/>
        <v>Laundry/Vending Income (Net)</v>
      </c>
      <c r="C7" t="s">
        <v>1891</v>
      </c>
      <c r="D7" t="s">
        <v>1891</v>
      </c>
      <c r="E7">
        <v>3404</v>
      </c>
      <c r="F7">
        <v>0</v>
      </c>
      <c r="G7">
        <v>0</v>
      </c>
      <c r="H7">
        <v>0</v>
      </c>
      <c r="I7">
        <v>2314</v>
      </c>
      <c r="J7">
        <v>7712</v>
      </c>
      <c r="K7">
        <v>4376</v>
      </c>
      <c r="L7">
        <v>2350</v>
      </c>
      <c r="M7">
        <v>2261</v>
      </c>
      <c r="N7">
        <v>2774</v>
      </c>
      <c r="O7">
        <v>2381</v>
      </c>
      <c r="P7">
        <v>2120</v>
      </c>
      <c r="Q7">
        <v>29692</v>
      </c>
      <c r="R7">
        <f t="shared" si="3"/>
        <v>2120</v>
      </c>
      <c r="S7">
        <f t="shared" si="4"/>
        <v>4501</v>
      </c>
      <c r="T7">
        <f t="shared" si="5"/>
        <v>7275</v>
      </c>
      <c r="U7">
        <f t="shared" si="6"/>
        <v>9536</v>
      </c>
      <c r="V7">
        <f t="shared" si="7"/>
        <v>11886</v>
      </c>
      <c r="W7">
        <f t="shared" si="8"/>
        <v>16262</v>
      </c>
      <c r="X7">
        <f t="shared" si="9"/>
        <v>23974</v>
      </c>
      <c r="Y7">
        <f t="shared" si="10"/>
        <v>26288</v>
      </c>
      <c r="Z7">
        <f t="shared" si="11"/>
        <v>26288</v>
      </c>
      <c r="AA7">
        <f t="shared" si="12"/>
        <v>26288</v>
      </c>
      <c r="AB7">
        <f t="shared" si="13"/>
        <v>26288</v>
      </c>
      <c r="AC7">
        <f t="shared" si="14"/>
        <v>29692</v>
      </c>
      <c r="AE7">
        <f t="shared" si="0"/>
      </c>
      <c r="AV7">
        <f t="shared" si="15"/>
      </c>
      <c r="BM7">
        <f t="shared" si="16"/>
      </c>
      <c r="CD7">
        <f t="shared" si="0"/>
      </c>
      <c r="CZ7">
        <f t="shared" si="17"/>
        <v>2474.3333333333335</v>
      </c>
      <c r="DA7">
        <f t="shared" si="1"/>
        <v>2053.2795853355083</v>
      </c>
      <c r="DB7">
        <f t="shared" si="18"/>
      </c>
      <c r="DC7">
        <f t="shared" si="19"/>
      </c>
      <c r="DD7">
        <f t="shared" si="20"/>
      </c>
      <c r="DE7">
        <f t="shared" si="21"/>
      </c>
      <c r="DF7">
        <f t="shared" si="22"/>
      </c>
      <c r="DG7">
        <f t="shared" si="23"/>
      </c>
      <c r="DH7">
        <f t="shared" si="24"/>
      </c>
      <c r="DI7">
        <f t="shared" si="1"/>
        <v>2053.2795853355083</v>
      </c>
    </row>
    <row r="8" ht="15" customHeight="1">
      <c r="B8" t="str">
        <f t="shared" si="2"/>
        <v>RUBS (income line item)</v>
      </c>
      <c r="C8" t="s">
        <v>3007</v>
      </c>
      <c r="D8" t="s">
        <v>3008</v>
      </c>
      <c r="E8">
        <v>-15595</v>
      </c>
      <c r="F8">
        <v>-18456</v>
      </c>
      <c r="G8">
        <v>-16382</v>
      </c>
      <c r="H8">
        <v>-19461</v>
      </c>
      <c r="I8">
        <v>-22641</v>
      </c>
      <c r="J8">
        <v>-26124</v>
      </c>
      <c r="K8">
        <v>-28310</v>
      </c>
      <c r="L8">
        <v>-22430</v>
      </c>
      <c r="M8">
        <v>-22754</v>
      </c>
      <c r="N8">
        <v>-21147</v>
      </c>
      <c r="O8">
        <v>-19374</v>
      </c>
      <c r="P8">
        <v>-22028</v>
      </c>
      <c r="Q8">
        <v>-254702</v>
      </c>
      <c r="R8">
        <f t="shared" si="3"/>
        <v>-22028</v>
      </c>
      <c r="S8">
        <f t="shared" si="4"/>
        <v>-41402</v>
      </c>
      <c r="T8">
        <f t="shared" si="5"/>
        <v>-62549</v>
      </c>
      <c r="U8">
        <f t="shared" si="6"/>
        <v>-85303</v>
      </c>
      <c r="V8">
        <f t="shared" si="7"/>
        <v>-107733</v>
      </c>
      <c r="W8">
        <f t="shared" si="8"/>
        <v>-136043</v>
      </c>
      <c r="X8">
        <f t="shared" si="9"/>
        <v>-162167</v>
      </c>
      <c r="Y8">
        <f t="shared" si="10"/>
        <v>-184808</v>
      </c>
      <c r="Z8">
        <f t="shared" si="11"/>
        <v>-204269</v>
      </c>
      <c r="AA8">
        <f t="shared" si="12"/>
        <v>-220651</v>
      </c>
      <c r="AB8">
        <f t="shared" si="13"/>
        <v>-239107</v>
      </c>
      <c r="AC8">
        <f t="shared" si="14"/>
        <v>-254702</v>
      </c>
      <c r="AE8">
        <f t="shared" si="0"/>
      </c>
      <c r="AV8">
        <f t="shared" si="15"/>
      </c>
      <c r="BM8">
        <f t="shared" si="16"/>
      </c>
      <c r="CD8">
        <f t="shared" si="0"/>
      </c>
      <c r="CZ8">
        <f t="shared" si="17"/>
        <v>-21225.166666666668</v>
      </c>
      <c r="DA8">
        <f t="shared" si="1"/>
        <v>3535.534467689747</v>
      </c>
      <c r="DB8">
        <f t="shared" si="18"/>
      </c>
      <c r="DC8">
        <f t="shared" si="19"/>
      </c>
      <c r="DD8">
        <f t="shared" si="20"/>
      </c>
      <c r="DE8">
        <f t="shared" si="21"/>
      </c>
      <c r="DF8">
        <f t="shared" si="22"/>
      </c>
      <c r="DG8">
        <f t="shared" si="23"/>
      </c>
      <c r="DH8">
        <f t="shared" si="24"/>
      </c>
      <c r="DI8">
        <f t="shared" si="1"/>
        <v>3535.534467689747</v>
      </c>
    </row>
    <row r="9" ht="15" customHeight="1">
      <c r="B9" t="str">
        <f t="shared" si="2"/>
        <v>Other Income (Allowable)</v>
      </c>
      <c r="C9" t="s">
        <v>1896</v>
      </c>
      <c r="D9" t="s">
        <v>1896</v>
      </c>
      <c r="E9">
        <v>1159</v>
      </c>
      <c r="F9">
        <v>739</v>
      </c>
      <c r="G9">
        <v>1159</v>
      </c>
      <c r="H9">
        <v>778</v>
      </c>
      <c r="I9">
        <v>716</v>
      </c>
      <c r="J9">
        <v>3137</v>
      </c>
      <c r="K9">
        <v>1266</v>
      </c>
      <c r="L9">
        <v>2140</v>
      </c>
      <c r="M9">
        <v>1898</v>
      </c>
      <c r="N9">
        <v>1673</v>
      </c>
      <c r="O9">
        <v>1682</v>
      </c>
      <c r="P9">
        <v>2129</v>
      </c>
      <c r="Q9">
        <v>18476</v>
      </c>
      <c r="R9">
        <f t="shared" si="3"/>
        <v>2129</v>
      </c>
      <c r="S9">
        <f t="shared" si="4"/>
        <v>3811</v>
      </c>
      <c r="T9">
        <f t="shared" si="5"/>
        <v>5484</v>
      </c>
      <c r="U9">
        <f t="shared" si="6"/>
        <v>7382</v>
      </c>
      <c r="V9">
        <f t="shared" si="7"/>
        <v>9522</v>
      </c>
      <c r="W9">
        <f t="shared" si="8"/>
        <v>10788</v>
      </c>
      <c r="X9">
        <f t="shared" si="9"/>
        <v>13925</v>
      </c>
      <c r="Y9">
        <f t="shared" si="10"/>
        <v>14641</v>
      </c>
      <c r="Z9">
        <f t="shared" si="11"/>
        <v>15419</v>
      </c>
      <c r="AA9">
        <f t="shared" si="12"/>
        <v>16578</v>
      </c>
      <c r="AB9">
        <f t="shared" si="13"/>
        <v>17317</v>
      </c>
      <c r="AC9">
        <f t="shared" si="14"/>
        <v>18476</v>
      </c>
      <c r="AE9">
        <f t="shared" si="0"/>
      </c>
      <c r="AV9">
        <f t="shared" si="15"/>
      </c>
      <c r="BM9">
        <f t="shared" si="16"/>
      </c>
      <c r="CD9">
        <f t="shared" si="0"/>
      </c>
      <c r="CZ9">
        <f t="shared" si="17"/>
        <v>1539.6666666666667</v>
      </c>
      <c r="DA9">
        <f t="shared" si="1"/>
        <v>688.5954706663574</v>
      </c>
      <c r="DB9">
        <f t="shared" si="18"/>
      </c>
      <c r="DC9">
        <f t="shared" si="19"/>
      </c>
      <c r="DD9">
        <f t="shared" si="20"/>
      </c>
      <c r="DE9">
        <f t="shared" si="21"/>
      </c>
      <c r="DF9">
        <f t="shared" si="22"/>
      </c>
      <c r="DG9">
        <f t="shared" si="23"/>
      </c>
      <c r="DH9">
        <f t="shared" si="24"/>
      </c>
      <c r="DI9">
        <f t="shared" si="1"/>
        <v>688.5954706663574</v>
      </c>
    </row>
    <row r="10" ht="15" customHeight="1">
      <c r="B10" t="str">
        <f t="shared" si="2"/>
        <v>General Administrative</v>
      </c>
      <c r="C10" t="s">
        <v>1933</v>
      </c>
      <c r="D10" t="s">
        <v>1897</v>
      </c>
      <c r="E10">
        <v>2233</v>
      </c>
      <c r="F10">
        <v>3908</v>
      </c>
      <c r="G10">
        <v>1468</v>
      </c>
      <c r="H10">
        <v>4150</v>
      </c>
      <c r="I10">
        <v>2757</v>
      </c>
      <c r="J10">
        <v>2568</v>
      </c>
      <c r="K10">
        <v>1857</v>
      </c>
      <c r="L10">
        <v>2346</v>
      </c>
      <c r="M10">
        <v>3170</v>
      </c>
      <c r="N10">
        <v>3029</v>
      </c>
      <c r="O10">
        <v>2797</v>
      </c>
      <c r="P10">
        <v>1754</v>
      </c>
      <c r="Q10">
        <v>32037</v>
      </c>
      <c r="R10">
        <f t="shared" si="3"/>
        <v>1754</v>
      </c>
      <c r="S10">
        <f t="shared" si="4"/>
        <v>4551</v>
      </c>
      <c r="T10">
        <f t="shared" si="5"/>
        <v>7580</v>
      </c>
      <c r="U10">
        <f t="shared" si="6"/>
        <v>10750</v>
      </c>
      <c r="V10">
        <f t="shared" si="7"/>
        <v>13096</v>
      </c>
      <c r="W10">
        <f t="shared" si="8"/>
        <v>14953</v>
      </c>
      <c r="X10">
        <f t="shared" si="9"/>
        <v>17521</v>
      </c>
      <c r="Y10">
        <f t="shared" si="10"/>
        <v>20278</v>
      </c>
      <c r="Z10">
        <f t="shared" si="11"/>
        <v>24428</v>
      </c>
      <c r="AA10">
        <f t="shared" si="12"/>
        <v>25896</v>
      </c>
      <c r="AB10">
        <f t="shared" si="13"/>
        <v>29804</v>
      </c>
      <c r="AC10">
        <f t="shared" si="14"/>
        <v>32037</v>
      </c>
      <c r="AE10">
        <f t="shared" si="0"/>
      </c>
      <c r="AV10">
        <f t="shared" si="15"/>
      </c>
      <c r="BM10">
        <f t="shared" si="16"/>
      </c>
      <c r="CD10">
        <f t="shared" si="0"/>
      </c>
      <c r="CZ10">
        <f t="shared" si="17"/>
        <v>2669.75</v>
      </c>
      <c r="DA10">
        <f t="shared" si="1"/>
        <v>784.0493314624193</v>
      </c>
      <c r="DB10">
        <f t="shared" si="18"/>
      </c>
      <c r="DC10">
        <f t="shared" si="19"/>
      </c>
      <c r="DD10">
        <f t="shared" si="20"/>
      </c>
      <c r="DE10">
        <f t="shared" si="21"/>
      </c>
      <c r="DF10">
        <f t="shared" si="22"/>
      </c>
      <c r="DG10">
        <f t="shared" si="23"/>
      </c>
      <c r="DH10">
        <f t="shared" si="24"/>
      </c>
      <c r="DI10">
        <f t="shared" si="1"/>
        <v>784.0493314624193</v>
      </c>
    </row>
    <row r="11" ht="15" customHeight="1">
      <c r="B11" t="str">
        <f t="shared" si="2"/>
        <v>Bldg. Maint. &amp; Repair</v>
      </c>
      <c r="C11" t="s">
        <v>1824</v>
      </c>
      <c r="D11" t="s">
        <v>1898</v>
      </c>
      <c r="E11">
        <v>2318</v>
      </c>
      <c r="F11">
        <v>4699</v>
      </c>
      <c r="G11">
        <v>2727</v>
      </c>
      <c r="H11">
        <v>2097</v>
      </c>
      <c r="I11">
        <v>3321</v>
      </c>
      <c r="J11">
        <v>2336</v>
      </c>
      <c r="K11">
        <v>1105</v>
      </c>
      <c r="L11">
        <v>1546</v>
      </c>
      <c r="M11">
        <v>2270</v>
      </c>
      <c r="N11">
        <v>5718</v>
      </c>
      <c r="O11">
        <v>6173</v>
      </c>
      <c r="P11">
        <v>5827</v>
      </c>
      <c r="Q11">
        <v>40137</v>
      </c>
      <c r="R11">
        <f t="shared" si="3"/>
        <v>5827</v>
      </c>
      <c r="S11">
        <f t="shared" si="4"/>
        <v>12000</v>
      </c>
      <c r="T11">
        <f t="shared" si="5"/>
        <v>17718</v>
      </c>
      <c r="U11">
        <f t="shared" si="6"/>
        <v>19988</v>
      </c>
      <c r="V11">
        <f t="shared" si="7"/>
        <v>21534</v>
      </c>
      <c r="W11">
        <f t="shared" si="8"/>
        <v>22639</v>
      </c>
      <c r="X11">
        <f t="shared" si="9"/>
        <v>24975</v>
      </c>
      <c r="Y11">
        <f t="shared" si="10"/>
        <v>28296</v>
      </c>
      <c r="Z11">
        <f t="shared" si="11"/>
        <v>30393</v>
      </c>
      <c r="AA11">
        <f t="shared" si="12"/>
        <v>33120</v>
      </c>
      <c r="AB11">
        <f t="shared" si="13"/>
        <v>37819</v>
      </c>
      <c r="AC11">
        <f t="shared" si="14"/>
        <v>40137</v>
      </c>
      <c r="AE11">
        <f t="shared" si="0"/>
      </c>
      <c r="AV11">
        <f t="shared" si="15"/>
      </c>
      <c r="BM11">
        <f t="shared" si="16"/>
      </c>
      <c r="CD11">
        <f t="shared" si="0"/>
      </c>
      <c r="CZ11">
        <f t="shared" si="17"/>
        <v>3344.75</v>
      </c>
      <c r="DA11">
        <f t="shared" si="1"/>
        <v>1708.9175972429643</v>
      </c>
      <c r="DB11">
        <f t="shared" si="18"/>
      </c>
      <c r="DC11">
        <f t="shared" si="19"/>
      </c>
      <c r="DD11">
        <f t="shared" si="20"/>
      </c>
      <c r="DE11">
        <f t="shared" si="21"/>
      </c>
      <c r="DF11">
        <f t="shared" si="22"/>
      </c>
      <c r="DG11">
        <f t="shared" si="23"/>
      </c>
      <c r="DH11">
        <f t="shared" si="24"/>
      </c>
      <c r="DI11">
        <f t="shared" si="1"/>
        <v>1708.9175972429643</v>
      </c>
    </row>
    <row r="12" ht="15" customHeight="1">
      <c r="B12" t="str">
        <f t="shared" si="2"/>
        <v>General Administrative</v>
      </c>
      <c r="C12" t="s">
        <v>1933</v>
      </c>
      <c r="D12" t="s">
        <v>1899</v>
      </c>
      <c r="E12">
        <v>14684</v>
      </c>
      <c r="F12">
        <v>9163</v>
      </c>
      <c r="G12">
        <v>5186</v>
      </c>
      <c r="H12">
        <v>5867</v>
      </c>
      <c r="I12">
        <v>5632</v>
      </c>
      <c r="J12">
        <v>871</v>
      </c>
      <c r="K12">
        <v>9062</v>
      </c>
      <c r="L12">
        <v>-5056</v>
      </c>
      <c r="M12">
        <v>470</v>
      </c>
      <c r="N12">
        <v>1657</v>
      </c>
      <c r="O12">
        <v>5036</v>
      </c>
      <c r="P12">
        <v>4796</v>
      </c>
      <c r="Q12">
        <v>57368</v>
      </c>
      <c r="R12">
        <f t="shared" si="3"/>
        <v>4796</v>
      </c>
      <c r="S12">
        <f t="shared" si="4"/>
        <v>9832</v>
      </c>
      <c r="T12">
        <f t="shared" si="5"/>
        <v>11489</v>
      </c>
      <c r="U12">
        <f t="shared" si="6"/>
        <v>11959</v>
      </c>
      <c r="V12">
        <f t="shared" si="7"/>
        <v>6903</v>
      </c>
      <c r="W12">
        <f t="shared" si="8"/>
        <v>15965</v>
      </c>
      <c r="X12">
        <f t="shared" si="9"/>
        <v>16836</v>
      </c>
      <c r="Y12">
        <f t="shared" si="10"/>
        <v>22468</v>
      </c>
      <c r="Z12">
        <f t="shared" si="11"/>
        <v>28335</v>
      </c>
      <c r="AA12">
        <f t="shared" si="12"/>
        <v>33521</v>
      </c>
      <c r="AB12">
        <f t="shared" si="13"/>
        <v>42684</v>
      </c>
      <c r="AC12">
        <f t="shared" si="14"/>
        <v>57368</v>
      </c>
      <c r="AE12">
        <f t="shared" si="0"/>
      </c>
      <c r="AV12">
        <f t="shared" si="15"/>
      </c>
      <c r="BM12">
        <f t="shared" si="16"/>
      </c>
      <c r="CD12">
        <f t="shared" si="0"/>
      </c>
      <c r="CZ12">
        <f t="shared" si="17"/>
        <v>4780.666666666667</v>
      </c>
      <c r="DA12">
        <f t="shared" si="1"/>
        <v>4814.301010761814</v>
      </c>
      <c r="DB12">
        <f t="shared" si="18"/>
      </c>
      <c r="DC12">
        <f t="shared" si="19"/>
      </c>
      <c r="DD12">
        <f t="shared" si="20"/>
      </c>
      <c r="DE12">
        <f t="shared" si="21"/>
      </c>
      <c r="DF12">
        <f t="shared" si="22"/>
      </c>
      <c r="DG12">
        <f t="shared" si="23"/>
      </c>
      <c r="DH12">
        <f t="shared" si="24"/>
      </c>
      <c r="DI12">
        <f t="shared" si="1"/>
        <v>4814.301010761814</v>
      </c>
    </row>
    <row r="13" ht="15" customHeight="1">
      <c r="B13" t="str">
        <f t="shared" si="2"/>
        <v>General Administrative</v>
      </c>
      <c r="C13" t="s">
        <v>1933</v>
      </c>
      <c r="D13" t="s">
        <v>1900</v>
      </c>
      <c r="E13">
        <v>578</v>
      </c>
      <c r="F13">
        <v>1045</v>
      </c>
      <c r="G13">
        <v>622</v>
      </c>
      <c r="H13">
        <v>385</v>
      </c>
      <c r="I13">
        <v>203</v>
      </c>
      <c r="J13">
        <v>399</v>
      </c>
      <c r="K13">
        <v>810</v>
      </c>
      <c r="L13">
        <v>981</v>
      </c>
      <c r="M13">
        <v>316</v>
      </c>
      <c r="N13">
        <v>668</v>
      </c>
      <c r="O13">
        <v>2070</v>
      </c>
      <c r="P13">
        <v>1168</v>
      </c>
      <c r="Q13">
        <v>9245</v>
      </c>
      <c r="R13">
        <f t="shared" si="3"/>
        <v>1168</v>
      </c>
      <c r="S13">
        <f t="shared" si="4"/>
        <v>3238</v>
      </c>
      <c r="T13">
        <f t="shared" si="5"/>
        <v>3906</v>
      </c>
      <c r="U13">
        <f t="shared" si="6"/>
        <v>4222</v>
      </c>
      <c r="V13">
        <f t="shared" si="7"/>
        <v>5203</v>
      </c>
      <c r="W13">
        <f t="shared" si="8"/>
        <v>6013</v>
      </c>
      <c r="X13">
        <f t="shared" si="9"/>
        <v>6412</v>
      </c>
      <c r="Y13">
        <f t="shared" si="10"/>
        <v>6615</v>
      </c>
      <c r="Z13">
        <f t="shared" si="11"/>
        <v>7000</v>
      </c>
      <c r="AA13">
        <f t="shared" si="12"/>
        <v>7622</v>
      </c>
      <c r="AB13">
        <f t="shared" si="13"/>
        <v>8667</v>
      </c>
      <c r="AC13">
        <f t="shared" si="14"/>
        <v>9245</v>
      </c>
      <c r="AE13">
        <f t="shared" si="0"/>
      </c>
      <c r="AV13">
        <f t="shared" si="15"/>
      </c>
      <c r="BM13">
        <f t="shared" si="16"/>
      </c>
      <c r="CD13">
        <f t="shared" si="0"/>
      </c>
      <c r="CZ13">
        <f t="shared" si="17"/>
        <v>770.4166666666666</v>
      </c>
      <c r="DA13">
        <f t="shared" si="1"/>
        <v>487.57827719135406</v>
      </c>
      <c r="DB13">
        <f t="shared" si="18"/>
      </c>
      <c r="DC13">
        <f t="shared" si="19"/>
      </c>
      <c r="DD13">
        <f t="shared" si="20"/>
      </c>
      <c r="DE13">
        <f t="shared" si="21"/>
      </c>
      <c r="DF13">
        <f t="shared" si="22"/>
      </c>
      <c r="DG13">
        <f t="shared" si="23"/>
      </c>
      <c r="DH13">
        <f t="shared" si="24"/>
      </c>
      <c r="DI13">
        <f t="shared" si="1"/>
        <v>487.57827719135406</v>
      </c>
    </row>
    <row r="14" ht="15" customHeight="1">
      <c r="B14" t="str">
        <f t="shared" si="2"/>
        <v>Bldg. Maint. &amp; Repair</v>
      </c>
      <c r="C14" t="s">
        <v>1824</v>
      </c>
      <c r="D14" t="s">
        <v>1907</v>
      </c>
      <c r="E14">
        <v>0</v>
      </c>
      <c r="F14">
        <v>0</v>
      </c>
      <c r="G14">
        <v>0</v>
      </c>
      <c r="H14">
        <v>-1</v>
      </c>
      <c r="I14">
        <v>-27</v>
      </c>
      <c r="J14">
        <v>25</v>
      </c>
      <c r="K14">
        <v>-1</v>
      </c>
      <c r="L14">
        <v>-1</v>
      </c>
      <c r="M14">
        <v>23</v>
      </c>
      <c r="N14">
        <v>-1</v>
      </c>
      <c r="O14">
        <v>-1</v>
      </c>
      <c r="P14">
        <v>-1</v>
      </c>
      <c r="Q14">
        <v>15</v>
      </c>
      <c r="R14">
        <f t="shared" si="3"/>
        <v>-1</v>
      </c>
      <c r="S14">
        <f t="shared" si="4"/>
        <v>-2</v>
      </c>
      <c r="T14">
        <f t="shared" si="5"/>
        <v>-3</v>
      </c>
      <c r="U14">
        <f t="shared" si="6"/>
        <v>20</v>
      </c>
      <c r="V14">
        <f t="shared" si="7"/>
        <v>19</v>
      </c>
      <c r="W14">
        <f t="shared" si="8"/>
        <v>18</v>
      </c>
      <c r="X14">
        <f t="shared" si="9"/>
        <v>43</v>
      </c>
      <c r="Y14">
        <f t="shared" si="10"/>
        <v>16</v>
      </c>
      <c r="Z14">
        <f t="shared" si="11"/>
        <v>15</v>
      </c>
      <c r="AA14">
        <f t="shared" si="12"/>
        <v>15</v>
      </c>
      <c r="AB14">
        <f t="shared" si="13"/>
        <v>15</v>
      </c>
      <c r="AC14">
        <f t="shared" si="14"/>
        <v>15</v>
      </c>
      <c r="AE14">
        <f t="shared" si="0"/>
      </c>
      <c r="AV14">
        <f t="shared" si="15"/>
      </c>
      <c r="BM14">
        <f t="shared" si="16"/>
      </c>
      <c r="CD14">
        <f t="shared" si="0"/>
      </c>
      <c r="CZ14">
        <f t="shared" si="17"/>
        <v>1.25</v>
      </c>
      <c r="DA14">
        <f t="shared" si="1"/>
        <v>12.48415662616689</v>
      </c>
      <c r="DB14">
        <f t="shared" si="18"/>
      </c>
      <c r="DC14">
        <f t="shared" si="19"/>
      </c>
      <c r="DD14">
        <f t="shared" si="20"/>
      </c>
      <c r="DE14">
        <f t="shared" si="21"/>
      </c>
      <c r="DF14">
        <f t="shared" si="22"/>
      </c>
      <c r="DG14">
        <f t="shared" si="23"/>
      </c>
      <c r="DH14">
        <f t="shared" si="24"/>
      </c>
      <c r="DI14">
        <f t="shared" si="1"/>
        <v>12.48415662616689</v>
      </c>
    </row>
    <row r="15" ht="15" customHeight="1">
      <c r="B15" t="str">
        <f t="shared" si="2"/>
        <v>Real Estate Taxes</v>
      </c>
      <c r="C15" t="s">
        <v>1800</v>
      </c>
      <c r="D15" t="s">
        <v>1800</v>
      </c>
      <c r="E15">
        <v>86601</v>
      </c>
      <c r="F15">
        <v>86294</v>
      </c>
      <c r="G15">
        <v>87715</v>
      </c>
      <c r="H15">
        <v>84545</v>
      </c>
      <c r="I15">
        <v>88685</v>
      </c>
      <c r="J15">
        <v>81812</v>
      </c>
      <c r="K15">
        <v>85646</v>
      </c>
      <c r="L15">
        <v>51045</v>
      </c>
      <c r="M15">
        <v>88713</v>
      </c>
      <c r="N15">
        <v>85363</v>
      </c>
      <c r="O15">
        <v>89833</v>
      </c>
      <c r="P15">
        <v>89945</v>
      </c>
      <c r="Q15">
        <v>1006197</v>
      </c>
      <c r="R15">
        <f t="shared" si="3"/>
        <v>89945</v>
      </c>
      <c r="S15">
        <f t="shared" si="4"/>
        <v>179778</v>
      </c>
      <c r="T15">
        <f t="shared" si="5"/>
        <v>265141</v>
      </c>
      <c r="U15">
        <f t="shared" si="6"/>
        <v>353854</v>
      </c>
      <c r="V15">
        <f t="shared" si="7"/>
        <v>404899</v>
      </c>
      <c r="W15">
        <f t="shared" si="8"/>
        <v>490545</v>
      </c>
      <c r="X15">
        <f t="shared" si="9"/>
        <v>572357</v>
      </c>
      <c r="Y15">
        <f t="shared" si="10"/>
        <v>661042</v>
      </c>
      <c r="Z15">
        <f t="shared" si="11"/>
        <v>745587</v>
      </c>
      <c r="AA15">
        <f t="shared" si="12"/>
        <v>833302</v>
      </c>
      <c r="AB15">
        <f t="shared" si="13"/>
        <v>919596</v>
      </c>
      <c r="AC15">
        <f t="shared" si="14"/>
        <v>1006197</v>
      </c>
      <c r="AE15">
        <f t="shared" si="0"/>
      </c>
      <c r="AV15">
        <f t="shared" si="15"/>
      </c>
      <c r="BM15">
        <f t="shared" si="16"/>
      </c>
      <c r="CD15">
        <f t="shared" si="0"/>
      </c>
      <c r="CZ15">
        <f t="shared" si="17"/>
        <v>83849.75</v>
      </c>
      <c r="DA15">
        <f t="shared" si="1"/>
        <v>10143.84028302398</v>
      </c>
      <c r="DB15">
        <f t="shared" si="18"/>
      </c>
      <c r="DC15">
        <f t="shared" si="19"/>
      </c>
      <c r="DD15">
        <f t="shared" si="20"/>
      </c>
      <c r="DE15">
        <f t="shared" si="21"/>
      </c>
      <c r="DF15">
        <f t="shared" si="22"/>
      </c>
      <c r="DG15">
        <f t="shared" si="23"/>
      </c>
      <c r="DH15">
        <f t="shared" si="24"/>
      </c>
      <c r="DI15">
        <f t="shared" si="1"/>
        <v>10143.84028302398</v>
      </c>
    </row>
    <row r="16" ht="15" customHeight="1">
      <c r="B16" t="str">
        <f t="shared" si="2"/>
        <v>Property Insurance</v>
      </c>
      <c r="C16" t="s">
        <v>1492</v>
      </c>
      <c r="D16" t="s">
        <v>1492</v>
      </c>
      <c r="E16">
        <v>20044</v>
      </c>
      <c r="F16">
        <v>19561</v>
      </c>
      <c r="G16">
        <v>19710</v>
      </c>
      <c r="H16">
        <v>21201</v>
      </c>
      <c r="I16">
        <v>19488</v>
      </c>
      <c r="J16">
        <v>19483</v>
      </c>
      <c r="K16">
        <v>20639</v>
      </c>
      <c r="L16">
        <v>20929</v>
      </c>
      <c r="M16">
        <v>20958</v>
      </c>
      <c r="N16">
        <v>19855</v>
      </c>
      <c r="O16">
        <v>21378</v>
      </c>
      <c r="P16">
        <v>19847</v>
      </c>
      <c r="Q16">
        <v>243093</v>
      </c>
      <c r="R16">
        <f t="shared" si="3"/>
        <v>19847</v>
      </c>
      <c r="S16">
        <f t="shared" si="4"/>
        <v>41225</v>
      </c>
      <c r="T16">
        <f t="shared" si="5"/>
        <v>61080</v>
      </c>
      <c r="U16">
        <f t="shared" si="6"/>
        <v>82038</v>
      </c>
      <c r="V16">
        <f t="shared" si="7"/>
        <v>102967</v>
      </c>
      <c r="W16">
        <f t="shared" si="8"/>
        <v>123606</v>
      </c>
      <c r="X16">
        <f t="shared" si="9"/>
        <v>143089</v>
      </c>
      <c r="Y16">
        <f t="shared" si="10"/>
        <v>162577</v>
      </c>
      <c r="Z16">
        <f t="shared" si="11"/>
        <v>183778</v>
      </c>
      <c r="AA16">
        <f t="shared" si="12"/>
        <v>203488</v>
      </c>
      <c r="AB16">
        <f t="shared" si="13"/>
        <v>223049</v>
      </c>
      <c r="AC16">
        <f t="shared" si="14"/>
        <v>243093</v>
      </c>
      <c r="AE16">
        <f t="shared" si="0"/>
      </c>
      <c r="AV16">
        <f t="shared" si="15"/>
      </c>
      <c r="BM16">
        <f t="shared" si="16"/>
      </c>
      <c r="CD16">
        <f t="shared" si="0"/>
      </c>
      <c r="CZ16">
        <f t="shared" si="17"/>
        <v>20257.75</v>
      </c>
      <c r="DA16">
        <f t="shared" si="1"/>
        <v>682.2642602638169</v>
      </c>
      <c r="DB16">
        <f t="shared" si="18"/>
      </c>
      <c r="DC16">
        <f t="shared" si="19"/>
      </c>
      <c r="DD16">
        <f t="shared" si="20"/>
      </c>
      <c r="DE16">
        <f t="shared" si="21"/>
      </c>
      <c r="DF16">
        <f t="shared" si="22"/>
      </c>
      <c r="DG16">
        <f t="shared" si="23"/>
      </c>
      <c r="DH16">
        <f t="shared" si="24"/>
      </c>
      <c r="DI16">
        <f t="shared" si="1"/>
        <v>682.2642602638169</v>
      </c>
    </row>
    <row r="17" ht="15" customHeight="1">
      <c r="B17" t="str">
        <f t="shared" si="2"/>
        <v>Licenses</v>
      </c>
      <c r="C17" t="s">
        <v>1911</v>
      </c>
      <c r="D17" t="s">
        <v>1911</v>
      </c>
      <c r="E17">
        <v>0</v>
      </c>
      <c r="F17">
        <v>0</v>
      </c>
      <c r="G17">
        <v>101</v>
      </c>
      <c r="H17">
        <v>0</v>
      </c>
      <c r="I17">
        <v>0</v>
      </c>
      <c r="J17">
        <v>407</v>
      </c>
      <c r="K17">
        <v>856</v>
      </c>
      <c r="L17">
        <v>302</v>
      </c>
      <c r="M17">
        <v>0</v>
      </c>
      <c r="N17">
        <v>904</v>
      </c>
      <c r="O17">
        <v>0</v>
      </c>
      <c r="P17">
        <v>153</v>
      </c>
      <c r="Q17">
        <v>2723</v>
      </c>
      <c r="R17">
        <f t="shared" si="3"/>
        <v>153</v>
      </c>
      <c r="S17">
        <f t="shared" si="4"/>
        <v>153</v>
      </c>
      <c r="T17">
        <f t="shared" si="5"/>
        <v>1057</v>
      </c>
      <c r="U17">
        <f t="shared" si="6"/>
        <v>1057</v>
      </c>
      <c r="V17">
        <f t="shared" si="7"/>
        <v>1359</v>
      </c>
      <c r="W17">
        <f t="shared" si="8"/>
        <v>2215</v>
      </c>
      <c r="X17">
        <f t="shared" si="9"/>
        <v>2622</v>
      </c>
      <c r="Y17">
        <f t="shared" si="10"/>
        <v>2622</v>
      </c>
      <c r="Z17">
        <f t="shared" si="11"/>
        <v>2622</v>
      </c>
      <c r="AA17">
        <f t="shared" si="12"/>
        <v>2723</v>
      </c>
      <c r="AB17">
        <f t="shared" si="13"/>
        <v>2723</v>
      </c>
      <c r="AC17">
        <f t="shared" si="14"/>
        <v>2723</v>
      </c>
      <c r="AE17">
        <f t="shared" si="0"/>
      </c>
      <c r="AV17">
        <f t="shared" si="15"/>
      </c>
      <c r="BM17">
        <f t="shared" si="16"/>
      </c>
      <c r="CD17">
        <f t="shared" si="0"/>
      </c>
      <c r="CZ17">
        <f t="shared" si="17"/>
        <v>226.91666666666666</v>
      </c>
      <c r="DA17">
        <f t="shared" si="1"/>
        <v>319.18136389137067</v>
      </c>
      <c r="DB17">
        <f t="shared" si="18"/>
      </c>
      <c r="DC17">
        <f t="shared" si="19"/>
      </c>
      <c r="DD17">
        <f t="shared" si="20"/>
      </c>
      <c r="DE17">
        <f t="shared" si="21"/>
      </c>
      <c r="DF17">
        <f t="shared" si="22"/>
      </c>
      <c r="DG17">
        <f t="shared" si="23"/>
      </c>
      <c r="DH17">
        <f t="shared" si="24"/>
      </c>
      <c r="DI17">
        <f t="shared" si="1"/>
        <v>319.18136389137067</v>
      </c>
    </row>
    <row r="18" ht="15" customHeight="1">
      <c r="B18" t="str">
        <f t="shared" si="2"/>
        <v>Trash Removal (including contract)</v>
      </c>
      <c r="C18" t="s">
        <v>1914</v>
      </c>
      <c r="D18" t="s">
        <v>1914</v>
      </c>
      <c r="E18">
        <v>51</v>
      </c>
      <c r="F18">
        <v>3419</v>
      </c>
      <c r="G18">
        <v>6723</v>
      </c>
      <c r="H18">
        <v>3468</v>
      </c>
      <c r="I18">
        <v>3569</v>
      </c>
      <c r="J18">
        <v>3432</v>
      </c>
      <c r="K18">
        <v>3507</v>
      </c>
      <c r="L18">
        <v>49</v>
      </c>
      <c r="M18">
        <v>7382</v>
      </c>
      <c r="N18">
        <v>4349</v>
      </c>
      <c r="O18">
        <v>3072</v>
      </c>
      <c r="P18">
        <v>3607</v>
      </c>
      <c r="Q18">
        <v>42628</v>
      </c>
      <c r="R18">
        <f t="shared" si="3"/>
        <v>3607</v>
      </c>
      <c r="S18">
        <f t="shared" si="4"/>
        <v>6679</v>
      </c>
      <c r="T18">
        <f t="shared" si="5"/>
        <v>11028</v>
      </c>
      <c r="U18">
        <f t="shared" si="6"/>
        <v>18410</v>
      </c>
      <c r="V18">
        <f t="shared" si="7"/>
        <v>18459</v>
      </c>
      <c r="W18">
        <f t="shared" si="8"/>
        <v>21966</v>
      </c>
      <c r="X18">
        <f t="shared" si="9"/>
        <v>25398</v>
      </c>
      <c r="Y18">
        <f t="shared" si="10"/>
        <v>28967</v>
      </c>
      <c r="Z18">
        <f t="shared" si="11"/>
        <v>32435</v>
      </c>
      <c r="AA18">
        <f t="shared" si="12"/>
        <v>39158</v>
      </c>
      <c r="AB18">
        <f t="shared" si="13"/>
        <v>42577</v>
      </c>
      <c r="AC18">
        <f t="shared" si="14"/>
        <v>42628</v>
      </c>
      <c r="AE18">
        <f t="shared" si="0"/>
      </c>
      <c r="AV18">
        <f t="shared" si="15"/>
      </c>
      <c r="BM18">
        <f t="shared" si="16"/>
      </c>
      <c r="CD18">
        <f t="shared" si="0"/>
      </c>
      <c r="CZ18">
        <f t="shared" si="17"/>
        <v>3552.3333333333335</v>
      </c>
      <c r="DA18">
        <f t="shared" si="1"/>
        <v>2044.550534686998</v>
      </c>
      <c r="DB18">
        <f t="shared" si="18"/>
      </c>
      <c r="DC18">
        <f t="shared" si="19"/>
      </c>
      <c r="DD18">
        <f t="shared" si="20"/>
      </c>
      <c r="DE18">
        <f t="shared" si="21"/>
      </c>
      <c r="DF18">
        <f t="shared" si="22"/>
      </c>
      <c r="DG18">
        <f t="shared" si="23"/>
      </c>
      <c r="DH18">
        <f t="shared" si="24"/>
      </c>
      <c r="DI18">
        <f t="shared" si="1"/>
        <v>2044.550534686998</v>
      </c>
    </row>
    <row r="19" ht="15" customHeight="1">
      <c r="B19" t="str">
        <f t="shared" si="2"/>
        <v>Gas / Fuel / Other</v>
      </c>
      <c r="C19" t="s">
        <v>1915</v>
      </c>
      <c r="D19" t="s">
        <v>1915</v>
      </c>
      <c r="E19">
        <v>4432</v>
      </c>
      <c r="F19">
        <v>7414</v>
      </c>
      <c r="G19">
        <v>12331</v>
      </c>
      <c r="H19">
        <v>16223</v>
      </c>
      <c r="I19">
        <v>16565</v>
      </c>
      <c r="J19">
        <v>13972</v>
      </c>
      <c r="K19">
        <v>11109</v>
      </c>
      <c r="L19">
        <v>0</v>
      </c>
      <c r="M19">
        <v>17187</v>
      </c>
      <c r="N19">
        <v>7682</v>
      </c>
      <c r="O19">
        <v>304</v>
      </c>
      <c r="P19">
        <v>14036</v>
      </c>
      <c r="Q19">
        <v>121255</v>
      </c>
      <c r="R19">
        <f t="shared" si="3"/>
        <v>14036</v>
      </c>
      <c r="S19">
        <f t="shared" si="4"/>
        <v>14340</v>
      </c>
      <c r="T19">
        <f t="shared" si="5"/>
        <v>22022</v>
      </c>
      <c r="U19">
        <f t="shared" si="6"/>
        <v>39209</v>
      </c>
      <c r="V19">
        <f t="shared" si="7"/>
        <v>39209</v>
      </c>
      <c r="W19">
        <f t="shared" si="8"/>
        <v>50318</v>
      </c>
      <c r="X19">
        <f t="shared" si="9"/>
        <v>64290</v>
      </c>
      <c r="Y19">
        <f t="shared" si="10"/>
        <v>80855</v>
      </c>
      <c r="Z19">
        <f t="shared" si="11"/>
        <v>97078</v>
      </c>
      <c r="AA19">
        <f t="shared" si="12"/>
        <v>109409</v>
      </c>
      <c r="AB19">
        <f t="shared" si="13"/>
        <v>116823</v>
      </c>
      <c r="AC19">
        <f t="shared" si="14"/>
        <v>121255</v>
      </c>
      <c r="AE19">
        <f t="shared" si="0"/>
      </c>
      <c r="AV19">
        <f t="shared" si="15"/>
      </c>
      <c r="BM19">
        <f t="shared" si="16"/>
      </c>
      <c r="CD19">
        <f t="shared" si="0"/>
      </c>
      <c r="CZ19">
        <f t="shared" si="17"/>
        <v>10104.583333333334</v>
      </c>
      <c r="DA19">
        <f t="shared" si="1"/>
        <v>5839.1762612308785</v>
      </c>
      <c r="DB19">
        <f t="shared" si="18"/>
      </c>
      <c r="DC19">
        <f t="shared" si="19"/>
      </c>
      <c r="DD19">
        <f t="shared" si="20"/>
      </c>
      <c r="DE19">
        <f t="shared" si="21"/>
      </c>
      <c r="DF19">
        <f t="shared" si="22"/>
      </c>
      <c r="DG19">
        <f t="shared" si="23"/>
      </c>
      <c r="DH19">
        <f t="shared" si="24"/>
      </c>
      <c r="DI19">
        <f t="shared" si="1"/>
        <v>5839.1762612308785</v>
      </c>
    </row>
    <row r="20" ht="15" customHeight="1">
      <c r="B20" t="str">
        <f t="shared" si="2"/>
        <v>Electricity</v>
      </c>
      <c r="C20" t="s">
        <v>1817</v>
      </c>
      <c r="D20" t="s">
        <v>1817</v>
      </c>
      <c r="E20">
        <v>949</v>
      </c>
      <c r="F20">
        <v>1048</v>
      </c>
      <c r="G20">
        <v>926</v>
      </c>
      <c r="H20">
        <v>952</v>
      </c>
      <c r="I20">
        <v>374</v>
      </c>
      <c r="J20">
        <v>2288</v>
      </c>
      <c r="K20">
        <v>1170</v>
      </c>
      <c r="L20">
        <v>1198</v>
      </c>
      <c r="M20">
        <v>1050</v>
      </c>
      <c r="N20">
        <v>1019</v>
      </c>
      <c r="O20">
        <v>269</v>
      </c>
      <c r="P20">
        <v>2633</v>
      </c>
      <c r="Q20">
        <v>13876</v>
      </c>
      <c r="R20">
        <f t="shared" si="3"/>
        <v>2633</v>
      </c>
      <c r="S20">
        <f t="shared" si="4"/>
        <v>2902</v>
      </c>
      <c r="T20">
        <f t="shared" si="5"/>
        <v>3921</v>
      </c>
      <c r="U20">
        <f t="shared" si="6"/>
        <v>4971</v>
      </c>
      <c r="V20">
        <f t="shared" si="7"/>
        <v>6169</v>
      </c>
      <c r="W20">
        <f t="shared" si="8"/>
        <v>7339</v>
      </c>
      <c r="X20">
        <f t="shared" si="9"/>
        <v>9627</v>
      </c>
      <c r="Y20">
        <f t="shared" si="10"/>
        <v>10001</v>
      </c>
      <c r="Z20">
        <f t="shared" si="11"/>
        <v>10953</v>
      </c>
      <c r="AA20">
        <f t="shared" si="12"/>
        <v>11879</v>
      </c>
      <c r="AB20">
        <f t="shared" si="13"/>
        <v>12927</v>
      </c>
      <c r="AC20">
        <f t="shared" si="14"/>
        <v>13876</v>
      </c>
      <c r="AE20">
        <f t="shared" si="0"/>
      </c>
      <c r="AV20">
        <f t="shared" si="15"/>
      </c>
      <c r="BM20">
        <f t="shared" si="16"/>
      </c>
      <c r="CD20">
        <f t="shared" si="0"/>
      </c>
      <c r="CZ20">
        <f t="shared" si="17"/>
        <v>1156.3333333333333</v>
      </c>
      <c r="DA20">
        <f t="shared" si="1"/>
        <v>648.2179845974312</v>
      </c>
      <c r="DB20">
        <f t="shared" si="18"/>
      </c>
      <c r="DC20">
        <f t="shared" si="19"/>
      </c>
      <c r="DD20">
        <f t="shared" si="20"/>
      </c>
      <c r="DE20">
        <f t="shared" si="21"/>
      </c>
      <c r="DF20">
        <f t="shared" si="22"/>
      </c>
      <c r="DG20">
        <f t="shared" si="23"/>
      </c>
      <c r="DH20">
        <f t="shared" si="24"/>
      </c>
      <c r="DI20">
        <f t="shared" si="1"/>
        <v>648.2179845974312</v>
      </c>
    </row>
    <row r="21" ht="15" customHeight="1">
      <c r="B21" t="str">
        <f t="shared" si="2"/>
        <v>Water &amp; Sewer</v>
      </c>
      <c r="C21" t="s">
        <v>1419</v>
      </c>
      <c r="D21" t="s">
        <v>1419</v>
      </c>
      <c r="E21">
        <v>9150</v>
      </c>
      <c r="F21">
        <v>9023</v>
      </c>
      <c r="G21">
        <v>17831</v>
      </c>
      <c r="H21">
        <v>383</v>
      </c>
      <c r="I21">
        <v>11592</v>
      </c>
      <c r="J21">
        <v>13125</v>
      </c>
      <c r="K21">
        <v>2839</v>
      </c>
      <c r="L21">
        <v>8824</v>
      </c>
      <c r="M21">
        <v>8308</v>
      </c>
      <c r="N21">
        <v>11112</v>
      </c>
      <c r="O21">
        <v>12525</v>
      </c>
      <c r="P21">
        <v>9462</v>
      </c>
      <c r="Q21">
        <v>114174</v>
      </c>
      <c r="R21">
        <f t="shared" si="3"/>
        <v>9462</v>
      </c>
      <c r="S21">
        <f t="shared" si="4"/>
        <v>21987</v>
      </c>
      <c r="T21">
        <f t="shared" si="5"/>
        <v>33099</v>
      </c>
      <c r="U21">
        <f t="shared" si="6"/>
        <v>41407</v>
      </c>
      <c r="V21">
        <f t="shared" si="7"/>
        <v>50231</v>
      </c>
      <c r="W21">
        <f t="shared" si="8"/>
        <v>53070</v>
      </c>
      <c r="X21">
        <f t="shared" si="9"/>
        <v>66195</v>
      </c>
      <c r="Y21">
        <f t="shared" si="10"/>
        <v>77787</v>
      </c>
      <c r="Z21">
        <f t="shared" si="11"/>
        <v>78170</v>
      </c>
      <c r="AA21">
        <f t="shared" si="12"/>
        <v>96001</v>
      </c>
      <c r="AB21">
        <f t="shared" si="13"/>
        <v>105024</v>
      </c>
      <c r="AC21">
        <f t="shared" si="14"/>
        <v>114174</v>
      </c>
      <c r="AE21">
        <f t="shared" si="0"/>
      </c>
      <c r="AV21">
        <f t="shared" si="15"/>
      </c>
      <c r="BM21">
        <f t="shared" si="16"/>
      </c>
      <c r="CD21">
        <f t="shared" si="0"/>
      </c>
      <c r="CZ21">
        <f t="shared" si="17"/>
        <v>9514.5</v>
      </c>
      <c r="DA21">
        <f t="shared" si="1"/>
        <v>4362.598795442918</v>
      </c>
      <c r="DB21">
        <f t="shared" si="18"/>
      </c>
      <c r="DC21">
        <f t="shared" si="19"/>
      </c>
      <c r="DD21">
        <f t="shared" si="20"/>
      </c>
      <c r="DE21">
        <f t="shared" si="21"/>
      </c>
      <c r="DF21">
        <f t="shared" si="22"/>
      </c>
      <c r="DG21">
        <f t="shared" si="23"/>
      </c>
      <c r="DH21">
        <f t="shared" si="24"/>
      </c>
      <c r="DI21">
        <f t="shared" si="1"/>
        <v>4362.598795442918</v>
      </c>
    </row>
    <row r="22" ht="15" customHeight="1">
      <c r="B22" t="str">
        <f t="shared" si="2"/>
        <v>Pest Control</v>
      </c>
      <c r="C22" t="s">
        <v>1823</v>
      </c>
      <c r="D22" t="s">
        <v>1823</v>
      </c>
      <c r="E22">
        <v>335</v>
      </c>
      <c r="F22">
        <v>356</v>
      </c>
      <c r="G22">
        <v>485</v>
      </c>
      <c r="H22">
        <v>0</v>
      </c>
      <c r="I22">
        <v>357</v>
      </c>
      <c r="J22">
        <v>1487</v>
      </c>
      <c r="K22">
        <v>214</v>
      </c>
      <c r="L22">
        <v>356</v>
      </c>
      <c r="M22">
        <v>352</v>
      </c>
      <c r="N22">
        <v>181</v>
      </c>
      <c r="O22">
        <v>415</v>
      </c>
      <c r="P22">
        <v>2390</v>
      </c>
      <c r="Q22">
        <v>6928</v>
      </c>
      <c r="R22">
        <f t="shared" si="3"/>
        <v>2390</v>
      </c>
      <c r="S22">
        <f t="shared" si="4"/>
        <v>2805</v>
      </c>
      <c r="T22">
        <f t="shared" si="5"/>
        <v>2986</v>
      </c>
      <c r="U22">
        <f t="shared" si="6"/>
        <v>3338</v>
      </c>
      <c r="V22">
        <f t="shared" si="7"/>
        <v>3694</v>
      </c>
      <c r="W22">
        <f t="shared" si="8"/>
        <v>3908</v>
      </c>
      <c r="X22">
        <f t="shared" si="9"/>
        <v>5395</v>
      </c>
      <c r="Y22">
        <f t="shared" si="10"/>
        <v>5752</v>
      </c>
      <c r="Z22">
        <f t="shared" si="11"/>
        <v>5752</v>
      </c>
      <c r="AA22">
        <f t="shared" si="12"/>
        <v>6237</v>
      </c>
      <c r="AB22">
        <f t="shared" si="13"/>
        <v>6593</v>
      </c>
      <c r="AC22">
        <f t="shared" si="14"/>
        <v>6928</v>
      </c>
      <c r="AE22">
        <f t="shared" si="0"/>
      </c>
      <c r="AV22">
        <f t="shared" si="15"/>
      </c>
      <c r="BM22">
        <f t="shared" si="16"/>
      </c>
      <c r="CD22">
        <f t="shared" si="0"/>
      </c>
      <c r="CZ22">
        <f t="shared" si="17"/>
        <v>577.3333333333334</v>
      </c>
      <c r="DA22">
        <f t="shared" si="1"/>
        <v>647.2094371650923</v>
      </c>
      <c r="DB22">
        <f t="shared" si="18"/>
      </c>
      <c r="DC22">
        <f t="shared" si="19"/>
      </c>
      <c r="DD22">
        <f t="shared" si="20"/>
      </c>
      <c r="DE22">
        <f t="shared" si="21"/>
      </c>
      <c r="DF22">
        <f t="shared" si="22"/>
      </c>
      <c r="DG22">
        <f t="shared" si="23"/>
      </c>
      <c r="DH22">
        <f t="shared" si="24"/>
      </c>
      <c r="DI22">
        <f t="shared" si="1"/>
        <v>647.2094371650923</v>
      </c>
    </row>
    <row r="23" ht="15" customHeight="1">
      <c r="B23" t="str">
        <f t="shared" si="2"/>
        <v>Bldg. Maint. &amp; Repair</v>
      </c>
      <c r="C23" t="s">
        <v>1824</v>
      </c>
      <c r="D23" t="s">
        <v>1824</v>
      </c>
      <c r="E23">
        <v>11061</v>
      </c>
      <c r="F23">
        <v>14939</v>
      </c>
      <c r="G23">
        <v>23691</v>
      </c>
      <c r="H23">
        <v>4400</v>
      </c>
      <c r="I23">
        <v>13168</v>
      </c>
      <c r="J23">
        <v>17364</v>
      </c>
      <c r="K23">
        <v>3247</v>
      </c>
      <c r="L23">
        <v>9234</v>
      </c>
      <c r="M23">
        <v>16083</v>
      </c>
      <c r="N23">
        <v>9671</v>
      </c>
      <c r="O23">
        <v>11529</v>
      </c>
      <c r="P23">
        <v>14098</v>
      </c>
      <c r="Q23">
        <v>148485</v>
      </c>
      <c r="R23">
        <f t="shared" si="3"/>
        <v>14098</v>
      </c>
      <c r="S23">
        <f t="shared" si="4"/>
        <v>25627</v>
      </c>
      <c r="T23">
        <f t="shared" si="5"/>
        <v>35298</v>
      </c>
      <c r="U23">
        <f t="shared" si="6"/>
        <v>51381</v>
      </c>
      <c r="V23">
        <f t="shared" si="7"/>
        <v>60615</v>
      </c>
      <c r="W23">
        <f t="shared" si="8"/>
        <v>63862</v>
      </c>
      <c r="X23">
        <f t="shared" si="9"/>
        <v>81226</v>
      </c>
      <c r="Y23">
        <f t="shared" si="10"/>
        <v>94394</v>
      </c>
      <c r="Z23">
        <f t="shared" si="11"/>
        <v>98794</v>
      </c>
      <c r="AA23">
        <f t="shared" si="12"/>
        <v>122485</v>
      </c>
      <c r="AB23">
        <f t="shared" si="13"/>
        <v>137424</v>
      </c>
      <c r="AC23">
        <f t="shared" si="14"/>
        <v>148485</v>
      </c>
      <c r="AE23">
        <f t="shared" si="0"/>
      </c>
      <c r="AV23">
        <f t="shared" si="15"/>
      </c>
      <c r="BM23">
        <f t="shared" si="16"/>
      </c>
      <c r="CD23">
        <f t="shared" si="0"/>
      </c>
      <c r="CZ23">
        <f t="shared" si="17"/>
        <v>12373.75</v>
      </c>
      <c r="DA23">
        <f t="shared" si="1"/>
        <v>5349.483730931425</v>
      </c>
      <c r="DB23">
        <f t="shared" si="18"/>
      </c>
      <c r="DC23">
        <f t="shared" si="19"/>
      </c>
      <c r="DD23">
        <f t="shared" si="20"/>
      </c>
      <c r="DE23">
        <f t="shared" si="21"/>
      </c>
      <c r="DF23">
        <f t="shared" si="22"/>
      </c>
      <c r="DG23">
        <f t="shared" si="23"/>
      </c>
      <c r="DH23">
        <f t="shared" si="24"/>
      </c>
      <c r="DI23">
        <f t="shared" si="1"/>
        <v>5349.483730931425</v>
      </c>
    </row>
    <row r="24" ht="15" customHeight="1">
      <c r="B24" t="str">
        <f t="shared" si="2"/>
        <v>Paint/Decorating/Turnover</v>
      </c>
      <c r="C24" t="s">
        <v>1916</v>
      </c>
      <c r="D24" t="s">
        <v>1916</v>
      </c>
      <c r="E24">
        <v>5454</v>
      </c>
      <c r="F24">
        <v>13024</v>
      </c>
      <c r="G24">
        <v>13362</v>
      </c>
      <c r="H24">
        <v>7439</v>
      </c>
      <c r="I24">
        <v>13048</v>
      </c>
      <c r="J24">
        <v>2433</v>
      </c>
      <c r="K24">
        <v>10008</v>
      </c>
      <c r="L24">
        <v>4799</v>
      </c>
      <c r="M24">
        <v>12828</v>
      </c>
      <c r="N24">
        <v>10848</v>
      </c>
      <c r="O24">
        <v>9017</v>
      </c>
      <c r="P24">
        <v>12809</v>
      </c>
      <c r="Q24">
        <v>115069</v>
      </c>
      <c r="R24">
        <f t="shared" si="3"/>
        <v>12809</v>
      </c>
      <c r="S24">
        <f t="shared" si="4"/>
        <v>21826</v>
      </c>
      <c r="T24">
        <f t="shared" si="5"/>
        <v>32674</v>
      </c>
      <c r="U24">
        <f t="shared" si="6"/>
        <v>45502</v>
      </c>
      <c r="V24">
        <f t="shared" si="7"/>
        <v>50301</v>
      </c>
      <c r="W24">
        <f t="shared" si="8"/>
        <v>60309</v>
      </c>
      <c r="X24">
        <f t="shared" si="9"/>
        <v>62742</v>
      </c>
      <c r="Y24">
        <f t="shared" si="10"/>
        <v>75790</v>
      </c>
      <c r="Z24">
        <f t="shared" si="11"/>
        <v>83229</v>
      </c>
      <c r="AA24">
        <f t="shared" si="12"/>
        <v>96591</v>
      </c>
      <c r="AB24">
        <f t="shared" si="13"/>
        <v>109615</v>
      </c>
      <c r="AC24">
        <f t="shared" si="14"/>
        <v>115069</v>
      </c>
      <c r="AE24">
        <f t="shared" si="0"/>
      </c>
      <c r="AV24">
        <f t="shared" si="15"/>
      </c>
      <c r="BM24">
        <f t="shared" si="16"/>
      </c>
      <c r="CD24">
        <f t="shared" si="0"/>
      </c>
      <c r="CZ24">
        <f t="shared" si="17"/>
        <v>9589.083333333334</v>
      </c>
      <c r="DA24">
        <f t="shared" si="1"/>
        <v>3615.0143258898556</v>
      </c>
      <c r="DB24">
        <f t="shared" si="18"/>
      </c>
      <c r="DC24">
        <f t="shared" si="19"/>
      </c>
      <c r="DD24">
        <f t="shared" si="20"/>
      </c>
      <c r="DE24">
        <f t="shared" si="21"/>
      </c>
      <c r="DF24">
        <f t="shared" si="22"/>
      </c>
      <c r="DG24">
        <f t="shared" si="23"/>
      </c>
      <c r="DH24">
        <f t="shared" si="24"/>
      </c>
      <c r="DI24">
        <f t="shared" si="1"/>
        <v>3615.0143258898556</v>
      </c>
    </row>
    <row r="25" ht="15" customHeight="1">
      <c r="B25" t="str">
        <f t="shared" si="2"/>
        <v>Pool Maintenance</v>
      </c>
      <c r="C25" t="s">
        <v>1917</v>
      </c>
      <c r="D25" t="s">
        <v>1917</v>
      </c>
      <c r="E25">
        <v>176</v>
      </c>
      <c r="F25">
        <v>0</v>
      </c>
      <c r="G25">
        <v>0</v>
      </c>
      <c r="H25">
        <v>0</v>
      </c>
      <c r="I25">
        <v>0</v>
      </c>
      <c r="J25">
        <v>3506</v>
      </c>
      <c r="K25">
        <v>1964</v>
      </c>
      <c r="L25">
        <v>2954</v>
      </c>
      <c r="M25">
        <v>352</v>
      </c>
      <c r="N25">
        <v>143</v>
      </c>
      <c r="O25">
        <v>29</v>
      </c>
      <c r="P25">
        <v>1030</v>
      </c>
      <c r="Q25">
        <v>10154</v>
      </c>
      <c r="R25">
        <f t="shared" si="3"/>
        <v>1030</v>
      </c>
      <c r="S25">
        <f t="shared" si="4"/>
        <v>1059</v>
      </c>
      <c r="T25">
        <f t="shared" si="5"/>
        <v>1202</v>
      </c>
      <c r="U25">
        <f t="shared" si="6"/>
        <v>1554</v>
      </c>
      <c r="V25">
        <f t="shared" si="7"/>
        <v>4508</v>
      </c>
      <c r="W25">
        <f t="shared" si="8"/>
        <v>6472</v>
      </c>
      <c r="X25">
        <f t="shared" si="9"/>
        <v>9978</v>
      </c>
      <c r="Y25">
        <f t="shared" si="10"/>
        <v>9978</v>
      </c>
      <c r="Z25">
        <f t="shared" si="11"/>
        <v>9978</v>
      </c>
      <c r="AA25">
        <f t="shared" si="12"/>
        <v>9978</v>
      </c>
      <c r="AB25">
        <f t="shared" si="13"/>
        <v>9978</v>
      </c>
      <c r="AC25">
        <f t="shared" si="14"/>
        <v>10154</v>
      </c>
      <c r="AE25">
        <f t="shared" si="0"/>
      </c>
      <c r="AV25">
        <f t="shared" si="15"/>
      </c>
      <c r="BM25">
        <f t="shared" si="16"/>
      </c>
      <c r="CD25">
        <f t="shared" si="0"/>
      </c>
      <c r="CZ25">
        <f t="shared" si="17"/>
        <v>846.1666666666666</v>
      </c>
      <c r="DA25">
        <f t="shared" si="1"/>
        <v>1208.3232758202123</v>
      </c>
      <c r="DB25">
        <f t="shared" si="18"/>
      </c>
      <c r="DC25">
        <f t="shared" si="19"/>
      </c>
      <c r="DD25">
        <f t="shared" si="20"/>
      </c>
      <c r="DE25">
        <f t="shared" si="21"/>
      </c>
      <c r="DF25">
        <f t="shared" si="22"/>
      </c>
      <c r="DG25">
        <f t="shared" si="23"/>
      </c>
      <c r="DH25">
        <f t="shared" si="24"/>
      </c>
      <c r="DI25">
        <f t="shared" si="1"/>
        <v>1208.3232758202123</v>
      </c>
    </row>
    <row r="26" ht="15" customHeight="1">
      <c r="B26" t="str">
        <f t="shared" si="2"/>
        <v>Park'g Maint/Snow/Other</v>
      </c>
      <c r="C26" t="s">
        <v>1918</v>
      </c>
      <c r="D26" t="s">
        <v>1918</v>
      </c>
      <c r="E26">
        <v>1107</v>
      </c>
      <c r="F26">
        <v>1329</v>
      </c>
      <c r="G26">
        <v>138</v>
      </c>
      <c r="H26">
        <v>6046</v>
      </c>
      <c r="I26">
        <v>1880</v>
      </c>
      <c r="J26">
        <v>16434</v>
      </c>
      <c r="K26">
        <v>0</v>
      </c>
      <c r="L26">
        <v>0</v>
      </c>
      <c r="M26">
        <v>0</v>
      </c>
      <c r="N26">
        <v>0</v>
      </c>
      <c r="O26">
        <v>0</v>
      </c>
      <c r="P26">
        <v>0</v>
      </c>
      <c r="Q26">
        <v>26934</v>
      </c>
      <c r="R26">
        <f t="shared" si="3"/>
        <v>0</v>
      </c>
      <c r="S26">
        <f t="shared" si="4"/>
        <v>0</v>
      </c>
      <c r="T26">
        <f t="shared" si="5"/>
        <v>0</v>
      </c>
      <c r="U26">
        <f t="shared" si="6"/>
        <v>0</v>
      </c>
      <c r="V26">
        <f t="shared" si="7"/>
        <v>0</v>
      </c>
      <c r="W26">
        <f t="shared" si="8"/>
        <v>0</v>
      </c>
      <c r="X26">
        <f t="shared" si="9"/>
        <v>16434</v>
      </c>
      <c r="Y26">
        <f t="shared" si="10"/>
        <v>18314</v>
      </c>
      <c r="Z26">
        <f t="shared" si="11"/>
        <v>24360</v>
      </c>
      <c r="AA26">
        <f t="shared" si="12"/>
        <v>24498</v>
      </c>
      <c r="AB26">
        <f t="shared" si="13"/>
        <v>25827</v>
      </c>
      <c r="AC26">
        <f t="shared" si="14"/>
        <v>26934</v>
      </c>
      <c r="AE26">
        <f t="shared" si="0"/>
      </c>
      <c r="AV26">
        <f t="shared" si="15"/>
      </c>
      <c r="BM26">
        <f t="shared" si="16"/>
      </c>
      <c r="CD26">
        <f t="shared" si="0"/>
      </c>
      <c r="CZ26">
        <f t="shared" si="17"/>
        <v>2244.5</v>
      </c>
      <c r="DA26">
        <f t="shared" si="1"/>
        <v>4589.137927396241</v>
      </c>
      <c r="DB26">
        <f t="shared" si="18"/>
      </c>
      <c r="DC26">
        <f t="shared" si="19"/>
      </c>
      <c r="DD26">
        <f t="shared" si="20"/>
      </c>
      <c r="DE26">
        <f t="shared" si="21"/>
      </c>
      <c r="DF26">
        <f t="shared" si="22"/>
      </c>
      <c r="DG26">
        <f t="shared" si="23"/>
      </c>
      <c r="DH26">
        <f t="shared" si="24"/>
      </c>
      <c r="DI26">
        <f t="shared" si="1"/>
        <v>4589.137927396241</v>
      </c>
    </row>
    <row r="27" ht="15" customHeight="1">
      <c r="B27" t="str">
        <f t="shared" si="2"/>
        <v>Gardening/Landscape</v>
      </c>
      <c r="C27" t="s">
        <v>1919</v>
      </c>
      <c r="D27" t="s">
        <v>1919</v>
      </c>
      <c r="E27">
        <v>3055</v>
      </c>
      <c r="F27">
        <v>2740</v>
      </c>
      <c r="G27">
        <v>643</v>
      </c>
      <c r="H27">
        <v>0</v>
      </c>
      <c r="I27">
        <v>166</v>
      </c>
      <c r="J27">
        <v>169</v>
      </c>
      <c r="K27">
        <v>2934</v>
      </c>
      <c r="L27">
        <v>14316</v>
      </c>
      <c r="M27">
        <v>224</v>
      </c>
      <c r="N27">
        <v>4851</v>
      </c>
      <c r="O27">
        <v>3061</v>
      </c>
      <c r="P27">
        <v>4358</v>
      </c>
      <c r="Q27">
        <v>36517</v>
      </c>
      <c r="R27">
        <f t="shared" si="3"/>
        <v>4358</v>
      </c>
      <c r="S27">
        <f t="shared" si="4"/>
        <v>7419</v>
      </c>
      <c r="T27">
        <f t="shared" si="5"/>
        <v>12270</v>
      </c>
      <c r="U27">
        <f t="shared" si="6"/>
        <v>12494</v>
      </c>
      <c r="V27">
        <f t="shared" si="7"/>
        <v>26810</v>
      </c>
      <c r="W27">
        <f t="shared" si="8"/>
        <v>29744</v>
      </c>
      <c r="X27">
        <f t="shared" si="9"/>
        <v>29913</v>
      </c>
      <c r="Y27">
        <f t="shared" si="10"/>
        <v>30079</v>
      </c>
      <c r="Z27">
        <f t="shared" si="11"/>
        <v>30079</v>
      </c>
      <c r="AA27">
        <f t="shared" si="12"/>
        <v>30722</v>
      </c>
      <c r="AB27">
        <f t="shared" si="13"/>
        <v>33462</v>
      </c>
      <c r="AC27">
        <f t="shared" si="14"/>
        <v>36517</v>
      </c>
      <c r="AE27">
        <f t="shared" si="0"/>
      </c>
      <c r="AV27">
        <f t="shared" si="15"/>
      </c>
      <c r="BM27">
        <f t="shared" si="16"/>
      </c>
      <c r="CD27">
        <f t="shared" si="0"/>
      </c>
      <c r="CZ27">
        <f t="shared" si="17"/>
        <v>3043.0833333333335</v>
      </c>
      <c r="DA27">
        <f t="shared" si="1"/>
        <v>3782.4858549709816</v>
      </c>
      <c r="DB27">
        <f t="shared" si="18"/>
      </c>
      <c r="DC27">
        <f t="shared" si="19"/>
      </c>
      <c r="DD27">
        <f t="shared" si="20"/>
      </c>
      <c r="DE27">
        <f t="shared" si="21"/>
      </c>
      <c r="DF27">
        <f t="shared" si="22"/>
      </c>
      <c r="DG27">
        <f t="shared" si="23"/>
      </c>
      <c r="DH27">
        <f t="shared" si="24"/>
      </c>
      <c r="DI27">
        <f t="shared" si="1"/>
        <v>3782.4858549709816</v>
      </c>
    </row>
    <row r="28" ht="15" customHeight="1">
      <c r="B28" t="str">
        <f t="shared" si="2"/>
        <v>Management Fees</v>
      </c>
      <c r="C28" t="s">
        <v>1920</v>
      </c>
      <c r="D28" t="s">
        <v>1920</v>
      </c>
      <c r="E28">
        <v>13820</v>
      </c>
      <c r="F28">
        <v>13309</v>
      </c>
      <c r="G28">
        <v>19700</v>
      </c>
      <c r="H28">
        <v>14187</v>
      </c>
      <c r="I28">
        <v>14107</v>
      </c>
      <c r="J28">
        <v>14042</v>
      </c>
      <c r="K28">
        <v>14087</v>
      </c>
      <c r="L28">
        <v>14516</v>
      </c>
      <c r="M28">
        <v>13658</v>
      </c>
      <c r="N28">
        <v>13531</v>
      </c>
      <c r="O28">
        <v>14732</v>
      </c>
      <c r="P28">
        <v>13888</v>
      </c>
      <c r="Q28">
        <v>173577</v>
      </c>
      <c r="R28">
        <f t="shared" si="3"/>
        <v>13888</v>
      </c>
      <c r="S28">
        <f t="shared" si="4"/>
        <v>28620</v>
      </c>
      <c r="T28">
        <f t="shared" si="5"/>
        <v>42151</v>
      </c>
      <c r="U28">
        <f t="shared" si="6"/>
        <v>55809</v>
      </c>
      <c r="V28">
        <f t="shared" si="7"/>
        <v>70325</v>
      </c>
      <c r="W28">
        <f t="shared" si="8"/>
        <v>84412</v>
      </c>
      <c r="X28">
        <f t="shared" si="9"/>
        <v>98454</v>
      </c>
      <c r="Y28">
        <f t="shared" si="10"/>
        <v>112561</v>
      </c>
      <c r="Z28">
        <f t="shared" si="11"/>
        <v>126748</v>
      </c>
      <c r="AA28">
        <f t="shared" si="12"/>
        <v>146448</v>
      </c>
      <c r="AB28">
        <f t="shared" si="13"/>
        <v>159757</v>
      </c>
      <c r="AC28">
        <f t="shared" si="14"/>
        <v>173577</v>
      </c>
      <c r="AE28">
        <f t="shared" si="0"/>
      </c>
      <c r="AV28">
        <f t="shared" si="15"/>
      </c>
      <c r="BM28">
        <f t="shared" si="16"/>
      </c>
      <c r="CD28">
        <f t="shared" si="0"/>
      </c>
      <c r="CZ28">
        <f t="shared" si="17"/>
        <v>14464.75</v>
      </c>
      <c r="DA28">
        <f t="shared" si="1"/>
        <v>1623.1468985174035</v>
      </c>
      <c r="DB28">
        <f t="shared" si="18"/>
      </c>
      <c r="DC28">
        <f t="shared" si="19"/>
      </c>
      <c r="DD28">
        <f t="shared" si="20"/>
      </c>
      <c r="DE28">
        <f t="shared" si="21"/>
      </c>
      <c r="DF28">
        <f t="shared" si="22"/>
      </c>
      <c r="DG28">
        <f t="shared" si="23"/>
      </c>
      <c r="DH28">
        <f t="shared" si="24"/>
      </c>
      <c r="DI28">
        <f t="shared" si="1"/>
        <v>1623.1468985174035</v>
      </c>
    </row>
    <row r="29" ht="15" customHeight="1">
      <c r="B29" t="str">
        <f t="shared" si="2"/>
        <v>Manager Salary</v>
      </c>
      <c r="C29" t="s">
        <v>1922</v>
      </c>
      <c r="D29" t="s">
        <v>1922</v>
      </c>
      <c r="E29">
        <v>5282</v>
      </c>
      <c r="F29">
        <v>6942</v>
      </c>
      <c r="G29">
        <v>7733</v>
      </c>
      <c r="H29">
        <v>5651</v>
      </c>
      <c r="I29">
        <v>7480</v>
      </c>
      <c r="J29">
        <v>5740</v>
      </c>
      <c r="K29">
        <v>5770</v>
      </c>
      <c r="L29">
        <v>7115</v>
      </c>
      <c r="M29">
        <v>5789</v>
      </c>
      <c r="N29">
        <v>8500</v>
      </c>
      <c r="O29">
        <v>7430</v>
      </c>
      <c r="P29">
        <v>5783</v>
      </c>
      <c r="Q29">
        <v>79215</v>
      </c>
      <c r="R29">
        <f t="shared" si="3"/>
        <v>5783</v>
      </c>
      <c r="S29">
        <f t="shared" si="4"/>
        <v>13213</v>
      </c>
      <c r="T29">
        <f t="shared" si="5"/>
        <v>21713</v>
      </c>
      <c r="U29">
        <f t="shared" si="6"/>
        <v>27502</v>
      </c>
      <c r="V29">
        <f t="shared" si="7"/>
        <v>34617</v>
      </c>
      <c r="W29">
        <f t="shared" si="8"/>
        <v>40387</v>
      </c>
      <c r="X29">
        <f t="shared" si="9"/>
        <v>46127</v>
      </c>
      <c r="Y29">
        <f t="shared" si="10"/>
        <v>53607</v>
      </c>
      <c r="Z29">
        <f t="shared" si="11"/>
        <v>59258</v>
      </c>
      <c r="AA29">
        <f t="shared" si="12"/>
        <v>66991</v>
      </c>
      <c r="AB29">
        <f t="shared" si="13"/>
        <v>73933</v>
      </c>
      <c r="AC29">
        <f t="shared" si="14"/>
        <v>79215</v>
      </c>
      <c r="AE29">
        <f t="shared" si="0"/>
      </c>
      <c r="AV29">
        <f t="shared" si="15"/>
      </c>
      <c r="BM29">
        <f t="shared" si="16"/>
      </c>
      <c r="CD29">
        <f t="shared" si="0"/>
      </c>
      <c r="CZ29">
        <f t="shared" si="17"/>
        <v>6601.25</v>
      </c>
      <c r="DA29">
        <f t="shared" si="1"/>
        <v>1005.4267025331417</v>
      </c>
      <c r="DB29">
        <f t="shared" si="18"/>
      </c>
      <c r="DC29">
        <f t="shared" si="19"/>
      </c>
      <c r="DD29">
        <f t="shared" si="20"/>
      </c>
      <c r="DE29">
        <f t="shared" si="21"/>
      </c>
      <c r="DF29">
        <f t="shared" si="22"/>
      </c>
      <c r="DG29">
        <f t="shared" si="23"/>
      </c>
      <c r="DH29">
        <f t="shared" si="24"/>
      </c>
      <c r="DI29">
        <f t="shared" si="1"/>
        <v>1005.4267025331417</v>
      </c>
    </row>
    <row r="30" ht="15" customHeight="1">
      <c r="B30" t="str">
        <f t="shared" si="2"/>
        <v>Other Leasing Salaries</v>
      </c>
      <c r="C30" t="s">
        <v>1923</v>
      </c>
      <c r="D30" t="s">
        <v>1923</v>
      </c>
      <c r="E30">
        <v>8025</v>
      </c>
      <c r="F30">
        <v>8781</v>
      </c>
      <c r="G30">
        <v>12732</v>
      </c>
      <c r="H30">
        <v>9492</v>
      </c>
      <c r="I30">
        <v>8561</v>
      </c>
      <c r="J30">
        <v>9710</v>
      </c>
      <c r="K30">
        <v>8921</v>
      </c>
      <c r="L30">
        <v>8666</v>
      </c>
      <c r="M30">
        <v>8594</v>
      </c>
      <c r="N30">
        <v>13069</v>
      </c>
      <c r="O30">
        <v>9218</v>
      </c>
      <c r="P30">
        <v>8742</v>
      </c>
      <c r="Q30">
        <v>114511</v>
      </c>
      <c r="R30">
        <f t="shared" si="3"/>
        <v>8742</v>
      </c>
      <c r="S30">
        <f t="shared" si="4"/>
        <v>17960</v>
      </c>
      <c r="T30">
        <f t="shared" si="5"/>
        <v>31029</v>
      </c>
      <c r="U30">
        <f t="shared" si="6"/>
        <v>39623</v>
      </c>
      <c r="V30">
        <f t="shared" si="7"/>
        <v>48289</v>
      </c>
      <c r="W30">
        <f t="shared" si="8"/>
        <v>57210</v>
      </c>
      <c r="X30">
        <f t="shared" si="9"/>
        <v>66920</v>
      </c>
      <c r="Y30">
        <f t="shared" si="10"/>
        <v>75481</v>
      </c>
      <c r="Z30">
        <f t="shared" si="11"/>
        <v>84973</v>
      </c>
      <c r="AA30">
        <f t="shared" si="12"/>
        <v>97705</v>
      </c>
      <c r="AB30">
        <f t="shared" si="13"/>
        <v>106486</v>
      </c>
      <c r="AC30">
        <f t="shared" si="14"/>
        <v>114511</v>
      </c>
      <c r="AE30">
        <f t="shared" si="0"/>
      </c>
      <c r="AV30">
        <f t="shared" si="15"/>
      </c>
      <c r="BM30">
        <f t="shared" si="16"/>
      </c>
      <c r="CD30">
        <f t="shared" si="0"/>
      </c>
      <c r="CZ30">
        <f t="shared" si="17"/>
        <v>9542.583333333334</v>
      </c>
      <c r="DA30">
        <f t="shared" si="1"/>
        <v>1562.2104242777993</v>
      </c>
      <c r="DB30">
        <f t="shared" si="18"/>
      </c>
      <c r="DC30">
        <f t="shared" si="19"/>
      </c>
      <c r="DD30">
        <f t="shared" si="20"/>
      </c>
      <c r="DE30">
        <f t="shared" si="21"/>
      </c>
      <c r="DF30">
        <f t="shared" si="22"/>
      </c>
      <c r="DG30">
        <f t="shared" si="23"/>
      </c>
      <c r="DH30">
        <f t="shared" si="24"/>
      </c>
      <c r="DI30">
        <f t="shared" si="1"/>
        <v>1562.2104242777993</v>
      </c>
    </row>
    <row r="31" ht="15" customHeight="1">
      <c r="B31" t="str">
        <f t="shared" si="2"/>
        <v>Other Maintenance Salaries</v>
      </c>
      <c r="C31" t="s">
        <v>1925</v>
      </c>
      <c r="D31" t="s">
        <v>1925</v>
      </c>
      <c r="E31">
        <v>12325</v>
      </c>
      <c r="F31">
        <v>16647</v>
      </c>
      <c r="G31">
        <v>27623</v>
      </c>
      <c r="H31">
        <v>15321</v>
      </c>
      <c r="I31">
        <v>18017</v>
      </c>
      <c r="J31">
        <v>14022</v>
      </c>
      <c r="K31">
        <v>13652</v>
      </c>
      <c r="L31">
        <v>17760</v>
      </c>
      <c r="M31">
        <v>15840</v>
      </c>
      <c r="N31">
        <v>26178</v>
      </c>
      <c r="O31">
        <v>20226</v>
      </c>
      <c r="P31">
        <v>15246</v>
      </c>
      <c r="Q31">
        <v>212857</v>
      </c>
      <c r="R31">
        <f t="shared" si="3"/>
        <v>15246</v>
      </c>
      <c r="S31">
        <f t="shared" si="4"/>
        <v>35472</v>
      </c>
      <c r="T31">
        <f t="shared" si="5"/>
        <v>61650</v>
      </c>
      <c r="U31">
        <f t="shared" si="6"/>
        <v>77490</v>
      </c>
      <c r="V31">
        <f t="shared" si="7"/>
        <v>95250</v>
      </c>
      <c r="W31">
        <f t="shared" si="8"/>
        <v>108902</v>
      </c>
      <c r="X31">
        <f t="shared" si="9"/>
        <v>122924</v>
      </c>
      <c r="Y31">
        <f t="shared" si="10"/>
        <v>140941</v>
      </c>
      <c r="Z31">
        <f t="shared" si="11"/>
        <v>156262</v>
      </c>
      <c r="AA31">
        <f t="shared" si="12"/>
        <v>183885</v>
      </c>
      <c r="AB31">
        <f t="shared" si="13"/>
        <v>200532</v>
      </c>
      <c r="AC31">
        <f t="shared" si="14"/>
        <v>212857</v>
      </c>
      <c r="AE31">
        <f t="shared" si="0"/>
      </c>
      <c r="AV31">
        <f t="shared" si="15"/>
      </c>
      <c r="BM31">
        <f t="shared" si="16"/>
      </c>
      <c r="CD31">
        <f t="shared" si="0"/>
      </c>
      <c r="CZ31">
        <f t="shared" si="17"/>
        <v>17738.083333333332</v>
      </c>
      <c r="DA31">
        <f t="shared" si="1"/>
        <v>4581.34398872815</v>
      </c>
      <c r="DB31">
        <f t="shared" si="18"/>
      </c>
      <c r="DC31">
        <f t="shared" si="19"/>
      </c>
      <c r="DD31">
        <f t="shared" si="20"/>
      </c>
      <c r="DE31">
        <f t="shared" si="21"/>
      </c>
      <c r="DF31">
        <f t="shared" si="22"/>
      </c>
      <c r="DG31">
        <f t="shared" si="23"/>
      </c>
      <c r="DH31">
        <f t="shared" si="24"/>
      </c>
      <c r="DI31">
        <f t="shared" si="1"/>
        <v>4581.34398872815</v>
      </c>
    </row>
    <row r="32" ht="15" customHeight="1">
      <c r="B32" t="str">
        <f t="shared" si="2"/>
        <v>Benefits &amp; Payroll Taxes</v>
      </c>
      <c r="C32" t="s">
        <v>1928</v>
      </c>
      <c r="D32" t="s">
        <v>1928</v>
      </c>
      <c r="E32">
        <v>4180</v>
      </c>
      <c r="F32">
        <v>5295</v>
      </c>
      <c r="G32">
        <v>5348</v>
      </c>
      <c r="H32">
        <v>6149</v>
      </c>
      <c r="I32">
        <v>8871</v>
      </c>
      <c r="J32">
        <v>7057</v>
      </c>
      <c r="K32">
        <v>5952</v>
      </c>
      <c r="L32">
        <v>6838</v>
      </c>
      <c r="M32">
        <v>5449</v>
      </c>
      <c r="N32">
        <v>4987</v>
      </c>
      <c r="O32">
        <v>6092</v>
      </c>
      <c r="P32">
        <v>5348</v>
      </c>
      <c r="Q32">
        <v>71566</v>
      </c>
      <c r="R32">
        <f t="shared" si="3"/>
        <v>5348</v>
      </c>
      <c r="S32">
        <f t="shared" si="4"/>
        <v>11440</v>
      </c>
      <c r="T32">
        <f t="shared" si="5"/>
        <v>16427</v>
      </c>
      <c r="U32">
        <f t="shared" si="6"/>
        <v>21876</v>
      </c>
      <c r="V32">
        <f t="shared" si="7"/>
        <v>28714</v>
      </c>
      <c r="W32">
        <f t="shared" si="8"/>
        <v>34666</v>
      </c>
      <c r="X32">
        <f t="shared" si="9"/>
        <v>41723</v>
      </c>
      <c r="Y32">
        <f t="shared" si="10"/>
        <v>50594</v>
      </c>
      <c r="Z32">
        <f t="shared" si="11"/>
        <v>56743</v>
      </c>
      <c r="AA32">
        <f t="shared" si="12"/>
        <v>62091</v>
      </c>
      <c r="AB32">
        <f t="shared" si="13"/>
        <v>67386</v>
      </c>
      <c r="AC32">
        <f t="shared" si="14"/>
        <v>71566</v>
      </c>
      <c r="AE32">
        <f t="shared" si="0"/>
      </c>
      <c r="AV32">
        <f t="shared" si="15"/>
      </c>
      <c r="BM32">
        <f t="shared" si="16"/>
      </c>
      <c r="CD32">
        <f t="shared" si="0"/>
      </c>
      <c r="CZ32">
        <f t="shared" si="17"/>
        <v>5963.833333333333</v>
      </c>
      <c r="DA32">
        <f t="shared" si="1"/>
        <v>1157.180829525888</v>
      </c>
      <c r="DB32">
        <f t="shared" si="18"/>
      </c>
      <c r="DC32">
        <f t="shared" si="19"/>
      </c>
      <c r="DD32">
        <f t="shared" si="20"/>
      </c>
      <c r="DE32">
        <f t="shared" si="21"/>
      </c>
      <c r="DF32">
        <f t="shared" si="22"/>
      </c>
      <c r="DG32">
        <f t="shared" si="23"/>
      </c>
      <c r="DH32">
        <f t="shared" si="24"/>
      </c>
      <c r="DI32">
        <f t="shared" si="1"/>
        <v>1157.180829525888</v>
      </c>
    </row>
    <row r="33" ht="15" customHeight="1">
      <c r="B33" t="str">
        <f t="shared" si="2"/>
        <v>Advertising &amp; Marketing</v>
      </c>
      <c r="C33" t="s">
        <v>1929</v>
      </c>
      <c r="D33" t="s">
        <v>1929</v>
      </c>
      <c r="E33">
        <v>4155</v>
      </c>
      <c r="F33">
        <v>3975</v>
      </c>
      <c r="G33">
        <v>5617</v>
      </c>
      <c r="H33">
        <v>4248</v>
      </c>
      <c r="I33">
        <v>3498</v>
      </c>
      <c r="J33">
        <v>5288</v>
      </c>
      <c r="K33">
        <v>3268</v>
      </c>
      <c r="L33">
        <v>4128</v>
      </c>
      <c r="M33">
        <v>3647</v>
      </c>
      <c r="N33">
        <v>3540</v>
      </c>
      <c r="O33">
        <v>6372</v>
      </c>
      <c r="P33">
        <v>1888</v>
      </c>
      <c r="Q33">
        <v>49624</v>
      </c>
      <c r="R33">
        <f t="shared" si="3"/>
        <v>1888</v>
      </c>
      <c r="S33">
        <f t="shared" si="4"/>
        <v>8260</v>
      </c>
      <c r="T33">
        <f t="shared" si="5"/>
        <v>11800</v>
      </c>
      <c r="U33">
        <f t="shared" si="6"/>
        <v>15447</v>
      </c>
      <c r="V33">
        <f t="shared" si="7"/>
        <v>19575</v>
      </c>
      <c r="W33">
        <f t="shared" si="8"/>
        <v>22843</v>
      </c>
      <c r="X33">
        <f t="shared" si="9"/>
        <v>28131</v>
      </c>
      <c r="Y33">
        <f t="shared" si="10"/>
        <v>31629</v>
      </c>
      <c r="Z33">
        <f t="shared" si="11"/>
        <v>35877</v>
      </c>
      <c r="AA33">
        <f t="shared" si="12"/>
        <v>41494</v>
      </c>
      <c r="AB33">
        <f t="shared" si="13"/>
        <v>45469</v>
      </c>
      <c r="AC33">
        <f t="shared" si="14"/>
        <v>49624</v>
      </c>
      <c r="AE33">
        <f t="shared" si="0"/>
      </c>
      <c r="AV33">
        <f t="shared" si="15"/>
      </c>
      <c r="BM33">
        <f t="shared" si="16"/>
      </c>
      <c r="CD33">
        <f t="shared" si="0"/>
      </c>
      <c r="CZ33">
        <f t="shared" si="17"/>
        <v>4135.333333333333</v>
      </c>
      <c r="DA33">
        <f t="shared" si="1"/>
        <v>1131.6416786637408</v>
      </c>
      <c r="DB33">
        <f t="shared" si="18"/>
      </c>
      <c r="DC33">
        <f t="shared" si="19"/>
      </c>
      <c r="DD33">
        <f t="shared" si="20"/>
      </c>
      <c r="DE33">
        <f t="shared" si="21"/>
      </c>
      <c r="DF33">
        <f t="shared" si="22"/>
      </c>
      <c r="DG33">
        <f t="shared" si="23"/>
      </c>
      <c r="DH33">
        <f t="shared" si="24"/>
      </c>
      <c r="DI33">
        <f t="shared" si="1"/>
        <v>1131.6416786637408</v>
      </c>
    </row>
    <row r="34" ht="15" customHeight="1">
      <c r="B34" t="str">
        <f t="shared" si="2"/>
        <v>Professional Fees</v>
      </c>
      <c r="C34" t="s">
        <v>1930</v>
      </c>
      <c r="D34" t="s">
        <v>1930</v>
      </c>
      <c r="E34">
        <v>2425</v>
      </c>
      <c r="F34">
        <v>-907</v>
      </c>
      <c r="G34">
        <v>952</v>
      </c>
      <c r="H34">
        <v>3172</v>
      </c>
      <c r="I34">
        <v>2260</v>
      </c>
      <c r="J34">
        <v>-240</v>
      </c>
      <c r="K34">
        <v>7176</v>
      </c>
      <c r="L34">
        <v>2575</v>
      </c>
      <c r="M34">
        <v>0</v>
      </c>
      <c r="N34">
        <v>-414</v>
      </c>
      <c r="O34">
        <v>1387</v>
      </c>
      <c r="P34">
        <v>0</v>
      </c>
      <c r="Q34">
        <v>18386</v>
      </c>
      <c r="R34">
        <f t="shared" si="3"/>
        <v>0</v>
      </c>
      <c r="S34">
        <f t="shared" si="4"/>
        <v>1387</v>
      </c>
      <c r="T34">
        <f t="shared" si="5"/>
        <v>973</v>
      </c>
      <c r="U34">
        <f t="shared" si="6"/>
        <v>973</v>
      </c>
      <c r="V34">
        <f t="shared" si="7"/>
        <v>3548</v>
      </c>
      <c r="W34">
        <f t="shared" si="8"/>
        <v>10724</v>
      </c>
      <c r="X34">
        <f t="shared" si="9"/>
        <v>10484</v>
      </c>
      <c r="Y34">
        <f t="shared" si="10"/>
        <v>12744</v>
      </c>
      <c r="Z34">
        <f t="shared" si="11"/>
        <v>15916</v>
      </c>
      <c r="AA34">
        <f t="shared" si="12"/>
        <v>16868</v>
      </c>
      <c r="AB34">
        <f t="shared" si="13"/>
        <v>15961</v>
      </c>
      <c r="AC34">
        <f t="shared" si="14"/>
        <v>18386</v>
      </c>
      <c r="AE34">
        <f t="shared" si="0"/>
      </c>
      <c r="AV34">
        <f t="shared" si="15"/>
      </c>
      <c r="BM34">
        <f t="shared" si="16"/>
      </c>
      <c r="CD34">
        <f t="shared" si="0"/>
      </c>
      <c r="CZ34">
        <f t="shared" si="17"/>
        <v>1532.1666666666667</v>
      </c>
      <c r="DA34">
        <f t="shared" si="1"/>
        <v>2138.6660886844606</v>
      </c>
      <c r="DB34">
        <f t="shared" si="18"/>
      </c>
      <c r="DC34">
        <f t="shared" si="19"/>
      </c>
      <c r="DD34">
        <f t="shared" si="20"/>
      </c>
      <c r="DE34">
        <f t="shared" si="21"/>
      </c>
      <c r="DF34">
        <f t="shared" si="22"/>
      </c>
      <c r="DG34">
        <f t="shared" si="23"/>
      </c>
      <c r="DH34">
        <f t="shared" si="24"/>
      </c>
      <c r="DI34">
        <f t="shared" si="1"/>
        <v>2138.6660886844606</v>
      </c>
    </row>
    <row r="35" ht="15" customHeight="1">
      <c r="B35" t="str">
        <f t="shared" si="2"/>
        <v>General Administrative</v>
      </c>
      <c r="C35" t="s">
        <v>1933</v>
      </c>
      <c r="D35" t="s">
        <v>1933</v>
      </c>
      <c r="E35">
        <v>9850</v>
      </c>
      <c r="F35">
        <v>5721</v>
      </c>
      <c r="G35">
        <v>8826</v>
      </c>
      <c r="H35">
        <v>12389</v>
      </c>
      <c r="I35">
        <v>7187</v>
      </c>
      <c r="J35">
        <v>9039</v>
      </c>
      <c r="K35">
        <v>9602</v>
      </c>
      <c r="L35">
        <v>6826</v>
      </c>
      <c r="M35">
        <v>8743</v>
      </c>
      <c r="N35">
        <v>8882</v>
      </c>
      <c r="O35">
        <v>9964</v>
      </c>
      <c r="P35">
        <v>8406</v>
      </c>
      <c r="Q35">
        <v>105435</v>
      </c>
      <c r="R35">
        <f t="shared" si="3"/>
        <v>8406</v>
      </c>
      <c r="S35">
        <f t="shared" si="4"/>
        <v>18370</v>
      </c>
      <c r="T35">
        <f t="shared" si="5"/>
        <v>27252</v>
      </c>
      <c r="U35">
        <f t="shared" si="6"/>
        <v>35995</v>
      </c>
      <c r="V35">
        <f t="shared" si="7"/>
        <v>42821</v>
      </c>
      <c r="W35">
        <f t="shared" si="8"/>
        <v>52423</v>
      </c>
      <c r="X35">
        <f t="shared" si="9"/>
        <v>61462</v>
      </c>
      <c r="Y35">
        <f t="shared" si="10"/>
        <v>68649</v>
      </c>
      <c r="Z35">
        <f t="shared" si="11"/>
        <v>81038</v>
      </c>
      <c r="AA35">
        <f t="shared" si="12"/>
        <v>89864</v>
      </c>
      <c r="AB35">
        <f t="shared" si="13"/>
        <v>95585</v>
      </c>
      <c r="AC35">
        <f t="shared" si="14"/>
        <v>105435</v>
      </c>
      <c r="AE35">
        <f t="shared" si="0"/>
      </c>
      <c r="AV35">
        <f t="shared" si="15"/>
      </c>
      <c r="BM35">
        <f t="shared" si="16"/>
      </c>
      <c r="CD35">
        <f t="shared" si="0"/>
      </c>
      <c r="CZ35">
        <f t="shared" si="17"/>
        <v>8786.25</v>
      </c>
      <c r="DA35">
        <f t="shared" si="1"/>
        <v>1637.6035399835537</v>
      </c>
      <c r="DB35">
        <f t="shared" si="18"/>
      </c>
      <c r="DC35">
        <f t="shared" si="19"/>
      </c>
      <c r="DD35">
        <f t="shared" si="20"/>
      </c>
      <c r="DE35">
        <f t="shared" si="21"/>
      </c>
      <c r="DF35">
        <f t="shared" si="22"/>
      </c>
      <c r="DG35">
        <f t="shared" si="23"/>
      </c>
      <c r="DH35">
        <f t="shared" si="24"/>
      </c>
      <c r="DI35">
        <f t="shared" si="1"/>
        <v>1637.6035399835537</v>
      </c>
    </row>
    <row r="36" ht="15" customHeight="1">
      <c r="B36" t="str">
        <f t="shared" si="2"/>
        <v>Telephone / Cable</v>
      </c>
      <c r="C36" t="s">
        <v>1935</v>
      </c>
      <c r="D36" t="s">
        <v>1935</v>
      </c>
      <c r="E36">
        <v>711</v>
      </c>
      <c r="F36">
        <v>757</v>
      </c>
      <c r="G36">
        <v>1195</v>
      </c>
      <c r="H36">
        <v>370</v>
      </c>
      <c r="I36">
        <v>1181</v>
      </c>
      <c r="J36">
        <v>779</v>
      </c>
      <c r="K36">
        <v>1170</v>
      </c>
      <c r="L36">
        <v>1166</v>
      </c>
      <c r="M36">
        <v>1052</v>
      </c>
      <c r="N36">
        <v>1183</v>
      </c>
      <c r="O36">
        <v>1039</v>
      </c>
      <c r="P36">
        <v>964</v>
      </c>
      <c r="Q36">
        <v>11567</v>
      </c>
      <c r="R36">
        <f t="shared" si="3"/>
        <v>964</v>
      </c>
      <c r="S36">
        <f t="shared" si="4"/>
        <v>2003</v>
      </c>
      <c r="T36">
        <f t="shared" si="5"/>
        <v>3186</v>
      </c>
      <c r="U36">
        <f t="shared" si="6"/>
        <v>4238</v>
      </c>
      <c r="V36">
        <f t="shared" si="7"/>
        <v>5404</v>
      </c>
      <c r="W36">
        <f t="shared" si="8"/>
        <v>6574</v>
      </c>
      <c r="X36">
        <f t="shared" si="9"/>
        <v>7353</v>
      </c>
      <c r="Y36">
        <f t="shared" si="10"/>
        <v>8534</v>
      </c>
      <c r="Z36">
        <f t="shared" si="11"/>
        <v>8904</v>
      </c>
      <c r="AA36">
        <f t="shared" si="12"/>
        <v>10099</v>
      </c>
      <c r="AB36">
        <f t="shared" si="13"/>
        <v>10856</v>
      </c>
      <c r="AC36">
        <f t="shared" si="14"/>
        <v>11567</v>
      </c>
      <c r="AE36">
        <f t="shared" si="0"/>
      </c>
      <c r="AV36">
        <f t="shared" si="15"/>
      </c>
      <c r="BM36">
        <f t="shared" si="16"/>
      </c>
      <c r="CD36">
        <f t="shared" si="0"/>
      </c>
      <c r="CZ36">
        <f t="shared" si="17"/>
        <v>963.9166666666666</v>
      </c>
      <c r="DA36">
        <f t="shared" si="1"/>
        <v>248.14963843527065</v>
      </c>
      <c r="DB36">
        <f t="shared" si="18"/>
      </c>
      <c r="DC36">
        <f t="shared" si="19"/>
      </c>
      <c r="DD36">
        <f t="shared" si="20"/>
      </c>
      <c r="DE36">
        <f t="shared" si="21"/>
      </c>
      <c r="DF36">
        <f t="shared" si="22"/>
      </c>
      <c r="DG36">
        <f t="shared" si="23"/>
      </c>
      <c r="DH36">
        <f t="shared" si="24"/>
      </c>
      <c r="DI36">
        <f t="shared" si="1"/>
        <v>248.14963843527065</v>
      </c>
    </row>
    <row r="37" ht="15" customHeight="1">
      <c r="B37">
        <f t="shared" si="2"/>
      </c>
      <c r="R37">
        <f t="shared" si="3"/>
        <v>0</v>
      </c>
      <c r="S37">
        <f t="shared" si="4"/>
        <v>0</v>
      </c>
      <c r="T37">
        <f t="shared" si="5"/>
        <v>0</v>
      </c>
      <c r="U37">
        <f t="shared" si="6"/>
        <v>0</v>
      </c>
      <c r="V37">
        <f t="shared" si="7"/>
        <v>0</v>
      </c>
      <c r="W37">
        <f t="shared" si="8"/>
        <v>0</v>
      </c>
      <c r="X37">
        <f t="shared" si="9"/>
        <v>0</v>
      </c>
      <c r="Y37">
        <f t="shared" si="10"/>
        <v>0</v>
      </c>
      <c r="Z37">
        <f t="shared" si="11"/>
        <v>0</v>
      </c>
      <c r="AA37">
        <f t="shared" si="12"/>
        <v>0</v>
      </c>
      <c r="AB37">
        <f t="shared" si="13"/>
        <v>0</v>
      </c>
      <c r="AC37">
        <f t="shared" si="14"/>
        <v>0</v>
      </c>
      <c r="AE37">
        <f t="shared" si="0"/>
      </c>
      <c r="AV37">
        <f t="shared" si="15"/>
      </c>
      <c r="BM37">
        <f t="shared" si="16"/>
      </c>
      <c r="CD37">
        <f t="shared" si="0"/>
      </c>
      <c r="CZ37">
        <f t="shared" si="17"/>
      </c>
      <c r="DA37">
        <f t="shared" si="1"/>
      </c>
      <c r="DB37">
        <f t="shared" si="18"/>
      </c>
      <c r="DC37">
        <f t="shared" si="19"/>
      </c>
      <c r="DD37">
        <f t="shared" si="20"/>
      </c>
      <c r="DE37">
        <f t="shared" si="21"/>
      </c>
      <c r="DF37">
        <f t="shared" si="22"/>
      </c>
      <c r="DG37">
        <f t="shared" si="23"/>
      </c>
      <c r="DH37">
        <f t="shared" si="24"/>
      </c>
      <c r="DI37">
        <f t="shared" si="1"/>
      </c>
    </row>
    <row r="38" ht="15" customHeight="1">
      <c r="B38">
        <f t="shared" si="2"/>
      </c>
      <c r="R38">
        <f t="shared" si="3"/>
        <v>0</v>
      </c>
      <c r="S38">
        <f t="shared" si="4"/>
        <v>0</v>
      </c>
      <c r="T38">
        <f t="shared" si="5"/>
        <v>0</v>
      </c>
      <c r="U38">
        <f t="shared" si="6"/>
        <v>0</v>
      </c>
      <c r="V38">
        <f t="shared" si="7"/>
        <v>0</v>
      </c>
      <c r="W38">
        <f t="shared" si="8"/>
        <v>0</v>
      </c>
      <c r="X38">
        <f t="shared" si="9"/>
        <v>0</v>
      </c>
      <c r="Y38">
        <f t="shared" si="10"/>
        <v>0</v>
      </c>
      <c r="Z38">
        <f t="shared" si="11"/>
        <v>0</v>
      </c>
      <c r="AA38">
        <f t="shared" si="12"/>
        <v>0</v>
      </c>
      <c r="AB38">
        <f t="shared" si="13"/>
        <v>0</v>
      </c>
      <c r="AC38">
        <f t="shared" si="14"/>
        <v>0</v>
      </c>
      <c r="AE38">
        <f t="shared" si="0"/>
      </c>
      <c r="AV38">
        <f t="shared" si="15"/>
      </c>
      <c r="BM38">
        <f t="shared" si="16"/>
      </c>
      <c r="CD38">
        <f t="shared" si="0"/>
      </c>
      <c r="CZ38">
        <f t="shared" si="17"/>
      </c>
      <c r="DA38">
        <f t="shared" si="1"/>
      </c>
      <c r="DB38">
        <f t="shared" si="18"/>
      </c>
      <c r="DC38">
        <f t="shared" si="19"/>
      </c>
      <c r="DD38">
        <f t="shared" si="20"/>
      </c>
      <c r="DE38">
        <f t="shared" si="21"/>
      </c>
      <c r="DF38">
        <f t="shared" si="22"/>
      </c>
      <c r="DG38">
        <f t="shared" si="23"/>
      </c>
      <c r="DH38">
        <f t="shared" si="24"/>
      </c>
      <c r="DI38">
        <f t="shared" si="1"/>
      </c>
    </row>
    <row r="39" ht="15" customHeight="1">
      <c r="B39">
        <f t="shared" si="2"/>
      </c>
      <c r="R39">
        <f t="shared" si="3"/>
        <v>0</v>
      </c>
      <c r="S39">
        <f t="shared" si="4"/>
        <v>0</v>
      </c>
      <c r="T39">
        <f t="shared" si="5"/>
        <v>0</v>
      </c>
      <c r="U39">
        <f t="shared" si="6"/>
        <v>0</v>
      </c>
      <c r="V39">
        <f t="shared" si="7"/>
        <v>0</v>
      </c>
      <c r="W39">
        <f t="shared" si="8"/>
        <v>0</v>
      </c>
      <c r="X39">
        <f t="shared" si="9"/>
        <v>0</v>
      </c>
      <c r="Y39">
        <f t="shared" si="10"/>
        <v>0</v>
      </c>
      <c r="Z39">
        <f t="shared" si="11"/>
        <v>0</v>
      </c>
      <c r="AA39">
        <f t="shared" si="12"/>
        <v>0</v>
      </c>
      <c r="AB39">
        <f t="shared" si="13"/>
        <v>0</v>
      </c>
      <c r="AC39">
        <f t="shared" si="14"/>
        <v>0</v>
      </c>
      <c r="AE39">
        <f t="shared" si="0"/>
      </c>
      <c r="AV39">
        <f t="shared" si="15"/>
      </c>
      <c r="BM39">
        <f t="shared" si="16"/>
      </c>
      <c r="CD39">
        <f t="shared" si="0"/>
      </c>
      <c r="CZ39">
        <f t="shared" si="17"/>
      </c>
      <c r="DA39">
        <f t="shared" si="1"/>
      </c>
      <c r="DB39">
        <f t="shared" si="18"/>
      </c>
      <c r="DC39">
        <f t="shared" si="19"/>
      </c>
      <c r="DD39">
        <f t="shared" si="20"/>
      </c>
      <c r="DE39">
        <f t="shared" si="21"/>
      </c>
      <c r="DF39">
        <f t="shared" si="22"/>
      </c>
      <c r="DG39">
        <f t="shared" si="23"/>
      </c>
      <c r="DH39">
        <f t="shared" si="24"/>
      </c>
      <c r="DI39">
        <f t="shared" si="1"/>
      </c>
    </row>
    <row r="40" ht="15" customHeight="1">
      <c r="B40">
        <f t="shared" si="2"/>
      </c>
      <c r="R40">
        <f t="shared" si="3"/>
        <v>0</v>
      </c>
      <c r="S40">
        <f t="shared" si="4"/>
        <v>0</v>
      </c>
      <c r="T40">
        <f t="shared" si="5"/>
        <v>0</v>
      </c>
      <c r="U40">
        <f t="shared" si="6"/>
        <v>0</v>
      </c>
      <c r="V40">
        <f t="shared" si="7"/>
        <v>0</v>
      </c>
      <c r="W40">
        <f t="shared" si="8"/>
        <v>0</v>
      </c>
      <c r="X40">
        <f t="shared" si="9"/>
        <v>0</v>
      </c>
      <c r="Y40">
        <f t="shared" si="10"/>
        <v>0</v>
      </c>
      <c r="Z40">
        <f t="shared" si="11"/>
        <v>0</v>
      </c>
      <c r="AA40">
        <f t="shared" si="12"/>
        <v>0</v>
      </c>
      <c r="AB40">
        <f t="shared" si="13"/>
        <v>0</v>
      </c>
      <c r="AC40">
        <f t="shared" si="14"/>
        <v>0</v>
      </c>
      <c r="AE40">
        <f t="shared" si="0"/>
      </c>
      <c r="AV40">
        <f t="shared" si="15"/>
      </c>
      <c r="BM40">
        <f t="shared" si="16"/>
      </c>
      <c r="CD40">
        <f t="shared" si="0"/>
      </c>
      <c r="CZ40">
        <f t="shared" si="17"/>
      </c>
      <c r="DA40">
        <f t="shared" si="1"/>
      </c>
      <c r="DB40">
        <f t="shared" si="18"/>
      </c>
      <c r="DC40">
        <f t="shared" si="19"/>
      </c>
      <c r="DD40">
        <f t="shared" si="20"/>
      </c>
      <c r="DE40">
        <f t="shared" si="21"/>
      </c>
      <c r="DF40">
        <f t="shared" si="22"/>
      </c>
      <c r="DG40">
        <f t="shared" si="23"/>
      </c>
      <c r="DH40">
        <f t="shared" si="24"/>
      </c>
      <c r="DI40">
        <f t="shared" si="1"/>
      </c>
    </row>
    <row r="41" ht="15" customHeight="1">
      <c r="B41">
        <f t="shared" si="2"/>
      </c>
      <c r="R41">
        <f t="shared" si="3"/>
        <v>0</v>
      </c>
      <c r="S41">
        <f t="shared" si="4"/>
        <v>0</v>
      </c>
      <c r="T41">
        <f t="shared" si="5"/>
        <v>0</v>
      </c>
      <c r="U41">
        <f t="shared" si="6"/>
        <v>0</v>
      </c>
      <c r="V41">
        <f t="shared" si="7"/>
        <v>0</v>
      </c>
      <c r="W41">
        <f t="shared" si="8"/>
        <v>0</v>
      </c>
      <c r="X41">
        <f t="shared" si="9"/>
        <v>0</v>
      </c>
      <c r="Y41">
        <f t="shared" si="10"/>
        <v>0</v>
      </c>
      <c r="Z41">
        <f t="shared" si="11"/>
        <v>0</v>
      </c>
      <c r="AA41">
        <f t="shared" si="12"/>
        <v>0</v>
      </c>
      <c r="AB41">
        <f t="shared" si="13"/>
        <v>0</v>
      </c>
      <c r="AC41">
        <f t="shared" si="14"/>
        <v>0</v>
      </c>
      <c r="AE41">
        <f t="shared" si="0"/>
      </c>
      <c r="AV41">
        <f t="shared" si="15"/>
      </c>
      <c r="BM41">
        <f t="shared" si="16"/>
      </c>
      <c r="CD41">
        <f t="shared" si="0"/>
      </c>
      <c r="CZ41">
        <f t="shared" si="17"/>
      </c>
      <c r="DA41">
        <f t="shared" si="1"/>
      </c>
      <c r="DB41">
        <f t="shared" si="18"/>
      </c>
      <c r="DC41">
        <f t="shared" si="19"/>
      </c>
      <c r="DD41">
        <f t="shared" si="20"/>
      </c>
      <c r="DE41">
        <f t="shared" si="21"/>
      </c>
      <c r="DF41">
        <f t="shared" si="22"/>
      </c>
      <c r="DG41">
        <f t="shared" si="23"/>
      </c>
      <c r="DH41">
        <f t="shared" si="24"/>
      </c>
      <c r="DI41">
        <f t="shared" si="1"/>
      </c>
    </row>
    <row r="42" ht="15" customHeight="1">
      <c r="B42">
        <f t="shared" si="2"/>
      </c>
      <c r="R42">
        <f t="shared" si="3"/>
        <v>0</v>
      </c>
      <c r="S42">
        <f t="shared" si="4"/>
        <v>0</v>
      </c>
      <c r="T42">
        <f t="shared" si="5"/>
        <v>0</v>
      </c>
      <c r="U42">
        <f t="shared" si="6"/>
        <v>0</v>
      </c>
      <c r="V42">
        <f t="shared" si="7"/>
        <v>0</v>
      </c>
      <c r="W42">
        <f t="shared" si="8"/>
        <v>0</v>
      </c>
      <c r="X42">
        <f t="shared" si="9"/>
        <v>0</v>
      </c>
      <c r="Y42">
        <f t="shared" si="10"/>
        <v>0</v>
      </c>
      <c r="Z42">
        <f t="shared" si="11"/>
        <v>0</v>
      </c>
      <c r="AA42">
        <f t="shared" si="12"/>
        <v>0</v>
      </c>
      <c r="AB42">
        <f t="shared" si="13"/>
        <v>0</v>
      </c>
      <c r="AC42">
        <f t="shared" si="14"/>
        <v>0</v>
      </c>
      <c r="AE42">
        <f t="shared" si="0"/>
      </c>
      <c r="AV42">
        <f t="shared" si="15"/>
      </c>
      <c r="BM42">
        <f t="shared" si="16"/>
      </c>
      <c r="CD42">
        <f t="shared" si="0"/>
      </c>
      <c r="CZ42">
        <f t="shared" si="17"/>
      </c>
      <c r="DA42">
        <f t="shared" si="1"/>
      </c>
      <c r="DB42">
        <f t="shared" si="18"/>
      </c>
      <c r="DC42">
        <f t="shared" si="19"/>
      </c>
      <c r="DD42">
        <f t="shared" si="20"/>
      </c>
      <c r="DE42">
        <f t="shared" si="21"/>
      </c>
      <c r="DF42">
        <f t="shared" si="22"/>
      </c>
      <c r="DG42">
        <f t="shared" si="23"/>
      </c>
      <c r="DH42">
        <f t="shared" si="24"/>
      </c>
      <c r="DI42">
        <f t="shared" si="1"/>
      </c>
    </row>
    <row r="43" ht="15" customHeight="1">
      <c r="B43">
        <f t="shared" si="2"/>
      </c>
      <c r="R43">
        <f t="shared" si="3"/>
        <v>0</v>
      </c>
      <c r="S43">
        <f t="shared" si="4"/>
        <v>0</v>
      </c>
      <c r="T43">
        <f t="shared" si="5"/>
        <v>0</v>
      </c>
      <c r="U43">
        <f t="shared" si="6"/>
        <v>0</v>
      </c>
      <c r="V43">
        <f t="shared" si="7"/>
        <v>0</v>
      </c>
      <c r="W43">
        <f t="shared" si="8"/>
        <v>0</v>
      </c>
      <c r="X43">
        <f t="shared" si="9"/>
        <v>0</v>
      </c>
      <c r="Y43">
        <f t="shared" si="10"/>
        <v>0</v>
      </c>
      <c r="Z43">
        <f t="shared" si="11"/>
        <v>0</v>
      </c>
      <c r="AA43">
        <f t="shared" si="12"/>
        <v>0</v>
      </c>
      <c r="AB43">
        <f t="shared" si="13"/>
        <v>0</v>
      </c>
      <c r="AC43">
        <f t="shared" si="14"/>
        <v>0</v>
      </c>
      <c r="AE43">
        <f t="shared" si="0"/>
      </c>
      <c r="AV43">
        <f t="shared" si="15"/>
      </c>
      <c r="BM43">
        <f t="shared" si="16"/>
      </c>
      <c r="CD43">
        <f t="shared" si="0"/>
      </c>
      <c r="CZ43">
        <f t="shared" si="17"/>
      </c>
      <c r="DA43">
        <f t="shared" si="1"/>
      </c>
      <c r="DB43">
        <f t="shared" si="18"/>
      </c>
      <c r="DC43">
        <f t="shared" si="19"/>
      </c>
      <c r="DD43">
        <f t="shared" si="20"/>
      </c>
      <c r="DE43">
        <f t="shared" si="21"/>
      </c>
      <c r="DF43">
        <f t="shared" si="22"/>
      </c>
      <c r="DG43">
        <f t="shared" si="23"/>
      </c>
      <c r="DH43">
        <f t="shared" si="24"/>
      </c>
      <c r="DI43">
        <f t="shared" si="1"/>
      </c>
    </row>
    <row r="44" ht="15" customHeight="1">
      <c r="B44">
        <f t="shared" si="2"/>
      </c>
      <c r="R44">
        <f t="shared" si="3"/>
        <v>0</v>
      </c>
      <c r="S44">
        <f t="shared" si="4"/>
        <v>0</v>
      </c>
      <c r="T44">
        <f t="shared" si="5"/>
        <v>0</v>
      </c>
      <c r="U44">
        <f t="shared" si="6"/>
        <v>0</v>
      </c>
      <c r="V44">
        <f t="shared" si="7"/>
        <v>0</v>
      </c>
      <c r="W44">
        <f t="shared" si="8"/>
        <v>0</v>
      </c>
      <c r="X44">
        <f t="shared" si="9"/>
        <v>0</v>
      </c>
      <c r="Y44">
        <f t="shared" si="10"/>
        <v>0</v>
      </c>
      <c r="Z44">
        <f t="shared" si="11"/>
        <v>0</v>
      </c>
      <c r="AA44">
        <f t="shared" si="12"/>
        <v>0</v>
      </c>
      <c r="AB44">
        <f t="shared" si="13"/>
        <v>0</v>
      </c>
      <c r="AC44">
        <f t="shared" si="14"/>
        <v>0</v>
      </c>
      <c r="AE44">
        <f t="shared" si="0"/>
      </c>
      <c r="AV44">
        <f t="shared" si="15"/>
      </c>
      <c r="BM44">
        <f t="shared" si="16"/>
      </c>
      <c r="CD44">
        <f t="shared" si="0"/>
      </c>
      <c r="CZ44">
        <f t="shared" si="17"/>
      </c>
      <c r="DA44">
        <f t="shared" si="1"/>
      </c>
      <c r="DB44">
        <f t="shared" si="18"/>
      </c>
      <c r="DC44">
        <f t="shared" si="19"/>
      </c>
      <c r="DD44">
        <f t="shared" si="20"/>
      </c>
      <c r="DE44">
        <f t="shared" si="21"/>
      </c>
      <c r="DF44">
        <f t="shared" si="22"/>
      </c>
      <c r="DG44">
        <f t="shared" si="23"/>
      </c>
      <c r="DH44">
        <f t="shared" si="24"/>
      </c>
      <c r="DI44">
        <f t="shared" si="1"/>
      </c>
    </row>
    <row r="45" ht="15" customHeight="1">
      <c r="B45">
        <f t="shared" si="2"/>
      </c>
      <c r="R45">
        <f t="shared" si="3"/>
        <v>0</v>
      </c>
      <c r="S45">
        <f t="shared" si="4"/>
        <v>0</v>
      </c>
      <c r="T45">
        <f t="shared" si="5"/>
        <v>0</v>
      </c>
      <c r="U45">
        <f t="shared" si="6"/>
        <v>0</v>
      </c>
      <c r="V45">
        <f t="shared" si="7"/>
        <v>0</v>
      </c>
      <c r="W45">
        <f t="shared" si="8"/>
        <v>0</v>
      </c>
      <c r="X45">
        <f t="shared" si="9"/>
        <v>0</v>
      </c>
      <c r="Y45">
        <f t="shared" si="10"/>
        <v>0</v>
      </c>
      <c r="Z45">
        <f t="shared" si="11"/>
        <v>0</v>
      </c>
      <c r="AA45">
        <f t="shared" si="12"/>
        <v>0</v>
      </c>
      <c r="AB45">
        <f t="shared" si="13"/>
        <v>0</v>
      </c>
      <c r="AC45">
        <f t="shared" si="14"/>
        <v>0</v>
      </c>
      <c r="AE45">
        <f t="shared" si="0"/>
      </c>
      <c r="AV45">
        <f t="shared" si="15"/>
      </c>
      <c r="BM45">
        <f t="shared" si="16"/>
      </c>
      <c r="CD45">
        <f t="shared" si="0"/>
      </c>
      <c r="CZ45">
        <f t="shared" si="17"/>
      </c>
      <c r="DA45">
        <f t="shared" si="1"/>
      </c>
      <c r="DB45">
        <f t="shared" si="18"/>
      </c>
      <c r="DC45">
        <f t="shared" si="19"/>
      </c>
      <c r="DD45">
        <f t="shared" si="20"/>
      </c>
      <c r="DE45">
        <f t="shared" si="21"/>
      </c>
      <c r="DF45">
        <f t="shared" si="22"/>
      </c>
      <c r="DG45">
        <f t="shared" si="23"/>
      </c>
      <c r="DH45">
        <f t="shared" si="24"/>
      </c>
      <c r="DI45">
        <f t="shared" si="1"/>
      </c>
    </row>
    <row r="46" ht="15" customHeight="1">
      <c r="B46">
        <f t="shared" si="2"/>
      </c>
      <c r="R46">
        <f t="shared" si="3"/>
        <v>0</v>
      </c>
      <c r="S46">
        <f t="shared" si="4"/>
        <v>0</v>
      </c>
      <c r="T46">
        <f t="shared" si="5"/>
        <v>0</v>
      </c>
      <c r="U46">
        <f t="shared" si="6"/>
        <v>0</v>
      </c>
      <c r="V46">
        <f t="shared" si="7"/>
        <v>0</v>
      </c>
      <c r="W46">
        <f t="shared" si="8"/>
        <v>0</v>
      </c>
      <c r="X46">
        <f t="shared" si="9"/>
        <v>0</v>
      </c>
      <c r="Y46">
        <f t="shared" si="10"/>
        <v>0</v>
      </c>
      <c r="Z46">
        <f t="shared" si="11"/>
        <v>0</v>
      </c>
      <c r="AA46">
        <f t="shared" si="12"/>
        <v>0</v>
      </c>
      <c r="AB46">
        <f t="shared" si="13"/>
        <v>0</v>
      </c>
      <c r="AC46">
        <f t="shared" si="14"/>
        <v>0</v>
      </c>
      <c r="AE46">
        <f t="shared" si="0"/>
      </c>
      <c r="AV46">
        <f t="shared" si="15"/>
      </c>
      <c r="BM46">
        <f t="shared" si="16"/>
      </c>
      <c r="CD46">
        <f t="shared" si="0"/>
      </c>
      <c r="CZ46">
        <f t="shared" si="17"/>
      </c>
      <c r="DA46">
        <f t="shared" si="1"/>
      </c>
      <c r="DB46">
        <f t="shared" si="18"/>
      </c>
      <c r="DC46">
        <f t="shared" si="19"/>
      </c>
      <c r="DD46">
        <f t="shared" si="20"/>
      </c>
      <c r="DE46">
        <f t="shared" si="21"/>
      </c>
      <c r="DF46">
        <f t="shared" si="22"/>
      </c>
      <c r="DG46">
        <f t="shared" si="23"/>
      </c>
      <c r="DH46">
        <f t="shared" si="24"/>
      </c>
      <c r="DI46">
        <f t="shared" si="1"/>
      </c>
    </row>
    <row r="47" ht="15" customHeight="1">
      <c r="B47">
        <f t="shared" si="2"/>
      </c>
      <c r="R47">
        <f t="shared" si="3"/>
        <v>0</v>
      </c>
      <c r="S47">
        <f t="shared" si="4"/>
        <v>0</v>
      </c>
      <c r="T47">
        <f t="shared" si="5"/>
        <v>0</v>
      </c>
      <c r="U47">
        <f t="shared" si="6"/>
        <v>0</v>
      </c>
      <c r="V47">
        <f t="shared" si="7"/>
        <v>0</v>
      </c>
      <c r="W47">
        <f t="shared" si="8"/>
        <v>0</v>
      </c>
      <c r="X47">
        <f t="shared" si="9"/>
        <v>0</v>
      </c>
      <c r="Y47">
        <f t="shared" si="10"/>
        <v>0</v>
      </c>
      <c r="Z47">
        <f t="shared" si="11"/>
        <v>0</v>
      </c>
      <c r="AA47">
        <f t="shared" si="12"/>
        <v>0</v>
      </c>
      <c r="AB47">
        <f t="shared" si="13"/>
        <v>0</v>
      </c>
      <c r="AC47">
        <f t="shared" si="14"/>
        <v>0</v>
      </c>
      <c r="AE47">
        <f t="shared" si="0"/>
      </c>
      <c r="AV47">
        <f t="shared" si="15"/>
      </c>
      <c r="BM47">
        <f t="shared" si="16"/>
      </c>
      <c r="CD47">
        <f t="shared" si="0"/>
      </c>
      <c r="CZ47">
        <f t="shared" si="17"/>
      </c>
      <c r="DA47">
        <f t="shared" si="1"/>
      </c>
      <c r="DB47">
        <f t="shared" si="18"/>
      </c>
      <c r="DC47">
        <f t="shared" si="19"/>
      </c>
      <c r="DD47">
        <f t="shared" si="20"/>
      </c>
      <c r="DE47">
        <f t="shared" si="21"/>
      </c>
      <c r="DF47">
        <f t="shared" si="22"/>
      </c>
      <c r="DG47">
        <f t="shared" si="23"/>
      </c>
      <c r="DH47">
        <f t="shared" si="24"/>
      </c>
      <c r="DI47">
        <f t="shared" si="1"/>
      </c>
    </row>
    <row r="48" ht="15" customHeight="1">
      <c r="B48">
        <f t="shared" si="2"/>
      </c>
      <c r="R48">
        <f t="shared" si="3"/>
        <v>0</v>
      </c>
      <c r="S48">
        <f t="shared" si="4"/>
        <v>0</v>
      </c>
      <c r="T48">
        <f t="shared" si="5"/>
        <v>0</v>
      </c>
      <c r="U48">
        <f t="shared" si="6"/>
        <v>0</v>
      </c>
      <c r="V48">
        <f t="shared" si="7"/>
        <v>0</v>
      </c>
      <c r="W48">
        <f t="shared" si="8"/>
        <v>0</v>
      </c>
      <c r="X48">
        <f t="shared" si="9"/>
        <v>0</v>
      </c>
      <c r="Y48">
        <f t="shared" si="10"/>
        <v>0</v>
      </c>
      <c r="Z48">
        <f t="shared" si="11"/>
        <v>0</v>
      </c>
      <c r="AA48">
        <f t="shared" si="12"/>
        <v>0</v>
      </c>
      <c r="AB48">
        <f t="shared" si="13"/>
        <v>0</v>
      </c>
      <c r="AC48">
        <f t="shared" si="14"/>
        <v>0</v>
      </c>
      <c r="AE48">
        <f t="shared" si="0"/>
      </c>
      <c r="AV48">
        <f t="shared" si="15"/>
      </c>
      <c r="BM48">
        <f t="shared" si="16"/>
      </c>
      <c r="CD48">
        <f t="shared" si="0"/>
      </c>
      <c r="CZ48">
        <f t="shared" si="17"/>
      </c>
      <c r="DA48">
        <f t="shared" si="1"/>
      </c>
      <c r="DB48">
        <f t="shared" si="18"/>
      </c>
      <c r="DC48">
        <f t="shared" si="19"/>
      </c>
      <c r="DD48">
        <f t="shared" si="20"/>
      </c>
      <c r="DE48">
        <f t="shared" si="21"/>
      </c>
      <c r="DF48">
        <f t="shared" si="22"/>
      </c>
      <c r="DG48">
        <f t="shared" si="23"/>
      </c>
      <c r="DH48">
        <f t="shared" si="24"/>
      </c>
      <c r="DI48">
        <f t="shared" si="1"/>
      </c>
    </row>
    <row r="49" ht="15" customHeight="1">
      <c r="B49">
        <f t="shared" si="2"/>
      </c>
      <c r="R49">
        <f t="shared" si="3"/>
        <v>0</v>
      </c>
      <c r="S49">
        <f t="shared" si="4"/>
        <v>0</v>
      </c>
      <c r="T49">
        <f t="shared" si="5"/>
        <v>0</v>
      </c>
      <c r="U49">
        <f t="shared" si="6"/>
        <v>0</v>
      </c>
      <c r="V49">
        <f t="shared" si="7"/>
        <v>0</v>
      </c>
      <c r="W49">
        <f t="shared" si="8"/>
        <v>0</v>
      </c>
      <c r="X49">
        <f t="shared" si="9"/>
        <v>0</v>
      </c>
      <c r="Y49">
        <f t="shared" si="10"/>
        <v>0</v>
      </c>
      <c r="Z49">
        <f t="shared" si="11"/>
        <v>0</v>
      </c>
      <c r="AA49">
        <f t="shared" si="12"/>
        <v>0</v>
      </c>
      <c r="AB49">
        <f t="shared" si="13"/>
        <v>0</v>
      </c>
      <c r="AC49">
        <f t="shared" si="14"/>
        <v>0</v>
      </c>
      <c r="AE49">
        <f t="shared" si="0"/>
      </c>
      <c r="AV49">
        <f t="shared" si="15"/>
      </c>
      <c r="BM49">
        <f t="shared" si="16"/>
      </c>
      <c r="CD49">
        <f t="shared" si="0"/>
      </c>
      <c r="CZ49">
        <f t="shared" si="17"/>
      </c>
      <c r="DA49">
        <f t="shared" si="1"/>
      </c>
      <c r="DB49">
        <f t="shared" si="18"/>
      </c>
      <c r="DC49">
        <f t="shared" si="19"/>
      </c>
      <c r="DD49">
        <f t="shared" si="20"/>
      </c>
      <c r="DE49">
        <f t="shared" si="21"/>
      </c>
      <c r="DF49">
        <f t="shared" si="22"/>
      </c>
      <c r="DG49">
        <f t="shared" si="23"/>
      </c>
      <c r="DH49">
        <f t="shared" si="24"/>
      </c>
      <c r="DI49">
        <f t="shared" si="1"/>
      </c>
    </row>
    <row r="50" ht="15" customHeight="1">
      <c r="B50">
        <f t="shared" si="2"/>
      </c>
      <c r="R50">
        <f t="shared" si="3"/>
        <v>0</v>
      </c>
      <c r="S50">
        <f t="shared" si="4"/>
        <v>0</v>
      </c>
      <c r="T50">
        <f t="shared" si="5"/>
        <v>0</v>
      </c>
      <c r="U50">
        <f t="shared" si="6"/>
        <v>0</v>
      </c>
      <c r="V50">
        <f t="shared" si="7"/>
        <v>0</v>
      </c>
      <c r="W50">
        <f t="shared" si="8"/>
        <v>0</v>
      </c>
      <c r="X50">
        <f t="shared" si="9"/>
        <v>0</v>
      </c>
      <c r="Y50">
        <f t="shared" si="10"/>
        <v>0</v>
      </c>
      <c r="Z50">
        <f t="shared" si="11"/>
        <v>0</v>
      </c>
      <c r="AA50">
        <f t="shared" si="12"/>
        <v>0</v>
      </c>
      <c r="AB50">
        <f t="shared" si="13"/>
        <v>0</v>
      </c>
      <c r="AC50">
        <f t="shared" si="14"/>
        <v>0</v>
      </c>
      <c r="AE50">
        <f t="shared" si="0"/>
      </c>
      <c r="AV50">
        <f t="shared" si="15"/>
      </c>
      <c r="BM50">
        <f t="shared" si="16"/>
      </c>
      <c r="CD50">
        <f t="shared" si="0"/>
      </c>
      <c r="CZ50">
        <f t="shared" si="17"/>
      </c>
      <c r="DA50">
        <f t="shared" si="1"/>
      </c>
      <c r="DB50">
        <f t="shared" si="18"/>
      </c>
      <c r="DC50">
        <f t="shared" si="19"/>
      </c>
      <c r="DD50">
        <f t="shared" si="20"/>
      </c>
      <c r="DE50">
        <f t="shared" si="21"/>
      </c>
      <c r="DF50">
        <f t="shared" si="22"/>
      </c>
      <c r="DG50">
        <f t="shared" si="23"/>
      </c>
      <c r="DH50">
        <f t="shared" si="24"/>
      </c>
      <c r="DI50">
        <f t="shared" si="1"/>
      </c>
    </row>
    <row r="51" ht="15" customHeight="1">
      <c r="B51">
        <f t="shared" si="2"/>
      </c>
      <c r="R51">
        <f t="shared" si="3"/>
        <v>0</v>
      </c>
      <c r="S51">
        <f t="shared" si="4"/>
        <v>0</v>
      </c>
      <c r="T51">
        <f t="shared" si="5"/>
        <v>0</v>
      </c>
      <c r="U51">
        <f t="shared" si="6"/>
        <v>0</v>
      </c>
      <c r="V51">
        <f t="shared" si="7"/>
        <v>0</v>
      </c>
      <c r="W51">
        <f t="shared" si="8"/>
        <v>0</v>
      </c>
      <c r="X51">
        <f t="shared" si="9"/>
        <v>0</v>
      </c>
      <c r="Y51">
        <f t="shared" si="10"/>
        <v>0</v>
      </c>
      <c r="Z51">
        <f t="shared" si="11"/>
        <v>0</v>
      </c>
      <c r="AA51">
        <f t="shared" si="12"/>
        <v>0</v>
      </c>
      <c r="AB51">
        <f t="shared" si="13"/>
        <v>0</v>
      </c>
      <c r="AC51">
        <f t="shared" si="14"/>
        <v>0</v>
      </c>
      <c r="AE51">
        <f t="shared" si="0"/>
      </c>
      <c r="AV51">
        <f t="shared" si="15"/>
      </c>
      <c r="BM51">
        <f t="shared" si="16"/>
      </c>
      <c r="CD51">
        <f t="shared" si="0"/>
      </c>
      <c r="CZ51">
        <f t="shared" si="17"/>
      </c>
      <c r="DA51">
        <f t="shared" si="1"/>
      </c>
      <c r="DB51">
        <f t="shared" si="18"/>
      </c>
      <c r="DC51">
        <f t="shared" si="19"/>
      </c>
      <c r="DD51">
        <f t="shared" si="20"/>
      </c>
      <c r="DE51">
        <f t="shared" si="21"/>
      </c>
      <c r="DF51">
        <f t="shared" si="22"/>
      </c>
      <c r="DG51">
        <f t="shared" si="23"/>
      </c>
      <c r="DH51">
        <f t="shared" si="24"/>
      </c>
      <c r="DI51">
        <f t="shared" si="1"/>
      </c>
    </row>
    <row r="52" ht="15" customHeight="1">
      <c r="B52">
        <f t="shared" si="2"/>
      </c>
      <c r="R52">
        <f t="shared" si="3"/>
        <v>0</v>
      </c>
      <c r="S52">
        <f t="shared" si="4"/>
        <v>0</v>
      </c>
      <c r="T52">
        <f t="shared" si="5"/>
        <v>0</v>
      </c>
      <c r="U52">
        <f t="shared" si="6"/>
        <v>0</v>
      </c>
      <c r="V52">
        <f t="shared" si="7"/>
        <v>0</v>
      </c>
      <c r="W52">
        <f t="shared" si="8"/>
        <v>0</v>
      </c>
      <c r="X52">
        <f t="shared" si="9"/>
        <v>0</v>
      </c>
      <c r="Y52">
        <f t="shared" si="10"/>
        <v>0</v>
      </c>
      <c r="Z52">
        <f t="shared" si="11"/>
        <v>0</v>
      </c>
      <c r="AA52">
        <f t="shared" si="12"/>
        <v>0</v>
      </c>
      <c r="AB52">
        <f t="shared" si="13"/>
        <v>0</v>
      </c>
      <c r="AC52">
        <f t="shared" si="14"/>
        <v>0</v>
      </c>
      <c r="AE52">
        <f t="shared" si="0"/>
      </c>
      <c r="AV52">
        <f t="shared" si="15"/>
      </c>
      <c r="BM52">
        <f t="shared" si="16"/>
      </c>
      <c r="CD52">
        <f t="shared" si="0"/>
      </c>
      <c r="CZ52">
        <f t="shared" si="17"/>
      </c>
      <c r="DA52">
        <f t="shared" si="1"/>
      </c>
      <c r="DB52">
        <f t="shared" si="18"/>
      </c>
      <c r="DC52">
        <f t="shared" si="19"/>
      </c>
      <c r="DD52">
        <f t="shared" si="20"/>
      </c>
      <c r="DE52">
        <f t="shared" si="21"/>
      </c>
      <c r="DF52">
        <f t="shared" si="22"/>
      </c>
      <c r="DG52">
        <f t="shared" si="23"/>
      </c>
      <c r="DH52">
        <f t="shared" si="24"/>
      </c>
      <c r="DI52">
        <f t="shared" si="1"/>
      </c>
    </row>
    <row r="53" ht="15" customHeight="1">
      <c r="B53">
        <f t="shared" si="2"/>
      </c>
      <c r="R53">
        <f t="shared" si="3"/>
        <v>0</v>
      </c>
      <c r="S53">
        <f t="shared" si="4"/>
        <v>0</v>
      </c>
      <c r="T53">
        <f t="shared" si="5"/>
        <v>0</v>
      </c>
      <c r="U53">
        <f t="shared" si="6"/>
        <v>0</v>
      </c>
      <c r="V53">
        <f t="shared" si="7"/>
        <v>0</v>
      </c>
      <c r="W53">
        <f t="shared" si="8"/>
        <v>0</v>
      </c>
      <c r="X53">
        <f t="shared" si="9"/>
        <v>0</v>
      </c>
      <c r="Y53">
        <f t="shared" si="10"/>
        <v>0</v>
      </c>
      <c r="Z53">
        <f t="shared" si="11"/>
        <v>0</v>
      </c>
      <c r="AA53">
        <f t="shared" si="12"/>
        <v>0</v>
      </c>
      <c r="AB53">
        <f t="shared" si="13"/>
        <v>0</v>
      </c>
      <c r="AC53">
        <f t="shared" si="14"/>
        <v>0</v>
      </c>
      <c r="AE53">
        <f t="shared" si="0"/>
      </c>
      <c r="AV53">
        <f t="shared" si="15"/>
      </c>
      <c r="BM53">
        <f t="shared" si="16"/>
      </c>
      <c r="CD53">
        <f t="shared" si="0"/>
      </c>
      <c r="CZ53">
        <f t="shared" si="17"/>
      </c>
      <c r="DA53">
        <f t="shared" si="1"/>
      </c>
      <c r="DB53">
        <f t="shared" si="18"/>
      </c>
      <c r="DC53">
        <f t="shared" si="19"/>
      </c>
      <c r="DD53">
        <f t="shared" si="20"/>
      </c>
      <c r="DE53">
        <f t="shared" si="21"/>
      </c>
      <c r="DF53">
        <f t="shared" si="22"/>
      </c>
      <c r="DG53">
        <f t="shared" si="23"/>
      </c>
      <c r="DH53">
        <f t="shared" si="24"/>
      </c>
      <c r="DI53">
        <f t="shared" si="1"/>
      </c>
    </row>
    <row r="54" ht="15" customHeight="1">
      <c r="B54">
        <f t="shared" si="2"/>
      </c>
      <c r="R54">
        <f t="shared" si="3"/>
        <v>0</v>
      </c>
      <c r="S54">
        <f t="shared" si="4"/>
        <v>0</v>
      </c>
      <c r="T54">
        <f t="shared" si="5"/>
        <v>0</v>
      </c>
      <c r="U54">
        <f t="shared" si="6"/>
        <v>0</v>
      </c>
      <c r="V54">
        <f t="shared" si="7"/>
        <v>0</v>
      </c>
      <c r="W54">
        <f t="shared" si="8"/>
        <v>0</v>
      </c>
      <c r="X54">
        <f t="shared" si="9"/>
        <v>0</v>
      </c>
      <c r="Y54">
        <f t="shared" si="10"/>
        <v>0</v>
      </c>
      <c r="Z54">
        <f t="shared" si="11"/>
        <v>0</v>
      </c>
      <c r="AA54">
        <f t="shared" si="12"/>
        <v>0</v>
      </c>
      <c r="AB54">
        <f t="shared" si="13"/>
        <v>0</v>
      </c>
      <c r="AC54">
        <f t="shared" si="14"/>
        <v>0</v>
      </c>
      <c r="AE54">
        <f t="shared" si="0"/>
      </c>
      <c r="AV54">
        <f t="shared" si="15"/>
      </c>
      <c r="BM54">
        <f t="shared" si="16"/>
      </c>
      <c r="CD54">
        <f t="shared" si="0"/>
      </c>
      <c r="CZ54">
        <f t="shared" si="17"/>
      </c>
      <c r="DA54">
        <f t="shared" si="1"/>
      </c>
      <c r="DB54">
        <f t="shared" si="18"/>
      </c>
      <c r="DC54">
        <f t="shared" si="19"/>
      </c>
      <c r="DD54">
        <f t="shared" si="20"/>
      </c>
      <c r="DE54">
        <f t="shared" si="21"/>
      </c>
      <c r="DF54">
        <f t="shared" si="22"/>
      </c>
      <c r="DG54">
        <f t="shared" si="23"/>
      </c>
      <c r="DH54">
        <f t="shared" si="24"/>
      </c>
      <c r="DI54">
        <f t="shared" si="1"/>
      </c>
    </row>
    <row r="55" ht="15" customHeight="1">
      <c r="B55">
        <f t="shared" si="2"/>
      </c>
      <c r="R55">
        <f t="shared" si="3"/>
        <v>0</v>
      </c>
      <c r="S55">
        <f t="shared" si="4"/>
        <v>0</v>
      </c>
      <c r="T55">
        <f t="shared" si="5"/>
        <v>0</v>
      </c>
      <c r="U55">
        <f t="shared" si="6"/>
        <v>0</v>
      </c>
      <c r="V55">
        <f t="shared" si="7"/>
        <v>0</v>
      </c>
      <c r="W55">
        <f t="shared" si="8"/>
        <v>0</v>
      </c>
      <c r="X55">
        <f t="shared" si="9"/>
        <v>0</v>
      </c>
      <c r="Y55">
        <f t="shared" si="10"/>
        <v>0</v>
      </c>
      <c r="Z55">
        <f t="shared" si="11"/>
        <v>0</v>
      </c>
      <c r="AA55">
        <f t="shared" si="12"/>
        <v>0</v>
      </c>
      <c r="AB55">
        <f t="shared" si="13"/>
        <v>0</v>
      </c>
      <c r="AC55">
        <f t="shared" si="14"/>
        <v>0</v>
      </c>
      <c r="AE55">
        <f t="shared" si="0"/>
      </c>
      <c r="AV55">
        <f t="shared" si="15"/>
      </c>
      <c r="BM55">
        <f t="shared" si="16"/>
      </c>
      <c r="CD55">
        <f t="shared" si="0"/>
      </c>
      <c r="CZ55">
        <f t="shared" si="17"/>
      </c>
      <c r="DA55">
        <f t="shared" si="1"/>
      </c>
      <c r="DB55">
        <f t="shared" si="18"/>
      </c>
      <c r="DC55">
        <f t="shared" si="19"/>
      </c>
      <c r="DD55">
        <f t="shared" si="20"/>
      </c>
      <c r="DE55">
        <f t="shared" si="21"/>
      </c>
      <c r="DF55">
        <f t="shared" si="22"/>
      </c>
      <c r="DG55">
        <f t="shared" si="23"/>
      </c>
      <c r="DH55">
        <f t="shared" si="24"/>
      </c>
      <c r="DI55">
        <f t="shared" si="1"/>
      </c>
    </row>
    <row r="56" ht="15" customHeight="1">
      <c r="B56">
        <f t="shared" si="2"/>
      </c>
      <c r="R56">
        <f t="shared" si="3"/>
        <v>0</v>
      </c>
      <c r="S56">
        <f t="shared" si="4"/>
        <v>0</v>
      </c>
      <c r="T56">
        <f t="shared" si="5"/>
        <v>0</v>
      </c>
      <c r="U56">
        <f t="shared" si="6"/>
        <v>0</v>
      </c>
      <c r="V56">
        <f t="shared" si="7"/>
        <v>0</v>
      </c>
      <c r="W56">
        <f t="shared" si="8"/>
        <v>0</v>
      </c>
      <c r="X56">
        <f t="shared" si="9"/>
        <v>0</v>
      </c>
      <c r="Y56">
        <f t="shared" si="10"/>
        <v>0</v>
      </c>
      <c r="Z56">
        <f t="shared" si="11"/>
        <v>0</v>
      </c>
      <c r="AA56">
        <f t="shared" si="12"/>
        <v>0</v>
      </c>
      <c r="AB56">
        <f t="shared" si="13"/>
        <v>0</v>
      </c>
      <c r="AC56">
        <f t="shared" si="14"/>
        <v>0</v>
      </c>
      <c r="AE56">
        <f t="shared" si="0"/>
      </c>
      <c r="AV56">
        <f t="shared" si="15"/>
      </c>
      <c r="BM56">
        <f t="shared" si="16"/>
      </c>
      <c r="CD56">
        <f t="shared" si="0"/>
      </c>
      <c r="CZ56">
        <f t="shared" si="17"/>
      </c>
      <c r="DA56">
        <f t="shared" si="1"/>
      </c>
      <c r="DB56">
        <f t="shared" si="18"/>
      </c>
      <c r="DC56">
        <f t="shared" si="19"/>
      </c>
      <c r="DD56">
        <f t="shared" si="20"/>
      </c>
      <c r="DE56">
        <f t="shared" si="21"/>
      </c>
      <c r="DF56">
        <f t="shared" si="22"/>
      </c>
      <c r="DG56">
        <f t="shared" si="23"/>
      </c>
      <c r="DH56">
        <f t="shared" si="24"/>
      </c>
      <c r="DI56">
        <f t="shared" si="1"/>
      </c>
    </row>
    <row r="57" ht="15" customHeight="1">
      <c r="B57">
        <f t="shared" si="2"/>
      </c>
      <c r="R57">
        <f t="shared" si="3"/>
        <v>0</v>
      </c>
      <c r="S57">
        <f t="shared" si="4"/>
        <v>0</v>
      </c>
      <c r="T57">
        <f t="shared" si="5"/>
        <v>0</v>
      </c>
      <c r="U57">
        <f t="shared" si="6"/>
        <v>0</v>
      </c>
      <c r="V57">
        <f t="shared" si="7"/>
        <v>0</v>
      </c>
      <c r="W57">
        <f t="shared" si="8"/>
        <v>0</v>
      </c>
      <c r="X57">
        <f t="shared" si="9"/>
        <v>0</v>
      </c>
      <c r="Y57">
        <f t="shared" si="10"/>
        <v>0</v>
      </c>
      <c r="Z57">
        <f t="shared" si="11"/>
        <v>0</v>
      </c>
      <c r="AA57">
        <f t="shared" si="12"/>
        <v>0</v>
      </c>
      <c r="AB57">
        <f t="shared" si="13"/>
        <v>0</v>
      </c>
      <c r="AC57">
        <f t="shared" si="14"/>
        <v>0</v>
      </c>
      <c r="AE57">
        <f t="shared" si="0"/>
      </c>
      <c r="AV57">
        <f t="shared" si="15"/>
      </c>
      <c r="BM57">
        <f t="shared" si="16"/>
      </c>
      <c r="CD57">
        <f t="shared" si="0"/>
      </c>
      <c r="CZ57">
        <f t="shared" si="17"/>
      </c>
      <c r="DA57">
        <f t="shared" si="1"/>
      </c>
      <c r="DB57">
        <f t="shared" si="18"/>
      </c>
      <c r="DC57">
        <f t="shared" si="19"/>
      </c>
      <c r="DD57">
        <f t="shared" si="20"/>
      </c>
      <c r="DE57">
        <f t="shared" si="21"/>
      </c>
      <c r="DF57">
        <f t="shared" si="22"/>
      </c>
      <c r="DG57">
        <f t="shared" si="23"/>
      </c>
      <c r="DH57">
        <f t="shared" si="24"/>
      </c>
      <c r="DI57">
        <f t="shared" si="1"/>
      </c>
    </row>
    <row r="58" ht="15" customHeight="1">
      <c r="B58">
        <f t="shared" si="2"/>
      </c>
      <c r="R58">
        <f t="shared" si="3"/>
        <v>0</v>
      </c>
      <c r="S58">
        <f t="shared" si="4"/>
        <v>0</v>
      </c>
      <c r="T58">
        <f t="shared" si="5"/>
        <v>0</v>
      </c>
      <c r="U58">
        <f t="shared" si="6"/>
        <v>0</v>
      </c>
      <c r="V58">
        <f t="shared" si="7"/>
        <v>0</v>
      </c>
      <c r="W58">
        <f t="shared" si="8"/>
        <v>0</v>
      </c>
      <c r="X58">
        <f t="shared" si="9"/>
        <v>0</v>
      </c>
      <c r="Y58">
        <f t="shared" si="10"/>
        <v>0</v>
      </c>
      <c r="Z58">
        <f t="shared" si="11"/>
        <v>0</v>
      </c>
      <c r="AA58">
        <f t="shared" si="12"/>
        <v>0</v>
      </c>
      <c r="AB58">
        <f t="shared" si="13"/>
        <v>0</v>
      </c>
      <c r="AC58">
        <f t="shared" si="14"/>
        <v>0</v>
      </c>
      <c r="AE58">
        <f t="shared" si="0"/>
      </c>
      <c r="AV58">
        <f t="shared" si="15"/>
      </c>
      <c r="BM58">
        <f t="shared" si="16"/>
      </c>
      <c r="CD58">
        <f t="shared" si="0"/>
      </c>
      <c r="CZ58">
        <f t="shared" si="17"/>
      </c>
      <c r="DA58">
        <f t="shared" si="1"/>
      </c>
      <c r="DB58">
        <f t="shared" si="18"/>
      </c>
      <c r="DC58">
        <f t="shared" si="19"/>
      </c>
      <c r="DD58">
        <f t="shared" si="20"/>
      </c>
      <c r="DE58">
        <f t="shared" si="21"/>
      </c>
      <c r="DF58">
        <f t="shared" si="22"/>
      </c>
      <c r="DG58">
        <f t="shared" si="23"/>
      </c>
      <c r="DH58">
        <f t="shared" si="24"/>
      </c>
      <c r="DI58">
        <f t="shared" si="1"/>
      </c>
    </row>
    <row r="59" ht="15" customHeight="1">
      <c r="B59">
        <f t="shared" si="2"/>
      </c>
      <c r="R59">
        <f t="shared" si="3"/>
        <v>0</v>
      </c>
      <c r="S59">
        <f t="shared" si="4"/>
        <v>0</v>
      </c>
      <c r="T59">
        <f t="shared" si="5"/>
        <v>0</v>
      </c>
      <c r="U59">
        <f t="shared" si="6"/>
        <v>0</v>
      </c>
      <c r="V59">
        <f t="shared" si="7"/>
        <v>0</v>
      </c>
      <c r="W59">
        <f t="shared" si="8"/>
        <v>0</v>
      </c>
      <c r="X59">
        <f t="shared" si="9"/>
        <v>0</v>
      </c>
      <c r="Y59">
        <f t="shared" si="10"/>
        <v>0</v>
      </c>
      <c r="Z59">
        <f t="shared" si="11"/>
        <v>0</v>
      </c>
      <c r="AA59">
        <f t="shared" si="12"/>
        <v>0</v>
      </c>
      <c r="AB59">
        <f t="shared" si="13"/>
        <v>0</v>
      </c>
      <c r="AC59">
        <f t="shared" si="14"/>
        <v>0</v>
      </c>
      <c r="AE59">
        <f t="shared" si="0"/>
      </c>
      <c r="AV59">
        <f t="shared" si="15"/>
      </c>
      <c r="BM59">
        <f t="shared" si="16"/>
      </c>
      <c r="CD59">
        <f t="shared" si="0"/>
      </c>
      <c r="CZ59">
        <f t="shared" si="17"/>
      </c>
      <c r="DA59">
        <f t="shared" si="1"/>
      </c>
      <c r="DB59">
        <f t="shared" si="18"/>
      </c>
      <c r="DC59">
        <f t="shared" si="19"/>
      </c>
      <c r="DD59">
        <f t="shared" si="20"/>
      </c>
      <c r="DE59">
        <f t="shared" si="21"/>
      </c>
      <c r="DF59">
        <f t="shared" si="22"/>
      </c>
      <c r="DG59">
        <f t="shared" si="23"/>
      </c>
      <c r="DH59">
        <f t="shared" si="24"/>
      </c>
      <c r="DI59">
        <f t="shared" si="1"/>
      </c>
    </row>
    <row r="60" ht="15" customHeight="1">
      <c r="B60">
        <f t="shared" si="2"/>
      </c>
      <c r="R60">
        <f t="shared" si="3"/>
        <v>0</v>
      </c>
      <c r="S60">
        <f t="shared" si="4"/>
        <v>0</v>
      </c>
      <c r="T60">
        <f t="shared" si="5"/>
        <v>0</v>
      </c>
      <c r="U60">
        <f t="shared" si="6"/>
        <v>0</v>
      </c>
      <c r="V60">
        <f t="shared" si="7"/>
        <v>0</v>
      </c>
      <c r="W60">
        <f t="shared" si="8"/>
        <v>0</v>
      </c>
      <c r="X60">
        <f t="shared" si="9"/>
        <v>0</v>
      </c>
      <c r="Y60">
        <f t="shared" si="10"/>
        <v>0</v>
      </c>
      <c r="Z60">
        <f t="shared" si="11"/>
        <v>0</v>
      </c>
      <c r="AA60">
        <f t="shared" si="12"/>
        <v>0</v>
      </c>
      <c r="AB60">
        <f t="shared" si="13"/>
        <v>0</v>
      </c>
      <c r="AC60">
        <f t="shared" si="14"/>
        <v>0</v>
      </c>
      <c r="AE60">
        <f t="shared" si="0"/>
      </c>
      <c r="AV60">
        <f t="shared" si="15"/>
      </c>
      <c r="BM60">
        <f t="shared" si="16"/>
      </c>
      <c r="CD60">
        <f t="shared" si="0"/>
      </c>
      <c r="CZ60">
        <f t="shared" si="17"/>
      </c>
      <c r="DA60">
        <f t="shared" si="1"/>
      </c>
      <c r="DB60">
        <f t="shared" si="18"/>
      </c>
      <c r="DC60">
        <f t="shared" si="19"/>
      </c>
      <c r="DD60">
        <f t="shared" si="20"/>
      </c>
      <c r="DE60">
        <f t="shared" si="21"/>
      </c>
      <c r="DF60">
        <f t="shared" si="22"/>
      </c>
      <c r="DG60">
        <f t="shared" si="23"/>
      </c>
      <c r="DH60">
        <f t="shared" si="24"/>
      </c>
      <c r="DI60">
        <f t="shared" si="1"/>
      </c>
    </row>
    <row r="61" ht="15" customHeight="1">
      <c r="B61">
        <f t="shared" si="2"/>
      </c>
      <c r="R61">
        <f t="shared" si="3"/>
        <v>0</v>
      </c>
      <c r="S61">
        <f t="shared" si="4"/>
        <v>0</v>
      </c>
      <c r="T61">
        <f t="shared" si="5"/>
        <v>0</v>
      </c>
      <c r="U61">
        <f t="shared" si="6"/>
        <v>0</v>
      </c>
      <c r="V61">
        <f t="shared" si="7"/>
        <v>0</v>
      </c>
      <c r="W61">
        <f t="shared" si="8"/>
        <v>0</v>
      </c>
      <c r="X61">
        <f t="shared" si="9"/>
        <v>0</v>
      </c>
      <c r="Y61">
        <f t="shared" si="10"/>
        <v>0</v>
      </c>
      <c r="Z61">
        <f t="shared" si="11"/>
        <v>0</v>
      </c>
      <c r="AA61">
        <f t="shared" si="12"/>
        <v>0</v>
      </c>
      <c r="AB61">
        <f t="shared" si="13"/>
        <v>0</v>
      </c>
      <c r="AC61">
        <f t="shared" si="14"/>
        <v>0</v>
      </c>
      <c r="AE61">
        <f t="shared" si="0"/>
      </c>
      <c r="AV61">
        <f t="shared" si="15"/>
      </c>
      <c r="BM61">
        <f t="shared" si="16"/>
      </c>
      <c r="CD61">
        <f t="shared" si="0"/>
      </c>
      <c r="CZ61">
        <f t="shared" si="17"/>
      </c>
      <c r="DA61">
        <f t="shared" si="1"/>
      </c>
      <c r="DB61">
        <f t="shared" si="18"/>
      </c>
      <c r="DC61">
        <f t="shared" si="19"/>
      </c>
      <c r="DD61">
        <f t="shared" si="20"/>
      </c>
      <c r="DE61">
        <f t="shared" si="21"/>
      </c>
      <c r="DF61">
        <f t="shared" si="22"/>
      </c>
      <c r="DG61">
        <f t="shared" si="23"/>
      </c>
      <c r="DH61">
        <f t="shared" si="24"/>
      </c>
      <c r="DI61">
        <f t="shared" si="1"/>
      </c>
    </row>
    <row r="62" ht="15" customHeight="1">
      <c r="B62">
        <f t="shared" si="2"/>
      </c>
      <c r="R62">
        <f t="shared" si="3"/>
        <v>0</v>
      </c>
      <c r="S62">
        <f t="shared" si="4"/>
        <v>0</v>
      </c>
      <c r="T62">
        <f t="shared" si="5"/>
        <v>0</v>
      </c>
      <c r="U62">
        <f t="shared" si="6"/>
        <v>0</v>
      </c>
      <c r="V62">
        <f t="shared" si="7"/>
        <v>0</v>
      </c>
      <c r="W62">
        <f t="shared" si="8"/>
        <v>0</v>
      </c>
      <c r="X62">
        <f t="shared" si="9"/>
        <v>0</v>
      </c>
      <c r="Y62">
        <f t="shared" si="10"/>
        <v>0</v>
      </c>
      <c r="Z62">
        <f t="shared" si="11"/>
        <v>0</v>
      </c>
      <c r="AA62">
        <f t="shared" si="12"/>
        <v>0</v>
      </c>
      <c r="AB62">
        <f t="shared" si="13"/>
        <v>0</v>
      </c>
      <c r="AC62">
        <f t="shared" si="14"/>
        <v>0</v>
      </c>
      <c r="AE62">
        <f t="shared" si="0"/>
      </c>
      <c r="AV62">
        <f t="shared" si="15"/>
      </c>
      <c r="BM62">
        <f t="shared" si="16"/>
      </c>
      <c r="CD62">
        <f t="shared" si="0"/>
      </c>
      <c r="CZ62">
        <f t="shared" si="17"/>
      </c>
      <c r="DA62">
        <f t="shared" si="1"/>
      </c>
      <c r="DB62">
        <f t="shared" si="18"/>
      </c>
      <c r="DC62">
        <f t="shared" si="19"/>
      </c>
      <c r="DD62">
        <f t="shared" si="20"/>
      </c>
      <c r="DE62">
        <f t="shared" si="21"/>
      </c>
      <c r="DF62">
        <f t="shared" si="22"/>
      </c>
      <c r="DG62">
        <f t="shared" si="23"/>
      </c>
      <c r="DH62">
        <f t="shared" si="24"/>
      </c>
      <c r="DI62">
        <f t="shared" si="1"/>
      </c>
    </row>
    <row r="63" ht="15" customHeight="1">
      <c r="B63">
        <f t="shared" si="2"/>
      </c>
      <c r="R63">
        <f t="shared" si="3"/>
        <v>0</v>
      </c>
      <c r="S63">
        <f t="shared" si="4"/>
        <v>0</v>
      </c>
      <c r="T63">
        <f t="shared" si="5"/>
        <v>0</v>
      </c>
      <c r="U63">
        <f t="shared" si="6"/>
        <v>0</v>
      </c>
      <c r="V63">
        <f t="shared" si="7"/>
        <v>0</v>
      </c>
      <c r="W63">
        <f t="shared" si="8"/>
        <v>0</v>
      </c>
      <c r="X63">
        <f t="shared" si="9"/>
        <v>0</v>
      </c>
      <c r="Y63">
        <f t="shared" si="10"/>
        <v>0</v>
      </c>
      <c r="Z63">
        <f t="shared" si="11"/>
        <v>0</v>
      </c>
      <c r="AA63">
        <f t="shared" si="12"/>
        <v>0</v>
      </c>
      <c r="AB63">
        <f t="shared" si="13"/>
        <v>0</v>
      </c>
      <c r="AC63">
        <f t="shared" si="14"/>
        <v>0</v>
      </c>
      <c r="AE63">
        <f t="shared" si="0"/>
      </c>
      <c r="AV63">
        <f t="shared" si="15"/>
      </c>
      <c r="BM63">
        <f t="shared" si="16"/>
      </c>
      <c r="CD63">
        <f t="shared" si="0"/>
      </c>
      <c r="CZ63">
        <f t="shared" si="17"/>
      </c>
      <c r="DA63">
        <f t="shared" si="1"/>
      </c>
      <c r="DB63">
        <f t="shared" si="18"/>
      </c>
      <c r="DC63">
        <f t="shared" si="19"/>
      </c>
      <c r="DD63">
        <f t="shared" si="20"/>
      </c>
      <c r="DE63">
        <f t="shared" si="21"/>
      </c>
      <c r="DF63">
        <f t="shared" si="22"/>
      </c>
      <c r="DG63">
        <f t="shared" si="23"/>
      </c>
      <c r="DH63">
        <f t="shared" si="24"/>
      </c>
      <c r="DI63">
        <f t="shared" si="1"/>
      </c>
    </row>
    <row r="64" ht="15" customHeight="1">
      <c r="B64">
        <f t="shared" si="2"/>
      </c>
      <c r="R64">
        <f t="shared" si="3"/>
        <v>0</v>
      </c>
      <c r="S64">
        <f t="shared" si="4"/>
        <v>0</v>
      </c>
      <c r="T64">
        <f t="shared" si="5"/>
        <v>0</v>
      </c>
      <c r="U64">
        <f t="shared" si="6"/>
        <v>0</v>
      </c>
      <c r="V64">
        <f t="shared" si="7"/>
        <v>0</v>
      </c>
      <c r="W64">
        <f t="shared" si="8"/>
        <v>0</v>
      </c>
      <c r="X64">
        <f t="shared" si="9"/>
        <v>0</v>
      </c>
      <c r="Y64">
        <f t="shared" si="10"/>
        <v>0</v>
      </c>
      <c r="Z64">
        <f t="shared" si="11"/>
        <v>0</v>
      </c>
      <c r="AA64">
        <f t="shared" si="12"/>
        <v>0</v>
      </c>
      <c r="AB64">
        <f t="shared" si="13"/>
        <v>0</v>
      </c>
      <c r="AC64">
        <f t="shared" si="14"/>
        <v>0</v>
      </c>
      <c r="AE64">
        <f t="shared" si="0"/>
      </c>
      <c r="AV64">
        <f t="shared" si="15"/>
      </c>
      <c r="BM64">
        <f t="shared" si="16"/>
      </c>
      <c r="CD64">
        <f t="shared" si="0"/>
      </c>
      <c r="CZ64">
        <f t="shared" si="17"/>
      </c>
      <c r="DA64">
        <f t="shared" si="1"/>
      </c>
      <c r="DB64">
        <f t="shared" si="18"/>
      </c>
      <c r="DC64">
        <f t="shared" si="19"/>
      </c>
      <c r="DD64">
        <f t="shared" si="20"/>
      </c>
      <c r="DE64">
        <f t="shared" si="21"/>
      </c>
      <c r="DF64">
        <f t="shared" si="22"/>
      </c>
      <c r="DG64">
        <f t="shared" si="23"/>
      </c>
      <c r="DH64">
        <f t="shared" si="24"/>
      </c>
      <c r="DI64">
        <f t="shared" si="1"/>
      </c>
    </row>
    <row r="65" ht="15" customHeight="1">
      <c r="B65">
        <f t="shared" si="2"/>
      </c>
      <c r="R65">
        <f t="shared" si="3"/>
        <v>0</v>
      </c>
      <c r="S65">
        <f t="shared" si="4"/>
        <v>0</v>
      </c>
      <c r="T65">
        <f t="shared" si="5"/>
        <v>0</v>
      </c>
      <c r="U65">
        <f t="shared" si="6"/>
        <v>0</v>
      </c>
      <c r="V65">
        <f t="shared" si="7"/>
        <v>0</v>
      </c>
      <c r="W65">
        <f t="shared" si="8"/>
        <v>0</v>
      </c>
      <c r="X65">
        <f t="shared" si="9"/>
        <v>0</v>
      </c>
      <c r="Y65">
        <f t="shared" si="10"/>
        <v>0</v>
      </c>
      <c r="Z65">
        <f t="shared" si="11"/>
        <v>0</v>
      </c>
      <c r="AA65">
        <f t="shared" si="12"/>
        <v>0</v>
      </c>
      <c r="AB65">
        <f t="shared" si="13"/>
        <v>0</v>
      </c>
      <c r="AC65">
        <f t="shared" si="14"/>
        <v>0</v>
      </c>
      <c r="AE65">
        <f t="shared" si="0"/>
      </c>
      <c r="AV65">
        <f t="shared" si="15"/>
      </c>
      <c r="BM65">
        <f t="shared" si="16"/>
      </c>
      <c r="CD65">
        <f t="shared" si="0"/>
      </c>
      <c r="CZ65">
        <f t="shared" si="17"/>
      </c>
      <c r="DA65">
        <f t="shared" si="1"/>
      </c>
      <c r="DB65">
        <f t="shared" si="18"/>
      </c>
      <c r="DC65">
        <f t="shared" si="19"/>
      </c>
      <c r="DD65">
        <f t="shared" si="20"/>
      </c>
      <c r="DE65">
        <f t="shared" si="21"/>
      </c>
      <c r="DF65">
        <f t="shared" si="22"/>
      </c>
      <c r="DG65">
        <f t="shared" si="23"/>
      </c>
      <c r="DH65">
        <f t="shared" si="24"/>
      </c>
      <c r="DI65">
        <f t="shared" si="1"/>
      </c>
    </row>
    <row r="66" ht="15" customHeight="1">
      <c r="B66">
        <f t="shared" si="2"/>
      </c>
      <c r="R66">
        <f t="shared" si="3"/>
        <v>0</v>
      </c>
      <c r="S66">
        <f t="shared" si="4"/>
        <v>0</v>
      </c>
      <c r="T66">
        <f t="shared" si="5"/>
        <v>0</v>
      </c>
      <c r="U66">
        <f t="shared" si="6"/>
        <v>0</v>
      </c>
      <c r="V66">
        <f t="shared" si="7"/>
        <v>0</v>
      </c>
      <c r="W66">
        <f t="shared" si="8"/>
        <v>0</v>
      </c>
      <c r="X66">
        <f t="shared" si="9"/>
        <v>0</v>
      </c>
      <c r="Y66">
        <f t="shared" si="10"/>
        <v>0</v>
      </c>
      <c r="Z66">
        <f t="shared" si="11"/>
        <v>0</v>
      </c>
      <c r="AA66">
        <f t="shared" si="12"/>
        <v>0</v>
      </c>
      <c r="AB66">
        <f t="shared" si="13"/>
        <v>0</v>
      </c>
      <c r="AC66">
        <f t="shared" si="14"/>
        <v>0</v>
      </c>
      <c r="AE66">
        <f t="shared" si="0"/>
      </c>
      <c r="AV66">
        <f t="shared" si="15"/>
      </c>
      <c r="BM66">
        <f t="shared" si="16"/>
      </c>
      <c r="CD66">
        <f t="shared" si="0"/>
      </c>
      <c r="CZ66">
        <f t="shared" si="17"/>
      </c>
      <c r="DA66">
        <f t="shared" si="1"/>
      </c>
      <c r="DB66">
        <f t="shared" si="18"/>
      </c>
      <c r="DC66">
        <f t="shared" si="19"/>
      </c>
      <c r="DD66">
        <f t="shared" si="20"/>
      </c>
      <c r="DE66">
        <f t="shared" si="21"/>
      </c>
      <c r="DF66">
        <f t="shared" si="22"/>
      </c>
      <c r="DG66">
        <f t="shared" si="23"/>
      </c>
      <c r="DH66">
        <f t="shared" si="24"/>
      </c>
      <c r="DI66">
        <f t="shared" si="1"/>
      </c>
    </row>
    <row r="67" ht="15" customHeight="1">
      <c r="B67">
        <f t="shared" si="2"/>
      </c>
      <c r="R67">
        <f t="shared" si="3"/>
        <v>0</v>
      </c>
      <c r="S67">
        <f t="shared" si="4"/>
        <v>0</v>
      </c>
      <c r="T67">
        <f t="shared" si="5"/>
        <v>0</v>
      </c>
      <c r="U67">
        <f t="shared" si="6"/>
        <v>0</v>
      </c>
      <c r="V67">
        <f t="shared" si="7"/>
        <v>0</v>
      </c>
      <c r="W67">
        <f t="shared" si="8"/>
        <v>0</v>
      </c>
      <c r="X67">
        <f t="shared" si="9"/>
        <v>0</v>
      </c>
      <c r="Y67">
        <f t="shared" si="10"/>
        <v>0</v>
      </c>
      <c r="Z67">
        <f t="shared" si="11"/>
        <v>0</v>
      </c>
      <c r="AA67">
        <f t="shared" si="12"/>
        <v>0</v>
      </c>
      <c r="AB67">
        <f t="shared" si="13"/>
        <v>0</v>
      </c>
      <c r="AC67">
        <f t="shared" si="14"/>
        <v>0</v>
      </c>
      <c r="AE67">
        <f t="shared" si="0"/>
      </c>
      <c r="AV67">
        <f t="shared" si="15"/>
      </c>
      <c r="BM67">
        <f t="shared" si="16"/>
      </c>
      <c r="CD67">
        <f t="shared" si="0"/>
      </c>
      <c r="CZ67">
        <f t="shared" si="17"/>
      </c>
      <c r="DA67">
        <f t="shared" si="1"/>
      </c>
      <c r="DB67">
        <f t="shared" si="18"/>
      </c>
      <c r="DC67">
        <f t="shared" si="19"/>
      </c>
      <c r="DD67">
        <f t="shared" si="20"/>
      </c>
      <c r="DE67">
        <f t="shared" si="21"/>
      </c>
      <c r="DF67">
        <f t="shared" si="22"/>
      </c>
      <c r="DG67">
        <f t="shared" si="23"/>
      </c>
      <c r="DH67">
        <f t="shared" si="24"/>
      </c>
      <c r="DI67">
        <f t="shared" si="1"/>
      </c>
    </row>
    <row r="68" ht="15" customHeight="1">
      <c r="B68">
        <f t="shared" si="2"/>
      </c>
      <c r="R68">
        <f t="shared" si="3"/>
        <v>0</v>
      </c>
      <c r="S68">
        <f t="shared" si="4"/>
        <v>0</v>
      </c>
      <c r="T68">
        <f t="shared" si="5"/>
        <v>0</v>
      </c>
      <c r="U68">
        <f t="shared" si="6"/>
        <v>0</v>
      </c>
      <c r="V68">
        <f t="shared" si="7"/>
        <v>0</v>
      </c>
      <c r="W68">
        <f t="shared" si="8"/>
        <v>0</v>
      </c>
      <c r="X68">
        <f t="shared" si="9"/>
        <v>0</v>
      </c>
      <c r="Y68">
        <f t="shared" si="10"/>
        <v>0</v>
      </c>
      <c r="Z68">
        <f t="shared" si="11"/>
        <v>0</v>
      </c>
      <c r="AA68">
        <f t="shared" si="12"/>
        <v>0</v>
      </c>
      <c r="AB68">
        <f t="shared" si="13"/>
        <v>0</v>
      </c>
      <c r="AC68">
        <f t="shared" si="14"/>
        <v>0</v>
      </c>
      <c r="AE68">
        <f t="shared" si="0"/>
      </c>
      <c r="AV68">
        <f t="shared" si="15"/>
      </c>
      <c r="BM68">
        <f t="shared" si="16"/>
      </c>
      <c r="CD68">
        <f t="shared" si="0"/>
      </c>
      <c r="CZ68">
        <f t="shared" si="17"/>
      </c>
      <c r="DA68">
        <f t="shared" si="1"/>
      </c>
      <c r="DB68">
        <f t="shared" si="18"/>
      </c>
      <c r="DC68">
        <f t="shared" si="19"/>
      </c>
      <c r="DD68">
        <f t="shared" si="20"/>
      </c>
      <c r="DE68">
        <f t="shared" si="21"/>
      </c>
      <c r="DF68">
        <f t="shared" si="22"/>
      </c>
      <c r="DG68">
        <f t="shared" si="23"/>
      </c>
      <c r="DH68">
        <f t="shared" si="24"/>
      </c>
      <c r="DI68">
        <f t="shared" si="1"/>
      </c>
    </row>
    <row r="69" ht="15" customHeight="1">
      <c r="B69">
        <f t="shared" si="2"/>
      </c>
      <c r="R69">
        <f t="shared" si="3"/>
        <v>0</v>
      </c>
      <c r="S69">
        <f t="shared" si="4"/>
        <v>0</v>
      </c>
      <c r="T69">
        <f t="shared" si="5"/>
        <v>0</v>
      </c>
      <c r="U69">
        <f t="shared" si="6"/>
        <v>0</v>
      </c>
      <c r="V69">
        <f t="shared" si="7"/>
        <v>0</v>
      </c>
      <c r="W69">
        <f t="shared" si="8"/>
        <v>0</v>
      </c>
      <c r="X69">
        <f t="shared" si="9"/>
        <v>0</v>
      </c>
      <c r="Y69">
        <f t="shared" si="10"/>
        <v>0</v>
      </c>
      <c r="Z69">
        <f t="shared" si="11"/>
        <v>0</v>
      </c>
      <c r="AA69">
        <f t="shared" si="12"/>
        <v>0</v>
      </c>
      <c r="AB69">
        <f t="shared" si="13"/>
        <v>0</v>
      </c>
      <c r="AC69">
        <f t="shared" si="14"/>
        <v>0</v>
      </c>
      <c r="AE69">
        <f t="shared" si="0"/>
      </c>
      <c r="AV69">
        <f t="shared" si="15"/>
      </c>
      <c r="BM69">
        <f t="shared" si="16"/>
      </c>
      <c r="CD69">
        <f t="shared" si="0"/>
      </c>
      <c r="CZ69">
        <f t="shared" si="17"/>
      </c>
      <c r="DA69">
        <f t="shared" si="1"/>
      </c>
      <c r="DB69">
        <f t="shared" si="18"/>
      </c>
      <c r="DC69">
        <f t="shared" si="19"/>
      </c>
      <c r="DD69">
        <f t="shared" si="20"/>
      </c>
      <c r="DE69">
        <f t="shared" si="21"/>
      </c>
      <c r="DF69">
        <f t="shared" si="22"/>
      </c>
      <c r="DG69">
        <f t="shared" si="23"/>
      </c>
      <c r="DH69">
        <f t="shared" si="24"/>
      </c>
      <c r="DI69">
        <f t="shared" si="1"/>
      </c>
    </row>
    <row r="70" ht="15" customHeight="1">
      <c r="B70">
        <f t="shared" si="2"/>
      </c>
      <c r="R70">
        <f t="shared" si="3"/>
        <v>0</v>
      </c>
      <c r="S70">
        <f t="shared" si="4"/>
        <v>0</v>
      </c>
      <c r="T70">
        <f t="shared" si="5"/>
        <v>0</v>
      </c>
      <c r="U70">
        <f t="shared" si="6"/>
        <v>0</v>
      </c>
      <c r="V70">
        <f t="shared" si="7"/>
        <v>0</v>
      </c>
      <c r="W70">
        <f t="shared" si="8"/>
        <v>0</v>
      </c>
      <c r="X70">
        <f t="shared" si="9"/>
        <v>0</v>
      </c>
      <c r="Y70">
        <f t="shared" si="10"/>
        <v>0</v>
      </c>
      <c r="Z70">
        <f t="shared" si="11"/>
        <v>0</v>
      </c>
      <c r="AA70">
        <f t="shared" si="12"/>
        <v>0</v>
      </c>
      <c r="AB70">
        <f t="shared" si="13"/>
        <v>0</v>
      </c>
      <c r="AC70">
        <f t="shared" si="14"/>
        <v>0</v>
      </c>
      <c r="AE70">
        <f t="shared" si="0"/>
      </c>
      <c r="AV70">
        <f t="shared" si="15"/>
      </c>
      <c r="BM70">
        <f t="shared" si="16"/>
      </c>
      <c r="CD70">
        <f t="shared" si="0"/>
      </c>
      <c r="CZ70">
        <f t="shared" si="17"/>
      </c>
      <c r="DA70">
        <f t="shared" si="1"/>
      </c>
      <c r="DB70">
        <f t="shared" si="18"/>
      </c>
      <c r="DC70">
        <f t="shared" si="19"/>
      </c>
      <c r="DD70">
        <f t="shared" si="20"/>
      </c>
      <c r="DE70">
        <f t="shared" si="21"/>
      </c>
      <c r="DF70">
        <f t="shared" si="22"/>
      </c>
      <c r="DG70">
        <f t="shared" si="23"/>
      </c>
      <c r="DH70">
        <f t="shared" si="24"/>
      </c>
      <c r="DI70">
        <f t="shared" si="1"/>
      </c>
    </row>
    <row r="71" ht="15" customHeight="1">
      <c r="B71">
        <f t="shared" si="2"/>
      </c>
      <c r="R71">
        <f t="shared" si="3"/>
        <v>0</v>
      </c>
      <c r="S71">
        <f t="shared" si="4"/>
        <v>0</v>
      </c>
      <c r="T71">
        <f t="shared" si="5"/>
        <v>0</v>
      </c>
      <c r="U71">
        <f t="shared" si="6"/>
        <v>0</v>
      </c>
      <c r="V71">
        <f t="shared" si="7"/>
        <v>0</v>
      </c>
      <c r="W71">
        <f t="shared" si="8"/>
        <v>0</v>
      </c>
      <c r="X71">
        <f t="shared" si="9"/>
        <v>0</v>
      </c>
      <c r="Y71">
        <f t="shared" si="10"/>
        <v>0</v>
      </c>
      <c r="Z71">
        <f t="shared" si="11"/>
        <v>0</v>
      </c>
      <c r="AA71">
        <f t="shared" si="12"/>
        <v>0</v>
      </c>
      <c r="AB71">
        <f t="shared" si="13"/>
        <v>0</v>
      </c>
      <c r="AC71">
        <f t="shared" si="14"/>
        <v>0</v>
      </c>
      <c r="AE71">
        <f t="shared" si="0"/>
      </c>
      <c r="AV71">
        <f t="shared" si="15"/>
      </c>
      <c r="BM71">
        <f t="shared" si="16"/>
      </c>
      <c r="CD71">
        <f t="shared" si="0"/>
      </c>
      <c r="CZ71">
        <f t="shared" si="17"/>
      </c>
      <c r="DA71">
        <f t="shared" si="1"/>
      </c>
      <c r="DB71">
        <f t="shared" si="18"/>
      </c>
      <c r="DC71">
        <f t="shared" si="19"/>
      </c>
      <c r="DD71">
        <f t="shared" si="20"/>
      </c>
      <c r="DE71">
        <f t="shared" si="21"/>
      </c>
      <c r="DF71">
        <f t="shared" si="22"/>
      </c>
      <c r="DG71">
        <f t="shared" si="23"/>
      </c>
      <c r="DH71">
        <f t="shared" si="24"/>
      </c>
      <c r="DI71">
        <f t="shared" si="1"/>
      </c>
    </row>
    <row r="72" ht="15" customHeight="1">
      <c r="B72">
        <f t="shared" si="2"/>
      </c>
      <c r="R72">
        <f t="shared" si="3"/>
        <v>0</v>
      </c>
      <c r="S72">
        <f t="shared" si="4"/>
        <v>0</v>
      </c>
      <c r="T72">
        <f t="shared" si="5"/>
        <v>0</v>
      </c>
      <c r="U72">
        <f t="shared" si="6"/>
        <v>0</v>
      </c>
      <c r="V72">
        <f t="shared" si="7"/>
        <v>0</v>
      </c>
      <c r="W72">
        <f t="shared" si="8"/>
        <v>0</v>
      </c>
      <c r="X72">
        <f t="shared" si="9"/>
        <v>0</v>
      </c>
      <c r="Y72">
        <f t="shared" si="10"/>
        <v>0</v>
      </c>
      <c r="Z72">
        <f t="shared" si="11"/>
        <v>0</v>
      </c>
      <c r="AA72">
        <f t="shared" si="12"/>
        <v>0</v>
      </c>
      <c r="AB72">
        <f t="shared" si="13"/>
        <v>0</v>
      </c>
      <c r="AC72">
        <f t="shared" si="14"/>
        <v>0</v>
      </c>
      <c r="AE72">
        <f t="shared" si="0"/>
      </c>
      <c r="AV72">
        <f t="shared" si="15"/>
      </c>
      <c r="BM72">
        <f t="shared" si="16"/>
      </c>
      <c r="CD72">
        <f t="shared" si="0"/>
      </c>
      <c r="CZ72">
        <f t="shared" si="17"/>
      </c>
      <c r="DA72">
        <f t="shared" si="1"/>
      </c>
      <c r="DB72">
        <f t="shared" si="18"/>
      </c>
      <c r="DC72">
        <f t="shared" si="19"/>
      </c>
      <c r="DD72">
        <f t="shared" si="20"/>
      </c>
      <c r="DE72">
        <f t="shared" si="21"/>
      </c>
      <c r="DF72">
        <f t="shared" si="22"/>
      </c>
      <c r="DG72">
        <f t="shared" si="23"/>
      </c>
      <c r="DH72">
        <f t="shared" si="24"/>
      </c>
      <c r="DI72">
        <f t="shared" si="1"/>
      </c>
    </row>
    <row r="73" ht="15" customHeight="1">
      <c r="B73">
        <f t="shared" si="2"/>
      </c>
      <c r="R73">
        <f t="shared" si="3"/>
        <v>0</v>
      </c>
      <c r="S73">
        <f t="shared" si="4"/>
        <v>0</v>
      </c>
      <c r="T73">
        <f t="shared" si="5"/>
        <v>0</v>
      </c>
      <c r="U73">
        <f t="shared" si="6"/>
        <v>0</v>
      </c>
      <c r="V73">
        <f t="shared" si="7"/>
        <v>0</v>
      </c>
      <c r="W73">
        <f t="shared" si="8"/>
        <v>0</v>
      </c>
      <c r="X73">
        <f t="shared" si="9"/>
        <v>0</v>
      </c>
      <c r="Y73">
        <f t="shared" si="10"/>
        <v>0</v>
      </c>
      <c r="Z73">
        <f t="shared" si="11"/>
        <v>0</v>
      </c>
      <c r="AA73">
        <f t="shared" si="12"/>
        <v>0</v>
      </c>
      <c r="AB73">
        <f t="shared" si="13"/>
        <v>0</v>
      </c>
      <c r="AC73">
        <f t="shared" si="14"/>
        <v>0</v>
      </c>
      <c r="AE73">
        <f t="shared" si="0"/>
      </c>
      <c r="AV73">
        <f t="shared" si="15"/>
      </c>
      <c r="BM73">
        <f t="shared" si="16"/>
      </c>
      <c r="CD73">
        <f t="shared" si="0"/>
      </c>
      <c r="CZ73">
        <f t="shared" si="17"/>
      </c>
      <c r="DA73">
        <f t="shared" si="1"/>
      </c>
      <c r="DB73">
        <f t="shared" si="18"/>
      </c>
      <c r="DC73">
        <f t="shared" si="19"/>
      </c>
      <c r="DD73">
        <f t="shared" si="20"/>
      </c>
      <c r="DE73">
        <f t="shared" si="21"/>
      </c>
      <c r="DF73">
        <f t="shared" si="22"/>
      </c>
      <c r="DG73">
        <f t="shared" si="23"/>
      </c>
      <c r="DH73">
        <f t="shared" si="24"/>
      </c>
      <c r="DI73">
        <f t="shared" si="1"/>
      </c>
    </row>
    <row r="74" ht="15" customHeight="1">
      <c r="B74">
        <f t="shared" si="2"/>
      </c>
      <c r="R74">
        <f t="shared" si="3"/>
        <v>0</v>
      </c>
      <c r="S74">
        <f t="shared" si="4"/>
        <v>0</v>
      </c>
      <c r="T74">
        <f t="shared" si="5"/>
        <v>0</v>
      </c>
      <c r="U74">
        <f t="shared" si="6"/>
        <v>0</v>
      </c>
      <c r="V74">
        <f t="shared" si="7"/>
        <v>0</v>
      </c>
      <c r="W74">
        <f t="shared" si="8"/>
        <v>0</v>
      </c>
      <c r="X74">
        <f t="shared" si="9"/>
        <v>0</v>
      </c>
      <c r="Y74">
        <f t="shared" si="10"/>
        <v>0</v>
      </c>
      <c r="Z74">
        <f t="shared" si="11"/>
        <v>0</v>
      </c>
      <c r="AA74">
        <f t="shared" si="12"/>
        <v>0</v>
      </c>
      <c r="AB74">
        <f t="shared" si="13"/>
        <v>0</v>
      </c>
      <c r="AC74">
        <f t="shared" si="14"/>
        <v>0</v>
      </c>
      <c r="AE74">
        <f t="shared" si="0"/>
      </c>
      <c r="AV74">
        <f t="shared" si="15"/>
      </c>
      <c r="BM74">
        <f t="shared" si="16"/>
      </c>
      <c r="CD74">
        <f t="shared" si="0"/>
      </c>
      <c r="CZ74">
        <f t="shared" si="17"/>
      </c>
      <c r="DA74">
        <f t="shared" si="1"/>
      </c>
      <c r="DB74">
        <f t="shared" si="18"/>
      </c>
      <c r="DC74">
        <f t="shared" si="19"/>
      </c>
      <c r="DD74">
        <f t="shared" si="20"/>
      </c>
      <c r="DE74">
        <f t="shared" si="21"/>
      </c>
      <c r="DF74">
        <f t="shared" si="22"/>
      </c>
      <c r="DG74">
        <f t="shared" si="23"/>
      </c>
      <c r="DH74">
        <f t="shared" si="24"/>
      </c>
      <c r="DI74">
        <f t="shared" si="1"/>
      </c>
    </row>
    <row r="75" ht="15" customHeight="1">
      <c r="B75">
        <f t="shared" si="2"/>
      </c>
      <c r="R75">
        <f t="shared" si="3"/>
        <v>0</v>
      </c>
      <c r="S75">
        <f t="shared" si="4"/>
        <v>0</v>
      </c>
      <c r="T75">
        <f t="shared" si="5"/>
        <v>0</v>
      </c>
      <c r="U75">
        <f t="shared" si="6"/>
        <v>0</v>
      </c>
      <c r="V75">
        <f t="shared" si="7"/>
        <v>0</v>
      </c>
      <c r="W75">
        <f t="shared" si="8"/>
        <v>0</v>
      </c>
      <c r="X75">
        <f t="shared" si="9"/>
        <v>0</v>
      </c>
      <c r="Y75">
        <f t="shared" si="10"/>
        <v>0</v>
      </c>
      <c r="Z75">
        <f t="shared" si="11"/>
        <v>0</v>
      </c>
      <c r="AA75">
        <f t="shared" si="12"/>
        <v>0</v>
      </c>
      <c r="AB75">
        <f t="shared" si="13"/>
        <v>0</v>
      </c>
      <c r="AC75">
        <f t="shared" si="14"/>
        <v>0</v>
      </c>
      <c r="AE75">
        <f t="shared" si="0"/>
      </c>
      <c r="AV75">
        <f t="shared" si="15"/>
      </c>
      <c r="BM75">
        <f t="shared" si="16"/>
      </c>
      <c r="CD75">
        <f t="shared" si="0"/>
      </c>
      <c r="CZ75">
        <f t="shared" si="17"/>
      </c>
      <c r="DA75">
        <f t="shared" si="1"/>
      </c>
      <c r="DB75">
        <f t="shared" si="18"/>
      </c>
      <c r="DC75">
        <f t="shared" si="19"/>
      </c>
      <c r="DD75">
        <f t="shared" si="20"/>
      </c>
      <c r="DE75">
        <f t="shared" si="21"/>
      </c>
      <c r="DF75">
        <f t="shared" si="22"/>
      </c>
      <c r="DG75">
        <f t="shared" si="23"/>
      </c>
      <c r="DH75">
        <f t="shared" si="24"/>
      </c>
      <c r="DI75">
        <f t="shared" si="1"/>
      </c>
    </row>
    <row r="76" ht="15" customHeight="1">
      <c r="B76">
        <f t="shared" si="2"/>
      </c>
      <c r="R76">
        <f t="shared" si="3"/>
        <v>0</v>
      </c>
      <c r="S76">
        <f t="shared" si="4"/>
        <v>0</v>
      </c>
      <c r="T76">
        <f t="shared" si="5"/>
        <v>0</v>
      </c>
      <c r="U76">
        <f t="shared" si="6"/>
        <v>0</v>
      </c>
      <c r="V76">
        <f t="shared" si="7"/>
        <v>0</v>
      </c>
      <c r="W76">
        <f t="shared" si="8"/>
        <v>0</v>
      </c>
      <c r="X76">
        <f t="shared" si="9"/>
        <v>0</v>
      </c>
      <c r="Y76">
        <f t="shared" si="10"/>
        <v>0</v>
      </c>
      <c r="Z76">
        <f t="shared" si="11"/>
        <v>0</v>
      </c>
      <c r="AA76">
        <f t="shared" si="12"/>
        <v>0</v>
      </c>
      <c r="AB76">
        <f t="shared" si="13"/>
        <v>0</v>
      </c>
      <c r="AC76">
        <f t="shared" si="14"/>
        <v>0</v>
      </c>
      <c r="AE76">
        <f t="shared" si="0"/>
      </c>
      <c r="AV76">
        <f t="shared" si="15"/>
      </c>
      <c r="BM76">
        <f t="shared" si="16"/>
      </c>
      <c r="CD76">
        <f t="shared" si="0"/>
      </c>
      <c r="CZ76">
        <f t="shared" si="17"/>
      </c>
      <c r="DA76">
        <f t="shared" si="1"/>
      </c>
      <c r="DB76">
        <f t="shared" si="18"/>
      </c>
      <c r="DC76">
        <f t="shared" si="19"/>
      </c>
      <c r="DD76">
        <f t="shared" si="20"/>
      </c>
      <c r="DE76">
        <f t="shared" si="21"/>
      </c>
      <c r="DF76">
        <f t="shared" si="22"/>
      </c>
      <c r="DG76">
        <f t="shared" si="23"/>
      </c>
      <c r="DH76">
        <f t="shared" si="24"/>
      </c>
      <c r="DI76">
        <f t="shared" si="1"/>
      </c>
    </row>
    <row r="77" ht="15" customHeight="1">
      <c r="B77">
        <f t="shared" si="2"/>
      </c>
      <c r="R77">
        <f t="shared" si="3"/>
        <v>0</v>
      </c>
      <c r="S77">
        <f t="shared" si="4"/>
        <v>0</v>
      </c>
      <c r="T77">
        <f t="shared" si="5"/>
        <v>0</v>
      </c>
      <c r="U77">
        <f t="shared" si="6"/>
        <v>0</v>
      </c>
      <c r="V77">
        <f t="shared" si="7"/>
        <v>0</v>
      </c>
      <c r="W77">
        <f t="shared" si="8"/>
        <v>0</v>
      </c>
      <c r="X77">
        <f t="shared" si="9"/>
        <v>0</v>
      </c>
      <c r="Y77">
        <f t="shared" si="10"/>
        <v>0</v>
      </c>
      <c r="Z77">
        <f t="shared" si="11"/>
        <v>0</v>
      </c>
      <c r="AA77">
        <f t="shared" si="12"/>
        <v>0</v>
      </c>
      <c r="AB77">
        <f t="shared" si="13"/>
        <v>0</v>
      </c>
      <c r="AC77">
        <f t="shared" si="14"/>
        <v>0</v>
      </c>
      <c r="AE77">
        <f t="shared" si="0"/>
      </c>
      <c r="AV77">
        <f t="shared" si="15"/>
      </c>
      <c r="BM77">
        <f t="shared" si="16"/>
      </c>
      <c r="CD77">
        <f t="shared" si="0"/>
      </c>
      <c r="CZ77">
        <f t="shared" si="17"/>
      </c>
      <c r="DA77">
        <f t="shared" si="1"/>
      </c>
      <c r="DB77">
        <f t="shared" si="18"/>
      </c>
      <c r="DC77">
        <f t="shared" si="19"/>
      </c>
      <c r="DD77">
        <f t="shared" si="20"/>
      </c>
      <c r="DE77">
        <f t="shared" si="21"/>
      </c>
      <c r="DF77">
        <f t="shared" si="22"/>
      </c>
      <c r="DG77">
        <f t="shared" si="23"/>
      </c>
      <c r="DH77">
        <f t="shared" si="24"/>
      </c>
      <c r="DI77">
        <f t="shared" si="1"/>
      </c>
    </row>
    <row r="78" ht="15" customHeight="1">
      <c r="B78">
        <f t="shared" si="2"/>
      </c>
      <c r="R78">
        <f t="shared" si="3"/>
        <v>0</v>
      </c>
      <c r="S78">
        <f t="shared" si="4"/>
        <v>0</v>
      </c>
      <c r="T78">
        <f t="shared" si="5"/>
        <v>0</v>
      </c>
      <c r="U78">
        <f t="shared" si="6"/>
        <v>0</v>
      </c>
      <c r="V78">
        <f t="shared" si="7"/>
        <v>0</v>
      </c>
      <c r="W78">
        <f t="shared" si="8"/>
        <v>0</v>
      </c>
      <c r="X78">
        <f t="shared" si="9"/>
        <v>0</v>
      </c>
      <c r="Y78">
        <f t="shared" si="10"/>
        <v>0</v>
      </c>
      <c r="Z78">
        <f t="shared" si="11"/>
        <v>0</v>
      </c>
      <c r="AA78">
        <f t="shared" si="12"/>
        <v>0</v>
      </c>
      <c r="AB78">
        <f t="shared" si="13"/>
        <v>0</v>
      </c>
      <c r="AC78">
        <f t="shared" si="14"/>
        <v>0</v>
      </c>
      <c r="AE78">
        <f t="shared" si="0"/>
      </c>
      <c r="AV78">
        <f t="shared" si="15"/>
      </c>
      <c r="BM78">
        <f t="shared" si="16"/>
      </c>
      <c r="CD78">
        <f t="shared" si="0"/>
      </c>
      <c r="CZ78">
        <f t="shared" si="17"/>
      </c>
      <c r="DA78">
        <f t="shared" si="1"/>
      </c>
      <c r="DB78">
        <f t="shared" si="18"/>
      </c>
      <c r="DC78">
        <f t="shared" si="19"/>
      </c>
      <c r="DD78">
        <f t="shared" si="20"/>
      </c>
      <c r="DE78">
        <f t="shared" si="21"/>
      </c>
      <c r="DF78">
        <f t="shared" si="22"/>
      </c>
      <c r="DG78">
        <f t="shared" si="23"/>
      </c>
      <c r="DH78">
        <f t="shared" si="24"/>
      </c>
      <c r="DI78">
        <f t="shared" si="1"/>
      </c>
    </row>
    <row r="79" ht="15" customHeight="1">
      <c r="B79">
        <f t="shared" si="2"/>
      </c>
      <c r="R79">
        <f t="shared" si="3"/>
        <v>0</v>
      </c>
      <c r="S79">
        <f t="shared" si="4"/>
        <v>0</v>
      </c>
      <c r="T79">
        <f t="shared" si="5"/>
        <v>0</v>
      </c>
      <c r="U79">
        <f t="shared" si="6"/>
        <v>0</v>
      </c>
      <c r="V79">
        <f t="shared" si="7"/>
        <v>0</v>
      </c>
      <c r="W79">
        <f t="shared" si="8"/>
        <v>0</v>
      </c>
      <c r="X79">
        <f t="shared" si="9"/>
        <v>0</v>
      </c>
      <c r="Y79">
        <f t="shared" si="10"/>
        <v>0</v>
      </c>
      <c r="Z79">
        <f t="shared" si="11"/>
        <v>0</v>
      </c>
      <c r="AA79">
        <f t="shared" si="12"/>
        <v>0</v>
      </c>
      <c r="AB79">
        <f t="shared" si="13"/>
        <v>0</v>
      </c>
      <c r="AC79">
        <f t="shared" si="14"/>
        <v>0</v>
      </c>
      <c r="AE79">
        <f t="shared" si="0"/>
      </c>
      <c r="AV79">
        <f t="shared" si="15"/>
      </c>
      <c r="BM79">
        <f t="shared" si="16"/>
      </c>
      <c r="CD79">
        <f t="shared" si="0"/>
      </c>
      <c r="CZ79">
        <f t="shared" si="17"/>
      </c>
      <c r="DA79">
        <f t="shared" si="1"/>
      </c>
      <c r="DB79">
        <f t="shared" si="18"/>
      </c>
      <c r="DC79">
        <f t="shared" si="19"/>
      </c>
      <c r="DD79">
        <f t="shared" si="20"/>
      </c>
      <c r="DE79">
        <f t="shared" si="21"/>
      </c>
      <c r="DF79">
        <f t="shared" si="22"/>
      </c>
      <c r="DG79">
        <f t="shared" si="23"/>
      </c>
      <c r="DH79">
        <f t="shared" si="24"/>
      </c>
      <c r="DI79">
        <f t="shared" si="1"/>
      </c>
    </row>
    <row r="80" ht="15" customHeight="1">
      <c r="B80">
        <f t="shared" si="2"/>
      </c>
      <c r="R80">
        <f t="shared" si="3"/>
        <v>0</v>
      </c>
      <c r="S80">
        <f t="shared" si="4"/>
        <v>0</v>
      </c>
      <c r="T80">
        <f t="shared" si="5"/>
        <v>0</v>
      </c>
      <c r="U80">
        <f t="shared" si="6"/>
        <v>0</v>
      </c>
      <c r="V80">
        <f t="shared" si="7"/>
        <v>0</v>
      </c>
      <c r="W80">
        <f t="shared" si="8"/>
        <v>0</v>
      </c>
      <c r="X80">
        <f t="shared" si="9"/>
        <v>0</v>
      </c>
      <c r="Y80">
        <f t="shared" si="10"/>
        <v>0</v>
      </c>
      <c r="Z80">
        <f t="shared" si="11"/>
        <v>0</v>
      </c>
      <c r="AA80">
        <f t="shared" si="12"/>
        <v>0</v>
      </c>
      <c r="AB80">
        <f t="shared" si="13"/>
        <v>0</v>
      </c>
      <c r="AC80">
        <f t="shared" si="14"/>
        <v>0</v>
      </c>
      <c r="AE80">
        <f t="shared" si="0"/>
      </c>
      <c r="AV80">
        <f t="shared" si="15"/>
      </c>
      <c r="BM80">
        <f t="shared" si="16"/>
      </c>
      <c r="CD80">
        <f t="shared" si="0"/>
      </c>
      <c r="CZ80">
        <f t="shared" si="17"/>
      </c>
      <c r="DA80">
        <f t="shared" si="1"/>
      </c>
      <c r="DB80">
        <f t="shared" si="18"/>
      </c>
      <c r="DC80">
        <f t="shared" si="19"/>
      </c>
      <c r="DD80">
        <f t="shared" si="20"/>
      </c>
      <c r="DE80">
        <f t="shared" si="21"/>
      </c>
      <c r="DF80">
        <f t="shared" si="22"/>
      </c>
      <c r="DG80">
        <f t="shared" si="23"/>
      </c>
      <c r="DH80">
        <f t="shared" si="24"/>
      </c>
      <c r="DI80">
        <f t="shared" si="1"/>
      </c>
    </row>
    <row r="81" ht="15" customHeight="1">
      <c r="B81">
        <f t="shared" si="2"/>
      </c>
      <c r="R81">
        <f t="shared" si="3"/>
        <v>0</v>
      </c>
      <c r="S81">
        <f t="shared" si="4"/>
        <v>0</v>
      </c>
      <c r="T81">
        <f t="shared" si="5"/>
        <v>0</v>
      </c>
      <c r="U81">
        <f t="shared" si="6"/>
        <v>0</v>
      </c>
      <c r="V81">
        <f t="shared" si="7"/>
        <v>0</v>
      </c>
      <c r="W81">
        <f t="shared" si="8"/>
        <v>0</v>
      </c>
      <c r="X81">
        <f t="shared" si="9"/>
        <v>0</v>
      </c>
      <c r="Y81">
        <f t="shared" si="10"/>
        <v>0</v>
      </c>
      <c r="Z81">
        <f t="shared" si="11"/>
        <v>0</v>
      </c>
      <c r="AA81">
        <f t="shared" si="12"/>
        <v>0</v>
      </c>
      <c r="AB81">
        <f t="shared" si="13"/>
        <v>0</v>
      </c>
      <c r="AC81">
        <f t="shared" si="14"/>
        <v>0</v>
      </c>
      <c r="AE81">
        <f t="shared" si="0"/>
      </c>
      <c r="AV81">
        <f t="shared" si="15"/>
      </c>
      <c r="BM81">
        <f t="shared" si="16"/>
      </c>
      <c r="CD81">
        <f t="shared" si="0"/>
      </c>
      <c r="CZ81">
        <f t="shared" si="17"/>
      </c>
      <c r="DA81">
        <f t="shared" si="1"/>
      </c>
      <c r="DB81">
        <f t="shared" si="18"/>
      </c>
      <c r="DC81">
        <f t="shared" si="19"/>
      </c>
      <c r="DD81">
        <f t="shared" si="20"/>
      </c>
      <c r="DE81">
        <f t="shared" si="21"/>
      </c>
      <c r="DF81">
        <f t="shared" si="22"/>
      </c>
      <c r="DG81">
        <f t="shared" si="23"/>
      </c>
      <c r="DH81">
        <f t="shared" si="24"/>
      </c>
      <c r="DI81">
        <f t="shared" si="1"/>
      </c>
    </row>
    <row r="82" ht="15" customHeight="1">
      <c r="B82">
        <f t="shared" si="2"/>
      </c>
      <c r="R82">
        <f t="shared" si="3"/>
        <v>0</v>
      </c>
      <c r="S82">
        <f t="shared" si="4"/>
        <v>0</v>
      </c>
      <c r="T82">
        <f t="shared" si="5"/>
        <v>0</v>
      </c>
      <c r="U82">
        <f t="shared" si="6"/>
        <v>0</v>
      </c>
      <c r="V82">
        <f t="shared" si="7"/>
        <v>0</v>
      </c>
      <c r="W82">
        <f t="shared" si="8"/>
        <v>0</v>
      </c>
      <c r="X82">
        <f t="shared" si="9"/>
        <v>0</v>
      </c>
      <c r="Y82">
        <f t="shared" si="10"/>
        <v>0</v>
      </c>
      <c r="Z82">
        <f t="shared" si="11"/>
        <v>0</v>
      </c>
      <c r="AA82">
        <f t="shared" si="12"/>
        <v>0</v>
      </c>
      <c r="AB82">
        <f t="shared" si="13"/>
        <v>0</v>
      </c>
      <c r="AC82">
        <f t="shared" si="14"/>
        <v>0</v>
      </c>
      <c r="AE82">
        <f t="shared" si="0"/>
      </c>
      <c r="AV82">
        <f t="shared" si="15"/>
      </c>
      <c r="BM82">
        <f t="shared" si="16"/>
      </c>
      <c r="CD82">
        <f t="shared" si="0"/>
      </c>
      <c r="CZ82">
        <f t="shared" si="17"/>
      </c>
      <c r="DA82">
        <f t="shared" si="1"/>
      </c>
      <c r="DB82">
        <f t="shared" si="18"/>
      </c>
      <c r="DC82">
        <f t="shared" si="19"/>
      </c>
      <c r="DD82">
        <f t="shared" si="20"/>
      </c>
      <c r="DE82">
        <f t="shared" si="21"/>
      </c>
      <c r="DF82">
        <f t="shared" si="22"/>
      </c>
      <c r="DG82">
        <f t="shared" si="23"/>
      </c>
      <c r="DH82">
        <f t="shared" si="24"/>
      </c>
      <c r="DI82">
        <f t="shared" si="1"/>
      </c>
    </row>
    <row r="83" ht="15" customHeight="1">
      <c r="B83">
        <f t="shared" si="2"/>
      </c>
      <c r="R83">
        <f t="shared" si="3"/>
        <v>0</v>
      </c>
      <c r="S83">
        <f t="shared" si="4"/>
        <v>0</v>
      </c>
      <c r="T83">
        <f t="shared" si="5"/>
        <v>0</v>
      </c>
      <c r="U83">
        <f t="shared" si="6"/>
        <v>0</v>
      </c>
      <c r="V83">
        <f t="shared" si="7"/>
        <v>0</v>
      </c>
      <c r="W83">
        <f t="shared" si="8"/>
        <v>0</v>
      </c>
      <c r="X83">
        <f t="shared" si="9"/>
        <v>0</v>
      </c>
      <c r="Y83">
        <f t="shared" si="10"/>
        <v>0</v>
      </c>
      <c r="Z83">
        <f t="shared" si="11"/>
        <v>0</v>
      </c>
      <c r="AA83">
        <f t="shared" si="12"/>
        <v>0</v>
      </c>
      <c r="AB83">
        <f t="shared" si="13"/>
        <v>0</v>
      </c>
      <c r="AC83">
        <f t="shared" si="14"/>
        <v>0</v>
      </c>
      <c r="AE83">
        <f t="shared" si="0"/>
      </c>
      <c r="AV83">
        <f t="shared" si="15"/>
      </c>
      <c r="BM83">
        <f t="shared" si="16"/>
      </c>
      <c r="CD83">
        <f t="shared" si="0"/>
      </c>
      <c r="CZ83">
        <f t="shared" si="17"/>
      </c>
      <c r="DA83">
        <f t="shared" si="1"/>
      </c>
      <c r="DB83">
        <f t="shared" si="18"/>
      </c>
      <c r="DC83">
        <f t="shared" si="19"/>
      </c>
      <c r="DD83">
        <f t="shared" si="20"/>
      </c>
      <c r="DE83">
        <f t="shared" si="21"/>
      </c>
      <c r="DF83">
        <f t="shared" si="22"/>
      </c>
      <c r="DG83">
        <f t="shared" si="23"/>
      </c>
      <c r="DH83">
        <f t="shared" si="24"/>
      </c>
      <c r="DI83">
        <f t="shared" si="1"/>
      </c>
    </row>
    <row r="84" ht="15" customHeight="1">
      <c r="B84">
        <f t="shared" si="2"/>
      </c>
      <c r="R84">
        <f t="shared" si="3"/>
        <v>0</v>
      </c>
      <c r="S84">
        <f t="shared" si="4"/>
        <v>0</v>
      </c>
      <c r="T84">
        <f t="shared" si="5"/>
        <v>0</v>
      </c>
      <c r="U84">
        <f t="shared" si="6"/>
        <v>0</v>
      </c>
      <c r="V84">
        <f t="shared" si="7"/>
        <v>0</v>
      </c>
      <c r="W84">
        <f t="shared" si="8"/>
        <v>0</v>
      </c>
      <c r="X84">
        <f t="shared" si="9"/>
        <v>0</v>
      </c>
      <c r="Y84">
        <f t="shared" si="10"/>
        <v>0</v>
      </c>
      <c r="Z84">
        <f t="shared" si="11"/>
        <v>0</v>
      </c>
      <c r="AA84">
        <f t="shared" si="12"/>
        <v>0</v>
      </c>
      <c r="AB84">
        <f t="shared" si="13"/>
        <v>0</v>
      </c>
      <c r="AC84">
        <f t="shared" si="14"/>
        <v>0</v>
      </c>
      <c r="AE84">
        <f t="shared" si="0"/>
      </c>
      <c r="AV84">
        <f t="shared" si="15"/>
      </c>
      <c r="BM84">
        <f t="shared" si="16"/>
      </c>
      <c r="CD84">
        <f t="shared" si="0"/>
      </c>
      <c r="CZ84">
        <f t="shared" si="17"/>
      </c>
      <c r="DA84">
        <f t="shared" si="1"/>
      </c>
      <c r="DB84">
        <f t="shared" si="18"/>
      </c>
      <c r="DC84">
        <f t="shared" si="19"/>
      </c>
      <c r="DD84">
        <f t="shared" si="20"/>
      </c>
      <c r="DE84">
        <f t="shared" si="21"/>
      </c>
      <c r="DF84">
        <f t="shared" si="22"/>
      </c>
      <c r="DG84">
        <f t="shared" si="23"/>
      </c>
      <c r="DH84">
        <f t="shared" si="24"/>
      </c>
      <c r="DI84">
        <f t="shared" si="1"/>
      </c>
    </row>
    <row r="85" ht="15" customHeight="1">
      <c r="B85">
        <f t="shared" si="2"/>
      </c>
      <c r="R85">
        <f t="shared" si="3"/>
        <v>0</v>
      </c>
      <c r="S85">
        <f t="shared" si="4"/>
        <v>0</v>
      </c>
      <c r="T85">
        <f t="shared" si="5"/>
        <v>0</v>
      </c>
      <c r="U85">
        <f t="shared" si="6"/>
        <v>0</v>
      </c>
      <c r="V85">
        <f t="shared" si="7"/>
        <v>0</v>
      </c>
      <c r="W85">
        <f t="shared" si="8"/>
        <v>0</v>
      </c>
      <c r="X85">
        <f t="shared" si="9"/>
        <v>0</v>
      </c>
      <c r="Y85">
        <f t="shared" si="10"/>
        <v>0</v>
      </c>
      <c r="Z85">
        <f t="shared" si="11"/>
        <v>0</v>
      </c>
      <c r="AA85">
        <f t="shared" si="12"/>
        <v>0</v>
      </c>
      <c r="AB85">
        <f t="shared" si="13"/>
        <v>0</v>
      </c>
      <c r="AC85">
        <f t="shared" si="14"/>
        <v>0</v>
      </c>
      <c r="AE85">
        <f t="shared" si="0"/>
      </c>
      <c r="AV85">
        <f t="shared" si="15"/>
      </c>
      <c r="BM85">
        <f t="shared" si="16"/>
      </c>
      <c r="CD85">
        <f t="shared" si="0"/>
      </c>
      <c r="CZ85">
        <f t="shared" si="17"/>
      </c>
      <c r="DA85">
        <f t="shared" si="1"/>
      </c>
      <c r="DB85">
        <f t="shared" si="18"/>
      </c>
      <c r="DC85">
        <f t="shared" si="19"/>
      </c>
      <c r="DD85">
        <f t="shared" si="20"/>
      </c>
      <c r="DE85">
        <f t="shared" si="21"/>
      </c>
      <c r="DF85">
        <f t="shared" si="22"/>
      </c>
      <c r="DG85">
        <f t="shared" si="23"/>
      </c>
      <c r="DH85">
        <f t="shared" si="24"/>
      </c>
      <c r="DI85">
        <f t="shared" si="1"/>
      </c>
    </row>
    <row r="86" ht="15" customHeight="1">
      <c r="B86">
        <f t="shared" si="2"/>
      </c>
      <c r="R86">
        <f t="shared" si="3"/>
        <v>0</v>
      </c>
      <c r="S86">
        <f t="shared" si="4"/>
        <v>0</v>
      </c>
      <c r="T86">
        <f t="shared" si="5"/>
        <v>0</v>
      </c>
      <c r="U86">
        <f t="shared" si="6"/>
        <v>0</v>
      </c>
      <c r="V86">
        <f t="shared" si="7"/>
        <v>0</v>
      </c>
      <c r="W86">
        <f t="shared" si="8"/>
        <v>0</v>
      </c>
      <c r="X86">
        <f t="shared" si="9"/>
        <v>0</v>
      </c>
      <c r="Y86">
        <f t="shared" si="10"/>
        <v>0</v>
      </c>
      <c r="Z86">
        <f t="shared" si="11"/>
        <v>0</v>
      </c>
      <c r="AA86">
        <f t="shared" si="12"/>
        <v>0</v>
      </c>
      <c r="AB86">
        <f t="shared" si="13"/>
        <v>0</v>
      </c>
      <c r="AC86">
        <f t="shared" si="14"/>
        <v>0</v>
      </c>
      <c r="AE86">
        <f t="shared" si="0"/>
      </c>
      <c r="AV86">
        <f t="shared" si="15"/>
      </c>
      <c r="BM86">
        <f t="shared" si="16"/>
      </c>
      <c r="CD86">
        <f t="shared" si="0"/>
      </c>
      <c r="CZ86">
        <f t="shared" si="17"/>
      </c>
      <c r="DA86">
        <f t="shared" si="1"/>
      </c>
      <c r="DB86">
        <f t="shared" si="18"/>
      </c>
      <c r="DC86">
        <f t="shared" si="19"/>
      </c>
      <c r="DD86">
        <f t="shared" si="20"/>
      </c>
      <c r="DE86">
        <f t="shared" si="21"/>
      </c>
      <c r="DF86">
        <f t="shared" si="22"/>
      </c>
      <c r="DG86">
        <f t="shared" si="23"/>
      </c>
      <c r="DH86">
        <f t="shared" si="24"/>
      </c>
      <c r="DI86">
        <f t="shared" si="1"/>
      </c>
    </row>
    <row r="87" ht="15" customHeight="1">
      <c r="B87">
        <f t="shared" si="2"/>
      </c>
      <c r="R87">
        <f t="shared" si="3"/>
        <v>0</v>
      </c>
      <c r="S87">
        <f t="shared" si="4"/>
        <v>0</v>
      </c>
      <c r="T87">
        <f t="shared" si="5"/>
        <v>0</v>
      </c>
      <c r="U87">
        <f t="shared" si="6"/>
        <v>0</v>
      </c>
      <c r="V87">
        <f t="shared" si="7"/>
        <v>0</v>
      </c>
      <c r="W87">
        <f t="shared" si="8"/>
        <v>0</v>
      </c>
      <c r="X87">
        <f t="shared" si="9"/>
        <v>0</v>
      </c>
      <c r="Y87">
        <f t="shared" si="10"/>
        <v>0</v>
      </c>
      <c r="Z87">
        <f t="shared" si="11"/>
        <v>0</v>
      </c>
      <c r="AA87">
        <f t="shared" si="12"/>
        <v>0</v>
      </c>
      <c r="AB87">
        <f t="shared" si="13"/>
        <v>0</v>
      </c>
      <c r="AC87">
        <f t="shared" si="14"/>
        <v>0</v>
      </c>
      <c r="AE87">
        <f t="shared" si="0"/>
      </c>
      <c r="AV87">
        <f t="shared" si="15"/>
      </c>
      <c r="BM87">
        <f t="shared" si="16"/>
      </c>
      <c r="CD87">
        <f t="shared" si="0"/>
      </c>
      <c r="CZ87">
        <f t="shared" si="17"/>
      </c>
      <c r="DA87">
        <f t="shared" si="1"/>
      </c>
      <c r="DB87">
        <f t="shared" si="18"/>
      </c>
      <c r="DC87">
        <f t="shared" si="19"/>
      </c>
      <c r="DD87">
        <f t="shared" si="20"/>
      </c>
      <c r="DE87">
        <f t="shared" si="21"/>
      </c>
      <c r="DF87">
        <f t="shared" si="22"/>
      </c>
      <c r="DG87">
        <f t="shared" si="23"/>
      </c>
      <c r="DH87">
        <f t="shared" si="24"/>
      </c>
      <c r="DI87">
        <f t="shared" si="1"/>
      </c>
    </row>
    <row r="88" ht="15" customHeight="1">
      <c r="B88">
        <f t="shared" si="2"/>
      </c>
      <c r="R88">
        <f t="shared" si="3"/>
        <v>0</v>
      </c>
      <c r="S88">
        <f t="shared" si="4"/>
        <v>0</v>
      </c>
      <c r="T88">
        <f t="shared" si="5"/>
        <v>0</v>
      </c>
      <c r="U88">
        <f t="shared" si="6"/>
        <v>0</v>
      </c>
      <c r="V88">
        <f t="shared" si="7"/>
        <v>0</v>
      </c>
      <c r="W88">
        <f t="shared" si="8"/>
        <v>0</v>
      </c>
      <c r="X88">
        <f t="shared" si="9"/>
        <v>0</v>
      </c>
      <c r="Y88">
        <f t="shared" si="10"/>
        <v>0</v>
      </c>
      <c r="Z88">
        <f t="shared" si="11"/>
        <v>0</v>
      </c>
      <c r="AA88">
        <f t="shared" si="12"/>
        <v>0</v>
      </c>
      <c r="AB88">
        <f t="shared" si="13"/>
        <v>0</v>
      </c>
      <c r="AC88">
        <f t="shared" si="14"/>
        <v>0</v>
      </c>
      <c r="AE88">
        <f t="shared" si="0"/>
      </c>
      <c r="AV88">
        <f t="shared" si="15"/>
      </c>
      <c r="BM88">
        <f t="shared" si="16"/>
      </c>
      <c r="CD88">
        <f t="shared" si="0"/>
      </c>
      <c r="CZ88">
        <f t="shared" si="17"/>
      </c>
      <c r="DA88">
        <f t="shared" si="1"/>
      </c>
      <c r="DB88">
        <f t="shared" si="18"/>
      </c>
      <c r="DC88">
        <f t="shared" si="19"/>
      </c>
      <c r="DD88">
        <f t="shared" si="20"/>
      </c>
      <c r="DE88">
        <f t="shared" si="21"/>
      </c>
      <c r="DF88">
        <f t="shared" si="22"/>
      </c>
      <c r="DG88">
        <f t="shared" si="23"/>
      </c>
      <c r="DH88">
        <f t="shared" si="24"/>
      </c>
      <c r="DI88">
        <f t="shared" si="1"/>
      </c>
    </row>
    <row r="89" ht="15" customHeight="1">
      <c r="B89">
        <f t="shared" si="2"/>
      </c>
      <c r="R89">
        <f t="shared" si="3"/>
        <v>0</v>
      </c>
      <c r="S89">
        <f t="shared" si="4"/>
        <v>0</v>
      </c>
      <c r="T89">
        <f t="shared" si="5"/>
        <v>0</v>
      </c>
      <c r="U89">
        <f t="shared" si="6"/>
        <v>0</v>
      </c>
      <c r="V89">
        <f t="shared" si="7"/>
        <v>0</v>
      </c>
      <c r="W89">
        <f t="shared" si="8"/>
        <v>0</v>
      </c>
      <c r="X89">
        <f t="shared" si="9"/>
        <v>0</v>
      </c>
      <c r="Y89">
        <f t="shared" si="10"/>
        <v>0</v>
      </c>
      <c r="Z89">
        <f t="shared" si="11"/>
        <v>0</v>
      </c>
      <c r="AA89">
        <f t="shared" si="12"/>
        <v>0</v>
      </c>
      <c r="AB89">
        <f t="shared" si="13"/>
        <v>0</v>
      </c>
      <c r="AC89">
        <f t="shared" si="14"/>
        <v>0</v>
      </c>
      <c r="AE89">
        <f t="shared" si="0"/>
      </c>
      <c r="AV89">
        <f t="shared" si="15"/>
      </c>
      <c r="BM89">
        <f t="shared" si="16"/>
      </c>
      <c r="CD89">
        <f t="shared" si="0"/>
      </c>
      <c r="CZ89">
        <f t="shared" si="17"/>
      </c>
      <c r="DA89">
        <f t="shared" si="1"/>
      </c>
      <c r="DB89">
        <f t="shared" si="18"/>
      </c>
      <c r="DC89">
        <f t="shared" si="19"/>
      </c>
      <c r="DD89">
        <f t="shared" si="20"/>
      </c>
      <c r="DE89">
        <f t="shared" si="21"/>
      </c>
      <c r="DF89">
        <f t="shared" si="22"/>
      </c>
      <c r="DG89">
        <f t="shared" si="23"/>
      </c>
      <c r="DH89">
        <f t="shared" si="24"/>
      </c>
      <c r="DI89">
        <f t="shared" si="1"/>
      </c>
    </row>
    <row r="90" ht="15" customHeight="1">
      <c r="B90">
        <f t="shared" si="2"/>
      </c>
      <c r="R90">
        <f t="shared" si="3"/>
        <v>0</v>
      </c>
      <c r="S90">
        <f t="shared" si="4"/>
        <v>0</v>
      </c>
      <c r="T90">
        <f t="shared" si="5"/>
        <v>0</v>
      </c>
      <c r="U90">
        <f t="shared" si="6"/>
        <v>0</v>
      </c>
      <c r="V90">
        <f t="shared" si="7"/>
        <v>0</v>
      </c>
      <c r="W90">
        <f t="shared" si="8"/>
        <v>0</v>
      </c>
      <c r="X90">
        <f t="shared" si="9"/>
        <v>0</v>
      </c>
      <c r="Y90">
        <f t="shared" si="10"/>
        <v>0</v>
      </c>
      <c r="Z90">
        <f t="shared" si="11"/>
        <v>0</v>
      </c>
      <c r="AA90">
        <f t="shared" si="12"/>
        <v>0</v>
      </c>
      <c r="AB90">
        <f t="shared" si="13"/>
        <v>0</v>
      </c>
      <c r="AC90">
        <f t="shared" si="14"/>
        <v>0</v>
      </c>
      <c r="AE90">
        <f t="shared" si="0"/>
      </c>
      <c r="AV90">
        <f t="shared" si="15"/>
      </c>
      <c r="BM90">
        <f t="shared" si="16"/>
      </c>
      <c r="CD90">
        <f t="shared" si="0"/>
      </c>
      <c r="CZ90">
        <f t="shared" si="17"/>
      </c>
      <c r="DA90">
        <f t="shared" si="1"/>
      </c>
      <c r="DB90">
        <f t="shared" si="18"/>
      </c>
      <c r="DC90">
        <f t="shared" si="19"/>
      </c>
      <c r="DD90">
        <f t="shared" si="20"/>
      </c>
      <c r="DE90">
        <f t="shared" si="21"/>
      </c>
      <c r="DF90">
        <f t="shared" si="22"/>
      </c>
      <c r="DG90">
        <f t="shared" si="23"/>
      </c>
      <c r="DH90">
        <f t="shared" si="24"/>
      </c>
      <c r="DI90">
        <f t="shared" si="1"/>
      </c>
    </row>
    <row r="91" ht="15" customHeight="1">
      <c r="B91">
        <f t="shared" si="2"/>
      </c>
      <c r="R91">
        <f t="shared" si="3"/>
        <v>0</v>
      </c>
      <c r="S91">
        <f t="shared" si="4"/>
        <v>0</v>
      </c>
      <c r="T91">
        <f t="shared" si="5"/>
        <v>0</v>
      </c>
      <c r="U91">
        <f t="shared" si="6"/>
        <v>0</v>
      </c>
      <c r="V91">
        <f t="shared" si="7"/>
        <v>0</v>
      </c>
      <c r="W91">
        <f t="shared" si="8"/>
        <v>0</v>
      </c>
      <c r="X91">
        <f t="shared" si="9"/>
        <v>0</v>
      </c>
      <c r="Y91">
        <f t="shared" si="10"/>
        <v>0</v>
      </c>
      <c r="Z91">
        <f t="shared" si="11"/>
        <v>0</v>
      </c>
      <c r="AA91">
        <f t="shared" si="12"/>
        <v>0</v>
      </c>
      <c r="AB91">
        <f t="shared" si="13"/>
        <v>0</v>
      </c>
      <c r="AC91">
        <f t="shared" si="14"/>
        <v>0</v>
      </c>
      <c r="AE91">
        <f t="shared" si="0"/>
      </c>
      <c r="AV91">
        <f t="shared" si="15"/>
      </c>
      <c r="BM91">
        <f t="shared" si="16"/>
      </c>
      <c r="CD91">
        <f t="shared" si="0"/>
      </c>
      <c r="CZ91">
        <f t="shared" si="17"/>
      </c>
      <c r="DA91">
        <f t="shared" si="1"/>
      </c>
      <c r="DB91">
        <f t="shared" si="18"/>
      </c>
      <c r="DC91">
        <f t="shared" si="19"/>
      </c>
      <c r="DD91">
        <f t="shared" si="20"/>
      </c>
      <c r="DE91">
        <f t="shared" si="21"/>
      </c>
      <c r="DF91">
        <f t="shared" si="22"/>
      </c>
      <c r="DG91">
        <f t="shared" si="23"/>
      </c>
      <c r="DH91">
        <f t="shared" si="24"/>
      </c>
      <c r="DI91">
        <f t="shared" si="1"/>
      </c>
    </row>
    <row r="92" ht="15" customHeight="1">
      <c r="B92">
        <f t="shared" si="2"/>
      </c>
      <c r="R92">
        <f t="shared" si="3"/>
        <v>0</v>
      </c>
      <c r="S92">
        <f t="shared" si="4"/>
        <v>0</v>
      </c>
      <c r="T92">
        <f t="shared" si="5"/>
        <v>0</v>
      </c>
      <c r="U92">
        <f t="shared" si="6"/>
        <v>0</v>
      </c>
      <c r="V92">
        <f t="shared" si="7"/>
        <v>0</v>
      </c>
      <c r="W92">
        <f t="shared" si="8"/>
        <v>0</v>
      </c>
      <c r="X92">
        <f t="shared" si="9"/>
        <v>0</v>
      </c>
      <c r="Y92">
        <f t="shared" si="10"/>
        <v>0</v>
      </c>
      <c r="Z92">
        <f t="shared" si="11"/>
        <v>0</v>
      </c>
      <c r="AA92">
        <f t="shared" si="12"/>
        <v>0</v>
      </c>
      <c r="AB92">
        <f t="shared" si="13"/>
        <v>0</v>
      </c>
      <c r="AC92">
        <f t="shared" si="14"/>
        <v>0</v>
      </c>
      <c r="AE92">
        <f t="shared" si="0"/>
      </c>
      <c r="AV92">
        <f t="shared" si="15"/>
      </c>
      <c r="BM92">
        <f t="shared" si="16"/>
      </c>
      <c r="CD92">
        <f t="shared" si="0"/>
      </c>
      <c r="CZ92">
        <f t="shared" si="17"/>
      </c>
      <c r="DA92">
        <f t="shared" si="1"/>
      </c>
      <c r="DB92">
        <f t="shared" si="18"/>
      </c>
      <c r="DC92">
        <f t="shared" si="19"/>
      </c>
      <c r="DD92">
        <f t="shared" si="20"/>
      </c>
      <c r="DE92">
        <f t="shared" si="21"/>
      </c>
      <c r="DF92">
        <f t="shared" si="22"/>
      </c>
      <c r="DG92">
        <f t="shared" si="23"/>
      </c>
      <c r="DH92">
        <f t="shared" si="24"/>
      </c>
      <c r="DI92">
        <f t="shared" si="1"/>
      </c>
    </row>
    <row r="93" ht="15" customHeight="1">
      <c r="B93">
        <f t="shared" si="2"/>
      </c>
      <c r="R93">
        <f t="shared" si="3"/>
        <v>0</v>
      </c>
      <c r="S93">
        <f t="shared" si="4"/>
        <v>0</v>
      </c>
      <c r="T93">
        <f t="shared" si="5"/>
        <v>0</v>
      </c>
      <c r="U93">
        <f t="shared" si="6"/>
        <v>0</v>
      </c>
      <c r="V93">
        <f t="shared" si="7"/>
        <v>0</v>
      </c>
      <c r="W93">
        <f t="shared" si="8"/>
        <v>0</v>
      </c>
      <c r="X93">
        <f t="shared" si="9"/>
        <v>0</v>
      </c>
      <c r="Y93">
        <f t="shared" si="10"/>
        <v>0</v>
      </c>
      <c r="Z93">
        <f t="shared" si="11"/>
        <v>0</v>
      </c>
      <c r="AA93">
        <f t="shared" si="12"/>
        <v>0</v>
      </c>
      <c r="AB93">
        <f t="shared" si="13"/>
        <v>0</v>
      </c>
      <c r="AC93">
        <f t="shared" si="14"/>
        <v>0</v>
      </c>
      <c r="AE93">
        <f t="shared" si="0"/>
      </c>
      <c r="AV93">
        <f t="shared" si="15"/>
      </c>
      <c r="BM93">
        <f t="shared" si="16"/>
      </c>
      <c r="CD93">
        <f t="shared" si="0"/>
      </c>
      <c r="CZ93">
        <f t="shared" si="17"/>
      </c>
      <c r="DA93">
        <f t="shared" si="1"/>
      </c>
      <c r="DB93">
        <f t="shared" si="18"/>
      </c>
      <c r="DC93">
        <f t="shared" si="19"/>
      </c>
      <c r="DD93">
        <f t="shared" si="20"/>
      </c>
      <c r="DE93">
        <f t="shared" si="21"/>
      </c>
      <c r="DF93">
        <f t="shared" si="22"/>
      </c>
      <c r="DG93">
        <f t="shared" si="23"/>
      </c>
      <c r="DH93">
        <f t="shared" si="24"/>
      </c>
      <c r="DI93">
        <f t="shared" si="1"/>
      </c>
    </row>
    <row r="94" ht="15" customHeight="1">
      <c r="B94">
        <f t="shared" si="2"/>
      </c>
      <c r="R94">
        <f t="shared" si="3"/>
        <v>0</v>
      </c>
      <c r="S94">
        <f t="shared" si="4"/>
        <v>0</v>
      </c>
      <c r="T94">
        <f t="shared" si="5"/>
        <v>0</v>
      </c>
      <c r="U94">
        <f t="shared" si="6"/>
        <v>0</v>
      </c>
      <c r="V94">
        <f t="shared" si="7"/>
        <v>0</v>
      </c>
      <c r="W94">
        <f t="shared" si="8"/>
        <v>0</v>
      </c>
      <c r="X94">
        <f t="shared" si="9"/>
        <v>0</v>
      </c>
      <c r="Y94">
        <f t="shared" si="10"/>
        <v>0</v>
      </c>
      <c r="Z94">
        <f t="shared" si="11"/>
        <v>0</v>
      </c>
      <c r="AA94">
        <f t="shared" si="12"/>
        <v>0</v>
      </c>
      <c r="AB94">
        <f t="shared" si="13"/>
        <v>0</v>
      </c>
      <c r="AC94">
        <f t="shared" si="14"/>
        <v>0</v>
      </c>
      <c r="AE94">
        <f t="shared" si="0"/>
      </c>
      <c r="AV94">
        <f t="shared" si="15"/>
      </c>
      <c r="BM94">
        <f t="shared" si="16"/>
      </c>
      <c r="CD94">
        <f t="shared" si="0"/>
      </c>
      <c r="CZ94">
        <f t="shared" si="17"/>
      </c>
      <c r="DA94">
        <f t="shared" si="1"/>
      </c>
      <c r="DB94">
        <f t="shared" si="18"/>
      </c>
      <c r="DC94">
        <f t="shared" si="19"/>
      </c>
      <c r="DD94">
        <f t="shared" si="20"/>
      </c>
      <c r="DE94">
        <f t="shared" si="21"/>
      </c>
      <c r="DF94">
        <f t="shared" si="22"/>
      </c>
      <c r="DG94">
        <f t="shared" si="23"/>
      </c>
      <c r="DH94">
        <f t="shared" si="24"/>
      </c>
      <c r="DI94">
        <f t="shared" si="1"/>
      </c>
    </row>
    <row r="95" ht="15" customHeight="1">
      <c r="B95">
        <f t="shared" si="2"/>
      </c>
      <c r="R95">
        <f t="shared" si="3"/>
        <v>0</v>
      </c>
      <c r="S95">
        <f t="shared" si="4"/>
        <v>0</v>
      </c>
      <c r="T95">
        <f t="shared" si="5"/>
        <v>0</v>
      </c>
      <c r="U95">
        <f t="shared" si="6"/>
        <v>0</v>
      </c>
      <c r="V95">
        <f t="shared" si="7"/>
        <v>0</v>
      </c>
      <c r="W95">
        <f t="shared" si="8"/>
        <v>0</v>
      </c>
      <c r="X95">
        <f t="shared" si="9"/>
        <v>0</v>
      </c>
      <c r="Y95">
        <f t="shared" si="10"/>
        <v>0</v>
      </c>
      <c r="Z95">
        <f t="shared" si="11"/>
        <v>0</v>
      </c>
      <c r="AA95">
        <f t="shared" si="12"/>
        <v>0</v>
      </c>
      <c r="AB95">
        <f t="shared" si="13"/>
        <v>0</v>
      </c>
      <c r="AC95">
        <f t="shared" si="14"/>
        <v>0</v>
      </c>
      <c r="AE95">
        <f t="shared" si="0"/>
      </c>
      <c r="AV95">
        <f t="shared" si="15"/>
      </c>
      <c r="BM95">
        <f t="shared" si="16"/>
      </c>
      <c r="CD95">
        <f t="shared" si="0"/>
      </c>
      <c r="CZ95">
        <f t="shared" si="17"/>
      </c>
      <c r="DA95">
        <f t="shared" si="1"/>
      </c>
      <c r="DB95">
        <f t="shared" si="18"/>
      </c>
      <c r="DC95">
        <f t="shared" si="19"/>
      </c>
      <c r="DD95">
        <f t="shared" si="20"/>
      </c>
      <c r="DE95">
        <f t="shared" si="21"/>
      </c>
      <c r="DF95">
        <f t="shared" si="22"/>
      </c>
      <c r="DG95">
        <f t="shared" si="23"/>
      </c>
      <c r="DH95">
        <f t="shared" si="24"/>
      </c>
      <c r="DI95">
        <f t="shared" si="1"/>
      </c>
    </row>
    <row r="96" ht="15" customHeight="1">
      <c r="B96">
        <f t="shared" si="2"/>
      </c>
      <c r="R96">
        <f t="shared" si="3"/>
        <v>0</v>
      </c>
      <c r="S96">
        <f t="shared" si="4"/>
        <v>0</v>
      </c>
      <c r="T96">
        <f t="shared" si="5"/>
        <v>0</v>
      </c>
      <c r="U96">
        <f t="shared" si="6"/>
        <v>0</v>
      </c>
      <c r="V96">
        <f t="shared" si="7"/>
        <v>0</v>
      </c>
      <c r="W96">
        <f t="shared" si="8"/>
        <v>0</v>
      </c>
      <c r="X96">
        <f t="shared" si="9"/>
        <v>0</v>
      </c>
      <c r="Y96">
        <f t="shared" si="10"/>
        <v>0</v>
      </c>
      <c r="Z96">
        <f t="shared" si="11"/>
        <v>0</v>
      </c>
      <c r="AA96">
        <f t="shared" si="12"/>
        <v>0</v>
      </c>
      <c r="AB96">
        <f t="shared" si="13"/>
        <v>0</v>
      </c>
      <c r="AC96">
        <f t="shared" si="14"/>
        <v>0</v>
      </c>
      <c r="AE96">
        <f t="shared" si="0"/>
      </c>
      <c r="AV96">
        <f t="shared" si="15"/>
      </c>
      <c r="BM96">
        <f t="shared" si="16"/>
      </c>
      <c r="CD96">
        <f t="shared" si="0"/>
      </c>
      <c r="CZ96">
        <f t="shared" si="17"/>
      </c>
      <c r="DA96">
        <f t="shared" si="1"/>
      </c>
      <c r="DB96">
        <f t="shared" si="18"/>
      </c>
      <c r="DC96">
        <f t="shared" si="19"/>
      </c>
      <c r="DD96">
        <f t="shared" si="20"/>
      </c>
      <c r="DE96">
        <f t="shared" si="21"/>
      </c>
      <c r="DF96">
        <f t="shared" si="22"/>
      </c>
      <c r="DG96">
        <f t="shared" si="23"/>
      </c>
      <c r="DH96">
        <f t="shared" si="24"/>
      </c>
      <c r="DI96">
        <f t="shared" si="1"/>
      </c>
    </row>
    <row r="97" ht="15" customHeight="1">
      <c r="B97">
        <f t="shared" si="2"/>
      </c>
      <c r="R97">
        <f t="shared" si="3"/>
        <v>0</v>
      </c>
      <c r="S97">
        <f t="shared" si="4"/>
        <v>0</v>
      </c>
      <c r="T97">
        <f t="shared" si="5"/>
        <v>0</v>
      </c>
      <c r="U97">
        <f t="shared" si="6"/>
        <v>0</v>
      </c>
      <c r="V97">
        <f t="shared" si="7"/>
        <v>0</v>
      </c>
      <c r="W97">
        <f t="shared" si="8"/>
        <v>0</v>
      </c>
      <c r="X97">
        <f t="shared" si="9"/>
        <v>0</v>
      </c>
      <c r="Y97">
        <f t="shared" si="10"/>
        <v>0</v>
      </c>
      <c r="Z97">
        <f t="shared" si="11"/>
        <v>0</v>
      </c>
      <c r="AA97">
        <f t="shared" si="12"/>
        <v>0</v>
      </c>
      <c r="AB97">
        <f t="shared" si="13"/>
        <v>0</v>
      </c>
      <c r="AC97">
        <f t="shared" si="14"/>
        <v>0</v>
      </c>
      <c r="AE97">
        <f t="shared" si="0"/>
      </c>
      <c r="AV97">
        <f t="shared" si="15"/>
      </c>
      <c r="BM97">
        <f t="shared" si="16"/>
      </c>
      <c r="CD97">
        <f t="shared" si="0"/>
      </c>
      <c r="CZ97">
        <f t="shared" si="17"/>
      </c>
      <c r="DA97">
        <f t="shared" si="1"/>
      </c>
      <c r="DB97">
        <f t="shared" si="18"/>
      </c>
      <c r="DC97">
        <f t="shared" si="19"/>
      </c>
      <c r="DD97">
        <f t="shared" si="20"/>
      </c>
      <c r="DE97">
        <f t="shared" si="21"/>
      </c>
      <c r="DF97">
        <f t="shared" si="22"/>
      </c>
      <c r="DG97">
        <f t="shared" si="23"/>
      </c>
      <c r="DH97">
        <f t="shared" si="24"/>
      </c>
      <c r="DI97">
        <f t="shared" si="1"/>
      </c>
    </row>
    <row r="98" ht="15" customHeight="1">
      <c r="B98">
        <f t="shared" si="2"/>
      </c>
      <c r="R98">
        <f t="shared" si="3"/>
        <v>0</v>
      </c>
      <c r="S98">
        <f t="shared" si="4"/>
        <v>0</v>
      </c>
      <c r="T98">
        <f t="shared" si="5"/>
        <v>0</v>
      </c>
      <c r="U98">
        <f t="shared" si="6"/>
        <v>0</v>
      </c>
      <c r="V98">
        <f t="shared" si="7"/>
        <v>0</v>
      </c>
      <c r="W98">
        <f t="shared" si="8"/>
        <v>0</v>
      </c>
      <c r="X98">
        <f t="shared" si="9"/>
        <v>0</v>
      </c>
      <c r="Y98">
        <f t="shared" si="10"/>
        <v>0</v>
      </c>
      <c r="Z98">
        <f t="shared" si="11"/>
        <v>0</v>
      </c>
      <c r="AA98">
        <f t="shared" si="12"/>
        <v>0</v>
      </c>
      <c r="AB98">
        <f t="shared" si="13"/>
        <v>0</v>
      </c>
      <c r="AC98">
        <f t="shared" si="14"/>
        <v>0</v>
      </c>
      <c r="AE98">
        <f t="shared" si="0"/>
      </c>
      <c r="AV98">
        <f t="shared" si="15"/>
      </c>
      <c r="BM98">
        <f t="shared" si="16"/>
      </c>
      <c r="CD98">
        <f t="shared" si="0"/>
      </c>
      <c r="CZ98">
        <f t="shared" si="17"/>
      </c>
      <c r="DA98">
        <f t="shared" si="1"/>
      </c>
      <c r="DB98">
        <f t="shared" si="18"/>
      </c>
      <c r="DC98">
        <f t="shared" si="19"/>
      </c>
      <c r="DD98">
        <f t="shared" si="20"/>
      </c>
      <c r="DE98">
        <f t="shared" si="21"/>
      </c>
      <c r="DF98">
        <f t="shared" si="22"/>
      </c>
      <c r="DG98">
        <f t="shared" si="23"/>
      </c>
      <c r="DH98">
        <f t="shared" si="24"/>
      </c>
      <c r="DI98">
        <f t="shared" si="1"/>
      </c>
    </row>
    <row r="99" ht="15" customHeight="1">
      <c r="B99">
        <f t="shared" si="2"/>
      </c>
      <c r="R99">
        <f t="shared" si="3"/>
        <v>0</v>
      </c>
      <c r="S99">
        <f t="shared" si="4"/>
        <v>0</v>
      </c>
      <c r="T99">
        <f t="shared" si="5"/>
        <v>0</v>
      </c>
      <c r="U99">
        <f t="shared" si="6"/>
        <v>0</v>
      </c>
      <c r="V99">
        <f t="shared" si="7"/>
        <v>0</v>
      </c>
      <c r="W99">
        <f t="shared" si="8"/>
        <v>0</v>
      </c>
      <c r="X99">
        <f t="shared" si="9"/>
        <v>0</v>
      </c>
      <c r="Y99">
        <f t="shared" si="10"/>
        <v>0</v>
      </c>
      <c r="Z99">
        <f t="shared" si="11"/>
        <v>0</v>
      </c>
      <c r="AA99">
        <f t="shared" si="12"/>
        <v>0</v>
      </c>
      <c r="AB99">
        <f t="shared" si="13"/>
        <v>0</v>
      </c>
      <c r="AC99">
        <f t="shared" si="14"/>
        <v>0</v>
      </c>
      <c r="AE99">
        <f t="shared" si="0"/>
      </c>
      <c r="AV99">
        <f t="shared" si="15"/>
      </c>
      <c r="BM99">
        <f t="shared" si="16"/>
      </c>
      <c r="CD99">
        <f t="shared" si="0"/>
      </c>
      <c r="CZ99">
        <f t="shared" si="17"/>
      </c>
      <c r="DA99">
        <f t="shared" si="1"/>
      </c>
      <c r="DB99">
        <f t="shared" si="18"/>
      </c>
      <c r="DC99">
        <f t="shared" si="19"/>
      </c>
      <c r="DD99">
        <f t="shared" si="20"/>
      </c>
      <c r="DE99">
        <f t="shared" si="21"/>
      </c>
      <c r="DF99">
        <f t="shared" si="22"/>
      </c>
      <c r="DG99">
        <f t="shared" si="23"/>
      </c>
      <c r="DH99">
        <f t="shared" si="24"/>
      </c>
      <c r="DI99">
        <f t="shared" si="1"/>
      </c>
    </row>
    <row r="100" ht="15" customHeight="1">
      <c r="B100">
        <f t="shared" si="2"/>
      </c>
      <c r="R100">
        <f t="shared" si="3"/>
        <v>0</v>
      </c>
      <c r="S100">
        <f t="shared" si="4"/>
        <v>0</v>
      </c>
      <c r="T100">
        <f t="shared" si="5"/>
        <v>0</v>
      </c>
      <c r="U100">
        <f t="shared" si="6"/>
        <v>0</v>
      </c>
      <c r="V100">
        <f t="shared" si="7"/>
        <v>0</v>
      </c>
      <c r="W100">
        <f t="shared" si="8"/>
        <v>0</v>
      </c>
      <c r="X100">
        <f t="shared" si="9"/>
        <v>0</v>
      </c>
      <c r="Y100">
        <f t="shared" si="10"/>
        <v>0</v>
      </c>
      <c r="Z100">
        <f t="shared" si="11"/>
        <v>0</v>
      </c>
      <c r="AA100">
        <f t="shared" si="12"/>
        <v>0</v>
      </c>
      <c r="AB100">
        <f t="shared" si="13"/>
        <v>0</v>
      </c>
      <c r="AC100">
        <f t="shared" si="14"/>
        <v>0</v>
      </c>
      <c r="AE100">
        <f t="shared" si="0"/>
      </c>
      <c r="AV100">
        <f t="shared" si="15"/>
      </c>
      <c r="BM100">
        <f t="shared" si="16"/>
      </c>
      <c r="CD100">
        <f t="shared" si="0"/>
      </c>
      <c r="CZ100">
        <f t="shared" si="17"/>
      </c>
      <c r="DA100">
        <f t="shared" si="1"/>
      </c>
      <c r="DB100">
        <f t="shared" si="18"/>
      </c>
      <c r="DC100">
        <f t="shared" si="19"/>
      </c>
      <c r="DD100">
        <f t="shared" si="20"/>
      </c>
      <c r="DE100">
        <f t="shared" si="21"/>
      </c>
      <c r="DF100">
        <f t="shared" si="22"/>
      </c>
      <c r="DG100">
        <f t="shared" si="23"/>
      </c>
      <c r="DH100">
        <f t="shared" si="24"/>
      </c>
      <c r="DI100">
        <f t="shared" si="1"/>
      </c>
    </row>
    <row r="101" ht="15" customHeight="1">
      <c r="B101">
        <f t="shared" si="2"/>
      </c>
      <c r="R101">
        <f t="shared" si="3"/>
        <v>0</v>
      </c>
      <c r="S101">
        <f t="shared" si="4"/>
        <v>0</v>
      </c>
      <c r="T101">
        <f t="shared" si="5"/>
        <v>0</v>
      </c>
      <c r="U101">
        <f t="shared" si="6"/>
        <v>0</v>
      </c>
      <c r="V101">
        <f t="shared" si="7"/>
        <v>0</v>
      </c>
      <c r="W101">
        <f t="shared" si="8"/>
        <v>0</v>
      </c>
      <c r="X101">
        <f t="shared" si="9"/>
        <v>0</v>
      </c>
      <c r="Y101">
        <f t="shared" si="10"/>
        <v>0</v>
      </c>
      <c r="Z101">
        <f t="shared" si="11"/>
        <v>0</v>
      </c>
      <c r="AA101">
        <f t="shared" si="12"/>
        <v>0</v>
      </c>
      <c r="AB101">
        <f t="shared" si="13"/>
        <v>0</v>
      </c>
      <c r="AC101">
        <f t="shared" si="14"/>
        <v>0</v>
      </c>
      <c r="AE101">
        <f t="shared" si="0"/>
      </c>
      <c r="AV101">
        <f t="shared" si="15"/>
      </c>
      <c r="BM101">
        <f t="shared" si="16"/>
      </c>
      <c r="CD101">
        <f t="shared" si="0"/>
      </c>
      <c r="CZ101">
        <f t="shared" si="17"/>
      </c>
      <c r="DA101">
        <f t="shared" si="1"/>
      </c>
      <c r="DB101">
        <f t="shared" si="18"/>
      </c>
      <c r="DC101">
        <f t="shared" si="19"/>
      </c>
      <c r="DD101">
        <f t="shared" si="20"/>
      </c>
      <c r="DE101">
        <f t="shared" si="21"/>
      </c>
      <c r="DF101">
        <f t="shared" si="22"/>
      </c>
      <c r="DG101">
        <f t="shared" si="23"/>
      </c>
      <c r="DH101">
        <f t="shared" si="24"/>
      </c>
      <c r="DI101">
        <f t="shared" si="1"/>
      </c>
    </row>
    <row r="102" ht="15" customHeight="1">
      <c r="B102">
        <f t="shared" si="2"/>
      </c>
      <c r="R102">
        <f t="shared" si="3"/>
        <v>0</v>
      </c>
      <c r="S102">
        <f t="shared" si="4"/>
        <v>0</v>
      </c>
      <c r="T102">
        <f t="shared" si="5"/>
        <v>0</v>
      </c>
      <c r="U102">
        <f t="shared" si="6"/>
        <v>0</v>
      </c>
      <c r="V102">
        <f t="shared" si="7"/>
        <v>0</v>
      </c>
      <c r="W102">
        <f t="shared" si="8"/>
        <v>0</v>
      </c>
      <c r="X102">
        <f t="shared" si="9"/>
        <v>0</v>
      </c>
      <c r="Y102">
        <f t="shared" si="10"/>
        <v>0</v>
      </c>
      <c r="Z102">
        <f t="shared" si="11"/>
        <v>0</v>
      </c>
      <c r="AA102">
        <f t="shared" si="12"/>
        <v>0</v>
      </c>
      <c r="AB102">
        <f t="shared" si="13"/>
        <v>0</v>
      </c>
      <c r="AC102">
        <f t="shared" si="14"/>
        <v>0</v>
      </c>
      <c r="AE102">
        <f t="shared" si="0"/>
      </c>
      <c r="AV102">
        <f t="shared" si="15"/>
      </c>
      <c r="BM102">
        <f t="shared" si="16"/>
      </c>
      <c r="CD102">
        <f t="shared" si="0"/>
      </c>
      <c r="CZ102">
        <f t="shared" si="17"/>
      </c>
      <c r="DA102">
        <f t="shared" si="1"/>
      </c>
      <c r="DB102">
        <f t="shared" si="18"/>
      </c>
      <c r="DC102">
        <f t="shared" si="19"/>
      </c>
      <c r="DD102">
        <f t="shared" si="20"/>
      </c>
      <c r="DE102">
        <f t="shared" si="21"/>
      </c>
      <c r="DF102">
        <f t="shared" si="22"/>
      </c>
      <c r="DG102">
        <f t="shared" si="23"/>
      </c>
      <c r="DH102">
        <f t="shared" si="24"/>
      </c>
      <c r="DI102">
        <f t="shared" si="1"/>
      </c>
    </row>
    <row r="103" ht="15" customHeight="1">
      <c r="B103">
        <f t="shared" si="2"/>
      </c>
      <c r="R103">
        <f t="shared" si="3"/>
        <v>0</v>
      </c>
      <c r="S103">
        <f t="shared" si="4"/>
        <v>0</v>
      </c>
      <c r="T103">
        <f t="shared" si="5"/>
        <v>0</v>
      </c>
      <c r="U103">
        <f t="shared" si="6"/>
        <v>0</v>
      </c>
      <c r="V103">
        <f t="shared" si="7"/>
        <v>0</v>
      </c>
      <c r="W103">
        <f t="shared" si="8"/>
        <v>0</v>
      </c>
      <c r="X103">
        <f t="shared" si="9"/>
        <v>0</v>
      </c>
      <c r="Y103">
        <f t="shared" si="10"/>
        <v>0</v>
      </c>
      <c r="Z103">
        <f t="shared" si="11"/>
        <v>0</v>
      </c>
      <c r="AA103">
        <f t="shared" si="12"/>
        <v>0</v>
      </c>
      <c r="AB103">
        <f t="shared" si="13"/>
        <v>0</v>
      </c>
      <c r="AC103">
        <f t="shared" si="14"/>
        <v>0</v>
      </c>
      <c r="AE103">
        <f t="shared" si="0"/>
      </c>
      <c r="AV103">
        <f t="shared" si="15"/>
      </c>
      <c r="BM103">
        <f t="shared" si="16"/>
      </c>
      <c r="CD103">
        <f t="shared" si="0"/>
      </c>
      <c r="CZ103">
        <f t="shared" si="17"/>
      </c>
      <c r="DA103">
        <f t="shared" si="1"/>
      </c>
      <c r="DB103">
        <f t="shared" si="18"/>
      </c>
      <c r="DC103">
        <f t="shared" si="19"/>
      </c>
      <c r="DD103">
        <f t="shared" si="20"/>
      </c>
      <c r="DE103">
        <f t="shared" si="21"/>
      </c>
      <c r="DF103">
        <f t="shared" si="22"/>
      </c>
      <c r="DG103">
        <f t="shared" si="23"/>
      </c>
      <c r="DH103">
        <f t="shared" si="24"/>
      </c>
      <c r="DI103">
        <f t="shared" si="1"/>
      </c>
    </row>
    <row r="104" ht="15" customHeight="1">
      <c r="B104">
        <f t="shared" si="2"/>
      </c>
      <c r="R104">
        <f t="shared" si="3"/>
        <v>0</v>
      </c>
      <c r="S104">
        <f t="shared" si="4"/>
        <v>0</v>
      </c>
      <c r="T104">
        <f t="shared" si="5"/>
        <v>0</v>
      </c>
      <c r="U104">
        <f t="shared" si="6"/>
        <v>0</v>
      </c>
      <c r="V104">
        <f t="shared" si="7"/>
        <v>0</v>
      </c>
      <c r="W104">
        <f t="shared" si="8"/>
        <v>0</v>
      </c>
      <c r="X104">
        <f t="shared" si="9"/>
        <v>0</v>
      </c>
      <c r="Y104">
        <f t="shared" si="10"/>
        <v>0</v>
      </c>
      <c r="Z104">
        <f t="shared" si="11"/>
        <v>0</v>
      </c>
      <c r="AA104">
        <f t="shared" si="12"/>
        <v>0</v>
      </c>
      <c r="AB104">
        <f t="shared" si="13"/>
        <v>0</v>
      </c>
      <c r="AC104">
        <f t="shared" si="14"/>
        <v>0</v>
      </c>
      <c r="AE104">
        <f t="shared" si="0"/>
      </c>
      <c r="AV104">
        <f t="shared" si="15"/>
      </c>
      <c r="BM104">
        <f t="shared" si="16"/>
      </c>
      <c r="CD104">
        <f t="shared" si="0"/>
      </c>
      <c r="CZ104">
        <f t="shared" si="17"/>
      </c>
      <c r="DA104">
        <f t="shared" si="1"/>
      </c>
      <c r="DB104">
        <f t="shared" si="18"/>
      </c>
      <c r="DC104">
        <f t="shared" si="19"/>
      </c>
      <c r="DD104">
        <f t="shared" si="20"/>
      </c>
      <c r="DE104">
        <f t="shared" si="21"/>
      </c>
      <c r="DF104">
        <f t="shared" si="22"/>
      </c>
      <c r="DG104">
        <f t="shared" si="23"/>
      </c>
      <c r="DH104">
        <f t="shared" si="24"/>
      </c>
      <c r="DI104">
        <f t="shared" si="1"/>
      </c>
    </row>
    <row r="105" ht="15" customHeight="1">
      <c r="B105">
        <f t="shared" si="2"/>
      </c>
      <c r="R105">
        <f t="shared" si="3"/>
        <v>0</v>
      </c>
      <c r="S105">
        <f t="shared" si="4"/>
        <v>0</v>
      </c>
      <c r="T105">
        <f t="shared" si="5"/>
        <v>0</v>
      </c>
      <c r="U105">
        <f t="shared" si="6"/>
        <v>0</v>
      </c>
      <c r="V105">
        <f t="shared" si="7"/>
        <v>0</v>
      </c>
      <c r="W105">
        <f t="shared" si="8"/>
        <v>0</v>
      </c>
      <c r="X105">
        <f t="shared" si="9"/>
        <v>0</v>
      </c>
      <c r="Y105">
        <f t="shared" si="10"/>
        <v>0</v>
      </c>
      <c r="Z105">
        <f t="shared" si="11"/>
        <v>0</v>
      </c>
      <c r="AA105">
        <f t="shared" si="12"/>
        <v>0</v>
      </c>
      <c r="AB105">
        <f t="shared" si="13"/>
        <v>0</v>
      </c>
      <c r="AC105">
        <f t="shared" si="14"/>
        <v>0</v>
      </c>
      <c r="AE105">
        <f t="shared" si="0"/>
      </c>
      <c r="AV105">
        <f t="shared" si="15"/>
      </c>
      <c r="BM105">
        <f t="shared" si="16"/>
      </c>
      <c r="CD105">
        <f t="shared" si="0"/>
      </c>
      <c r="CZ105">
        <f t="shared" si="17"/>
      </c>
      <c r="DA105">
        <f t="shared" si="1"/>
      </c>
      <c r="DB105">
        <f t="shared" si="18"/>
      </c>
      <c r="DC105">
        <f t="shared" si="19"/>
      </c>
      <c r="DD105">
        <f t="shared" si="20"/>
      </c>
      <c r="DE105">
        <f t="shared" si="21"/>
      </c>
      <c r="DF105">
        <f t="shared" si="22"/>
      </c>
      <c r="DG105">
        <f t="shared" si="23"/>
      </c>
      <c r="DH105">
        <f t="shared" si="24"/>
      </c>
      <c r="DI105">
        <f t="shared" si="1"/>
      </c>
    </row>
    <row r="106" ht="15" customHeight="1">
      <c r="B106">
        <f t="shared" si="2"/>
      </c>
      <c r="R106">
        <f t="shared" si="3"/>
        <v>0</v>
      </c>
      <c r="S106">
        <f t="shared" si="4"/>
        <v>0</v>
      </c>
      <c r="T106">
        <f t="shared" si="5"/>
        <v>0</v>
      </c>
      <c r="U106">
        <f t="shared" si="6"/>
        <v>0</v>
      </c>
      <c r="V106">
        <f t="shared" si="7"/>
        <v>0</v>
      </c>
      <c r="W106">
        <f t="shared" si="8"/>
        <v>0</v>
      </c>
      <c r="X106">
        <f t="shared" si="9"/>
        <v>0</v>
      </c>
      <c r="Y106">
        <f t="shared" si="10"/>
        <v>0</v>
      </c>
      <c r="Z106">
        <f t="shared" si="11"/>
        <v>0</v>
      </c>
      <c r="AA106">
        <f t="shared" si="12"/>
        <v>0</v>
      </c>
      <c r="AB106">
        <f t="shared" si="13"/>
        <v>0</v>
      </c>
      <c r="AC106">
        <f t="shared" si="14"/>
        <v>0</v>
      </c>
      <c r="AE106">
        <f t="shared" si="0"/>
      </c>
      <c r="AV106">
        <f t="shared" si="15"/>
      </c>
      <c r="BM106">
        <f t="shared" si="16"/>
      </c>
      <c r="CD106">
        <f t="shared" si="0"/>
      </c>
      <c r="CZ106">
        <f t="shared" si="17"/>
      </c>
      <c r="DA106">
        <f t="shared" si="1"/>
      </c>
      <c r="DB106">
        <f t="shared" si="18"/>
      </c>
      <c r="DC106">
        <f t="shared" si="19"/>
      </c>
      <c r="DD106">
        <f t="shared" si="20"/>
      </c>
      <c r="DE106">
        <f t="shared" si="21"/>
      </c>
      <c r="DF106">
        <f t="shared" si="22"/>
      </c>
      <c r="DG106">
        <f t="shared" si="23"/>
      </c>
      <c r="DH106">
        <f t="shared" si="24"/>
      </c>
      <c r="DI106">
        <f t="shared" si="1"/>
      </c>
    </row>
    <row r="107" ht="15" customHeight="1">
      <c r="B107">
        <f t="shared" si="2"/>
      </c>
      <c r="R107">
        <f t="shared" si="3"/>
        <v>0</v>
      </c>
      <c r="S107">
        <f t="shared" si="4"/>
        <v>0</v>
      </c>
      <c r="T107">
        <f t="shared" si="5"/>
        <v>0</v>
      </c>
      <c r="U107">
        <f t="shared" si="6"/>
        <v>0</v>
      </c>
      <c r="V107">
        <f t="shared" si="7"/>
        <v>0</v>
      </c>
      <c r="W107">
        <f t="shared" si="8"/>
        <v>0</v>
      </c>
      <c r="X107">
        <f t="shared" si="9"/>
        <v>0</v>
      </c>
      <c r="Y107">
        <f t="shared" si="10"/>
        <v>0</v>
      </c>
      <c r="Z107">
        <f t="shared" si="11"/>
        <v>0</v>
      </c>
      <c r="AA107">
        <f t="shared" si="12"/>
        <v>0</v>
      </c>
      <c r="AB107">
        <f t="shared" si="13"/>
        <v>0</v>
      </c>
      <c r="AC107">
        <f t="shared" si="14"/>
        <v>0</v>
      </c>
      <c r="AE107">
        <f t="shared" si="0"/>
      </c>
      <c r="AV107">
        <f t="shared" si="15"/>
      </c>
      <c r="BM107">
        <f t="shared" si="16"/>
      </c>
      <c r="CD107">
        <f t="shared" si="0"/>
      </c>
      <c r="CZ107">
        <f t="shared" si="17"/>
      </c>
      <c r="DA107">
        <f t="shared" si="1"/>
      </c>
      <c r="DB107">
        <f t="shared" si="18"/>
      </c>
      <c r="DC107">
        <f t="shared" si="19"/>
      </c>
      <c r="DD107">
        <f t="shared" si="20"/>
      </c>
      <c r="DE107">
        <f t="shared" si="21"/>
      </c>
      <c r="DF107">
        <f t="shared" si="22"/>
      </c>
      <c r="DG107">
        <f t="shared" si="23"/>
      </c>
      <c r="DH107">
        <f t="shared" si="24"/>
      </c>
      <c r="DI107">
        <f t="shared" si="1"/>
      </c>
    </row>
    <row r="108" ht="15" customHeight="1">
      <c r="B108">
        <f t="shared" si="2"/>
      </c>
      <c r="R108">
        <f t="shared" si="3"/>
        <v>0</v>
      </c>
      <c r="S108">
        <f t="shared" si="4"/>
        <v>0</v>
      </c>
      <c r="T108">
        <f t="shared" si="5"/>
        <v>0</v>
      </c>
      <c r="U108">
        <f t="shared" si="6"/>
        <v>0</v>
      </c>
      <c r="V108">
        <f t="shared" si="7"/>
        <v>0</v>
      </c>
      <c r="W108">
        <f t="shared" si="8"/>
        <v>0</v>
      </c>
      <c r="X108">
        <f t="shared" si="9"/>
        <v>0</v>
      </c>
      <c r="Y108">
        <f t="shared" si="10"/>
        <v>0</v>
      </c>
      <c r="Z108">
        <f t="shared" si="11"/>
        <v>0</v>
      </c>
      <c r="AA108">
        <f t="shared" si="12"/>
        <v>0</v>
      </c>
      <c r="AB108">
        <f t="shared" si="13"/>
        <v>0</v>
      </c>
      <c r="AC108">
        <f t="shared" si="14"/>
        <v>0</v>
      </c>
      <c r="AE108">
        <f t="shared" si="0"/>
      </c>
      <c r="AV108">
        <f t="shared" si="15"/>
      </c>
      <c r="BM108">
        <f t="shared" si="16"/>
      </c>
      <c r="CD108">
        <f t="shared" si="0"/>
      </c>
      <c r="CZ108">
        <f t="shared" si="17"/>
      </c>
      <c r="DA108">
        <f t="shared" si="1"/>
      </c>
      <c r="DB108">
        <f t="shared" si="18"/>
      </c>
      <c r="DC108">
        <f t="shared" si="19"/>
      </c>
      <c r="DD108">
        <f t="shared" si="20"/>
      </c>
      <c r="DE108">
        <f t="shared" si="21"/>
      </c>
      <c r="DF108">
        <f t="shared" si="22"/>
      </c>
      <c r="DG108">
        <f t="shared" si="23"/>
      </c>
      <c r="DH108">
        <f t="shared" si="24"/>
      </c>
      <c r="DI108">
        <f t="shared" si="1"/>
      </c>
    </row>
    <row r="109" ht="15" customHeight="1">
      <c r="B109">
        <f t="shared" si="2"/>
      </c>
      <c r="R109">
        <f t="shared" si="3"/>
        <v>0</v>
      </c>
      <c r="S109">
        <f t="shared" si="4"/>
        <v>0</v>
      </c>
      <c r="T109">
        <f t="shared" si="5"/>
        <v>0</v>
      </c>
      <c r="U109">
        <f t="shared" si="6"/>
        <v>0</v>
      </c>
      <c r="V109">
        <f t="shared" si="7"/>
        <v>0</v>
      </c>
      <c r="W109">
        <f t="shared" si="8"/>
        <v>0</v>
      </c>
      <c r="X109">
        <f t="shared" si="9"/>
        <v>0</v>
      </c>
      <c r="Y109">
        <f t="shared" si="10"/>
        <v>0</v>
      </c>
      <c r="Z109">
        <f t="shared" si="11"/>
        <v>0</v>
      </c>
      <c r="AA109">
        <f t="shared" si="12"/>
        <v>0</v>
      </c>
      <c r="AB109">
        <f t="shared" si="13"/>
        <v>0</v>
      </c>
      <c r="AC109">
        <f t="shared" si="14"/>
        <v>0</v>
      </c>
      <c r="AE109">
        <f t="shared" si="0"/>
      </c>
      <c r="AV109">
        <f t="shared" si="15"/>
      </c>
      <c r="BM109">
        <f t="shared" si="16"/>
      </c>
      <c r="CD109">
        <f t="shared" si="0"/>
      </c>
      <c r="CZ109">
        <f t="shared" si="17"/>
      </c>
      <c r="DA109">
        <f t="shared" si="1"/>
      </c>
      <c r="DB109">
        <f t="shared" si="18"/>
      </c>
      <c r="DC109">
        <f t="shared" si="19"/>
      </c>
      <c r="DD109">
        <f t="shared" si="20"/>
      </c>
      <c r="DE109">
        <f t="shared" si="21"/>
      </c>
      <c r="DF109">
        <f t="shared" si="22"/>
      </c>
      <c r="DG109">
        <f t="shared" si="23"/>
      </c>
      <c r="DH109">
        <f t="shared" si="24"/>
      </c>
      <c r="DI109">
        <f t="shared" si="1"/>
      </c>
    </row>
    <row r="110" ht="15" customHeight="1">
      <c r="B110">
        <f t="shared" si="2"/>
      </c>
      <c r="R110">
        <f t="shared" si="3"/>
        <v>0</v>
      </c>
      <c r="S110">
        <f t="shared" si="4"/>
        <v>0</v>
      </c>
      <c r="T110">
        <f t="shared" si="5"/>
        <v>0</v>
      </c>
      <c r="U110">
        <f t="shared" si="6"/>
        <v>0</v>
      </c>
      <c r="V110">
        <f t="shared" si="7"/>
        <v>0</v>
      </c>
      <c r="W110">
        <f t="shared" si="8"/>
        <v>0</v>
      </c>
      <c r="X110">
        <f t="shared" si="9"/>
        <v>0</v>
      </c>
      <c r="Y110">
        <f t="shared" si="10"/>
        <v>0</v>
      </c>
      <c r="Z110">
        <f t="shared" si="11"/>
        <v>0</v>
      </c>
      <c r="AA110">
        <f t="shared" si="12"/>
        <v>0</v>
      </c>
      <c r="AB110">
        <f t="shared" si="13"/>
        <v>0</v>
      </c>
      <c r="AC110">
        <f t="shared" si="14"/>
        <v>0</v>
      </c>
      <c r="AE110">
        <f t="shared" si="0"/>
      </c>
      <c r="AV110">
        <f t="shared" si="15"/>
      </c>
      <c r="BM110">
        <f t="shared" si="16"/>
      </c>
      <c r="CD110">
        <f t="shared" si="0"/>
      </c>
      <c r="CZ110">
        <f t="shared" si="17"/>
      </c>
      <c r="DA110">
        <f t="shared" si="1"/>
      </c>
      <c r="DB110">
        <f t="shared" si="18"/>
      </c>
      <c r="DC110">
        <f t="shared" si="19"/>
      </c>
      <c r="DD110">
        <f t="shared" si="20"/>
      </c>
      <c r="DE110">
        <f t="shared" si="21"/>
      </c>
      <c r="DF110">
        <f t="shared" si="22"/>
      </c>
      <c r="DG110">
        <f t="shared" si="23"/>
      </c>
      <c r="DH110">
        <f t="shared" si="24"/>
      </c>
      <c r="DI110">
        <f t="shared" si="1"/>
      </c>
    </row>
    <row r="111" ht="15" customHeight="1">
      <c r="B111">
        <f t="shared" si="2"/>
      </c>
      <c r="R111">
        <f t="shared" si="3"/>
        <v>0</v>
      </c>
      <c r="S111">
        <f t="shared" si="4"/>
        <v>0</v>
      </c>
      <c r="T111">
        <f t="shared" si="5"/>
        <v>0</v>
      </c>
      <c r="U111">
        <f t="shared" si="6"/>
        <v>0</v>
      </c>
      <c r="V111">
        <f t="shared" si="7"/>
        <v>0</v>
      </c>
      <c r="W111">
        <f t="shared" si="8"/>
        <v>0</v>
      </c>
      <c r="X111">
        <f t="shared" si="9"/>
        <v>0</v>
      </c>
      <c r="Y111">
        <f t="shared" si="10"/>
        <v>0</v>
      </c>
      <c r="Z111">
        <f t="shared" si="11"/>
        <v>0</v>
      </c>
      <c r="AA111">
        <f t="shared" si="12"/>
        <v>0</v>
      </c>
      <c r="AB111">
        <f t="shared" si="13"/>
        <v>0</v>
      </c>
      <c r="AC111">
        <f t="shared" si="14"/>
        <v>0</v>
      </c>
      <c r="AE111">
        <f t="shared" si="0"/>
      </c>
      <c r="AV111">
        <f t="shared" si="15"/>
      </c>
      <c r="BM111">
        <f t="shared" si="16"/>
      </c>
      <c r="CD111">
        <f t="shared" si="0"/>
      </c>
      <c r="CZ111">
        <f t="shared" si="17"/>
      </c>
      <c r="DA111">
        <f t="shared" si="1"/>
      </c>
      <c r="DB111">
        <f t="shared" si="18"/>
      </c>
      <c r="DC111">
        <f t="shared" si="19"/>
      </c>
      <c r="DD111">
        <f t="shared" si="20"/>
      </c>
      <c r="DE111">
        <f t="shared" si="21"/>
      </c>
      <c r="DF111">
        <f t="shared" si="22"/>
      </c>
      <c r="DG111">
        <f t="shared" si="23"/>
      </c>
      <c r="DH111">
        <f t="shared" si="24"/>
      </c>
      <c r="DI111">
        <f t="shared" si="1"/>
      </c>
    </row>
    <row r="112" ht="15" customHeight="1">
      <c r="B112">
        <f t="shared" si="2"/>
      </c>
      <c r="R112">
        <f t="shared" si="3"/>
        <v>0</v>
      </c>
      <c r="S112">
        <f t="shared" si="4"/>
        <v>0</v>
      </c>
      <c r="T112">
        <f t="shared" si="5"/>
        <v>0</v>
      </c>
      <c r="U112">
        <f t="shared" si="6"/>
        <v>0</v>
      </c>
      <c r="V112">
        <f t="shared" si="7"/>
        <v>0</v>
      </c>
      <c r="W112">
        <f t="shared" si="8"/>
        <v>0</v>
      </c>
      <c r="X112">
        <f t="shared" si="9"/>
        <v>0</v>
      </c>
      <c r="Y112">
        <f t="shared" si="10"/>
        <v>0</v>
      </c>
      <c r="Z112">
        <f t="shared" si="11"/>
        <v>0</v>
      </c>
      <c r="AA112">
        <f t="shared" si="12"/>
        <v>0</v>
      </c>
      <c r="AB112">
        <f t="shared" si="13"/>
        <v>0</v>
      </c>
      <c r="AC112">
        <f t="shared" si="14"/>
        <v>0</v>
      </c>
      <c r="AE112">
        <f t="shared" si="0"/>
      </c>
      <c r="AV112">
        <f t="shared" si="15"/>
      </c>
      <c r="BM112">
        <f t="shared" si="16"/>
      </c>
      <c r="CD112">
        <f t="shared" si="0"/>
      </c>
      <c r="CZ112">
        <f t="shared" si="17"/>
      </c>
      <c r="DA112">
        <f t="shared" si="1"/>
      </c>
      <c r="DB112">
        <f t="shared" si="18"/>
      </c>
      <c r="DC112">
        <f t="shared" si="19"/>
      </c>
      <c r="DD112">
        <f t="shared" si="20"/>
      </c>
      <c r="DE112">
        <f t="shared" si="21"/>
      </c>
      <c r="DF112">
        <f t="shared" si="22"/>
      </c>
      <c r="DG112">
        <f t="shared" si="23"/>
      </c>
      <c r="DH112">
        <f t="shared" si="24"/>
      </c>
      <c r="DI112">
        <f t="shared" si="1"/>
      </c>
    </row>
    <row r="113" ht="15" customHeight="1">
      <c r="B113">
        <f t="shared" si="2"/>
      </c>
      <c r="R113">
        <f t="shared" si="3"/>
        <v>0</v>
      </c>
      <c r="S113">
        <f t="shared" si="4"/>
        <v>0</v>
      </c>
      <c r="T113">
        <f t="shared" si="5"/>
        <v>0</v>
      </c>
      <c r="U113">
        <f t="shared" si="6"/>
        <v>0</v>
      </c>
      <c r="V113">
        <f t="shared" si="7"/>
        <v>0</v>
      </c>
      <c r="W113">
        <f t="shared" si="8"/>
        <v>0</v>
      </c>
      <c r="X113">
        <f t="shared" si="9"/>
        <v>0</v>
      </c>
      <c r="Y113">
        <f t="shared" si="10"/>
        <v>0</v>
      </c>
      <c r="Z113">
        <f t="shared" si="11"/>
        <v>0</v>
      </c>
      <c r="AA113">
        <f t="shared" si="12"/>
        <v>0</v>
      </c>
      <c r="AB113">
        <f t="shared" si="13"/>
        <v>0</v>
      </c>
      <c r="AC113">
        <f t="shared" si="14"/>
        <v>0</v>
      </c>
      <c r="AE113">
        <f t="shared" si="0"/>
      </c>
      <c r="AV113">
        <f t="shared" si="15"/>
      </c>
      <c r="BM113">
        <f t="shared" si="16"/>
      </c>
      <c r="CD113">
        <f t="shared" si="0"/>
      </c>
      <c r="CZ113">
        <f t="shared" si="17"/>
      </c>
      <c r="DA113">
        <f t="shared" si="1"/>
      </c>
      <c r="DB113">
        <f t="shared" si="18"/>
      </c>
      <c r="DC113">
        <f t="shared" si="19"/>
      </c>
      <c r="DD113">
        <f t="shared" si="20"/>
      </c>
      <c r="DE113">
        <f t="shared" si="21"/>
      </c>
      <c r="DF113">
        <f t="shared" si="22"/>
      </c>
      <c r="DG113">
        <f t="shared" si="23"/>
      </c>
      <c r="DH113">
        <f t="shared" si="24"/>
      </c>
      <c r="DI113">
        <f t="shared" si="1"/>
      </c>
    </row>
    <row r="114" ht="15" customHeight="1">
      <c r="B114">
        <f t="shared" si="2"/>
      </c>
      <c r="R114">
        <f t="shared" si="3"/>
        <v>0</v>
      </c>
      <c r="S114">
        <f t="shared" si="4"/>
        <v>0</v>
      </c>
      <c r="T114">
        <f t="shared" si="5"/>
        <v>0</v>
      </c>
      <c r="U114">
        <f t="shared" si="6"/>
        <v>0</v>
      </c>
      <c r="V114">
        <f t="shared" si="7"/>
        <v>0</v>
      </c>
      <c r="W114">
        <f t="shared" si="8"/>
        <v>0</v>
      </c>
      <c r="X114">
        <f t="shared" si="9"/>
        <v>0</v>
      </c>
      <c r="Y114">
        <f t="shared" si="10"/>
        <v>0</v>
      </c>
      <c r="Z114">
        <f t="shared" si="11"/>
        <v>0</v>
      </c>
      <c r="AA114">
        <f t="shared" si="12"/>
        <v>0</v>
      </c>
      <c r="AB114">
        <f t="shared" si="13"/>
        <v>0</v>
      </c>
      <c r="AC114">
        <f t="shared" si="14"/>
        <v>0</v>
      </c>
      <c r="AE114">
        <f t="shared" si="0"/>
      </c>
      <c r="AV114">
        <f t="shared" si="15"/>
      </c>
      <c r="BM114">
        <f t="shared" si="16"/>
      </c>
      <c r="CD114">
        <f t="shared" si="0"/>
      </c>
      <c r="CZ114">
        <f t="shared" si="17"/>
      </c>
      <c r="DA114">
        <f t="shared" si="1"/>
      </c>
      <c r="DB114">
        <f t="shared" si="18"/>
      </c>
      <c r="DC114">
        <f t="shared" si="19"/>
      </c>
      <c r="DD114">
        <f t="shared" si="20"/>
      </c>
      <c r="DE114">
        <f t="shared" si="21"/>
      </c>
      <c r="DF114">
        <f t="shared" si="22"/>
      </c>
      <c r="DG114">
        <f t="shared" si="23"/>
      </c>
      <c r="DH114">
        <f t="shared" si="24"/>
      </c>
      <c r="DI114">
        <f t="shared" si="1"/>
      </c>
    </row>
    <row r="115" ht="15" customHeight="1">
      <c r="B115">
        <f t="shared" si="2"/>
      </c>
      <c r="R115">
        <f t="shared" si="3"/>
        <v>0</v>
      </c>
      <c r="S115">
        <f t="shared" si="4"/>
        <v>0</v>
      </c>
      <c r="T115">
        <f t="shared" si="5"/>
        <v>0</v>
      </c>
      <c r="U115">
        <f t="shared" si="6"/>
        <v>0</v>
      </c>
      <c r="V115">
        <f t="shared" si="7"/>
        <v>0</v>
      </c>
      <c r="W115">
        <f t="shared" si="8"/>
        <v>0</v>
      </c>
      <c r="X115">
        <f t="shared" si="9"/>
        <v>0</v>
      </c>
      <c r="Y115">
        <f t="shared" si="10"/>
        <v>0</v>
      </c>
      <c r="Z115">
        <f t="shared" si="11"/>
        <v>0</v>
      </c>
      <c r="AA115">
        <f t="shared" si="12"/>
        <v>0</v>
      </c>
      <c r="AB115">
        <f t="shared" si="13"/>
        <v>0</v>
      </c>
      <c r="AC115">
        <f t="shared" si="14"/>
        <v>0</v>
      </c>
      <c r="AE115">
        <f t="shared" si="0"/>
      </c>
      <c r="AV115">
        <f t="shared" si="15"/>
      </c>
      <c r="BM115">
        <f t="shared" si="16"/>
      </c>
      <c r="CD115">
        <f t="shared" si="0"/>
      </c>
      <c r="CZ115">
        <f t="shared" si="17"/>
      </c>
      <c r="DA115">
        <f t="shared" si="1"/>
      </c>
      <c r="DB115">
        <f t="shared" si="18"/>
      </c>
      <c r="DC115">
        <f t="shared" si="19"/>
      </c>
      <c r="DD115">
        <f t="shared" si="20"/>
      </c>
      <c r="DE115">
        <f t="shared" si="21"/>
      </c>
      <c r="DF115">
        <f t="shared" si="22"/>
      </c>
      <c r="DG115">
        <f t="shared" si="23"/>
      </c>
      <c r="DH115">
        <f t="shared" si="24"/>
      </c>
      <c r="DI115">
        <f t="shared" si="1"/>
      </c>
    </row>
    <row r="116" ht="15" customHeight="1">
      <c r="B116">
        <f t="shared" si="2"/>
      </c>
      <c r="R116">
        <f t="shared" si="3"/>
        <v>0</v>
      </c>
      <c r="S116">
        <f t="shared" si="4"/>
        <v>0</v>
      </c>
      <c r="T116">
        <f t="shared" si="5"/>
        <v>0</v>
      </c>
      <c r="U116">
        <f t="shared" si="6"/>
        <v>0</v>
      </c>
      <c r="V116">
        <f t="shared" si="7"/>
        <v>0</v>
      </c>
      <c r="W116">
        <f t="shared" si="8"/>
        <v>0</v>
      </c>
      <c r="X116">
        <f t="shared" si="9"/>
        <v>0</v>
      </c>
      <c r="Y116">
        <f t="shared" si="10"/>
        <v>0</v>
      </c>
      <c r="Z116">
        <f t="shared" si="11"/>
        <v>0</v>
      </c>
      <c r="AA116">
        <f t="shared" si="12"/>
        <v>0</v>
      </c>
      <c r="AB116">
        <f t="shared" si="13"/>
        <v>0</v>
      </c>
      <c r="AC116">
        <f t="shared" si="14"/>
        <v>0</v>
      </c>
      <c r="AE116">
        <f t="shared" si="0"/>
      </c>
      <c r="AV116">
        <f t="shared" si="15"/>
      </c>
      <c r="BM116">
        <f t="shared" si="16"/>
      </c>
      <c r="CD116">
        <f t="shared" si="0"/>
      </c>
      <c r="CZ116">
        <f t="shared" si="17"/>
      </c>
      <c r="DA116">
        <f t="shared" si="1"/>
      </c>
      <c r="DB116">
        <f t="shared" si="18"/>
      </c>
      <c r="DC116">
        <f t="shared" si="19"/>
      </c>
      <c r="DD116">
        <f t="shared" si="20"/>
      </c>
      <c r="DE116">
        <f t="shared" si="21"/>
      </c>
      <c r="DF116">
        <f t="shared" si="22"/>
      </c>
      <c r="DG116">
        <f t="shared" si="23"/>
      </c>
      <c r="DH116">
        <f t="shared" si="24"/>
      </c>
      <c r="DI116">
        <f t="shared" si="1"/>
      </c>
    </row>
    <row r="117" ht="15" customHeight="1">
      <c r="B117">
        <f t="shared" si="2"/>
      </c>
      <c r="R117">
        <f t="shared" si="3"/>
        <v>0</v>
      </c>
      <c r="S117">
        <f t="shared" si="4"/>
        <v>0</v>
      </c>
      <c r="T117">
        <f t="shared" si="5"/>
        <v>0</v>
      </c>
      <c r="U117">
        <f t="shared" si="6"/>
        <v>0</v>
      </c>
      <c r="V117">
        <f t="shared" si="7"/>
        <v>0</v>
      </c>
      <c r="W117">
        <f t="shared" si="8"/>
        <v>0</v>
      </c>
      <c r="X117">
        <f t="shared" si="9"/>
        <v>0</v>
      </c>
      <c r="Y117">
        <f t="shared" si="10"/>
        <v>0</v>
      </c>
      <c r="Z117">
        <f t="shared" si="11"/>
        <v>0</v>
      </c>
      <c r="AA117">
        <f t="shared" si="12"/>
        <v>0</v>
      </c>
      <c r="AB117">
        <f t="shared" si="13"/>
        <v>0</v>
      </c>
      <c r="AC117">
        <f t="shared" si="14"/>
        <v>0</v>
      </c>
      <c r="AE117">
        <f t="shared" si="0"/>
      </c>
      <c r="AV117">
        <f t="shared" si="15"/>
      </c>
      <c r="BM117">
        <f t="shared" si="16"/>
      </c>
      <c r="CD117">
        <f t="shared" si="0"/>
      </c>
      <c r="CZ117">
        <f t="shared" si="17"/>
      </c>
      <c r="DA117">
        <f t="shared" si="1"/>
      </c>
      <c r="DB117">
        <f t="shared" si="18"/>
      </c>
      <c r="DC117">
        <f t="shared" si="19"/>
      </c>
      <c r="DD117">
        <f t="shared" si="20"/>
      </c>
      <c r="DE117">
        <f t="shared" si="21"/>
      </c>
      <c r="DF117">
        <f t="shared" si="22"/>
      </c>
      <c r="DG117">
        <f t="shared" si="23"/>
      </c>
      <c r="DH117">
        <f t="shared" si="24"/>
      </c>
      <c r="DI117">
        <f t="shared" si="1"/>
      </c>
    </row>
    <row r="118" ht="15" customHeight="1">
      <c r="B118">
        <f t="shared" si="2"/>
      </c>
      <c r="R118">
        <f t="shared" si="3"/>
        <v>0</v>
      </c>
      <c r="S118">
        <f t="shared" si="4"/>
        <v>0</v>
      </c>
      <c r="T118">
        <f t="shared" si="5"/>
        <v>0</v>
      </c>
      <c r="U118">
        <f t="shared" si="6"/>
        <v>0</v>
      </c>
      <c r="V118">
        <f t="shared" si="7"/>
        <v>0</v>
      </c>
      <c r="W118">
        <f t="shared" si="8"/>
        <v>0</v>
      </c>
      <c r="X118">
        <f t="shared" si="9"/>
        <v>0</v>
      </c>
      <c r="Y118">
        <f t="shared" si="10"/>
        <v>0</v>
      </c>
      <c r="Z118">
        <f t="shared" si="11"/>
        <v>0</v>
      </c>
      <c r="AA118">
        <f t="shared" si="12"/>
        <v>0</v>
      </c>
      <c r="AB118">
        <f t="shared" si="13"/>
        <v>0</v>
      </c>
      <c r="AC118">
        <f t="shared" si="14"/>
        <v>0</v>
      </c>
      <c r="AE118">
        <f t="shared" si="0"/>
      </c>
      <c r="AV118">
        <f t="shared" si="15"/>
      </c>
      <c r="BM118">
        <f t="shared" si="16"/>
      </c>
      <c r="CD118">
        <f t="shared" si="0"/>
      </c>
      <c r="CZ118">
        <f t="shared" si="17"/>
      </c>
      <c r="DA118">
        <f t="shared" si="1"/>
      </c>
      <c r="DB118">
        <f t="shared" si="18"/>
      </c>
      <c r="DC118">
        <f t="shared" si="19"/>
      </c>
      <c r="DD118">
        <f t="shared" si="20"/>
      </c>
      <c r="DE118">
        <f t="shared" si="21"/>
      </c>
      <c r="DF118">
        <f t="shared" si="22"/>
      </c>
      <c r="DG118">
        <f t="shared" si="23"/>
      </c>
      <c r="DH118">
        <f t="shared" si="24"/>
      </c>
      <c r="DI118">
        <f t="shared" si="1"/>
      </c>
    </row>
    <row r="119" ht="15" customHeight="1">
      <c r="B119">
        <f t="shared" si="2"/>
      </c>
      <c r="R119">
        <f t="shared" si="3"/>
        <v>0</v>
      </c>
      <c r="S119">
        <f t="shared" si="4"/>
        <v>0</v>
      </c>
      <c r="T119">
        <f t="shared" si="5"/>
        <v>0</v>
      </c>
      <c r="U119">
        <f t="shared" si="6"/>
        <v>0</v>
      </c>
      <c r="V119">
        <f t="shared" si="7"/>
        <v>0</v>
      </c>
      <c r="W119">
        <f t="shared" si="8"/>
        <v>0</v>
      </c>
      <c r="X119">
        <f t="shared" si="9"/>
        <v>0</v>
      </c>
      <c r="Y119">
        <f t="shared" si="10"/>
        <v>0</v>
      </c>
      <c r="Z119">
        <f t="shared" si="11"/>
        <v>0</v>
      </c>
      <c r="AA119">
        <f t="shared" si="12"/>
        <v>0</v>
      </c>
      <c r="AB119">
        <f t="shared" si="13"/>
        <v>0</v>
      </c>
      <c r="AC119">
        <f t="shared" si="14"/>
        <v>0</v>
      </c>
      <c r="AE119">
        <f t="shared" si="0"/>
      </c>
      <c r="AV119">
        <f t="shared" si="15"/>
      </c>
      <c r="BM119">
        <f t="shared" si="16"/>
      </c>
      <c r="CD119">
        <f t="shared" si="0"/>
      </c>
      <c r="CZ119">
        <f t="shared" si="17"/>
      </c>
      <c r="DA119">
        <f t="shared" si="1"/>
      </c>
      <c r="DB119">
        <f t="shared" si="18"/>
      </c>
      <c r="DC119">
        <f t="shared" si="19"/>
      </c>
      <c r="DD119">
        <f t="shared" si="20"/>
      </c>
      <c r="DE119">
        <f t="shared" si="21"/>
      </c>
      <c r="DF119">
        <f t="shared" si="22"/>
      </c>
      <c r="DG119">
        <f t="shared" si="23"/>
      </c>
      <c r="DH119">
        <f t="shared" si="24"/>
      </c>
      <c r="DI119">
        <f t="shared" si="1"/>
      </c>
    </row>
    <row r="120" ht="15" customHeight="1">
      <c r="B120">
        <f t="shared" si="2"/>
      </c>
      <c r="R120">
        <f t="shared" si="3"/>
        <v>0</v>
      </c>
      <c r="S120">
        <f t="shared" si="4"/>
        <v>0</v>
      </c>
      <c r="T120">
        <f t="shared" si="5"/>
        <v>0</v>
      </c>
      <c r="U120">
        <f t="shared" si="6"/>
        <v>0</v>
      </c>
      <c r="V120">
        <f t="shared" si="7"/>
        <v>0</v>
      </c>
      <c r="W120">
        <f t="shared" si="8"/>
        <v>0</v>
      </c>
      <c r="X120">
        <f t="shared" si="9"/>
        <v>0</v>
      </c>
      <c r="Y120">
        <f t="shared" si="10"/>
        <v>0</v>
      </c>
      <c r="Z120">
        <f t="shared" si="11"/>
        <v>0</v>
      </c>
      <c r="AA120">
        <f t="shared" si="12"/>
        <v>0</v>
      </c>
      <c r="AB120">
        <f t="shared" si="13"/>
        <v>0</v>
      </c>
      <c r="AC120">
        <f t="shared" si="14"/>
        <v>0</v>
      </c>
      <c r="AE120">
        <f t="shared" si="0"/>
      </c>
      <c r="AV120">
        <f t="shared" si="15"/>
      </c>
      <c r="BM120">
        <f t="shared" si="16"/>
      </c>
      <c r="CD120">
        <f t="shared" si="0"/>
      </c>
      <c r="CZ120">
        <f t="shared" si="17"/>
      </c>
      <c r="DA120">
        <f t="shared" si="1"/>
      </c>
      <c r="DB120">
        <f t="shared" si="18"/>
      </c>
      <c r="DC120">
        <f t="shared" si="19"/>
      </c>
      <c r="DD120">
        <f t="shared" si="20"/>
      </c>
      <c r="DE120">
        <f t="shared" si="21"/>
      </c>
      <c r="DF120">
        <f t="shared" si="22"/>
      </c>
      <c r="DG120">
        <f t="shared" si="23"/>
      </c>
      <c r="DH120">
        <f t="shared" si="24"/>
      </c>
      <c r="DI120">
        <f t="shared" si="1"/>
      </c>
    </row>
    <row r="121" ht="15" customHeight="1">
      <c r="B121">
        <f t="shared" si="2"/>
      </c>
      <c r="R121">
        <f t="shared" si="3"/>
        <v>0</v>
      </c>
      <c r="S121">
        <f t="shared" si="4"/>
        <v>0</v>
      </c>
      <c r="T121">
        <f t="shared" si="5"/>
        <v>0</v>
      </c>
      <c r="U121">
        <f t="shared" si="6"/>
        <v>0</v>
      </c>
      <c r="V121">
        <f t="shared" si="7"/>
        <v>0</v>
      </c>
      <c r="W121">
        <f t="shared" si="8"/>
        <v>0</v>
      </c>
      <c r="X121">
        <f t="shared" si="9"/>
        <v>0</v>
      </c>
      <c r="Y121">
        <f t="shared" si="10"/>
        <v>0</v>
      </c>
      <c r="Z121">
        <f t="shared" si="11"/>
        <v>0</v>
      </c>
      <c r="AA121">
        <f t="shared" si="12"/>
        <v>0</v>
      </c>
      <c r="AB121">
        <f t="shared" si="13"/>
        <v>0</v>
      </c>
      <c r="AC121">
        <f t="shared" si="14"/>
        <v>0</v>
      </c>
      <c r="AE121">
        <f t="shared" si="0"/>
      </c>
      <c r="AV121">
        <f t="shared" si="15"/>
      </c>
      <c r="BM121">
        <f t="shared" si="16"/>
      </c>
      <c r="CD121">
        <f t="shared" si="0"/>
      </c>
      <c r="CZ121">
        <f t="shared" si="17"/>
      </c>
      <c r="DA121">
        <f t="shared" si="1"/>
      </c>
      <c r="DB121">
        <f t="shared" si="18"/>
      </c>
      <c r="DC121">
        <f t="shared" si="19"/>
      </c>
      <c r="DD121">
        <f t="shared" si="20"/>
      </c>
      <c r="DE121">
        <f t="shared" si="21"/>
      </c>
      <c r="DF121">
        <f t="shared" si="22"/>
      </c>
      <c r="DG121">
        <f t="shared" si="23"/>
      </c>
      <c r="DH121">
        <f t="shared" si="24"/>
      </c>
      <c r="DI121">
        <f t="shared" si="1"/>
      </c>
    </row>
    <row r="122" ht="15" customHeight="1">
      <c r="B122">
        <f t="shared" si="2"/>
      </c>
      <c r="R122">
        <f t="shared" si="3"/>
        <v>0</v>
      </c>
      <c r="S122">
        <f t="shared" si="4"/>
        <v>0</v>
      </c>
      <c r="T122">
        <f t="shared" si="5"/>
        <v>0</v>
      </c>
      <c r="U122">
        <f t="shared" si="6"/>
        <v>0</v>
      </c>
      <c r="V122">
        <f t="shared" si="7"/>
        <v>0</v>
      </c>
      <c r="W122">
        <f t="shared" si="8"/>
        <v>0</v>
      </c>
      <c r="X122">
        <f t="shared" si="9"/>
        <v>0</v>
      </c>
      <c r="Y122">
        <f t="shared" si="10"/>
        <v>0</v>
      </c>
      <c r="Z122">
        <f t="shared" si="11"/>
        <v>0</v>
      </c>
      <c r="AA122">
        <f t="shared" si="12"/>
        <v>0</v>
      </c>
      <c r="AB122">
        <f t="shared" si="13"/>
        <v>0</v>
      </c>
      <c r="AC122">
        <f t="shared" si="14"/>
        <v>0</v>
      </c>
      <c r="AE122">
        <f t="shared" si="0"/>
      </c>
      <c r="AV122">
        <f t="shared" si="15"/>
      </c>
      <c r="BM122">
        <f t="shared" si="16"/>
      </c>
      <c r="CD122">
        <f t="shared" si="0"/>
      </c>
      <c r="CZ122">
        <f t="shared" si="17"/>
      </c>
      <c r="DA122">
        <f t="shared" si="1"/>
      </c>
      <c r="DB122">
        <f t="shared" si="18"/>
      </c>
      <c r="DC122">
        <f t="shared" si="19"/>
      </c>
      <c r="DD122">
        <f t="shared" si="20"/>
      </c>
      <c r="DE122">
        <f t="shared" si="21"/>
      </c>
      <c r="DF122">
        <f t="shared" si="22"/>
      </c>
      <c r="DG122">
        <f t="shared" si="23"/>
      </c>
      <c r="DH122">
        <f t="shared" si="24"/>
      </c>
      <c r="DI122">
        <f t="shared" si="1"/>
      </c>
    </row>
    <row r="123" ht="15" customHeight="1">
      <c r="B123">
        <f t="shared" si="2"/>
      </c>
      <c r="R123">
        <f t="shared" si="3"/>
        <v>0</v>
      </c>
      <c r="S123">
        <f t="shared" si="4"/>
        <v>0</v>
      </c>
      <c r="T123">
        <f t="shared" si="5"/>
        <v>0</v>
      </c>
      <c r="U123">
        <f t="shared" si="6"/>
        <v>0</v>
      </c>
      <c r="V123">
        <f t="shared" si="7"/>
        <v>0</v>
      </c>
      <c r="W123">
        <f t="shared" si="8"/>
        <v>0</v>
      </c>
      <c r="X123">
        <f t="shared" si="9"/>
        <v>0</v>
      </c>
      <c r="Y123">
        <f t="shared" si="10"/>
        <v>0</v>
      </c>
      <c r="Z123">
        <f t="shared" si="11"/>
        <v>0</v>
      </c>
      <c r="AA123">
        <f t="shared" si="12"/>
        <v>0</v>
      </c>
      <c r="AB123">
        <f t="shared" si="13"/>
        <v>0</v>
      </c>
      <c r="AC123">
        <f t="shared" si="14"/>
        <v>0</v>
      </c>
      <c r="AE123">
        <f t="shared" si="0"/>
      </c>
      <c r="AV123">
        <f t="shared" si="15"/>
      </c>
      <c r="BM123">
        <f t="shared" si="16"/>
      </c>
      <c r="CD123">
        <f t="shared" si="0"/>
      </c>
      <c r="CZ123">
        <f t="shared" si="17"/>
      </c>
      <c r="DA123">
        <f t="shared" si="1"/>
      </c>
      <c r="DB123">
        <f t="shared" si="18"/>
      </c>
      <c r="DC123">
        <f t="shared" si="19"/>
      </c>
      <c r="DD123">
        <f t="shared" si="20"/>
      </c>
      <c r="DE123">
        <f t="shared" si="21"/>
      </c>
      <c r="DF123">
        <f t="shared" si="22"/>
      </c>
      <c r="DG123">
        <f t="shared" si="23"/>
      </c>
      <c r="DH123">
        <f t="shared" si="24"/>
      </c>
      <c r="DI123">
        <f t="shared" si="1"/>
      </c>
    </row>
    <row r="124" ht="15" customHeight="1">
      <c r="B124">
        <f t="shared" si="2"/>
      </c>
      <c r="R124">
        <f t="shared" si="3"/>
        <v>0</v>
      </c>
      <c r="S124">
        <f t="shared" si="4"/>
        <v>0</v>
      </c>
      <c r="T124">
        <f t="shared" si="5"/>
        <v>0</v>
      </c>
      <c r="U124">
        <f t="shared" si="6"/>
        <v>0</v>
      </c>
      <c r="V124">
        <f t="shared" si="7"/>
        <v>0</v>
      </c>
      <c r="W124">
        <f t="shared" si="8"/>
        <v>0</v>
      </c>
      <c r="X124">
        <f t="shared" si="9"/>
        <v>0</v>
      </c>
      <c r="Y124">
        <f t="shared" si="10"/>
        <v>0</v>
      </c>
      <c r="Z124">
        <f t="shared" si="11"/>
        <v>0</v>
      </c>
      <c r="AA124">
        <f t="shared" si="12"/>
        <v>0</v>
      </c>
      <c r="AB124">
        <f t="shared" si="13"/>
        <v>0</v>
      </c>
      <c r="AC124">
        <f t="shared" si="14"/>
        <v>0</v>
      </c>
      <c r="AE124">
        <f t="shared" si="0"/>
      </c>
      <c r="AV124">
        <f t="shared" si="15"/>
      </c>
      <c r="BM124">
        <f t="shared" si="16"/>
      </c>
      <c r="CD124">
        <f t="shared" si="0"/>
      </c>
      <c r="CZ124">
        <f t="shared" si="17"/>
      </c>
      <c r="DA124">
        <f t="shared" si="1"/>
      </c>
      <c r="DB124">
        <f t="shared" si="18"/>
      </c>
      <c r="DC124">
        <f t="shared" si="19"/>
      </c>
      <c r="DD124">
        <f t="shared" si="20"/>
      </c>
      <c r="DE124">
        <f t="shared" si="21"/>
      </c>
      <c r="DF124">
        <f t="shared" si="22"/>
      </c>
      <c r="DG124">
        <f t="shared" si="23"/>
      </c>
      <c r="DH124">
        <f t="shared" si="24"/>
      </c>
      <c r="DI124">
        <f t="shared" si="1"/>
      </c>
    </row>
    <row r="125" ht="15" customHeight="1">
      <c r="B125">
        <f t="shared" si="2"/>
      </c>
      <c r="R125">
        <f t="shared" si="3"/>
        <v>0</v>
      </c>
      <c r="S125">
        <f t="shared" si="4"/>
        <v>0</v>
      </c>
      <c r="T125">
        <f t="shared" si="5"/>
        <v>0</v>
      </c>
      <c r="U125">
        <f t="shared" si="6"/>
        <v>0</v>
      </c>
      <c r="V125">
        <f t="shared" si="7"/>
        <v>0</v>
      </c>
      <c r="W125">
        <f t="shared" si="8"/>
        <v>0</v>
      </c>
      <c r="X125">
        <f t="shared" si="9"/>
        <v>0</v>
      </c>
      <c r="Y125">
        <f t="shared" si="10"/>
        <v>0</v>
      </c>
      <c r="Z125">
        <f t="shared" si="11"/>
        <v>0</v>
      </c>
      <c r="AA125">
        <f t="shared" si="12"/>
        <v>0</v>
      </c>
      <c r="AB125">
        <f t="shared" si="13"/>
        <v>0</v>
      </c>
      <c r="AC125">
        <f t="shared" si="14"/>
        <v>0</v>
      </c>
      <c r="AE125">
        <f t="shared" si="0"/>
      </c>
      <c r="AV125">
        <f t="shared" si="15"/>
      </c>
      <c r="BM125">
        <f t="shared" si="16"/>
      </c>
      <c r="CD125">
        <f t="shared" si="0"/>
      </c>
      <c r="CZ125">
        <f t="shared" si="17"/>
      </c>
      <c r="DA125">
        <f t="shared" si="1"/>
      </c>
      <c r="DB125">
        <f t="shared" si="18"/>
      </c>
      <c r="DC125">
        <f t="shared" si="19"/>
      </c>
      <c r="DD125">
        <f t="shared" si="20"/>
      </c>
      <c r="DE125">
        <f t="shared" si="21"/>
      </c>
      <c r="DF125">
        <f t="shared" si="22"/>
      </c>
      <c r="DG125">
        <f t="shared" si="23"/>
      </c>
      <c r="DH125">
        <f t="shared" si="24"/>
      </c>
      <c r="DI125">
        <f t="shared" si="1"/>
      </c>
    </row>
    <row r="126" ht="15" customHeight="1">
      <c r="B126">
        <f t="shared" si="2"/>
      </c>
      <c r="R126">
        <f t="shared" si="3"/>
        <v>0</v>
      </c>
      <c r="S126">
        <f t="shared" si="4"/>
        <v>0</v>
      </c>
      <c r="T126">
        <f t="shared" si="5"/>
        <v>0</v>
      </c>
      <c r="U126">
        <f t="shared" si="6"/>
        <v>0</v>
      </c>
      <c r="V126">
        <f t="shared" si="7"/>
        <v>0</v>
      </c>
      <c r="W126">
        <f t="shared" si="8"/>
        <v>0</v>
      </c>
      <c r="X126">
        <f t="shared" si="9"/>
        <v>0</v>
      </c>
      <c r="Y126">
        <f t="shared" si="10"/>
        <v>0</v>
      </c>
      <c r="Z126">
        <f t="shared" si="11"/>
        <v>0</v>
      </c>
      <c r="AA126">
        <f t="shared" si="12"/>
        <v>0</v>
      </c>
      <c r="AB126">
        <f t="shared" si="13"/>
        <v>0</v>
      </c>
      <c r="AC126">
        <f t="shared" si="14"/>
        <v>0</v>
      </c>
      <c r="AE126">
        <f t="shared" si="0"/>
      </c>
      <c r="AV126">
        <f t="shared" si="15"/>
      </c>
      <c r="BM126">
        <f t="shared" si="16"/>
      </c>
      <c r="CD126">
        <f t="shared" si="0"/>
      </c>
      <c r="CZ126">
        <f t="shared" si="17"/>
      </c>
      <c r="DA126">
        <f t="shared" si="1"/>
      </c>
      <c r="DB126">
        <f t="shared" si="18"/>
      </c>
      <c r="DC126">
        <f t="shared" si="19"/>
      </c>
      <c r="DD126">
        <f t="shared" si="20"/>
      </c>
      <c r="DE126">
        <f t="shared" si="21"/>
      </c>
      <c r="DF126">
        <f t="shared" si="22"/>
      </c>
      <c r="DG126">
        <f t="shared" si="23"/>
      </c>
      <c r="DH126">
        <f t="shared" si="24"/>
      </c>
      <c r="DI126">
        <f t="shared" si="1"/>
      </c>
    </row>
    <row r="127" ht="15" customHeight="1">
      <c r="B127">
        <f t="shared" si="2"/>
      </c>
      <c r="R127">
        <f t="shared" si="3"/>
        <v>0</v>
      </c>
      <c r="S127">
        <f t="shared" si="4"/>
        <v>0</v>
      </c>
      <c r="T127">
        <f t="shared" si="5"/>
        <v>0</v>
      </c>
      <c r="U127">
        <f t="shared" si="6"/>
        <v>0</v>
      </c>
      <c r="V127">
        <f t="shared" si="7"/>
        <v>0</v>
      </c>
      <c r="W127">
        <f t="shared" si="8"/>
        <v>0</v>
      </c>
      <c r="X127">
        <f t="shared" si="9"/>
        <v>0</v>
      </c>
      <c r="Y127">
        <f t="shared" si="10"/>
        <v>0</v>
      </c>
      <c r="Z127">
        <f t="shared" si="11"/>
        <v>0</v>
      </c>
      <c r="AA127">
        <f t="shared" si="12"/>
        <v>0</v>
      </c>
      <c r="AB127">
        <f t="shared" si="13"/>
        <v>0</v>
      </c>
      <c r="AC127">
        <f t="shared" si="14"/>
        <v>0</v>
      </c>
      <c r="AE127">
        <f t="shared" si="0"/>
      </c>
      <c r="AV127">
        <f t="shared" si="15"/>
      </c>
      <c r="BM127">
        <f t="shared" si="16"/>
      </c>
      <c r="CD127">
        <f t="shared" si="0"/>
      </c>
      <c r="CZ127">
        <f t="shared" si="17"/>
      </c>
      <c r="DA127">
        <f t="shared" si="1"/>
      </c>
      <c r="DB127">
        <f t="shared" si="18"/>
      </c>
      <c r="DC127">
        <f t="shared" si="19"/>
      </c>
      <c r="DD127">
        <f t="shared" si="20"/>
      </c>
      <c r="DE127">
        <f t="shared" si="21"/>
      </c>
      <c r="DF127">
        <f t="shared" si="22"/>
      </c>
      <c r="DG127">
        <f t="shared" si="23"/>
      </c>
      <c r="DH127">
        <f t="shared" si="24"/>
      </c>
      <c r="DI127">
        <f t="shared" si="1"/>
      </c>
    </row>
    <row r="128" ht="15" customHeight="1">
      <c r="B128">
        <f t="shared" si="2"/>
      </c>
      <c r="R128">
        <f t="shared" si="3"/>
        <v>0</v>
      </c>
      <c r="S128">
        <f t="shared" si="4"/>
        <v>0</v>
      </c>
      <c r="T128">
        <f t="shared" si="5"/>
        <v>0</v>
      </c>
      <c r="U128">
        <f t="shared" si="6"/>
        <v>0</v>
      </c>
      <c r="V128">
        <f t="shared" si="7"/>
        <v>0</v>
      </c>
      <c r="W128">
        <f t="shared" si="8"/>
        <v>0</v>
      </c>
      <c r="X128">
        <f t="shared" si="9"/>
        <v>0</v>
      </c>
      <c r="Y128">
        <f t="shared" si="10"/>
        <v>0</v>
      </c>
      <c r="Z128">
        <f t="shared" si="11"/>
        <v>0</v>
      </c>
      <c r="AA128">
        <f t="shared" si="12"/>
        <v>0</v>
      </c>
      <c r="AB128">
        <f t="shared" si="13"/>
        <v>0</v>
      </c>
      <c r="AC128">
        <f t="shared" si="14"/>
        <v>0</v>
      </c>
      <c r="AE128">
        <f t="shared" si="0"/>
      </c>
      <c r="AV128">
        <f t="shared" si="15"/>
      </c>
      <c r="BM128">
        <f t="shared" si="16"/>
      </c>
      <c r="CD128">
        <f t="shared" si="0"/>
      </c>
      <c r="CZ128">
        <f t="shared" si="17"/>
      </c>
      <c r="DA128">
        <f t="shared" si="1"/>
      </c>
      <c r="DB128">
        <f t="shared" si="18"/>
      </c>
      <c r="DC128">
        <f t="shared" si="19"/>
      </c>
      <c r="DD128">
        <f t="shared" si="20"/>
      </c>
      <c r="DE128">
        <f t="shared" si="21"/>
      </c>
      <c r="DF128">
        <f t="shared" si="22"/>
      </c>
      <c r="DG128">
        <f t="shared" si="23"/>
      </c>
      <c r="DH128">
        <f t="shared" si="24"/>
      </c>
      <c r="DI128">
        <f t="shared" si="1"/>
      </c>
    </row>
    <row r="129" ht="15" customHeight="1">
      <c r="B129">
        <f t="shared" si="2"/>
      </c>
      <c r="R129">
        <f t="shared" si="3"/>
        <v>0</v>
      </c>
      <c r="S129">
        <f t="shared" si="4"/>
        <v>0</v>
      </c>
      <c r="T129">
        <f t="shared" si="5"/>
        <v>0</v>
      </c>
      <c r="U129">
        <f t="shared" si="6"/>
        <v>0</v>
      </c>
      <c r="V129">
        <f t="shared" si="7"/>
        <v>0</v>
      </c>
      <c r="W129">
        <f t="shared" si="8"/>
        <v>0</v>
      </c>
      <c r="X129">
        <f t="shared" si="9"/>
        <v>0</v>
      </c>
      <c r="Y129">
        <f t="shared" si="10"/>
        <v>0</v>
      </c>
      <c r="Z129">
        <f t="shared" si="11"/>
        <v>0</v>
      </c>
      <c r="AA129">
        <f t="shared" si="12"/>
        <v>0</v>
      </c>
      <c r="AB129">
        <f t="shared" si="13"/>
        <v>0</v>
      </c>
      <c r="AC129">
        <f t="shared" si="14"/>
        <v>0</v>
      </c>
      <c r="AE129">
        <f t="shared" si="0"/>
      </c>
      <c r="AV129">
        <f t="shared" si="15"/>
      </c>
      <c r="BM129">
        <f t="shared" si="16"/>
      </c>
      <c r="CD129">
        <f t="shared" si="0"/>
      </c>
      <c r="CZ129">
        <f t="shared" si="17"/>
      </c>
      <c r="DA129">
        <f t="shared" si="1"/>
      </c>
      <c r="DB129">
        <f t="shared" si="18"/>
      </c>
      <c r="DC129">
        <f t="shared" si="19"/>
      </c>
      <c r="DD129">
        <f t="shared" si="20"/>
      </c>
      <c r="DE129">
        <f t="shared" si="21"/>
      </c>
      <c r="DF129">
        <f t="shared" si="22"/>
      </c>
      <c r="DG129">
        <f t="shared" si="23"/>
      </c>
      <c r="DH129">
        <f t="shared" si="24"/>
      </c>
      <c r="DI129">
        <f t="shared" si="1"/>
      </c>
    </row>
    <row r="130" ht="15" customHeight="1">
      <c r="B130">
        <f t="shared" si="2"/>
      </c>
      <c r="R130">
        <f t="shared" si="3"/>
        <v>0</v>
      </c>
      <c r="S130">
        <f t="shared" si="4"/>
        <v>0</v>
      </c>
      <c r="T130">
        <f t="shared" si="5"/>
        <v>0</v>
      </c>
      <c r="U130">
        <f t="shared" si="6"/>
        <v>0</v>
      </c>
      <c r="V130">
        <f t="shared" si="7"/>
        <v>0</v>
      </c>
      <c r="W130">
        <f t="shared" si="8"/>
        <v>0</v>
      </c>
      <c r="X130">
        <f t="shared" si="9"/>
        <v>0</v>
      </c>
      <c r="Y130">
        <f t="shared" si="10"/>
        <v>0</v>
      </c>
      <c r="Z130">
        <f t="shared" si="11"/>
        <v>0</v>
      </c>
      <c r="AA130">
        <f t="shared" si="12"/>
        <v>0</v>
      </c>
      <c r="AB130">
        <f t="shared" si="13"/>
        <v>0</v>
      </c>
      <c r="AC130">
        <f t="shared" si="14"/>
        <v>0</v>
      </c>
      <c r="AE130">
        <f t="shared" si="0"/>
      </c>
      <c r="AV130">
        <f t="shared" si="15"/>
      </c>
      <c r="BM130">
        <f t="shared" si="16"/>
      </c>
      <c r="CD130">
        <f t="shared" si="0"/>
      </c>
      <c r="CZ130">
        <f t="shared" si="17"/>
      </c>
      <c r="DA130">
        <f t="shared" si="1"/>
      </c>
      <c r="DB130">
        <f t="shared" si="18"/>
      </c>
      <c r="DC130">
        <f t="shared" si="19"/>
      </c>
      <c r="DD130">
        <f t="shared" si="20"/>
      </c>
      <c r="DE130">
        <f t="shared" si="21"/>
      </c>
      <c r="DF130">
        <f t="shared" si="22"/>
      </c>
      <c r="DG130">
        <f t="shared" si="23"/>
      </c>
      <c r="DH130">
        <f t="shared" si="24"/>
      </c>
      <c r="DI130">
        <f t="shared" si="1"/>
      </c>
    </row>
    <row r="131" ht="15" customHeight="1">
      <c r="B131">
        <f t="shared" si="2"/>
      </c>
      <c r="R131">
        <f t="shared" si="3"/>
        <v>0</v>
      </c>
      <c r="S131">
        <f t="shared" si="4"/>
        <v>0</v>
      </c>
      <c r="T131">
        <f t="shared" si="5"/>
        <v>0</v>
      </c>
      <c r="U131">
        <f t="shared" si="6"/>
        <v>0</v>
      </c>
      <c r="V131">
        <f t="shared" si="7"/>
        <v>0</v>
      </c>
      <c r="W131">
        <f t="shared" si="8"/>
        <v>0</v>
      </c>
      <c r="X131">
        <f t="shared" si="9"/>
        <v>0</v>
      </c>
      <c r="Y131">
        <f t="shared" si="10"/>
        <v>0</v>
      </c>
      <c r="Z131">
        <f t="shared" si="11"/>
        <v>0</v>
      </c>
      <c r="AA131">
        <f t="shared" si="12"/>
        <v>0</v>
      </c>
      <c r="AB131">
        <f t="shared" si="13"/>
        <v>0</v>
      </c>
      <c r="AC131">
        <f t="shared" si="14"/>
        <v>0</v>
      </c>
      <c r="AE131">
        <f t="shared" si="0"/>
      </c>
      <c r="AV131">
        <f t="shared" si="15"/>
      </c>
      <c r="BM131">
        <f t="shared" si="16"/>
      </c>
      <c r="CD131">
        <f t="shared" si="0"/>
      </c>
      <c r="CZ131">
        <f t="shared" si="17"/>
      </c>
      <c r="DA131">
        <f t="shared" si="1"/>
      </c>
      <c r="DB131">
        <f t="shared" si="18"/>
      </c>
      <c r="DC131">
        <f t="shared" si="19"/>
      </c>
      <c r="DD131">
        <f t="shared" si="20"/>
      </c>
      <c r="DE131">
        <f t="shared" si="21"/>
      </c>
      <c r="DF131">
        <f t="shared" si="22"/>
      </c>
      <c r="DG131">
        <f t="shared" si="23"/>
      </c>
      <c r="DH131">
        <f t="shared" si="24"/>
      </c>
      <c r="DI131">
        <f t="shared" si="1"/>
      </c>
    </row>
    <row r="132" ht="15" customHeight="1">
      <c r="B132">
        <f t="shared" si="2"/>
      </c>
      <c r="R132">
        <f t="shared" si="3"/>
        <v>0</v>
      </c>
      <c r="S132">
        <f t="shared" si="4"/>
        <v>0</v>
      </c>
      <c r="T132">
        <f t="shared" si="5"/>
        <v>0</v>
      </c>
      <c r="U132">
        <f t="shared" si="6"/>
        <v>0</v>
      </c>
      <c r="V132">
        <f t="shared" si="7"/>
        <v>0</v>
      </c>
      <c r="W132">
        <f t="shared" si="8"/>
        <v>0</v>
      </c>
      <c r="X132">
        <f t="shared" si="9"/>
        <v>0</v>
      </c>
      <c r="Y132">
        <f t="shared" si="10"/>
        <v>0</v>
      </c>
      <c r="Z132">
        <f t="shared" si="11"/>
        <v>0</v>
      </c>
      <c r="AA132">
        <f t="shared" si="12"/>
        <v>0</v>
      </c>
      <c r="AB132">
        <f t="shared" si="13"/>
        <v>0</v>
      </c>
      <c r="AC132">
        <f t="shared" si="14"/>
        <v>0</v>
      </c>
      <c r="AE132">
        <f t="shared" si="0"/>
      </c>
      <c r="AV132">
        <f t="shared" si="15"/>
      </c>
      <c r="BM132">
        <f t="shared" si="16"/>
      </c>
      <c r="CD132">
        <f t="shared" si="0"/>
      </c>
      <c r="CZ132">
        <f t="shared" si="17"/>
      </c>
      <c r="DA132">
        <f t="shared" si="1"/>
      </c>
      <c r="DB132">
        <f t="shared" si="18"/>
      </c>
      <c r="DC132">
        <f t="shared" si="19"/>
      </c>
      <c r="DD132">
        <f t="shared" si="20"/>
      </c>
      <c r="DE132">
        <f t="shared" si="21"/>
      </c>
      <c r="DF132">
        <f t="shared" si="22"/>
      </c>
      <c r="DG132">
        <f t="shared" si="23"/>
      </c>
      <c r="DH132">
        <f t="shared" si="24"/>
      </c>
      <c r="DI132">
        <f t="shared" si="1"/>
      </c>
    </row>
    <row r="133" ht="15" customHeight="1">
      <c r="B133">
        <f t="shared" si="2"/>
      </c>
      <c r="R133">
        <f t="shared" si="3"/>
        <v>0</v>
      </c>
      <c r="S133">
        <f t="shared" si="4"/>
        <v>0</v>
      </c>
      <c r="T133">
        <f t="shared" si="5"/>
        <v>0</v>
      </c>
      <c r="U133">
        <f t="shared" si="6"/>
        <v>0</v>
      </c>
      <c r="V133">
        <f t="shared" si="7"/>
        <v>0</v>
      </c>
      <c r="W133">
        <f t="shared" si="8"/>
        <v>0</v>
      </c>
      <c r="X133">
        <f t="shared" si="9"/>
        <v>0</v>
      </c>
      <c r="Y133">
        <f t="shared" si="10"/>
        <v>0</v>
      </c>
      <c r="Z133">
        <f t="shared" si="11"/>
        <v>0</v>
      </c>
      <c r="AA133">
        <f t="shared" si="12"/>
        <v>0</v>
      </c>
      <c r="AB133">
        <f t="shared" si="13"/>
        <v>0</v>
      </c>
      <c r="AC133">
        <f t="shared" si="14"/>
        <v>0</v>
      </c>
      <c r="AE133">
        <f t="shared" si="0"/>
      </c>
      <c r="AV133">
        <f t="shared" si="15"/>
      </c>
      <c r="BM133">
        <f t="shared" si="16"/>
      </c>
      <c r="CD133">
        <f t="shared" si="0"/>
      </c>
      <c r="CZ133">
        <f t="shared" si="17"/>
      </c>
      <c r="DA133">
        <f t="shared" si="1"/>
      </c>
      <c r="DB133">
        <f t="shared" si="18"/>
      </c>
      <c r="DC133">
        <f t="shared" si="19"/>
      </c>
      <c r="DD133">
        <f t="shared" si="20"/>
      </c>
      <c r="DE133">
        <f t="shared" si="21"/>
      </c>
      <c r="DF133">
        <f t="shared" si="22"/>
      </c>
      <c r="DG133">
        <f t="shared" si="23"/>
      </c>
      <c r="DH133">
        <f t="shared" si="24"/>
      </c>
      <c r="DI133">
        <f t="shared" si="1"/>
      </c>
    </row>
    <row r="134" ht="15" customHeight="1">
      <c r="B134">
        <f t="shared" si="2"/>
      </c>
      <c r="R134">
        <f t="shared" si="3"/>
        <v>0</v>
      </c>
      <c r="S134">
        <f t="shared" si="4"/>
        <v>0</v>
      </c>
      <c r="T134">
        <f t="shared" si="5"/>
        <v>0</v>
      </c>
      <c r="U134">
        <f t="shared" si="6"/>
        <v>0</v>
      </c>
      <c r="V134">
        <f t="shared" si="7"/>
        <v>0</v>
      </c>
      <c r="W134">
        <f t="shared" si="8"/>
        <v>0</v>
      </c>
      <c r="X134">
        <f t="shared" si="9"/>
        <v>0</v>
      </c>
      <c r="Y134">
        <f t="shared" si="10"/>
        <v>0</v>
      </c>
      <c r="Z134">
        <f t="shared" si="11"/>
        <v>0</v>
      </c>
      <c r="AA134">
        <f t="shared" si="12"/>
        <v>0</v>
      </c>
      <c r="AB134">
        <f t="shared" si="13"/>
        <v>0</v>
      </c>
      <c r="AC134">
        <f t="shared" si="14"/>
        <v>0</v>
      </c>
      <c r="AE134">
        <f t="shared" si="0"/>
      </c>
      <c r="AV134">
        <f t="shared" si="15"/>
      </c>
      <c r="BM134">
        <f t="shared" si="16"/>
      </c>
      <c r="CD134">
        <f t="shared" si="0"/>
      </c>
      <c r="CZ134">
        <f t="shared" si="17"/>
      </c>
      <c r="DA134">
        <f t="shared" si="1"/>
      </c>
      <c r="DB134">
        <f t="shared" si="18"/>
      </c>
      <c r="DC134">
        <f t="shared" si="19"/>
      </c>
      <c r="DD134">
        <f t="shared" si="20"/>
      </c>
      <c r="DE134">
        <f t="shared" si="21"/>
      </c>
      <c r="DF134">
        <f t="shared" si="22"/>
      </c>
      <c r="DG134">
        <f t="shared" si="23"/>
      </c>
      <c r="DH134">
        <f t="shared" si="24"/>
      </c>
      <c r="DI134">
        <f t="shared" si="1"/>
      </c>
    </row>
    <row r="135" ht="15" customHeight="1">
      <c r="B135">
        <f t="shared" si="2"/>
      </c>
      <c r="R135">
        <f t="shared" si="3"/>
        <v>0</v>
      </c>
      <c r="S135">
        <f t="shared" si="4"/>
        <v>0</v>
      </c>
      <c r="T135">
        <f t="shared" si="5"/>
        <v>0</v>
      </c>
      <c r="U135">
        <f t="shared" si="6"/>
        <v>0</v>
      </c>
      <c r="V135">
        <f t="shared" si="7"/>
        <v>0</v>
      </c>
      <c r="W135">
        <f t="shared" si="8"/>
        <v>0</v>
      </c>
      <c r="X135">
        <f t="shared" si="9"/>
        <v>0</v>
      </c>
      <c r="Y135">
        <f t="shared" si="10"/>
        <v>0</v>
      </c>
      <c r="Z135">
        <f t="shared" si="11"/>
        <v>0</v>
      </c>
      <c r="AA135">
        <f t="shared" si="12"/>
        <v>0</v>
      </c>
      <c r="AB135">
        <f t="shared" si="13"/>
        <v>0</v>
      </c>
      <c r="AC135">
        <f t="shared" si="14"/>
        <v>0</v>
      </c>
      <c r="AE135">
        <f t="shared" si="0"/>
      </c>
      <c r="AV135">
        <f t="shared" si="15"/>
      </c>
      <c r="BM135">
        <f t="shared" si="16"/>
      </c>
      <c r="CD135">
        <f t="shared" si="0"/>
      </c>
      <c r="CZ135">
        <f t="shared" si="17"/>
      </c>
      <c r="DA135">
        <f t="shared" si="1"/>
      </c>
      <c r="DB135">
        <f t="shared" si="18"/>
      </c>
      <c r="DC135">
        <f t="shared" si="19"/>
      </c>
      <c r="DD135">
        <f t="shared" si="20"/>
      </c>
      <c r="DE135">
        <f t="shared" si="21"/>
      </c>
      <c r="DF135">
        <f t="shared" si="22"/>
      </c>
      <c r="DG135">
        <f t="shared" si="23"/>
      </c>
      <c r="DH135">
        <f t="shared" si="24"/>
      </c>
      <c r="DI135">
        <f t="shared" si="1"/>
      </c>
    </row>
    <row r="136" ht="15" customHeight="1">
      <c r="B136">
        <f t="shared" si="2"/>
      </c>
      <c r="R136">
        <f t="shared" si="3"/>
        <v>0</v>
      </c>
      <c r="S136">
        <f t="shared" si="4"/>
        <v>0</v>
      </c>
      <c r="T136">
        <f t="shared" si="5"/>
        <v>0</v>
      </c>
      <c r="U136">
        <f t="shared" si="6"/>
        <v>0</v>
      </c>
      <c r="V136">
        <f t="shared" si="7"/>
        <v>0</v>
      </c>
      <c r="W136">
        <f t="shared" si="8"/>
        <v>0</v>
      </c>
      <c r="X136">
        <f t="shared" si="9"/>
        <v>0</v>
      </c>
      <c r="Y136">
        <f t="shared" si="10"/>
        <v>0</v>
      </c>
      <c r="Z136">
        <f t="shared" si="11"/>
        <v>0</v>
      </c>
      <c r="AA136">
        <f t="shared" si="12"/>
        <v>0</v>
      </c>
      <c r="AB136">
        <f t="shared" si="13"/>
        <v>0</v>
      </c>
      <c r="AC136">
        <f t="shared" si="14"/>
        <v>0</v>
      </c>
      <c r="AE136">
        <f t="shared" si="0"/>
      </c>
      <c r="AV136">
        <f t="shared" si="15"/>
      </c>
      <c r="BM136">
        <f t="shared" si="16"/>
      </c>
      <c r="CD136">
        <f t="shared" si="0"/>
      </c>
      <c r="CZ136">
        <f t="shared" si="17"/>
      </c>
      <c r="DA136">
        <f t="shared" si="1"/>
      </c>
      <c r="DB136">
        <f t="shared" si="18"/>
      </c>
      <c r="DC136">
        <f t="shared" si="19"/>
      </c>
      <c r="DD136">
        <f t="shared" si="20"/>
      </c>
      <c r="DE136">
        <f t="shared" si="21"/>
      </c>
      <c r="DF136">
        <f t="shared" si="22"/>
      </c>
      <c r="DG136">
        <f t="shared" si="23"/>
      </c>
      <c r="DH136">
        <f t="shared" si="24"/>
      </c>
      <c r="DI136">
        <f t="shared" si="1"/>
      </c>
    </row>
    <row r="137" ht="15" customHeight="1">
      <c r="B137">
        <f t="shared" si="2"/>
      </c>
      <c r="R137">
        <f t="shared" si="3"/>
        <v>0</v>
      </c>
      <c r="S137">
        <f t="shared" si="4"/>
        <v>0</v>
      </c>
      <c r="T137">
        <f t="shared" si="5"/>
        <v>0</v>
      </c>
      <c r="U137">
        <f t="shared" si="6"/>
        <v>0</v>
      </c>
      <c r="V137">
        <f t="shared" si="7"/>
        <v>0</v>
      </c>
      <c r="W137">
        <f t="shared" si="8"/>
        <v>0</v>
      </c>
      <c r="X137">
        <f t="shared" si="9"/>
        <v>0</v>
      </c>
      <c r="Y137">
        <f t="shared" si="10"/>
        <v>0</v>
      </c>
      <c r="Z137">
        <f t="shared" si="11"/>
        <v>0</v>
      </c>
      <c r="AA137">
        <f t="shared" si="12"/>
        <v>0</v>
      </c>
      <c r="AB137">
        <f t="shared" si="13"/>
        <v>0</v>
      </c>
      <c r="AC137">
        <f t="shared" si="14"/>
        <v>0</v>
      </c>
      <c r="AE137">
        <f t="shared" si="0"/>
      </c>
      <c r="AV137">
        <f t="shared" si="15"/>
      </c>
      <c r="BM137">
        <f t="shared" si="16"/>
      </c>
      <c r="CD137">
        <f t="shared" si="0"/>
      </c>
      <c r="CZ137">
        <f t="shared" si="17"/>
      </c>
      <c r="DA137">
        <f t="shared" si="1"/>
      </c>
      <c r="DB137">
        <f t="shared" si="18"/>
      </c>
      <c r="DC137">
        <f t="shared" si="19"/>
      </c>
      <c r="DD137">
        <f t="shared" si="20"/>
      </c>
      <c r="DE137">
        <f t="shared" si="21"/>
      </c>
      <c r="DF137">
        <f t="shared" si="22"/>
      </c>
      <c r="DG137">
        <f t="shared" si="23"/>
      </c>
      <c r="DH137">
        <f t="shared" si="24"/>
      </c>
      <c r="DI137">
        <f t="shared" si="1"/>
      </c>
    </row>
    <row r="138" ht="15" customHeight="1">
      <c r="B138">
        <f t="shared" si="2"/>
      </c>
      <c r="R138">
        <f t="shared" si="3"/>
        <v>0</v>
      </c>
      <c r="S138">
        <f t="shared" si="4"/>
        <v>0</v>
      </c>
      <c r="T138">
        <f t="shared" si="5"/>
        <v>0</v>
      </c>
      <c r="U138">
        <f t="shared" si="6"/>
        <v>0</v>
      </c>
      <c r="V138">
        <f t="shared" si="7"/>
        <v>0</v>
      </c>
      <c r="W138">
        <f t="shared" si="8"/>
        <v>0</v>
      </c>
      <c r="X138">
        <f t="shared" si="9"/>
        <v>0</v>
      </c>
      <c r="Y138">
        <f t="shared" si="10"/>
        <v>0</v>
      </c>
      <c r="Z138">
        <f t="shared" si="11"/>
        <v>0</v>
      </c>
      <c r="AA138">
        <f t="shared" si="12"/>
        <v>0</v>
      </c>
      <c r="AB138">
        <f t="shared" si="13"/>
        <v>0</v>
      </c>
      <c r="AC138">
        <f t="shared" si="14"/>
        <v>0</v>
      </c>
      <c r="AE138">
        <f t="shared" si="0"/>
      </c>
      <c r="AV138">
        <f t="shared" si="15"/>
      </c>
      <c r="BM138">
        <f t="shared" si="16"/>
      </c>
      <c r="CD138">
        <f t="shared" si="0"/>
      </c>
      <c r="CZ138">
        <f t="shared" si="17"/>
      </c>
      <c r="DA138">
        <f t="shared" si="1"/>
      </c>
      <c r="DB138">
        <f t="shared" si="18"/>
      </c>
      <c r="DC138">
        <f t="shared" si="19"/>
      </c>
      <c r="DD138">
        <f t="shared" si="20"/>
      </c>
      <c r="DE138">
        <f t="shared" si="21"/>
      </c>
      <c r="DF138">
        <f t="shared" si="22"/>
      </c>
      <c r="DG138">
        <f t="shared" si="23"/>
      </c>
      <c r="DH138">
        <f t="shared" si="24"/>
      </c>
      <c r="DI138">
        <f t="shared" si="1"/>
      </c>
    </row>
    <row r="139" ht="15" customHeight="1">
      <c r="B139">
        <f t="shared" si="2"/>
      </c>
      <c r="R139">
        <f t="shared" si="3"/>
        <v>0</v>
      </c>
      <c r="S139">
        <f t="shared" si="4"/>
        <v>0</v>
      </c>
      <c r="T139">
        <f t="shared" si="5"/>
        <v>0</v>
      </c>
      <c r="U139">
        <f t="shared" si="6"/>
        <v>0</v>
      </c>
      <c r="V139">
        <f t="shared" si="7"/>
        <v>0</v>
      </c>
      <c r="W139">
        <f t="shared" si="8"/>
        <v>0</v>
      </c>
      <c r="X139">
        <f t="shared" si="9"/>
        <v>0</v>
      </c>
      <c r="Y139">
        <f t="shared" si="10"/>
        <v>0</v>
      </c>
      <c r="Z139">
        <f t="shared" si="11"/>
        <v>0</v>
      </c>
      <c r="AA139">
        <f t="shared" si="12"/>
        <v>0</v>
      </c>
      <c r="AB139">
        <f t="shared" si="13"/>
        <v>0</v>
      </c>
      <c r="AC139">
        <f t="shared" si="14"/>
        <v>0</v>
      </c>
      <c r="AE139">
        <f t="shared" si="0"/>
      </c>
      <c r="AV139">
        <f t="shared" si="15"/>
      </c>
      <c r="BM139">
        <f t="shared" si="16"/>
      </c>
      <c r="CD139">
        <f t="shared" si="0"/>
      </c>
      <c r="CZ139">
        <f t="shared" si="17"/>
      </c>
      <c r="DA139">
        <f t="shared" si="1"/>
      </c>
      <c r="DB139">
        <f t="shared" si="18"/>
      </c>
      <c r="DC139">
        <f t="shared" si="19"/>
      </c>
      <c r="DD139">
        <f t="shared" si="20"/>
      </c>
      <c r="DE139">
        <f t="shared" si="21"/>
      </c>
      <c r="DF139">
        <f t="shared" si="22"/>
      </c>
      <c r="DG139">
        <f t="shared" si="23"/>
      </c>
      <c r="DH139">
        <f t="shared" si="24"/>
      </c>
      <c r="DI139">
        <f t="shared" si="1"/>
      </c>
    </row>
    <row r="140" ht="15" customHeight="1">
      <c r="B140">
        <f t="shared" si="2"/>
      </c>
      <c r="R140">
        <f t="shared" si="3"/>
        <v>0</v>
      </c>
      <c r="S140">
        <f t="shared" si="4"/>
        <v>0</v>
      </c>
      <c r="T140">
        <f t="shared" si="5"/>
        <v>0</v>
      </c>
      <c r="U140">
        <f t="shared" si="6"/>
        <v>0</v>
      </c>
      <c r="V140">
        <f t="shared" si="7"/>
        <v>0</v>
      </c>
      <c r="W140">
        <f t="shared" si="8"/>
        <v>0</v>
      </c>
      <c r="X140">
        <f t="shared" si="9"/>
        <v>0</v>
      </c>
      <c r="Y140">
        <f t="shared" si="10"/>
        <v>0</v>
      </c>
      <c r="Z140">
        <f t="shared" si="11"/>
        <v>0</v>
      </c>
      <c r="AA140">
        <f t="shared" si="12"/>
        <v>0</v>
      </c>
      <c r="AB140">
        <f t="shared" si="13"/>
        <v>0</v>
      </c>
      <c r="AC140">
        <f t="shared" si="14"/>
        <v>0</v>
      </c>
      <c r="AE140">
        <f t="shared" si="0"/>
      </c>
      <c r="AV140">
        <f t="shared" si="15"/>
      </c>
      <c r="BM140">
        <f t="shared" si="16"/>
      </c>
      <c r="CD140">
        <f t="shared" si="0"/>
      </c>
      <c r="CZ140">
        <f t="shared" si="17"/>
      </c>
      <c r="DA140">
        <f t="shared" si="1"/>
      </c>
      <c r="DB140">
        <f t="shared" si="18"/>
      </c>
      <c r="DC140">
        <f t="shared" si="19"/>
      </c>
      <c r="DD140">
        <f t="shared" si="20"/>
      </c>
      <c r="DE140">
        <f t="shared" si="21"/>
      </c>
      <c r="DF140">
        <f t="shared" si="22"/>
      </c>
      <c r="DG140">
        <f t="shared" si="23"/>
      </c>
      <c r="DH140">
        <f t="shared" si="24"/>
      </c>
      <c r="DI140">
        <f t="shared" si="1"/>
      </c>
    </row>
    <row r="141" ht="15" customHeight="1">
      <c r="B141">
        <f t="shared" si="2"/>
      </c>
      <c r="R141">
        <f t="shared" si="3"/>
        <v>0</v>
      </c>
      <c r="S141">
        <f t="shared" si="4"/>
        <v>0</v>
      </c>
      <c r="T141">
        <f t="shared" si="5"/>
        <v>0</v>
      </c>
      <c r="U141">
        <f t="shared" si="6"/>
        <v>0</v>
      </c>
      <c r="V141">
        <f t="shared" si="7"/>
        <v>0</v>
      </c>
      <c r="W141">
        <f t="shared" si="8"/>
        <v>0</v>
      </c>
      <c r="X141">
        <f t="shared" si="9"/>
        <v>0</v>
      </c>
      <c r="Y141">
        <f t="shared" si="10"/>
        <v>0</v>
      </c>
      <c r="Z141">
        <f t="shared" si="11"/>
        <v>0</v>
      </c>
      <c r="AA141">
        <f t="shared" si="12"/>
        <v>0</v>
      </c>
      <c r="AB141">
        <f t="shared" si="13"/>
        <v>0</v>
      </c>
      <c r="AC141">
        <f t="shared" si="14"/>
        <v>0</v>
      </c>
      <c r="AE141">
        <f t="shared" si="0"/>
      </c>
      <c r="AV141">
        <f t="shared" si="15"/>
      </c>
      <c r="BM141">
        <f t="shared" si="16"/>
      </c>
      <c r="CD141">
        <f t="shared" si="0"/>
      </c>
      <c r="CZ141">
        <f t="shared" si="17"/>
      </c>
      <c r="DA141">
        <f t="shared" si="1"/>
      </c>
      <c r="DB141">
        <f t="shared" si="18"/>
      </c>
      <c r="DC141">
        <f t="shared" si="19"/>
      </c>
      <c r="DD141">
        <f t="shared" si="20"/>
      </c>
      <c r="DE141">
        <f t="shared" si="21"/>
      </c>
      <c r="DF141">
        <f t="shared" si="22"/>
      </c>
      <c r="DG141">
        <f t="shared" si="23"/>
      </c>
      <c r="DH141">
        <f t="shared" si="24"/>
      </c>
      <c r="DI141">
        <f t="shared" si="1"/>
      </c>
    </row>
    <row r="142" ht="15" customHeight="1">
      <c r="B142">
        <f t="shared" si="2"/>
      </c>
      <c r="R142">
        <f t="shared" si="3"/>
        <v>0</v>
      </c>
      <c r="S142">
        <f t="shared" si="4"/>
        <v>0</v>
      </c>
      <c r="T142">
        <f t="shared" si="5"/>
        <v>0</v>
      </c>
      <c r="U142">
        <f t="shared" si="6"/>
        <v>0</v>
      </c>
      <c r="V142">
        <f t="shared" si="7"/>
        <v>0</v>
      </c>
      <c r="W142">
        <f t="shared" si="8"/>
        <v>0</v>
      </c>
      <c r="X142">
        <f t="shared" si="9"/>
        <v>0</v>
      </c>
      <c r="Y142">
        <f t="shared" si="10"/>
        <v>0</v>
      </c>
      <c r="Z142">
        <f t="shared" si="11"/>
        <v>0</v>
      </c>
      <c r="AA142">
        <f t="shared" si="12"/>
        <v>0</v>
      </c>
      <c r="AB142">
        <f t="shared" si="13"/>
        <v>0</v>
      </c>
      <c r="AC142">
        <f t="shared" si="14"/>
        <v>0</v>
      </c>
      <c r="AE142">
        <f t="shared" si="0"/>
      </c>
      <c r="AV142">
        <f t="shared" si="15"/>
      </c>
      <c r="BM142">
        <f t="shared" si="16"/>
      </c>
      <c r="CD142">
        <f t="shared" si="0"/>
      </c>
      <c r="CZ142">
        <f t="shared" si="17"/>
      </c>
      <c r="DA142">
        <f t="shared" si="1"/>
      </c>
      <c r="DB142">
        <f t="shared" si="18"/>
      </c>
      <c r="DC142">
        <f t="shared" si="19"/>
      </c>
      <c r="DD142">
        <f t="shared" si="20"/>
      </c>
      <c r="DE142">
        <f t="shared" si="21"/>
      </c>
      <c r="DF142">
        <f t="shared" si="22"/>
      </c>
      <c r="DG142">
        <f t="shared" si="23"/>
      </c>
      <c r="DH142">
        <f t="shared" si="24"/>
      </c>
      <c r="DI142">
        <f t="shared" si="1"/>
      </c>
    </row>
    <row r="143" ht="15" customHeight="1">
      <c r="B143">
        <f t="shared" si="2"/>
      </c>
      <c r="R143">
        <f t="shared" si="3"/>
        <v>0</v>
      </c>
      <c r="S143">
        <f t="shared" si="4"/>
        <v>0</v>
      </c>
      <c r="T143">
        <f t="shared" si="5"/>
        <v>0</v>
      </c>
      <c r="U143">
        <f t="shared" si="6"/>
        <v>0</v>
      </c>
      <c r="V143">
        <f t="shared" si="7"/>
        <v>0</v>
      </c>
      <c r="W143">
        <f t="shared" si="8"/>
        <v>0</v>
      </c>
      <c r="X143">
        <f t="shared" si="9"/>
        <v>0</v>
      </c>
      <c r="Y143">
        <f t="shared" si="10"/>
        <v>0</v>
      </c>
      <c r="Z143">
        <f t="shared" si="11"/>
        <v>0</v>
      </c>
      <c r="AA143">
        <f t="shared" si="12"/>
        <v>0</v>
      </c>
      <c r="AB143">
        <f t="shared" si="13"/>
        <v>0</v>
      </c>
      <c r="AC143">
        <f t="shared" si="14"/>
        <v>0</v>
      </c>
      <c r="AE143">
        <f t="shared" si="0"/>
      </c>
      <c r="AV143">
        <f t="shared" si="15"/>
      </c>
      <c r="BM143">
        <f t="shared" si="16"/>
      </c>
      <c r="CD143">
        <f t="shared" si="0"/>
      </c>
      <c r="CZ143">
        <f t="shared" si="17"/>
      </c>
      <c r="DA143">
        <f t="shared" si="1"/>
      </c>
      <c r="DB143">
        <f t="shared" si="18"/>
      </c>
      <c r="DC143">
        <f t="shared" si="19"/>
      </c>
      <c r="DD143">
        <f t="shared" si="20"/>
      </c>
      <c r="DE143">
        <f t="shared" si="21"/>
      </c>
      <c r="DF143">
        <f t="shared" si="22"/>
      </c>
      <c r="DG143">
        <f t="shared" si="23"/>
      </c>
      <c r="DH143">
        <f t="shared" si="24"/>
      </c>
      <c r="DI143">
        <f t="shared" si="1"/>
      </c>
    </row>
    <row r="144" ht="15" customHeight="1">
      <c r="B144">
        <f t="shared" si="2"/>
      </c>
      <c r="R144">
        <f t="shared" si="3"/>
        <v>0</v>
      </c>
      <c r="S144">
        <f t="shared" si="4"/>
        <v>0</v>
      </c>
      <c r="T144">
        <f t="shared" si="5"/>
        <v>0</v>
      </c>
      <c r="U144">
        <f t="shared" si="6"/>
        <v>0</v>
      </c>
      <c r="V144">
        <f t="shared" si="7"/>
        <v>0</v>
      </c>
      <c r="W144">
        <f t="shared" si="8"/>
        <v>0</v>
      </c>
      <c r="X144">
        <f t="shared" si="9"/>
        <v>0</v>
      </c>
      <c r="Y144">
        <f t="shared" si="10"/>
        <v>0</v>
      </c>
      <c r="Z144">
        <f t="shared" si="11"/>
        <v>0</v>
      </c>
      <c r="AA144">
        <f t="shared" si="12"/>
        <v>0</v>
      </c>
      <c r="AB144">
        <f t="shared" si="13"/>
        <v>0</v>
      </c>
      <c r="AC144">
        <f t="shared" si="14"/>
        <v>0</v>
      </c>
      <c r="AE144">
        <f t="shared" si="0"/>
      </c>
      <c r="AV144">
        <f t="shared" si="15"/>
      </c>
      <c r="BM144">
        <f t="shared" si="16"/>
      </c>
      <c r="CD144">
        <f t="shared" si="0"/>
      </c>
      <c r="CZ144">
        <f t="shared" si="17"/>
      </c>
      <c r="DA144">
        <f t="shared" si="1"/>
      </c>
      <c r="DB144">
        <f t="shared" si="18"/>
      </c>
      <c r="DC144">
        <f t="shared" si="19"/>
      </c>
      <c r="DD144">
        <f t="shared" si="20"/>
      </c>
      <c r="DE144">
        <f t="shared" si="21"/>
      </c>
      <c r="DF144">
        <f t="shared" si="22"/>
      </c>
      <c r="DG144">
        <f t="shared" si="23"/>
      </c>
      <c r="DH144">
        <f t="shared" si="24"/>
      </c>
      <c r="DI144">
        <f t="shared" si="1"/>
      </c>
    </row>
    <row r="145" ht="15" customHeight="1">
      <c r="B145">
        <f t="shared" si="2"/>
      </c>
      <c r="R145">
        <f t="shared" si="3"/>
        <v>0</v>
      </c>
      <c r="S145">
        <f t="shared" si="4"/>
        <v>0</v>
      </c>
      <c r="T145">
        <f t="shared" si="5"/>
        <v>0</v>
      </c>
      <c r="U145">
        <f t="shared" si="6"/>
        <v>0</v>
      </c>
      <c r="V145">
        <f t="shared" si="7"/>
        <v>0</v>
      </c>
      <c r="W145">
        <f t="shared" si="8"/>
        <v>0</v>
      </c>
      <c r="X145">
        <f t="shared" si="9"/>
        <v>0</v>
      </c>
      <c r="Y145">
        <f t="shared" si="10"/>
        <v>0</v>
      </c>
      <c r="Z145">
        <f t="shared" si="11"/>
        <v>0</v>
      </c>
      <c r="AA145">
        <f t="shared" si="12"/>
        <v>0</v>
      </c>
      <c r="AB145">
        <f t="shared" si="13"/>
        <v>0</v>
      </c>
      <c r="AC145">
        <f t="shared" si="14"/>
        <v>0</v>
      </c>
      <c r="AE145">
        <f t="shared" si="0"/>
      </c>
      <c r="AV145">
        <f t="shared" si="15"/>
      </c>
      <c r="BM145">
        <f t="shared" si="16"/>
      </c>
      <c r="CD145">
        <f t="shared" si="0"/>
      </c>
      <c r="CZ145">
        <f t="shared" si="17"/>
      </c>
      <c r="DA145">
        <f t="shared" si="1"/>
      </c>
      <c r="DB145">
        <f t="shared" si="18"/>
      </c>
      <c r="DC145">
        <f t="shared" si="19"/>
      </c>
      <c r="DD145">
        <f t="shared" si="20"/>
      </c>
      <c r="DE145">
        <f t="shared" si="21"/>
      </c>
      <c r="DF145">
        <f t="shared" si="22"/>
      </c>
      <c r="DG145">
        <f t="shared" si="23"/>
      </c>
      <c r="DH145">
        <f t="shared" si="24"/>
      </c>
      <c r="DI145">
        <f t="shared" si="1"/>
      </c>
    </row>
    <row r="146" ht="15" customHeight="1">
      <c r="B146">
        <f t="shared" si="2"/>
      </c>
      <c r="R146">
        <f t="shared" si="3"/>
        <v>0</v>
      </c>
      <c r="S146">
        <f t="shared" si="4"/>
        <v>0</v>
      </c>
      <c r="T146">
        <f t="shared" si="5"/>
        <v>0</v>
      </c>
      <c r="U146">
        <f t="shared" si="6"/>
        <v>0</v>
      </c>
      <c r="V146">
        <f t="shared" si="7"/>
        <v>0</v>
      </c>
      <c r="W146">
        <f t="shared" si="8"/>
        <v>0</v>
      </c>
      <c r="X146">
        <f t="shared" si="9"/>
        <v>0</v>
      </c>
      <c r="Y146">
        <f t="shared" si="10"/>
        <v>0</v>
      </c>
      <c r="Z146">
        <f t="shared" si="11"/>
        <v>0</v>
      </c>
      <c r="AA146">
        <f t="shared" si="12"/>
        <v>0</v>
      </c>
      <c r="AB146">
        <f t="shared" si="13"/>
        <v>0</v>
      </c>
      <c r="AC146">
        <f t="shared" si="14"/>
        <v>0</v>
      </c>
      <c r="AE146">
        <f t="shared" si="0"/>
      </c>
      <c r="AV146">
        <f t="shared" si="15"/>
      </c>
      <c r="BM146">
        <f t="shared" si="16"/>
      </c>
      <c r="CD146">
        <f t="shared" si="0"/>
      </c>
      <c r="CZ146">
        <f t="shared" si="17"/>
      </c>
      <c r="DA146">
        <f t="shared" si="1"/>
      </c>
      <c r="DB146">
        <f t="shared" si="18"/>
      </c>
      <c r="DC146">
        <f t="shared" si="19"/>
      </c>
      <c r="DD146">
        <f t="shared" si="20"/>
      </c>
      <c r="DE146">
        <f t="shared" si="21"/>
      </c>
      <c r="DF146">
        <f t="shared" si="22"/>
      </c>
      <c r="DG146">
        <f t="shared" si="23"/>
      </c>
      <c r="DH146">
        <f t="shared" si="24"/>
      </c>
      <c r="DI146">
        <f t="shared" si="1"/>
      </c>
    </row>
    <row r="147" ht="15" customHeight="1">
      <c r="B147">
        <f t="shared" si="2"/>
      </c>
      <c r="R147">
        <f t="shared" si="3"/>
        <v>0</v>
      </c>
      <c r="S147">
        <f t="shared" si="4"/>
        <v>0</v>
      </c>
      <c r="T147">
        <f t="shared" si="5"/>
        <v>0</v>
      </c>
      <c r="U147">
        <f t="shared" si="6"/>
        <v>0</v>
      </c>
      <c r="V147">
        <f t="shared" si="7"/>
        <v>0</v>
      </c>
      <c r="W147">
        <f t="shared" si="8"/>
        <v>0</v>
      </c>
      <c r="X147">
        <f t="shared" si="9"/>
        <v>0</v>
      </c>
      <c r="Y147">
        <f t="shared" si="10"/>
        <v>0</v>
      </c>
      <c r="Z147">
        <f t="shared" si="11"/>
        <v>0</v>
      </c>
      <c r="AA147">
        <f t="shared" si="12"/>
        <v>0</v>
      </c>
      <c r="AB147">
        <f t="shared" si="13"/>
        <v>0</v>
      </c>
      <c r="AC147">
        <f t="shared" si="14"/>
        <v>0</v>
      </c>
      <c r="AE147">
        <f t="shared" si="0"/>
      </c>
      <c r="AV147">
        <f t="shared" si="15"/>
      </c>
      <c r="BM147">
        <f t="shared" si="16"/>
      </c>
      <c r="CD147">
        <f t="shared" si="0"/>
      </c>
      <c r="CZ147">
        <f t="shared" si="17"/>
      </c>
      <c r="DA147">
        <f t="shared" si="1"/>
      </c>
      <c r="DB147">
        <f t="shared" si="18"/>
      </c>
      <c r="DC147">
        <f t="shared" si="19"/>
      </c>
      <c r="DD147">
        <f t="shared" si="20"/>
      </c>
      <c r="DE147">
        <f t="shared" si="21"/>
      </c>
      <c r="DF147">
        <f t="shared" si="22"/>
      </c>
      <c r="DG147">
        <f t="shared" si="23"/>
      </c>
      <c r="DH147">
        <f t="shared" si="24"/>
      </c>
      <c r="DI147">
        <f t="shared" si="1"/>
      </c>
    </row>
    <row r="148" ht="15" customHeight="1">
      <c r="B148">
        <f t="shared" si="2"/>
      </c>
      <c r="R148">
        <f t="shared" si="3"/>
        <v>0</v>
      </c>
      <c r="S148">
        <f t="shared" si="4"/>
        <v>0</v>
      </c>
      <c r="T148">
        <f t="shared" si="5"/>
        <v>0</v>
      </c>
      <c r="U148">
        <f t="shared" si="6"/>
        <v>0</v>
      </c>
      <c r="V148">
        <f t="shared" si="7"/>
        <v>0</v>
      </c>
      <c r="W148">
        <f t="shared" si="8"/>
        <v>0</v>
      </c>
      <c r="X148">
        <f t="shared" si="9"/>
        <v>0</v>
      </c>
      <c r="Y148">
        <f t="shared" si="10"/>
        <v>0</v>
      </c>
      <c r="Z148">
        <f t="shared" si="11"/>
        <v>0</v>
      </c>
      <c r="AA148">
        <f t="shared" si="12"/>
        <v>0</v>
      </c>
      <c r="AB148">
        <f t="shared" si="13"/>
        <v>0</v>
      </c>
      <c r="AC148">
        <f t="shared" si="14"/>
        <v>0</v>
      </c>
      <c r="AE148">
        <f t="shared" si="0"/>
      </c>
      <c r="AV148">
        <f t="shared" si="15"/>
      </c>
      <c r="BM148">
        <f t="shared" si="16"/>
      </c>
      <c r="CD148">
        <f t="shared" si="0"/>
      </c>
      <c r="CZ148">
        <f t="shared" si="17"/>
      </c>
      <c r="DA148">
        <f t="shared" si="1"/>
      </c>
      <c r="DB148">
        <f t="shared" si="18"/>
      </c>
      <c r="DC148">
        <f t="shared" si="19"/>
      </c>
      <c r="DD148">
        <f t="shared" si="20"/>
      </c>
      <c r="DE148">
        <f t="shared" si="21"/>
      </c>
      <c r="DF148">
        <f t="shared" si="22"/>
      </c>
      <c r="DG148">
        <f t="shared" si="23"/>
      </c>
      <c r="DH148">
        <f t="shared" si="24"/>
      </c>
      <c r="DI148">
        <f t="shared" si="1"/>
      </c>
    </row>
    <row r="149" ht="15" customHeight="1">
      <c r="B149">
        <f t="shared" si="2"/>
      </c>
      <c r="R149">
        <f t="shared" si="3"/>
        <v>0</v>
      </c>
      <c r="S149">
        <f t="shared" si="4"/>
        <v>0</v>
      </c>
      <c r="T149">
        <f t="shared" si="5"/>
        <v>0</v>
      </c>
      <c r="U149">
        <f t="shared" si="6"/>
        <v>0</v>
      </c>
      <c r="V149">
        <f t="shared" si="7"/>
        <v>0</v>
      </c>
      <c r="W149">
        <f t="shared" si="8"/>
        <v>0</v>
      </c>
      <c r="X149">
        <f t="shared" si="9"/>
        <v>0</v>
      </c>
      <c r="Y149">
        <f t="shared" si="10"/>
        <v>0</v>
      </c>
      <c r="Z149">
        <f t="shared" si="11"/>
        <v>0</v>
      </c>
      <c r="AA149">
        <f t="shared" si="12"/>
        <v>0</v>
      </c>
      <c r="AB149">
        <f t="shared" si="13"/>
        <v>0</v>
      </c>
      <c r="AC149">
        <f t="shared" si="14"/>
        <v>0</v>
      </c>
      <c r="AE149">
        <f t="shared" si="0"/>
      </c>
      <c r="AV149">
        <f t="shared" si="15"/>
      </c>
      <c r="BM149">
        <f t="shared" si="16"/>
      </c>
      <c r="CD149">
        <f t="shared" si="0"/>
      </c>
      <c r="CZ149">
        <f t="shared" si="17"/>
      </c>
      <c r="DA149">
        <f t="shared" si="1"/>
      </c>
      <c r="DB149">
        <f t="shared" si="18"/>
      </c>
      <c r="DC149">
        <f t="shared" si="19"/>
      </c>
      <c r="DD149">
        <f t="shared" si="20"/>
      </c>
      <c r="DE149">
        <f t="shared" si="21"/>
      </c>
      <c r="DF149">
        <f t="shared" si="22"/>
      </c>
      <c r="DG149">
        <f t="shared" si="23"/>
      </c>
      <c r="DH149">
        <f t="shared" si="24"/>
      </c>
      <c r="DI149">
        <f t="shared" si="1"/>
      </c>
    </row>
    <row r="150" ht="15" customHeight="1">
      <c r="B150">
        <f t="shared" si="2"/>
      </c>
      <c r="R150">
        <f t="shared" si="3"/>
        <v>0</v>
      </c>
      <c r="S150">
        <f t="shared" si="4"/>
        <v>0</v>
      </c>
      <c r="T150">
        <f t="shared" si="5"/>
        <v>0</v>
      </c>
      <c r="U150">
        <f t="shared" si="6"/>
        <v>0</v>
      </c>
      <c r="V150">
        <f t="shared" si="7"/>
        <v>0</v>
      </c>
      <c r="W150">
        <f t="shared" si="8"/>
        <v>0</v>
      </c>
      <c r="X150">
        <f t="shared" si="9"/>
        <v>0</v>
      </c>
      <c r="Y150">
        <f t="shared" si="10"/>
        <v>0</v>
      </c>
      <c r="Z150">
        <f t="shared" si="11"/>
        <v>0</v>
      </c>
      <c r="AA150">
        <f t="shared" si="12"/>
        <v>0</v>
      </c>
      <c r="AB150">
        <f t="shared" si="13"/>
        <v>0</v>
      </c>
      <c r="AC150">
        <f t="shared" si="14"/>
        <v>0</v>
      </c>
      <c r="AE150">
        <f t="shared" si="0"/>
      </c>
      <c r="AV150">
        <f t="shared" si="15"/>
      </c>
      <c r="BM150">
        <f t="shared" si="16"/>
      </c>
      <c r="CD150">
        <f t="shared" si="0"/>
      </c>
      <c r="CZ150">
        <f t="shared" si="17"/>
      </c>
      <c r="DA150">
        <f t="shared" si="1"/>
      </c>
      <c r="DB150">
        <f t="shared" si="18"/>
      </c>
      <c r="DC150">
        <f t="shared" si="19"/>
      </c>
      <c r="DD150">
        <f t="shared" si="20"/>
      </c>
      <c r="DE150">
        <f t="shared" si="21"/>
      </c>
      <c r="DF150">
        <f t="shared" si="22"/>
      </c>
      <c r="DG150">
        <f t="shared" si="23"/>
      </c>
      <c r="DH150">
        <f t="shared" si="24"/>
      </c>
      <c r="DI150">
        <f t="shared" si="1"/>
      </c>
    </row>
    <row r="151" ht="15" customHeight="1">
      <c r="B151">
        <f t="shared" si="2"/>
      </c>
      <c r="R151">
        <f t="shared" si="3"/>
        <v>0</v>
      </c>
      <c r="S151">
        <f t="shared" si="4"/>
        <v>0</v>
      </c>
      <c r="T151">
        <f t="shared" si="5"/>
        <v>0</v>
      </c>
      <c r="U151">
        <f t="shared" si="6"/>
        <v>0</v>
      </c>
      <c r="V151">
        <f t="shared" si="7"/>
        <v>0</v>
      </c>
      <c r="W151">
        <f t="shared" si="8"/>
        <v>0</v>
      </c>
      <c r="X151">
        <f t="shared" si="9"/>
        <v>0</v>
      </c>
      <c r="Y151">
        <f t="shared" si="10"/>
        <v>0</v>
      </c>
      <c r="Z151">
        <f t="shared" si="11"/>
        <v>0</v>
      </c>
      <c r="AA151">
        <f t="shared" si="12"/>
        <v>0</v>
      </c>
      <c r="AB151">
        <f t="shared" si="13"/>
        <v>0</v>
      </c>
      <c r="AC151">
        <f t="shared" si="14"/>
        <v>0</v>
      </c>
      <c r="AE151">
        <f t="shared" si="0"/>
      </c>
      <c r="AV151">
        <f t="shared" si="15"/>
      </c>
      <c r="BM151">
        <f t="shared" si="16"/>
      </c>
      <c r="CD151">
        <f t="shared" si="0"/>
      </c>
      <c r="CZ151">
        <f t="shared" si="17"/>
      </c>
      <c r="DA151">
        <f t="shared" si="1"/>
      </c>
      <c r="DB151">
        <f t="shared" si="18"/>
      </c>
      <c r="DC151">
        <f t="shared" si="19"/>
      </c>
      <c r="DD151">
        <f t="shared" si="20"/>
      </c>
      <c r="DE151">
        <f t="shared" si="21"/>
      </c>
      <c r="DF151">
        <f t="shared" si="22"/>
      </c>
      <c r="DG151">
        <f t="shared" si="23"/>
      </c>
      <c r="DH151">
        <f t="shared" si="24"/>
      </c>
      <c r="DI151">
        <f t="shared" si="1"/>
      </c>
    </row>
    <row r="152" ht="15" customHeight="1">
      <c r="B152">
        <f t="shared" si="2"/>
      </c>
      <c r="R152">
        <f t="shared" si="3"/>
        <v>0</v>
      </c>
      <c r="S152">
        <f t="shared" si="4"/>
        <v>0</v>
      </c>
      <c r="T152">
        <f t="shared" si="5"/>
        <v>0</v>
      </c>
      <c r="U152">
        <f t="shared" si="6"/>
        <v>0</v>
      </c>
      <c r="V152">
        <f t="shared" si="7"/>
        <v>0</v>
      </c>
      <c r="W152">
        <f t="shared" si="8"/>
        <v>0</v>
      </c>
      <c r="X152">
        <f t="shared" si="9"/>
        <v>0</v>
      </c>
      <c r="Y152">
        <f t="shared" si="10"/>
        <v>0</v>
      </c>
      <c r="Z152">
        <f t="shared" si="11"/>
        <v>0</v>
      </c>
      <c r="AA152">
        <f t="shared" si="12"/>
        <v>0</v>
      </c>
      <c r="AB152">
        <f t="shared" si="13"/>
        <v>0</v>
      </c>
      <c r="AC152">
        <f t="shared" si="14"/>
        <v>0</v>
      </c>
      <c r="AE152">
        <f t="shared" si="0"/>
      </c>
      <c r="AV152">
        <f t="shared" si="15"/>
      </c>
      <c r="BM152">
        <f t="shared" si="16"/>
      </c>
      <c r="CD152">
        <f t="shared" si="0"/>
      </c>
      <c r="CZ152">
        <f t="shared" si="17"/>
      </c>
      <c r="DA152">
        <f t="shared" si="1"/>
      </c>
      <c r="DB152">
        <f t="shared" si="18"/>
      </c>
      <c r="DC152">
        <f t="shared" si="19"/>
      </c>
      <c r="DD152">
        <f t="shared" si="20"/>
      </c>
      <c r="DE152">
        <f t="shared" si="21"/>
      </c>
      <c r="DF152">
        <f t="shared" si="22"/>
      </c>
      <c r="DG152">
        <f t="shared" si="23"/>
      </c>
      <c r="DH152">
        <f t="shared" si="24"/>
      </c>
      <c r="DI152">
        <f t="shared" si="1"/>
      </c>
    </row>
    <row r="153" ht="15" customHeight="1">
      <c r="B153">
        <f t="shared" si="2"/>
      </c>
      <c r="R153">
        <f t="shared" si="3"/>
        <v>0</v>
      </c>
      <c r="S153">
        <f t="shared" si="4"/>
        <v>0</v>
      </c>
      <c r="T153">
        <f t="shared" si="5"/>
        <v>0</v>
      </c>
      <c r="U153">
        <f t="shared" si="6"/>
        <v>0</v>
      </c>
      <c r="V153">
        <f t="shared" si="7"/>
        <v>0</v>
      </c>
      <c r="W153">
        <f t="shared" si="8"/>
        <v>0</v>
      </c>
      <c r="X153">
        <f t="shared" si="9"/>
        <v>0</v>
      </c>
      <c r="Y153">
        <f t="shared" si="10"/>
        <v>0</v>
      </c>
      <c r="Z153">
        <f t="shared" si="11"/>
        <v>0</v>
      </c>
      <c r="AA153">
        <f t="shared" si="12"/>
        <v>0</v>
      </c>
      <c r="AB153">
        <f t="shared" si="13"/>
        <v>0</v>
      </c>
      <c r="AC153">
        <f t="shared" si="14"/>
        <v>0</v>
      </c>
      <c r="AE153">
        <f t="shared" si="0"/>
      </c>
      <c r="AV153">
        <f t="shared" si="15"/>
      </c>
      <c r="BM153">
        <f t="shared" si="16"/>
      </c>
      <c r="CD153">
        <f t="shared" si="0"/>
      </c>
      <c r="CZ153">
        <f t="shared" si="17"/>
      </c>
      <c r="DA153">
        <f t="shared" si="1"/>
      </c>
      <c r="DB153">
        <f t="shared" si="18"/>
      </c>
      <c r="DC153">
        <f t="shared" si="19"/>
      </c>
      <c r="DD153">
        <f t="shared" si="20"/>
      </c>
      <c r="DE153">
        <f t="shared" si="21"/>
      </c>
      <c r="DF153">
        <f t="shared" si="22"/>
      </c>
      <c r="DG153">
        <f t="shared" si="23"/>
      </c>
      <c r="DH153">
        <f t="shared" si="24"/>
      </c>
      <c r="DI153">
        <f t="shared" si="1"/>
      </c>
    </row>
    <row r="154" ht="15" customHeight="1">
      <c r="B154">
        <f t="shared" si="2"/>
      </c>
      <c r="R154">
        <f t="shared" si="3"/>
        <v>0</v>
      </c>
      <c r="S154">
        <f t="shared" si="4"/>
        <v>0</v>
      </c>
      <c r="T154">
        <f t="shared" si="5"/>
        <v>0</v>
      </c>
      <c r="U154">
        <f t="shared" si="6"/>
        <v>0</v>
      </c>
      <c r="V154">
        <f t="shared" si="7"/>
        <v>0</v>
      </c>
      <c r="W154">
        <f t="shared" si="8"/>
        <v>0</v>
      </c>
      <c r="X154">
        <f t="shared" si="9"/>
        <v>0</v>
      </c>
      <c r="Y154">
        <f t="shared" si="10"/>
        <v>0</v>
      </c>
      <c r="Z154">
        <f t="shared" si="11"/>
        <v>0</v>
      </c>
      <c r="AA154">
        <f t="shared" si="12"/>
        <v>0</v>
      </c>
      <c r="AB154">
        <f t="shared" si="13"/>
        <v>0</v>
      </c>
      <c r="AC154">
        <f t="shared" si="14"/>
        <v>0</v>
      </c>
      <c r="AE154">
        <f t="shared" si="0"/>
      </c>
      <c r="AV154">
        <f t="shared" si="15"/>
      </c>
      <c r="BM154">
        <f t="shared" si="16"/>
      </c>
      <c r="CD154">
        <f t="shared" si="0"/>
      </c>
      <c r="CZ154">
        <f t="shared" si="17"/>
      </c>
      <c r="DA154">
        <f t="shared" si="1"/>
      </c>
      <c r="DB154">
        <f t="shared" si="18"/>
      </c>
      <c r="DC154">
        <f t="shared" si="19"/>
      </c>
      <c r="DD154">
        <f t="shared" si="20"/>
      </c>
      <c r="DE154">
        <f t="shared" si="21"/>
      </c>
      <c r="DF154">
        <f t="shared" si="22"/>
      </c>
      <c r="DG154">
        <f t="shared" si="23"/>
      </c>
      <c r="DH154">
        <f t="shared" si="24"/>
      </c>
      <c r="DI154">
        <f t="shared" si="1"/>
      </c>
    </row>
    <row r="155" ht="15" customHeight="1">
      <c r="B155">
        <f t="shared" si="2"/>
      </c>
      <c r="R155">
        <f t="shared" si="3"/>
        <v>0</v>
      </c>
      <c r="S155">
        <f t="shared" si="4"/>
        <v>0</v>
      </c>
      <c r="T155">
        <f t="shared" si="5"/>
        <v>0</v>
      </c>
      <c r="U155">
        <f t="shared" si="6"/>
        <v>0</v>
      </c>
      <c r="V155">
        <f t="shared" si="7"/>
        <v>0</v>
      </c>
      <c r="W155">
        <f t="shared" si="8"/>
        <v>0</v>
      </c>
      <c r="X155">
        <f t="shared" si="9"/>
        <v>0</v>
      </c>
      <c r="Y155">
        <f t="shared" si="10"/>
        <v>0</v>
      </c>
      <c r="Z155">
        <f t="shared" si="11"/>
        <v>0</v>
      </c>
      <c r="AA155">
        <f t="shared" si="12"/>
        <v>0</v>
      </c>
      <c r="AB155">
        <f t="shared" si="13"/>
        <v>0</v>
      </c>
      <c r="AC155">
        <f t="shared" si="14"/>
        <v>0</v>
      </c>
      <c r="AE155">
        <f t="shared" si="0"/>
      </c>
      <c r="AV155">
        <f t="shared" si="15"/>
      </c>
      <c r="BM155">
        <f t="shared" si="16"/>
      </c>
      <c r="CD155">
        <f t="shared" si="0"/>
      </c>
      <c r="CZ155">
        <f t="shared" si="17"/>
      </c>
      <c r="DA155">
        <f t="shared" si="1"/>
      </c>
      <c r="DB155">
        <f t="shared" si="18"/>
      </c>
      <c r="DC155">
        <f t="shared" si="19"/>
      </c>
      <c r="DD155">
        <f t="shared" si="20"/>
      </c>
      <c r="DE155">
        <f t="shared" si="21"/>
      </c>
      <c r="DF155">
        <f t="shared" si="22"/>
      </c>
      <c r="DG155">
        <f t="shared" si="23"/>
      </c>
      <c r="DH155">
        <f t="shared" si="24"/>
      </c>
      <c r="DI155">
        <f t="shared" si="1"/>
      </c>
    </row>
    <row r="156" ht="15" customHeight="1">
      <c r="B156">
        <f t="shared" si="2"/>
      </c>
      <c r="R156">
        <f t="shared" si="3"/>
        <v>0</v>
      </c>
      <c r="S156">
        <f t="shared" si="4"/>
        <v>0</v>
      </c>
      <c r="T156">
        <f t="shared" si="5"/>
        <v>0</v>
      </c>
      <c r="U156">
        <f t="shared" si="6"/>
        <v>0</v>
      </c>
      <c r="V156">
        <f t="shared" si="7"/>
        <v>0</v>
      </c>
      <c r="W156">
        <f t="shared" si="8"/>
        <v>0</v>
      </c>
      <c r="X156">
        <f t="shared" si="9"/>
        <v>0</v>
      </c>
      <c r="Y156">
        <f t="shared" si="10"/>
        <v>0</v>
      </c>
      <c r="Z156">
        <f t="shared" si="11"/>
        <v>0</v>
      </c>
      <c r="AA156">
        <f t="shared" si="12"/>
        <v>0</v>
      </c>
      <c r="AB156">
        <f t="shared" si="13"/>
        <v>0</v>
      </c>
      <c r="AC156">
        <f t="shared" si="14"/>
        <v>0</v>
      </c>
      <c r="AE156">
        <f t="shared" si="0"/>
      </c>
      <c r="AV156">
        <f t="shared" si="15"/>
      </c>
      <c r="BM156">
        <f t="shared" si="16"/>
      </c>
      <c r="CD156">
        <f t="shared" si="0"/>
      </c>
      <c r="CZ156">
        <f t="shared" si="17"/>
      </c>
      <c r="DA156">
        <f t="shared" si="1"/>
      </c>
      <c r="DB156">
        <f t="shared" si="18"/>
      </c>
      <c r="DC156">
        <f t="shared" si="19"/>
      </c>
      <c r="DD156">
        <f t="shared" si="20"/>
      </c>
      <c r="DE156">
        <f t="shared" si="21"/>
      </c>
      <c r="DF156">
        <f t="shared" si="22"/>
      </c>
      <c r="DG156">
        <f t="shared" si="23"/>
      </c>
      <c r="DH156">
        <f t="shared" si="24"/>
      </c>
      <c r="DI156">
        <f t="shared" si="1"/>
      </c>
    </row>
    <row r="157" ht="15" customHeight="1">
      <c r="B157">
        <f t="shared" si="2"/>
      </c>
      <c r="R157">
        <f t="shared" si="3"/>
        <v>0</v>
      </c>
      <c r="S157">
        <f t="shared" si="4"/>
        <v>0</v>
      </c>
      <c r="T157">
        <f t="shared" si="5"/>
        <v>0</v>
      </c>
      <c r="U157">
        <f t="shared" si="6"/>
        <v>0</v>
      </c>
      <c r="V157">
        <f t="shared" si="7"/>
        <v>0</v>
      </c>
      <c r="W157">
        <f t="shared" si="8"/>
        <v>0</v>
      </c>
      <c r="X157">
        <f t="shared" si="9"/>
        <v>0</v>
      </c>
      <c r="Y157">
        <f t="shared" si="10"/>
        <v>0</v>
      </c>
      <c r="Z157">
        <f t="shared" si="11"/>
        <v>0</v>
      </c>
      <c r="AA157">
        <f t="shared" si="12"/>
        <v>0</v>
      </c>
      <c r="AB157">
        <f t="shared" si="13"/>
        <v>0</v>
      </c>
      <c r="AC157">
        <f t="shared" si="14"/>
        <v>0</v>
      </c>
      <c r="AE157">
        <f t="shared" si="0"/>
      </c>
      <c r="AV157">
        <f t="shared" si="15"/>
      </c>
      <c r="BM157">
        <f t="shared" si="16"/>
      </c>
      <c r="CD157">
        <f t="shared" si="0"/>
      </c>
      <c r="CZ157">
        <f t="shared" si="17"/>
      </c>
      <c r="DA157">
        <f t="shared" si="1"/>
      </c>
      <c r="DB157">
        <f t="shared" si="18"/>
      </c>
      <c r="DC157">
        <f t="shared" si="19"/>
      </c>
      <c r="DD157">
        <f t="shared" si="20"/>
      </c>
      <c r="DE157">
        <f t="shared" si="21"/>
      </c>
      <c r="DF157">
        <f t="shared" si="22"/>
      </c>
      <c r="DG157">
        <f t="shared" si="23"/>
      </c>
      <c r="DH157">
        <f t="shared" si="24"/>
      </c>
      <c r="DI157">
        <f t="shared" si="1"/>
      </c>
    </row>
    <row r="158" ht="15" customHeight="1">
      <c r="B158">
        <f t="shared" si="2"/>
      </c>
      <c r="R158">
        <f t="shared" si="3"/>
        <v>0</v>
      </c>
      <c r="S158">
        <f t="shared" si="4"/>
        <v>0</v>
      </c>
      <c r="T158">
        <f t="shared" si="5"/>
        <v>0</v>
      </c>
      <c r="U158">
        <f t="shared" si="6"/>
        <v>0</v>
      </c>
      <c r="V158">
        <f t="shared" si="7"/>
        <v>0</v>
      </c>
      <c r="W158">
        <f t="shared" si="8"/>
        <v>0</v>
      </c>
      <c r="X158">
        <f t="shared" si="9"/>
        <v>0</v>
      </c>
      <c r="Y158">
        <f t="shared" si="10"/>
        <v>0</v>
      </c>
      <c r="Z158">
        <f t="shared" si="11"/>
        <v>0</v>
      </c>
      <c r="AA158">
        <f t="shared" si="12"/>
        <v>0</v>
      </c>
      <c r="AB158">
        <f t="shared" si="13"/>
        <v>0</v>
      </c>
      <c r="AC158">
        <f t="shared" si="14"/>
        <v>0</v>
      </c>
      <c r="AE158">
        <f t="shared" si="0"/>
      </c>
      <c r="AV158">
        <f t="shared" si="15"/>
      </c>
      <c r="BM158">
        <f t="shared" si="16"/>
      </c>
      <c r="CD158">
        <f t="shared" si="0"/>
      </c>
      <c r="CZ158">
        <f t="shared" si="17"/>
      </c>
      <c r="DA158">
        <f t="shared" si="1"/>
      </c>
      <c r="DB158">
        <f t="shared" si="18"/>
      </c>
      <c r="DC158">
        <f t="shared" si="19"/>
      </c>
      <c r="DD158">
        <f t="shared" si="20"/>
      </c>
      <c r="DE158">
        <f t="shared" si="21"/>
      </c>
      <c r="DF158">
        <f t="shared" si="22"/>
      </c>
      <c r="DG158">
        <f t="shared" si="23"/>
      </c>
      <c r="DH158">
        <f t="shared" si="24"/>
      </c>
      <c r="DI158">
        <f t="shared" si="1"/>
      </c>
    </row>
    <row r="159" ht="15" customHeight="1">
      <c r="B159">
        <f t="shared" si="2"/>
      </c>
      <c r="R159">
        <f t="shared" si="3"/>
        <v>0</v>
      </c>
      <c r="S159">
        <f t="shared" si="4"/>
        <v>0</v>
      </c>
      <c r="T159">
        <f t="shared" si="5"/>
        <v>0</v>
      </c>
      <c r="U159">
        <f t="shared" si="6"/>
        <v>0</v>
      </c>
      <c r="V159">
        <f t="shared" si="7"/>
        <v>0</v>
      </c>
      <c r="W159">
        <f t="shared" si="8"/>
        <v>0</v>
      </c>
      <c r="X159">
        <f t="shared" si="9"/>
        <v>0</v>
      </c>
      <c r="Y159">
        <f t="shared" si="10"/>
        <v>0</v>
      </c>
      <c r="Z159">
        <f t="shared" si="11"/>
        <v>0</v>
      </c>
      <c r="AA159">
        <f t="shared" si="12"/>
        <v>0</v>
      </c>
      <c r="AB159">
        <f t="shared" si="13"/>
        <v>0</v>
      </c>
      <c r="AC159">
        <f t="shared" si="14"/>
        <v>0</v>
      </c>
      <c r="AE159">
        <f t="shared" si="0"/>
      </c>
      <c r="AV159">
        <f t="shared" si="15"/>
      </c>
      <c r="BM159">
        <f t="shared" si="16"/>
      </c>
      <c r="CD159">
        <f t="shared" si="0"/>
      </c>
      <c r="CZ159">
        <f t="shared" si="17"/>
      </c>
      <c r="DA159">
        <f t="shared" si="1"/>
      </c>
      <c r="DB159">
        <f t="shared" si="18"/>
      </c>
      <c r="DC159">
        <f t="shared" si="19"/>
      </c>
      <c r="DD159">
        <f t="shared" si="20"/>
      </c>
      <c r="DE159">
        <f t="shared" si="21"/>
      </c>
      <c r="DF159">
        <f t="shared" si="22"/>
      </c>
      <c r="DG159">
        <f t="shared" si="23"/>
      </c>
      <c r="DH159">
        <f t="shared" si="24"/>
      </c>
      <c r="DI159">
        <f t="shared" si="1"/>
      </c>
    </row>
    <row r="160" ht="15" customHeight="1">
      <c r="B160">
        <f t="shared" si="2"/>
      </c>
      <c r="R160">
        <f t="shared" si="3"/>
        <v>0</v>
      </c>
      <c r="S160">
        <f t="shared" si="4"/>
        <v>0</v>
      </c>
      <c r="T160">
        <f t="shared" si="5"/>
        <v>0</v>
      </c>
      <c r="U160">
        <f t="shared" si="6"/>
        <v>0</v>
      </c>
      <c r="V160">
        <f t="shared" si="7"/>
        <v>0</v>
      </c>
      <c r="W160">
        <f t="shared" si="8"/>
        <v>0</v>
      </c>
      <c r="X160">
        <f t="shared" si="9"/>
        <v>0</v>
      </c>
      <c r="Y160">
        <f t="shared" si="10"/>
        <v>0</v>
      </c>
      <c r="Z160">
        <f t="shared" si="11"/>
        <v>0</v>
      </c>
      <c r="AA160">
        <f t="shared" si="12"/>
        <v>0</v>
      </c>
      <c r="AB160">
        <f t="shared" si="13"/>
        <v>0</v>
      </c>
      <c r="AC160">
        <f t="shared" si="14"/>
        <v>0</v>
      </c>
      <c r="AE160">
        <f t="shared" si="0"/>
      </c>
      <c r="AV160">
        <f t="shared" si="15"/>
      </c>
      <c r="BM160">
        <f t="shared" si="16"/>
      </c>
      <c r="CD160">
        <f t="shared" si="0"/>
      </c>
      <c r="CZ160">
        <f t="shared" si="17"/>
      </c>
      <c r="DA160">
        <f t="shared" si="1"/>
      </c>
      <c r="DB160">
        <f t="shared" si="18"/>
      </c>
      <c r="DC160">
        <f t="shared" si="19"/>
      </c>
      <c r="DD160">
        <f t="shared" si="20"/>
      </c>
      <c r="DE160">
        <f t="shared" si="21"/>
      </c>
      <c r="DF160">
        <f t="shared" si="22"/>
      </c>
      <c r="DG160">
        <f t="shared" si="23"/>
      </c>
      <c r="DH160">
        <f t="shared" si="24"/>
      </c>
      <c r="DI160">
        <f t="shared" si="1"/>
      </c>
    </row>
    <row r="161" ht="15" customHeight="1">
      <c r="B161">
        <f t="shared" si="2"/>
      </c>
      <c r="R161">
        <f t="shared" si="3"/>
        <v>0</v>
      </c>
      <c r="S161">
        <f t="shared" si="4"/>
        <v>0</v>
      </c>
      <c r="T161">
        <f t="shared" si="5"/>
        <v>0</v>
      </c>
      <c r="U161">
        <f t="shared" si="6"/>
        <v>0</v>
      </c>
      <c r="V161">
        <f t="shared" si="7"/>
        <v>0</v>
      </c>
      <c r="W161">
        <f t="shared" si="8"/>
        <v>0</v>
      </c>
      <c r="X161">
        <f t="shared" si="9"/>
        <v>0</v>
      </c>
      <c r="Y161">
        <f t="shared" si="10"/>
        <v>0</v>
      </c>
      <c r="Z161">
        <f t="shared" si="11"/>
        <v>0</v>
      </c>
      <c r="AA161">
        <f t="shared" si="12"/>
        <v>0</v>
      </c>
      <c r="AB161">
        <f t="shared" si="13"/>
        <v>0</v>
      </c>
      <c r="AC161">
        <f t="shared" si="14"/>
        <v>0</v>
      </c>
      <c r="AE161">
        <f t="shared" si="0"/>
      </c>
      <c r="AV161">
        <f t="shared" si="15"/>
      </c>
      <c r="BM161">
        <f t="shared" si="16"/>
      </c>
      <c r="CD161">
        <f t="shared" si="0"/>
      </c>
      <c r="CZ161">
        <f t="shared" si="17"/>
      </c>
      <c r="DA161">
        <f t="shared" si="1"/>
      </c>
      <c r="DB161">
        <f t="shared" si="18"/>
      </c>
      <c r="DC161">
        <f t="shared" si="19"/>
      </c>
      <c r="DD161">
        <f t="shared" si="20"/>
      </c>
      <c r="DE161">
        <f t="shared" si="21"/>
      </c>
      <c r="DF161">
        <f t="shared" si="22"/>
      </c>
      <c r="DG161">
        <f t="shared" si="23"/>
      </c>
      <c r="DH161">
        <f t="shared" si="24"/>
      </c>
      <c r="DI161">
        <f t="shared" si="1"/>
      </c>
    </row>
    <row r="162" ht="15" customHeight="1">
      <c r="B162">
        <f t="shared" si="2"/>
      </c>
      <c r="R162">
        <f t="shared" si="3"/>
        <v>0</v>
      </c>
      <c r="S162">
        <f t="shared" si="4"/>
        <v>0</v>
      </c>
      <c r="T162">
        <f t="shared" si="5"/>
        <v>0</v>
      </c>
      <c r="U162">
        <f t="shared" si="6"/>
        <v>0</v>
      </c>
      <c r="V162">
        <f t="shared" si="7"/>
        <v>0</v>
      </c>
      <c r="W162">
        <f t="shared" si="8"/>
        <v>0</v>
      </c>
      <c r="X162">
        <f t="shared" si="9"/>
        <v>0</v>
      </c>
      <c r="Y162">
        <f t="shared" si="10"/>
        <v>0</v>
      </c>
      <c r="Z162">
        <f t="shared" si="11"/>
        <v>0</v>
      </c>
      <c r="AA162">
        <f t="shared" si="12"/>
        <v>0</v>
      </c>
      <c r="AB162">
        <f t="shared" si="13"/>
        <v>0</v>
      </c>
      <c r="AC162">
        <f t="shared" si="14"/>
        <v>0</v>
      </c>
      <c r="AE162">
        <f t="shared" si="0"/>
      </c>
      <c r="AV162">
        <f t="shared" si="15"/>
      </c>
      <c r="BM162">
        <f t="shared" si="16"/>
      </c>
      <c r="CD162">
        <f t="shared" si="0"/>
      </c>
      <c r="CZ162">
        <f t="shared" si="17"/>
      </c>
      <c r="DA162">
        <f t="shared" si="1"/>
      </c>
      <c r="DB162">
        <f t="shared" si="18"/>
      </c>
      <c r="DC162">
        <f t="shared" si="19"/>
      </c>
      <c r="DD162">
        <f t="shared" si="20"/>
      </c>
      <c r="DE162">
        <f t="shared" si="21"/>
      </c>
      <c r="DF162">
        <f t="shared" si="22"/>
      </c>
      <c r="DG162">
        <f t="shared" si="23"/>
      </c>
      <c r="DH162">
        <f t="shared" si="24"/>
      </c>
      <c r="DI162">
        <f t="shared" si="1"/>
      </c>
    </row>
    <row r="163" ht="15" customHeight="1">
      <c r="B163">
        <f t="shared" si="2"/>
      </c>
      <c r="R163">
        <f t="shared" si="3"/>
        <v>0</v>
      </c>
      <c r="S163">
        <f t="shared" si="4"/>
        <v>0</v>
      </c>
      <c r="T163">
        <f t="shared" si="5"/>
        <v>0</v>
      </c>
      <c r="U163">
        <f t="shared" si="6"/>
        <v>0</v>
      </c>
      <c r="V163">
        <f t="shared" si="7"/>
        <v>0</v>
      </c>
      <c r="W163">
        <f t="shared" si="8"/>
        <v>0</v>
      </c>
      <c r="X163">
        <f t="shared" si="9"/>
        <v>0</v>
      </c>
      <c r="Y163">
        <f t="shared" si="10"/>
        <v>0</v>
      </c>
      <c r="Z163">
        <f t="shared" si="11"/>
        <v>0</v>
      </c>
      <c r="AA163">
        <f t="shared" si="12"/>
        <v>0</v>
      </c>
      <c r="AB163">
        <f t="shared" si="13"/>
        <v>0</v>
      </c>
      <c r="AC163">
        <f t="shared" si="14"/>
        <v>0</v>
      </c>
      <c r="AE163">
        <f t="shared" si="0"/>
      </c>
      <c r="AV163">
        <f t="shared" si="15"/>
      </c>
      <c r="BM163">
        <f t="shared" si="16"/>
      </c>
      <c r="CD163">
        <f t="shared" si="0"/>
      </c>
      <c r="CZ163">
        <f t="shared" si="17"/>
      </c>
      <c r="DA163">
        <f t="shared" si="1"/>
      </c>
      <c r="DB163">
        <f t="shared" si="18"/>
      </c>
      <c r="DC163">
        <f t="shared" si="19"/>
      </c>
      <c r="DD163">
        <f t="shared" si="20"/>
      </c>
      <c r="DE163">
        <f t="shared" si="21"/>
      </c>
      <c r="DF163">
        <f t="shared" si="22"/>
      </c>
      <c r="DG163">
        <f t="shared" si="23"/>
      </c>
      <c r="DH163">
        <f t="shared" si="24"/>
      </c>
      <c r="DI163">
        <f t="shared" si="1"/>
      </c>
    </row>
    <row r="164" ht="15" customHeight="1">
      <c r="B164">
        <f t="shared" si="2"/>
      </c>
      <c r="R164">
        <f t="shared" si="3"/>
        <v>0</v>
      </c>
      <c r="S164">
        <f t="shared" si="4"/>
        <v>0</v>
      </c>
      <c r="T164">
        <f t="shared" si="5"/>
        <v>0</v>
      </c>
      <c r="U164">
        <f t="shared" si="6"/>
        <v>0</v>
      </c>
      <c r="V164">
        <f t="shared" si="7"/>
        <v>0</v>
      </c>
      <c r="W164">
        <f t="shared" si="8"/>
        <v>0</v>
      </c>
      <c r="X164">
        <f t="shared" si="9"/>
        <v>0</v>
      </c>
      <c r="Y164">
        <f t="shared" si="10"/>
        <v>0</v>
      </c>
      <c r="Z164">
        <f t="shared" si="11"/>
        <v>0</v>
      </c>
      <c r="AA164">
        <f t="shared" si="12"/>
        <v>0</v>
      </c>
      <c r="AB164">
        <f t="shared" si="13"/>
        <v>0</v>
      </c>
      <c r="AC164">
        <f t="shared" si="14"/>
        <v>0</v>
      </c>
      <c r="AE164">
        <f t="shared" si="0"/>
      </c>
      <c r="AV164">
        <f t="shared" si="15"/>
      </c>
      <c r="BM164">
        <f t="shared" si="16"/>
      </c>
      <c r="CD164">
        <f t="shared" si="0"/>
      </c>
      <c r="CZ164">
        <f t="shared" si="17"/>
      </c>
      <c r="DA164">
        <f t="shared" si="1"/>
      </c>
      <c r="DB164">
        <f t="shared" si="18"/>
      </c>
      <c r="DC164">
        <f t="shared" si="19"/>
      </c>
      <c r="DD164">
        <f t="shared" si="20"/>
      </c>
      <c r="DE164">
        <f t="shared" si="21"/>
      </c>
      <c r="DF164">
        <f t="shared" si="22"/>
      </c>
      <c r="DG164">
        <f t="shared" si="23"/>
      </c>
      <c r="DH164">
        <f t="shared" si="24"/>
      </c>
      <c r="DI164">
        <f t="shared" si="1"/>
      </c>
    </row>
    <row r="165" ht="15" customHeight="1">
      <c r="B165">
        <f t="shared" si="2"/>
      </c>
      <c r="R165">
        <f t="shared" si="3"/>
        <v>0</v>
      </c>
      <c r="S165">
        <f t="shared" si="4"/>
        <v>0</v>
      </c>
      <c r="T165">
        <f t="shared" si="5"/>
        <v>0</v>
      </c>
      <c r="U165">
        <f t="shared" si="6"/>
        <v>0</v>
      </c>
      <c r="V165">
        <f t="shared" si="7"/>
        <v>0</v>
      </c>
      <c r="W165">
        <f t="shared" si="8"/>
        <v>0</v>
      </c>
      <c r="X165">
        <f t="shared" si="9"/>
        <v>0</v>
      </c>
      <c r="Y165">
        <f t="shared" si="10"/>
        <v>0</v>
      </c>
      <c r="Z165">
        <f t="shared" si="11"/>
        <v>0</v>
      </c>
      <c r="AA165">
        <f t="shared" si="12"/>
        <v>0</v>
      </c>
      <c r="AB165">
        <f t="shared" si="13"/>
        <v>0</v>
      </c>
      <c r="AC165">
        <f t="shared" si="14"/>
        <v>0</v>
      </c>
      <c r="AE165">
        <f t="shared" si="0"/>
      </c>
      <c r="AV165">
        <f t="shared" si="15"/>
      </c>
      <c r="BM165">
        <f t="shared" si="16"/>
      </c>
      <c r="CD165">
        <f t="shared" si="0"/>
      </c>
      <c r="CZ165">
        <f t="shared" si="17"/>
      </c>
      <c r="DA165">
        <f t="shared" si="1"/>
      </c>
      <c r="DB165">
        <f t="shared" si="18"/>
      </c>
      <c r="DC165">
        <f t="shared" si="19"/>
      </c>
      <c r="DD165">
        <f t="shared" si="20"/>
      </c>
      <c r="DE165">
        <f t="shared" si="21"/>
      </c>
      <c r="DF165">
        <f t="shared" si="22"/>
      </c>
      <c r="DG165">
        <f t="shared" si="23"/>
      </c>
      <c r="DH165">
        <f t="shared" si="24"/>
      </c>
      <c r="DI165">
        <f t="shared" si="1"/>
      </c>
    </row>
    <row r="166" ht="15" customHeight="1">
      <c r="B166">
        <f t="shared" si="2"/>
      </c>
      <c r="R166">
        <f t="shared" si="3"/>
        <v>0</v>
      </c>
      <c r="S166">
        <f t="shared" si="4"/>
        <v>0</v>
      </c>
      <c r="T166">
        <f t="shared" si="5"/>
        <v>0</v>
      </c>
      <c r="U166">
        <f t="shared" si="6"/>
        <v>0</v>
      </c>
      <c r="V166">
        <f t="shared" si="7"/>
        <v>0</v>
      </c>
      <c r="W166">
        <f t="shared" si="8"/>
        <v>0</v>
      </c>
      <c r="X166">
        <f t="shared" si="9"/>
        <v>0</v>
      </c>
      <c r="Y166">
        <f t="shared" si="10"/>
        <v>0</v>
      </c>
      <c r="Z166">
        <f t="shared" si="11"/>
        <v>0</v>
      </c>
      <c r="AA166">
        <f t="shared" si="12"/>
        <v>0</v>
      </c>
      <c r="AB166">
        <f t="shared" si="13"/>
        <v>0</v>
      </c>
      <c r="AC166">
        <f t="shared" si="14"/>
        <v>0</v>
      </c>
      <c r="AE166">
        <f t="shared" si="0"/>
      </c>
      <c r="AV166">
        <f t="shared" si="15"/>
      </c>
      <c r="BM166">
        <f t="shared" si="16"/>
      </c>
      <c r="CD166">
        <f t="shared" si="0"/>
      </c>
      <c r="CZ166">
        <f t="shared" si="17"/>
      </c>
      <c r="DA166">
        <f t="shared" si="1"/>
      </c>
      <c r="DB166">
        <f t="shared" si="18"/>
      </c>
      <c r="DC166">
        <f t="shared" si="19"/>
      </c>
      <c r="DD166">
        <f t="shared" si="20"/>
      </c>
      <c r="DE166">
        <f t="shared" si="21"/>
      </c>
      <c r="DF166">
        <f t="shared" si="22"/>
      </c>
      <c r="DG166">
        <f t="shared" si="23"/>
      </c>
      <c r="DH166">
        <f t="shared" si="24"/>
      </c>
      <c r="DI166">
        <f t="shared" si="1"/>
      </c>
    </row>
    <row r="167" ht="15" customHeight="1">
      <c r="B167">
        <f t="shared" si="2"/>
      </c>
      <c r="R167">
        <f t="shared" si="3"/>
        <v>0</v>
      </c>
      <c r="S167">
        <f t="shared" si="4"/>
        <v>0</v>
      </c>
      <c r="T167">
        <f t="shared" si="5"/>
        <v>0</v>
      </c>
      <c r="U167">
        <f t="shared" si="6"/>
        <v>0</v>
      </c>
      <c r="V167">
        <f t="shared" si="7"/>
        <v>0</v>
      </c>
      <c r="W167">
        <f t="shared" si="8"/>
        <v>0</v>
      </c>
      <c r="X167">
        <f t="shared" si="9"/>
        <v>0</v>
      </c>
      <c r="Y167">
        <f t="shared" si="10"/>
        <v>0</v>
      </c>
      <c r="Z167">
        <f t="shared" si="11"/>
        <v>0</v>
      </c>
      <c r="AA167">
        <f t="shared" si="12"/>
        <v>0</v>
      </c>
      <c r="AB167">
        <f t="shared" si="13"/>
        <v>0</v>
      </c>
      <c r="AC167">
        <f t="shared" si="14"/>
        <v>0</v>
      </c>
      <c r="AE167">
        <f t="shared" si="0"/>
      </c>
      <c r="AV167">
        <f t="shared" si="15"/>
      </c>
      <c r="BM167">
        <f t="shared" si="16"/>
      </c>
      <c r="CD167">
        <f t="shared" si="0"/>
      </c>
      <c r="CZ167">
        <f t="shared" si="17"/>
      </c>
      <c r="DA167">
        <f t="shared" si="1"/>
      </c>
      <c r="DB167">
        <f t="shared" si="18"/>
      </c>
      <c r="DC167">
        <f t="shared" si="19"/>
      </c>
      <c r="DD167">
        <f t="shared" si="20"/>
      </c>
      <c r="DE167">
        <f t="shared" si="21"/>
      </c>
      <c r="DF167">
        <f t="shared" si="22"/>
      </c>
      <c r="DG167">
        <f t="shared" si="23"/>
      </c>
      <c r="DH167">
        <f t="shared" si="24"/>
      </c>
      <c r="DI167">
        <f t="shared" si="1"/>
      </c>
    </row>
    <row r="168" ht="15" customHeight="1">
      <c r="B168">
        <f t="shared" si="2"/>
      </c>
      <c r="R168">
        <f t="shared" si="3"/>
        <v>0</v>
      </c>
      <c r="S168">
        <f t="shared" si="4"/>
        <v>0</v>
      </c>
      <c r="T168">
        <f t="shared" si="5"/>
        <v>0</v>
      </c>
      <c r="U168">
        <f t="shared" si="6"/>
        <v>0</v>
      </c>
      <c r="V168">
        <f t="shared" si="7"/>
        <v>0</v>
      </c>
      <c r="W168">
        <f t="shared" si="8"/>
        <v>0</v>
      </c>
      <c r="X168">
        <f t="shared" si="9"/>
        <v>0</v>
      </c>
      <c r="Y168">
        <f t="shared" si="10"/>
        <v>0</v>
      </c>
      <c r="Z168">
        <f t="shared" si="11"/>
        <v>0</v>
      </c>
      <c r="AA168">
        <f t="shared" si="12"/>
        <v>0</v>
      </c>
      <c r="AB168">
        <f t="shared" si="13"/>
        <v>0</v>
      </c>
      <c r="AC168">
        <f t="shared" si="14"/>
        <v>0</v>
      </c>
      <c r="AE168">
        <f t="shared" si="0"/>
      </c>
      <c r="AV168">
        <f t="shared" si="15"/>
      </c>
      <c r="BM168">
        <f t="shared" si="16"/>
      </c>
      <c r="CD168">
        <f t="shared" si="0"/>
      </c>
      <c r="CZ168">
        <f t="shared" si="17"/>
      </c>
      <c r="DA168">
        <f t="shared" si="1"/>
      </c>
      <c r="DB168">
        <f t="shared" si="18"/>
      </c>
      <c r="DC168">
        <f t="shared" si="19"/>
      </c>
      <c r="DD168">
        <f t="shared" si="20"/>
      </c>
      <c r="DE168">
        <f t="shared" si="21"/>
      </c>
      <c r="DF168">
        <f t="shared" si="22"/>
      </c>
      <c r="DG168">
        <f t="shared" si="23"/>
      </c>
      <c r="DH168">
        <f t="shared" si="24"/>
      </c>
      <c r="DI168">
        <f t="shared" si="1"/>
      </c>
    </row>
    <row r="169" ht="15" customHeight="1">
      <c r="B169">
        <f t="shared" si="2"/>
      </c>
      <c r="R169">
        <f t="shared" si="3"/>
        <v>0</v>
      </c>
      <c r="S169">
        <f t="shared" si="4"/>
        <v>0</v>
      </c>
      <c r="T169">
        <f t="shared" si="5"/>
        <v>0</v>
      </c>
      <c r="U169">
        <f t="shared" si="6"/>
        <v>0</v>
      </c>
      <c r="V169">
        <f t="shared" si="7"/>
        <v>0</v>
      </c>
      <c r="W169">
        <f t="shared" si="8"/>
        <v>0</v>
      </c>
      <c r="X169">
        <f t="shared" si="9"/>
        <v>0</v>
      </c>
      <c r="Y169">
        <f t="shared" si="10"/>
        <v>0</v>
      </c>
      <c r="Z169">
        <f t="shared" si="11"/>
        <v>0</v>
      </c>
      <c r="AA169">
        <f t="shared" si="12"/>
        <v>0</v>
      </c>
      <c r="AB169">
        <f t="shared" si="13"/>
        <v>0</v>
      </c>
      <c r="AC169">
        <f t="shared" si="14"/>
        <v>0</v>
      </c>
      <c r="AE169">
        <f t="shared" si="0"/>
      </c>
      <c r="AV169">
        <f t="shared" si="15"/>
      </c>
      <c r="BM169">
        <f t="shared" si="16"/>
      </c>
      <c r="CD169">
        <f t="shared" si="0"/>
      </c>
      <c r="CZ169">
        <f t="shared" si="17"/>
      </c>
      <c r="DA169">
        <f t="shared" si="1"/>
      </c>
      <c r="DB169">
        <f t="shared" si="18"/>
      </c>
      <c r="DC169">
        <f t="shared" si="19"/>
      </c>
      <c r="DD169">
        <f t="shared" si="20"/>
      </c>
      <c r="DE169">
        <f t="shared" si="21"/>
      </c>
      <c r="DF169">
        <f t="shared" si="22"/>
      </c>
      <c r="DG169">
        <f t="shared" si="23"/>
      </c>
      <c r="DH169">
        <f t="shared" si="24"/>
      </c>
      <c r="DI169">
        <f t="shared" si="1"/>
      </c>
    </row>
    <row r="170" ht="15" customHeight="1">
      <c r="B170">
        <f t="shared" si="2"/>
      </c>
      <c r="R170">
        <f t="shared" si="3"/>
        <v>0</v>
      </c>
      <c r="S170">
        <f t="shared" si="4"/>
        <v>0</v>
      </c>
      <c r="T170">
        <f t="shared" si="5"/>
        <v>0</v>
      </c>
      <c r="U170">
        <f t="shared" si="6"/>
        <v>0</v>
      </c>
      <c r="V170">
        <f t="shared" si="7"/>
        <v>0</v>
      </c>
      <c r="W170">
        <f t="shared" si="8"/>
        <v>0</v>
      </c>
      <c r="X170">
        <f t="shared" si="9"/>
        <v>0</v>
      </c>
      <c r="Y170">
        <f t="shared" si="10"/>
        <v>0</v>
      </c>
      <c r="Z170">
        <f t="shared" si="11"/>
        <v>0</v>
      </c>
      <c r="AA170">
        <f t="shared" si="12"/>
        <v>0</v>
      </c>
      <c r="AB170">
        <f t="shared" si="13"/>
        <v>0</v>
      </c>
      <c r="AC170">
        <f t="shared" si="14"/>
        <v>0</v>
      </c>
      <c r="AE170">
        <f t="shared" si="0"/>
      </c>
      <c r="AV170">
        <f t="shared" si="15"/>
      </c>
      <c r="BM170">
        <f t="shared" si="16"/>
      </c>
      <c r="CD170">
        <f t="shared" si="0"/>
      </c>
      <c r="CZ170">
        <f t="shared" si="17"/>
      </c>
      <c r="DA170">
        <f t="shared" si="1"/>
      </c>
      <c r="DB170">
        <f t="shared" si="18"/>
      </c>
      <c r="DC170">
        <f t="shared" si="19"/>
      </c>
      <c r="DD170">
        <f t="shared" si="20"/>
      </c>
      <c r="DE170">
        <f t="shared" si="21"/>
      </c>
      <c r="DF170">
        <f t="shared" si="22"/>
      </c>
      <c r="DG170">
        <f t="shared" si="23"/>
      </c>
      <c r="DH170">
        <f t="shared" si="24"/>
      </c>
      <c r="DI170">
        <f t="shared" si="1"/>
      </c>
    </row>
    <row r="171" ht="15" customHeight="1">
      <c r="B171">
        <f t="shared" si="2"/>
      </c>
      <c r="R171">
        <f t="shared" si="3"/>
        <v>0</v>
      </c>
      <c r="S171">
        <f t="shared" si="4"/>
        <v>0</v>
      </c>
      <c r="T171">
        <f t="shared" si="5"/>
        <v>0</v>
      </c>
      <c r="U171">
        <f t="shared" si="6"/>
        <v>0</v>
      </c>
      <c r="V171">
        <f t="shared" si="7"/>
        <v>0</v>
      </c>
      <c r="W171">
        <f t="shared" si="8"/>
        <v>0</v>
      </c>
      <c r="X171">
        <f t="shared" si="9"/>
        <v>0</v>
      </c>
      <c r="Y171">
        <f t="shared" si="10"/>
        <v>0</v>
      </c>
      <c r="Z171">
        <f t="shared" si="11"/>
        <v>0</v>
      </c>
      <c r="AA171">
        <f t="shared" si="12"/>
        <v>0</v>
      </c>
      <c r="AB171">
        <f t="shared" si="13"/>
        <v>0</v>
      </c>
      <c r="AC171">
        <f t="shared" si="14"/>
        <v>0</v>
      </c>
      <c r="AE171">
        <f t="shared" si="0"/>
      </c>
      <c r="AV171">
        <f t="shared" si="15"/>
      </c>
      <c r="BM171">
        <f t="shared" si="16"/>
      </c>
      <c r="CD171">
        <f t="shared" si="0"/>
      </c>
      <c r="CZ171">
        <f t="shared" si="17"/>
      </c>
      <c r="DA171">
        <f t="shared" si="1"/>
      </c>
      <c r="DB171">
        <f t="shared" si="18"/>
      </c>
      <c r="DC171">
        <f t="shared" si="19"/>
      </c>
      <c r="DD171">
        <f t="shared" si="20"/>
      </c>
      <c r="DE171">
        <f t="shared" si="21"/>
      </c>
      <c r="DF171">
        <f t="shared" si="22"/>
      </c>
      <c r="DG171">
        <f t="shared" si="23"/>
      </c>
      <c r="DH171">
        <f t="shared" si="24"/>
      </c>
      <c r="DI171">
        <f t="shared" si="1"/>
      </c>
    </row>
    <row r="172" ht="15" customHeight="1">
      <c r="B172">
        <f t="shared" si="2"/>
      </c>
      <c r="R172">
        <f t="shared" si="3"/>
        <v>0</v>
      </c>
      <c r="S172">
        <f t="shared" si="4"/>
        <v>0</v>
      </c>
      <c r="T172">
        <f t="shared" si="5"/>
        <v>0</v>
      </c>
      <c r="U172">
        <f t="shared" si="6"/>
        <v>0</v>
      </c>
      <c r="V172">
        <f t="shared" si="7"/>
        <v>0</v>
      </c>
      <c r="W172">
        <f t="shared" si="8"/>
        <v>0</v>
      </c>
      <c r="X172">
        <f t="shared" si="9"/>
        <v>0</v>
      </c>
      <c r="Y172">
        <f t="shared" si="10"/>
        <v>0</v>
      </c>
      <c r="Z172">
        <f t="shared" si="11"/>
        <v>0</v>
      </c>
      <c r="AA172">
        <f t="shared" si="12"/>
        <v>0</v>
      </c>
      <c r="AB172">
        <f t="shared" si="13"/>
        <v>0</v>
      </c>
      <c r="AC172">
        <f t="shared" si="14"/>
        <v>0</v>
      </c>
      <c r="AE172">
        <f t="shared" si="0"/>
      </c>
      <c r="AV172">
        <f t="shared" si="15"/>
      </c>
      <c r="BM172">
        <f t="shared" si="16"/>
      </c>
      <c r="CD172">
        <f t="shared" si="0"/>
      </c>
      <c r="CZ172">
        <f t="shared" si="17"/>
      </c>
      <c r="DA172">
        <f t="shared" si="1"/>
      </c>
      <c r="DB172">
        <f t="shared" si="18"/>
      </c>
      <c r="DC172">
        <f t="shared" si="19"/>
      </c>
      <c r="DD172">
        <f t="shared" si="20"/>
      </c>
      <c r="DE172">
        <f t="shared" si="21"/>
      </c>
      <c r="DF172">
        <f t="shared" si="22"/>
      </c>
      <c r="DG172">
        <f t="shared" si="23"/>
      </c>
      <c r="DH172">
        <f t="shared" si="24"/>
      </c>
      <c r="DI172">
        <f t="shared" si="1"/>
      </c>
    </row>
    <row r="173" ht="15" customHeight="1">
      <c r="B173">
        <f t="shared" si="2"/>
      </c>
      <c r="R173">
        <f t="shared" si="3"/>
        <v>0</v>
      </c>
      <c r="S173">
        <f t="shared" si="4"/>
        <v>0</v>
      </c>
      <c r="T173">
        <f t="shared" si="5"/>
        <v>0</v>
      </c>
      <c r="U173">
        <f t="shared" si="6"/>
        <v>0</v>
      </c>
      <c r="V173">
        <f t="shared" si="7"/>
        <v>0</v>
      </c>
      <c r="W173">
        <f t="shared" si="8"/>
        <v>0</v>
      </c>
      <c r="X173">
        <f t="shared" si="9"/>
        <v>0</v>
      </c>
      <c r="Y173">
        <f t="shared" si="10"/>
        <v>0</v>
      </c>
      <c r="Z173">
        <f t="shared" si="11"/>
        <v>0</v>
      </c>
      <c r="AA173">
        <f t="shared" si="12"/>
        <v>0</v>
      </c>
      <c r="AB173">
        <f t="shared" si="13"/>
        <v>0</v>
      </c>
      <c r="AC173">
        <f t="shared" si="14"/>
        <v>0</v>
      </c>
      <c r="AE173">
        <f t="shared" si="0"/>
      </c>
      <c r="AV173">
        <f t="shared" si="15"/>
      </c>
      <c r="BM173">
        <f t="shared" si="16"/>
      </c>
      <c r="CD173">
        <f t="shared" si="0"/>
      </c>
      <c r="CZ173">
        <f t="shared" si="17"/>
      </c>
      <c r="DA173">
        <f t="shared" si="1"/>
      </c>
      <c r="DB173">
        <f t="shared" si="18"/>
      </c>
      <c r="DC173">
        <f t="shared" si="19"/>
      </c>
      <c r="DD173">
        <f t="shared" si="20"/>
      </c>
      <c r="DE173">
        <f t="shared" si="21"/>
      </c>
      <c r="DF173">
        <f t="shared" si="22"/>
      </c>
      <c r="DG173">
        <f t="shared" si="23"/>
      </c>
      <c r="DH173">
        <f t="shared" si="24"/>
      </c>
      <c r="DI173">
        <f t="shared" si="1"/>
      </c>
    </row>
    <row r="174" ht="15" customHeight="1">
      <c r="B174">
        <f t="shared" si="2"/>
      </c>
      <c r="R174">
        <f t="shared" si="3"/>
        <v>0</v>
      </c>
      <c r="S174">
        <f t="shared" si="4"/>
        <v>0</v>
      </c>
      <c r="T174">
        <f t="shared" si="5"/>
        <v>0</v>
      </c>
      <c r="U174">
        <f t="shared" si="6"/>
        <v>0</v>
      </c>
      <c r="V174">
        <f t="shared" si="7"/>
        <v>0</v>
      </c>
      <c r="W174">
        <f t="shared" si="8"/>
        <v>0</v>
      </c>
      <c r="X174">
        <f t="shared" si="9"/>
        <v>0</v>
      </c>
      <c r="Y174">
        <f t="shared" si="10"/>
        <v>0</v>
      </c>
      <c r="Z174">
        <f t="shared" si="11"/>
        <v>0</v>
      </c>
      <c r="AA174">
        <f t="shared" si="12"/>
        <v>0</v>
      </c>
      <c r="AB174">
        <f t="shared" si="13"/>
        <v>0</v>
      </c>
      <c r="AC174">
        <f t="shared" si="14"/>
        <v>0</v>
      </c>
      <c r="AE174">
        <f t="shared" si="0"/>
      </c>
      <c r="AV174">
        <f t="shared" si="15"/>
      </c>
      <c r="BM174">
        <f t="shared" si="16"/>
      </c>
      <c r="CD174">
        <f t="shared" si="0"/>
      </c>
      <c r="CZ174">
        <f t="shared" si="17"/>
      </c>
      <c r="DA174">
        <f t="shared" si="1"/>
      </c>
      <c r="DB174">
        <f t="shared" si="18"/>
      </c>
      <c r="DC174">
        <f t="shared" si="19"/>
      </c>
      <c r="DD174">
        <f t="shared" si="20"/>
      </c>
      <c r="DE174">
        <f t="shared" si="21"/>
      </c>
      <c r="DF174">
        <f t="shared" si="22"/>
      </c>
      <c r="DG174">
        <f t="shared" si="23"/>
      </c>
      <c r="DH174">
        <f t="shared" si="24"/>
      </c>
      <c r="DI174">
        <f t="shared" si="1"/>
      </c>
    </row>
    <row r="175" ht="15" customHeight="1">
      <c r="B175">
        <f t="shared" si="2"/>
      </c>
      <c r="R175">
        <f t="shared" si="3"/>
        <v>0</v>
      </c>
      <c r="S175">
        <f t="shared" si="4"/>
        <v>0</v>
      </c>
      <c r="T175">
        <f t="shared" si="5"/>
        <v>0</v>
      </c>
      <c r="U175">
        <f t="shared" si="6"/>
        <v>0</v>
      </c>
      <c r="V175">
        <f t="shared" si="7"/>
        <v>0</v>
      </c>
      <c r="W175">
        <f t="shared" si="8"/>
        <v>0</v>
      </c>
      <c r="X175">
        <f t="shared" si="9"/>
        <v>0</v>
      </c>
      <c r="Y175">
        <f t="shared" si="10"/>
        <v>0</v>
      </c>
      <c r="Z175">
        <f t="shared" si="11"/>
        <v>0</v>
      </c>
      <c r="AA175">
        <f t="shared" si="12"/>
        <v>0</v>
      </c>
      <c r="AB175">
        <f t="shared" si="13"/>
        <v>0</v>
      </c>
      <c r="AC175">
        <f t="shared" si="14"/>
        <v>0</v>
      </c>
      <c r="AE175">
        <f t="shared" si="0"/>
      </c>
      <c r="AV175">
        <f t="shared" si="15"/>
      </c>
      <c r="BM175">
        <f t="shared" si="16"/>
      </c>
      <c r="CD175">
        <f t="shared" si="0"/>
      </c>
      <c r="CZ175">
        <f t="shared" si="17"/>
      </c>
      <c r="DA175">
        <f t="shared" si="1"/>
      </c>
      <c r="DB175">
        <f t="shared" si="18"/>
      </c>
      <c r="DC175">
        <f t="shared" si="19"/>
      </c>
      <c r="DD175">
        <f t="shared" si="20"/>
      </c>
      <c r="DE175">
        <f t="shared" si="21"/>
      </c>
      <c r="DF175">
        <f t="shared" si="22"/>
      </c>
      <c r="DG175">
        <f t="shared" si="23"/>
      </c>
      <c r="DH175">
        <f t="shared" si="24"/>
      </c>
      <c r="DI175">
        <f t="shared" si="1"/>
      </c>
    </row>
    <row r="176" ht="15" customHeight="1">
      <c r="B176">
        <f t="shared" si="2"/>
      </c>
      <c r="R176">
        <f t="shared" si="3"/>
        <v>0</v>
      </c>
      <c r="S176">
        <f t="shared" si="4"/>
        <v>0</v>
      </c>
      <c r="T176">
        <f t="shared" si="5"/>
        <v>0</v>
      </c>
      <c r="U176">
        <f t="shared" si="6"/>
        <v>0</v>
      </c>
      <c r="V176">
        <f t="shared" si="7"/>
        <v>0</v>
      </c>
      <c r="W176">
        <f t="shared" si="8"/>
        <v>0</v>
      </c>
      <c r="X176">
        <f t="shared" si="9"/>
        <v>0</v>
      </c>
      <c r="Y176">
        <f t="shared" si="10"/>
        <v>0</v>
      </c>
      <c r="Z176">
        <f t="shared" si="11"/>
        <v>0</v>
      </c>
      <c r="AA176">
        <f t="shared" si="12"/>
        <v>0</v>
      </c>
      <c r="AB176">
        <f t="shared" si="13"/>
        <v>0</v>
      </c>
      <c r="AC176">
        <f t="shared" si="14"/>
        <v>0</v>
      </c>
      <c r="AE176">
        <f t="shared" si="0"/>
      </c>
      <c r="AV176">
        <f t="shared" si="15"/>
      </c>
      <c r="BM176">
        <f t="shared" si="16"/>
      </c>
      <c r="CD176">
        <f t="shared" si="0"/>
      </c>
      <c r="CZ176">
        <f t="shared" si="17"/>
      </c>
      <c r="DA176">
        <f t="shared" si="1"/>
      </c>
      <c r="DB176">
        <f t="shared" si="18"/>
      </c>
      <c r="DC176">
        <f t="shared" si="19"/>
      </c>
      <c r="DD176">
        <f t="shared" si="20"/>
      </c>
      <c r="DE176">
        <f t="shared" si="21"/>
      </c>
      <c r="DF176">
        <f t="shared" si="22"/>
      </c>
      <c r="DG176">
        <f t="shared" si="23"/>
      </c>
      <c r="DH176">
        <f t="shared" si="24"/>
      </c>
      <c r="DI176">
        <f t="shared" si="1"/>
      </c>
    </row>
    <row r="177" ht="15" customHeight="1">
      <c r="B177">
        <f t="shared" si="2"/>
      </c>
      <c r="R177">
        <f t="shared" si="3"/>
        <v>0</v>
      </c>
      <c r="S177">
        <f t="shared" si="4"/>
        <v>0</v>
      </c>
      <c r="T177">
        <f t="shared" si="5"/>
        <v>0</v>
      </c>
      <c r="U177">
        <f t="shared" si="6"/>
        <v>0</v>
      </c>
      <c r="V177">
        <f t="shared" si="7"/>
        <v>0</v>
      </c>
      <c r="W177">
        <f t="shared" si="8"/>
        <v>0</v>
      </c>
      <c r="X177">
        <f t="shared" si="9"/>
        <v>0</v>
      </c>
      <c r="Y177">
        <f t="shared" si="10"/>
        <v>0</v>
      </c>
      <c r="Z177">
        <f t="shared" si="11"/>
        <v>0</v>
      </c>
      <c r="AA177">
        <f t="shared" si="12"/>
        <v>0</v>
      </c>
      <c r="AB177">
        <f t="shared" si="13"/>
        <v>0</v>
      </c>
      <c r="AC177">
        <f t="shared" si="14"/>
        <v>0</v>
      </c>
      <c r="AE177">
        <f t="shared" si="0"/>
      </c>
      <c r="AV177">
        <f t="shared" si="15"/>
      </c>
      <c r="BM177">
        <f t="shared" si="16"/>
      </c>
      <c r="CD177">
        <f t="shared" si="0"/>
      </c>
      <c r="CZ177">
        <f t="shared" si="17"/>
      </c>
      <c r="DA177">
        <f t="shared" si="1"/>
      </c>
      <c r="DB177">
        <f t="shared" si="18"/>
      </c>
      <c r="DC177">
        <f t="shared" si="19"/>
      </c>
      <c r="DD177">
        <f t="shared" si="20"/>
      </c>
      <c r="DE177">
        <f t="shared" si="21"/>
      </c>
      <c r="DF177">
        <f t="shared" si="22"/>
      </c>
      <c r="DG177">
        <f t="shared" si="23"/>
      </c>
      <c r="DH177">
        <f t="shared" si="24"/>
      </c>
      <c r="DI177">
        <f t="shared" si="1"/>
      </c>
    </row>
    <row r="178" ht="15" customHeight="1">
      <c r="B178">
        <f t="shared" si="2"/>
      </c>
      <c r="R178">
        <f t="shared" si="3"/>
        <v>0</v>
      </c>
      <c r="S178">
        <f t="shared" si="4"/>
        <v>0</v>
      </c>
      <c r="T178">
        <f t="shared" si="5"/>
        <v>0</v>
      </c>
      <c r="U178">
        <f t="shared" si="6"/>
        <v>0</v>
      </c>
      <c r="V178">
        <f t="shared" si="7"/>
        <v>0</v>
      </c>
      <c r="W178">
        <f t="shared" si="8"/>
        <v>0</v>
      </c>
      <c r="X178">
        <f t="shared" si="9"/>
        <v>0</v>
      </c>
      <c r="Y178">
        <f t="shared" si="10"/>
        <v>0</v>
      </c>
      <c r="Z178">
        <f t="shared" si="11"/>
        <v>0</v>
      </c>
      <c r="AA178">
        <f t="shared" si="12"/>
        <v>0</v>
      </c>
      <c r="AB178">
        <f t="shared" si="13"/>
        <v>0</v>
      </c>
      <c r="AC178">
        <f t="shared" si="14"/>
        <v>0</v>
      </c>
      <c r="AE178">
        <f t="shared" si="0"/>
      </c>
      <c r="AV178">
        <f t="shared" si="15"/>
      </c>
      <c r="BM178">
        <f t="shared" si="16"/>
      </c>
      <c r="CD178">
        <f t="shared" si="0"/>
      </c>
      <c r="CZ178">
        <f t="shared" si="17"/>
      </c>
      <c r="DA178">
        <f t="shared" si="1"/>
      </c>
      <c r="DB178">
        <f t="shared" si="18"/>
      </c>
      <c r="DC178">
        <f t="shared" si="19"/>
      </c>
      <c r="DD178">
        <f t="shared" si="20"/>
      </c>
      <c r="DE178">
        <f t="shared" si="21"/>
      </c>
      <c r="DF178">
        <f t="shared" si="22"/>
      </c>
      <c r="DG178">
        <f t="shared" si="23"/>
      </c>
      <c r="DH178">
        <f t="shared" si="24"/>
      </c>
      <c r="DI178">
        <f t="shared" si="1"/>
      </c>
    </row>
    <row r="179" ht="15" customHeight="1">
      <c r="B179">
        <f t="shared" si="2"/>
      </c>
      <c r="R179">
        <f t="shared" si="3"/>
        <v>0</v>
      </c>
      <c r="S179">
        <f t="shared" si="4"/>
        <v>0</v>
      </c>
      <c r="T179">
        <f t="shared" si="5"/>
        <v>0</v>
      </c>
      <c r="U179">
        <f t="shared" si="6"/>
        <v>0</v>
      </c>
      <c r="V179">
        <f t="shared" si="7"/>
        <v>0</v>
      </c>
      <c r="W179">
        <f t="shared" si="8"/>
        <v>0</v>
      </c>
      <c r="X179">
        <f t="shared" si="9"/>
        <v>0</v>
      </c>
      <c r="Y179">
        <f t="shared" si="10"/>
        <v>0</v>
      </c>
      <c r="Z179">
        <f t="shared" si="11"/>
        <v>0</v>
      </c>
      <c r="AA179">
        <f t="shared" si="12"/>
        <v>0</v>
      </c>
      <c r="AB179">
        <f t="shared" si="13"/>
        <v>0</v>
      </c>
      <c r="AC179">
        <f t="shared" si="14"/>
        <v>0</v>
      </c>
      <c r="AE179">
        <f t="shared" si="0"/>
      </c>
      <c r="AV179">
        <f t="shared" si="15"/>
      </c>
      <c r="BM179">
        <f t="shared" si="16"/>
      </c>
      <c r="CD179">
        <f t="shared" si="0"/>
      </c>
      <c r="CZ179">
        <f t="shared" si="17"/>
      </c>
      <c r="DA179">
        <f t="shared" si="1"/>
      </c>
      <c r="DB179">
        <f t="shared" si="18"/>
      </c>
      <c r="DC179">
        <f t="shared" si="19"/>
      </c>
      <c r="DD179">
        <f t="shared" si="20"/>
      </c>
      <c r="DE179">
        <f t="shared" si="21"/>
      </c>
      <c r="DF179">
        <f t="shared" si="22"/>
      </c>
      <c r="DG179">
        <f t="shared" si="23"/>
      </c>
      <c r="DH179">
        <f t="shared" si="24"/>
      </c>
      <c r="DI179">
        <f t="shared" si="1"/>
      </c>
    </row>
    <row r="180" ht="15" customHeight="1">
      <c r="B180">
        <f t="shared" si="2"/>
      </c>
      <c r="R180">
        <f t="shared" si="3"/>
        <v>0</v>
      </c>
      <c r="S180">
        <f t="shared" si="4"/>
        <v>0</v>
      </c>
      <c r="T180">
        <f t="shared" si="5"/>
        <v>0</v>
      </c>
      <c r="U180">
        <f t="shared" si="6"/>
        <v>0</v>
      </c>
      <c r="V180">
        <f t="shared" si="7"/>
        <v>0</v>
      </c>
      <c r="W180">
        <f t="shared" si="8"/>
        <v>0</v>
      </c>
      <c r="X180">
        <f t="shared" si="9"/>
        <v>0</v>
      </c>
      <c r="Y180">
        <f t="shared" si="10"/>
        <v>0</v>
      </c>
      <c r="Z180">
        <f t="shared" si="11"/>
        <v>0</v>
      </c>
      <c r="AA180">
        <f t="shared" si="12"/>
        <v>0</v>
      </c>
      <c r="AB180">
        <f t="shared" si="13"/>
        <v>0</v>
      </c>
      <c r="AC180">
        <f t="shared" si="14"/>
        <v>0</v>
      </c>
      <c r="AE180">
        <f t="shared" si="0"/>
      </c>
      <c r="AV180">
        <f t="shared" si="15"/>
      </c>
      <c r="BM180">
        <f t="shared" si="16"/>
      </c>
      <c r="CD180">
        <f t="shared" si="0"/>
      </c>
      <c r="CZ180">
        <f t="shared" si="17"/>
      </c>
      <c r="DA180">
        <f t="shared" si="1"/>
      </c>
      <c r="DB180">
        <f t="shared" si="18"/>
      </c>
      <c r="DC180">
        <f t="shared" si="19"/>
      </c>
      <c r="DD180">
        <f t="shared" si="20"/>
      </c>
      <c r="DE180">
        <f t="shared" si="21"/>
      </c>
      <c r="DF180">
        <f t="shared" si="22"/>
      </c>
      <c r="DG180">
        <f t="shared" si="23"/>
      </c>
      <c r="DH180">
        <f t="shared" si="24"/>
      </c>
      <c r="DI180">
        <f t="shared" si="1"/>
      </c>
    </row>
    <row r="181" ht="15" customHeight="1">
      <c r="B181">
        <f t="shared" si="2"/>
      </c>
      <c r="R181">
        <f t="shared" si="3"/>
        <v>0</v>
      </c>
      <c r="S181">
        <f t="shared" si="4"/>
        <v>0</v>
      </c>
      <c r="T181">
        <f t="shared" si="5"/>
        <v>0</v>
      </c>
      <c r="U181">
        <f t="shared" si="6"/>
        <v>0</v>
      </c>
      <c r="V181">
        <f t="shared" si="7"/>
        <v>0</v>
      </c>
      <c r="W181">
        <f t="shared" si="8"/>
        <v>0</v>
      </c>
      <c r="X181">
        <f t="shared" si="9"/>
        <v>0</v>
      </c>
      <c r="Y181">
        <f t="shared" si="10"/>
        <v>0</v>
      </c>
      <c r="Z181">
        <f t="shared" si="11"/>
        <v>0</v>
      </c>
      <c r="AA181">
        <f t="shared" si="12"/>
        <v>0</v>
      </c>
      <c r="AB181">
        <f t="shared" si="13"/>
        <v>0</v>
      </c>
      <c r="AC181">
        <f t="shared" si="14"/>
        <v>0</v>
      </c>
      <c r="AE181">
        <f t="shared" si="0"/>
      </c>
      <c r="AV181">
        <f t="shared" si="15"/>
      </c>
      <c r="BM181">
        <f t="shared" si="16"/>
      </c>
      <c r="CD181">
        <f t="shared" si="0"/>
      </c>
      <c r="CZ181">
        <f t="shared" si="17"/>
      </c>
      <c r="DA181">
        <f t="shared" si="1"/>
      </c>
      <c r="DB181">
        <f t="shared" si="18"/>
      </c>
      <c r="DC181">
        <f t="shared" si="19"/>
      </c>
      <c r="DD181">
        <f t="shared" si="20"/>
      </c>
      <c r="DE181">
        <f t="shared" si="21"/>
      </c>
      <c r="DF181">
        <f t="shared" si="22"/>
      </c>
      <c r="DG181">
        <f t="shared" si="23"/>
      </c>
      <c r="DH181">
        <f t="shared" si="24"/>
      </c>
      <c r="DI181">
        <f t="shared" si="1"/>
      </c>
    </row>
    <row r="182" ht="15" customHeight="1">
      <c r="B182">
        <f t="shared" si="2"/>
      </c>
      <c r="R182">
        <f t="shared" si="3"/>
        <v>0</v>
      </c>
      <c r="S182">
        <f t="shared" si="4"/>
        <v>0</v>
      </c>
      <c r="T182">
        <f t="shared" si="5"/>
        <v>0</v>
      </c>
      <c r="U182">
        <f t="shared" si="6"/>
        <v>0</v>
      </c>
      <c r="V182">
        <f t="shared" si="7"/>
        <v>0</v>
      </c>
      <c r="W182">
        <f t="shared" si="8"/>
        <v>0</v>
      </c>
      <c r="X182">
        <f t="shared" si="9"/>
        <v>0</v>
      </c>
      <c r="Y182">
        <f t="shared" si="10"/>
        <v>0</v>
      </c>
      <c r="Z182">
        <f t="shared" si="11"/>
        <v>0</v>
      </c>
      <c r="AA182">
        <f t="shared" si="12"/>
        <v>0</v>
      </c>
      <c r="AB182">
        <f t="shared" si="13"/>
        <v>0</v>
      </c>
      <c r="AC182">
        <f t="shared" si="14"/>
        <v>0</v>
      </c>
      <c r="AE182">
        <f t="shared" si="0"/>
      </c>
      <c r="AV182">
        <f t="shared" si="15"/>
      </c>
      <c r="BM182">
        <f t="shared" si="16"/>
      </c>
      <c r="CD182">
        <f t="shared" si="0"/>
      </c>
      <c r="CZ182">
        <f t="shared" si="17"/>
      </c>
      <c r="DA182">
        <f t="shared" si="1"/>
      </c>
      <c r="DB182">
        <f t="shared" si="18"/>
      </c>
      <c r="DC182">
        <f t="shared" si="19"/>
      </c>
      <c r="DD182">
        <f t="shared" si="20"/>
      </c>
      <c r="DE182">
        <f t="shared" si="21"/>
      </c>
      <c r="DF182">
        <f t="shared" si="22"/>
      </c>
      <c r="DG182">
        <f t="shared" si="23"/>
      </c>
      <c r="DH182">
        <f t="shared" si="24"/>
      </c>
      <c r="DI182">
        <f t="shared" si="1"/>
      </c>
    </row>
    <row r="183" ht="15" customHeight="1">
      <c r="B183">
        <f t="shared" si="2"/>
      </c>
      <c r="R183">
        <f t="shared" si="3"/>
        <v>0</v>
      </c>
      <c r="S183">
        <f t="shared" si="4"/>
        <v>0</v>
      </c>
      <c r="T183">
        <f t="shared" si="5"/>
        <v>0</v>
      </c>
      <c r="U183">
        <f t="shared" si="6"/>
        <v>0</v>
      </c>
      <c r="V183">
        <f t="shared" si="7"/>
        <v>0</v>
      </c>
      <c r="W183">
        <f t="shared" si="8"/>
        <v>0</v>
      </c>
      <c r="X183">
        <f t="shared" si="9"/>
        <v>0</v>
      </c>
      <c r="Y183">
        <f t="shared" si="10"/>
        <v>0</v>
      </c>
      <c r="Z183">
        <f t="shared" si="11"/>
        <v>0</v>
      </c>
      <c r="AA183">
        <f t="shared" si="12"/>
        <v>0</v>
      </c>
      <c r="AB183">
        <f t="shared" si="13"/>
        <v>0</v>
      </c>
      <c r="AC183">
        <f t="shared" si="14"/>
        <v>0</v>
      </c>
      <c r="AE183">
        <f t="shared" si="0"/>
      </c>
      <c r="AV183">
        <f t="shared" si="15"/>
      </c>
      <c r="BM183">
        <f t="shared" si="16"/>
      </c>
      <c r="CD183">
        <f t="shared" si="0"/>
      </c>
      <c r="CZ183">
        <f t="shared" si="17"/>
      </c>
      <c r="DA183">
        <f t="shared" si="1"/>
      </c>
      <c r="DB183">
        <f t="shared" si="18"/>
      </c>
      <c r="DC183">
        <f t="shared" si="19"/>
      </c>
      <c r="DD183">
        <f t="shared" si="20"/>
      </c>
      <c r="DE183">
        <f t="shared" si="21"/>
      </c>
      <c r="DF183">
        <f t="shared" si="22"/>
      </c>
      <c r="DG183">
        <f t="shared" si="23"/>
      </c>
      <c r="DH183">
        <f t="shared" si="24"/>
      </c>
      <c r="DI183">
        <f t="shared" si="1"/>
      </c>
    </row>
    <row r="184" ht="15" customHeight="1">
      <c r="B184">
        <f t="shared" si="2"/>
      </c>
      <c r="R184">
        <f t="shared" si="3"/>
        <v>0</v>
      </c>
      <c r="S184">
        <f t="shared" si="4"/>
        <v>0</v>
      </c>
      <c r="T184">
        <f t="shared" si="5"/>
        <v>0</v>
      </c>
      <c r="U184">
        <f t="shared" si="6"/>
        <v>0</v>
      </c>
      <c r="V184">
        <f t="shared" si="7"/>
        <v>0</v>
      </c>
      <c r="W184">
        <f t="shared" si="8"/>
        <v>0</v>
      </c>
      <c r="X184">
        <f t="shared" si="9"/>
        <v>0</v>
      </c>
      <c r="Y184">
        <f t="shared" si="10"/>
        <v>0</v>
      </c>
      <c r="Z184">
        <f t="shared" si="11"/>
        <v>0</v>
      </c>
      <c r="AA184">
        <f t="shared" si="12"/>
        <v>0</v>
      </c>
      <c r="AB184">
        <f t="shared" si="13"/>
        <v>0</v>
      </c>
      <c r="AC184">
        <f t="shared" si="14"/>
        <v>0</v>
      </c>
      <c r="AE184">
        <f t="shared" si="0"/>
      </c>
      <c r="AV184">
        <f t="shared" si="15"/>
      </c>
      <c r="BM184">
        <f t="shared" si="16"/>
      </c>
      <c r="CD184">
        <f t="shared" si="0"/>
      </c>
      <c r="CZ184">
        <f t="shared" si="17"/>
      </c>
      <c r="DA184">
        <f t="shared" si="1"/>
      </c>
      <c r="DB184">
        <f t="shared" si="18"/>
      </c>
      <c r="DC184">
        <f t="shared" si="19"/>
      </c>
      <c r="DD184">
        <f t="shared" si="20"/>
      </c>
      <c r="DE184">
        <f t="shared" si="21"/>
      </c>
      <c r="DF184">
        <f t="shared" si="22"/>
      </c>
      <c r="DG184">
        <f t="shared" si="23"/>
      </c>
      <c r="DH184">
        <f t="shared" si="24"/>
      </c>
      <c r="DI184">
        <f t="shared" si="1"/>
      </c>
    </row>
    <row r="185" ht="15" customHeight="1">
      <c r="B185">
        <f t="shared" si="2"/>
      </c>
      <c r="R185">
        <f t="shared" si="3"/>
        <v>0</v>
      </c>
      <c r="S185">
        <f t="shared" si="4"/>
        <v>0</v>
      </c>
      <c r="T185">
        <f t="shared" si="5"/>
        <v>0</v>
      </c>
      <c r="U185">
        <f t="shared" si="6"/>
        <v>0</v>
      </c>
      <c r="V185">
        <f t="shared" si="7"/>
        <v>0</v>
      </c>
      <c r="W185">
        <f t="shared" si="8"/>
        <v>0</v>
      </c>
      <c r="X185">
        <f t="shared" si="9"/>
        <v>0</v>
      </c>
      <c r="Y185">
        <f t="shared" si="10"/>
        <v>0</v>
      </c>
      <c r="Z185">
        <f t="shared" si="11"/>
        <v>0</v>
      </c>
      <c r="AA185">
        <f t="shared" si="12"/>
        <v>0</v>
      </c>
      <c r="AB185">
        <f t="shared" si="13"/>
        <v>0</v>
      </c>
      <c r="AC185">
        <f t="shared" si="14"/>
        <v>0</v>
      </c>
      <c r="AE185">
        <f t="shared" si="0"/>
      </c>
      <c r="AV185">
        <f t="shared" si="15"/>
      </c>
      <c r="BM185">
        <f t="shared" si="16"/>
      </c>
      <c r="CD185">
        <f t="shared" si="0"/>
      </c>
      <c r="CZ185">
        <f t="shared" si="17"/>
      </c>
      <c r="DA185">
        <f t="shared" si="1"/>
      </c>
      <c r="DB185">
        <f t="shared" si="18"/>
      </c>
      <c r="DC185">
        <f t="shared" si="19"/>
      </c>
      <c r="DD185">
        <f t="shared" si="20"/>
      </c>
      <c r="DE185">
        <f t="shared" si="21"/>
      </c>
      <c r="DF185">
        <f t="shared" si="22"/>
      </c>
      <c r="DG185">
        <f t="shared" si="23"/>
      </c>
      <c r="DH185">
        <f t="shared" si="24"/>
      </c>
      <c r="DI185">
        <f t="shared" si="1"/>
      </c>
    </row>
    <row r="186" ht="15" customHeight="1">
      <c r="B186">
        <f t="shared" si="2"/>
      </c>
      <c r="R186">
        <f t="shared" si="3"/>
        <v>0</v>
      </c>
      <c r="S186">
        <f t="shared" si="4"/>
        <v>0</v>
      </c>
      <c r="T186">
        <f t="shared" si="5"/>
        <v>0</v>
      </c>
      <c r="U186">
        <f t="shared" si="6"/>
        <v>0</v>
      </c>
      <c r="V186">
        <f t="shared" si="7"/>
        <v>0</v>
      </c>
      <c r="W186">
        <f t="shared" si="8"/>
        <v>0</v>
      </c>
      <c r="X186">
        <f t="shared" si="9"/>
        <v>0</v>
      </c>
      <c r="Y186">
        <f t="shared" si="10"/>
        <v>0</v>
      </c>
      <c r="Z186">
        <f t="shared" si="11"/>
        <v>0</v>
      </c>
      <c r="AA186">
        <f t="shared" si="12"/>
        <v>0</v>
      </c>
      <c r="AB186">
        <f t="shared" si="13"/>
        <v>0</v>
      </c>
      <c r="AC186">
        <f t="shared" si="14"/>
        <v>0</v>
      </c>
      <c r="AE186">
        <f t="shared" si="0"/>
      </c>
      <c r="AV186">
        <f t="shared" si="15"/>
      </c>
      <c r="BM186">
        <f t="shared" si="16"/>
      </c>
      <c r="CD186">
        <f t="shared" si="0"/>
      </c>
      <c r="CZ186">
        <f t="shared" si="17"/>
      </c>
      <c r="DA186">
        <f t="shared" si="1"/>
      </c>
      <c r="DB186">
        <f t="shared" si="18"/>
      </c>
      <c r="DC186">
        <f t="shared" si="19"/>
      </c>
      <c r="DD186">
        <f t="shared" si="20"/>
      </c>
      <c r="DE186">
        <f t="shared" si="21"/>
      </c>
      <c r="DF186">
        <f t="shared" si="22"/>
      </c>
      <c r="DG186">
        <f t="shared" si="23"/>
      </c>
      <c r="DH186">
        <f t="shared" si="24"/>
      </c>
      <c r="DI186">
        <f t="shared" si="1"/>
      </c>
    </row>
    <row r="187" ht="15" customHeight="1">
      <c r="B187">
        <f t="shared" si="2"/>
      </c>
      <c r="R187">
        <f t="shared" si="3"/>
        <v>0</v>
      </c>
      <c r="S187">
        <f t="shared" si="4"/>
        <v>0</v>
      </c>
      <c r="T187">
        <f t="shared" si="5"/>
        <v>0</v>
      </c>
      <c r="U187">
        <f t="shared" si="6"/>
        <v>0</v>
      </c>
      <c r="V187">
        <f t="shared" si="7"/>
        <v>0</v>
      </c>
      <c r="W187">
        <f t="shared" si="8"/>
        <v>0</v>
      </c>
      <c r="X187">
        <f t="shared" si="9"/>
        <v>0</v>
      </c>
      <c r="Y187">
        <f t="shared" si="10"/>
        <v>0</v>
      </c>
      <c r="Z187">
        <f t="shared" si="11"/>
        <v>0</v>
      </c>
      <c r="AA187">
        <f t="shared" si="12"/>
        <v>0</v>
      </c>
      <c r="AB187">
        <f t="shared" si="13"/>
        <v>0</v>
      </c>
      <c r="AC187">
        <f t="shared" si="14"/>
        <v>0</v>
      </c>
      <c r="AE187">
        <f t="shared" si="0"/>
      </c>
      <c r="AV187">
        <f t="shared" si="15"/>
      </c>
      <c r="BM187">
        <f t="shared" si="16"/>
      </c>
      <c r="CD187">
        <f t="shared" si="0"/>
      </c>
      <c r="CZ187">
        <f t="shared" si="17"/>
      </c>
      <c r="DA187">
        <f t="shared" si="1"/>
      </c>
      <c r="DB187">
        <f t="shared" si="18"/>
      </c>
      <c r="DC187">
        <f t="shared" si="19"/>
      </c>
      <c r="DD187">
        <f t="shared" si="20"/>
      </c>
      <c r="DE187">
        <f t="shared" si="21"/>
      </c>
      <c r="DF187">
        <f t="shared" si="22"/>
      </c>
      <c r="DG187">
        <f t="shared" si="23"/>
      </c>
      <c r="DH187">
        <f t="shared" si="24"/>
      </c>
      <c r="DI187">
        <f t="shared" si="1"/>
      </c>
    </row>
    <row r="188" ht="15" customHeight="1">
      <c r="B188">
        <f t="shared" si="2"/>
      </c>
      <c r="R188">
        <f t="shared" si="3"/>
        <v>0</v>
      </c>
      <c r="S188">
        <f t="shared" si="4"/>
        <v>0</v>
      </c>
      <c r="T188">
        <f t="shared" si="5"/>
        <v>0</v>
      </c>
      <c r="U188">
        <f t="shared" si="6"/>
        <v>0</v>
      </c>
      <c r="V188">
        <f t="shared" si="7"/>
        <v>0</v>
      </c>
      <c r="W188">
        <f t="shared" si="8"/>
        <v>0</v>
      </c>
      <c r="X188">
        <f t="shared" si="9"/>
        <v>0</v>
      </c>
      <c r="Y188">
        <f t="shared" si="10"/>
        <v>0</v>
      </c>
      <c r="Z188">
        <f t="shared" si="11"/>
        <v>0</v>
      </c>
      <c r="AA188">
        <f t="shared" si="12"/>
        <v>0</v>
      </c>
      <c r="AB188">
        <f t="shared" si="13"/>
        <v>0</v>
      </c>
      <c r="AC188">
        <f t="shared" si="14"/>
        <v>0</v>
      </c>
      <c r="AE188">
        <f t="shared" si="0"/>
      </c>
      <c r="AV188">
        <f t="shared" si="15"/>
      </c>
      <c r="BM188">
        <f t="shared" si="16"/>
      </c>
      <c r="CD188">
        <f t="shared" si="0"/>
      </c>
      <c r="CZ188">
        <f t="shared" si="17"/>
      </c>
      <c r="DA188">
        <f t="shared" si="1"/>
      </c>
      <c r="DB188">
        <f t="shared" si="18"/>
      </c>
      <c r="DC188">
        <f t="shared" si="19"/>
      </c>
      <c r="DD188">
        <f t="shared" si="20"/>
      </c>
      <c r="DE188">
        <f t="shared" si="21"/>
      </c>
      <c r="DF188">
        <f t="shared" si="22"/>
      </c>
      <c r="DG188">
        <f t="shared" si="23"/>
      </c>
      <c r="DH188">
        <f t="shared" si="24"/>
      </c>
      <c r="DI188">
        <f t="shared" si="1"/>
      </c>
    </row>
    <row r="189" ht="15" customHeight="1">
      <c r="B189">
        <f t="shared" si="2"/>
      </c>
      <c r="R189">
        <f t="shared" si="3"/>
        <v>0</v>
      </c>
      <c r="S189">
        <f t="shared" si="4"/>
        <v>0</v>
      </c>
      <c r="T189">
        <f t="shared" si="5"/>
        <v>0</v>
      </c>
      <c r="U189">
        <f t="shared" si="6"/>
        <v>0</v>
      </c>
      <c r="V189">
        <f t="shared" si="7"/>
        <v>0</v>
      </c>
      <c r="W189">
        <f t="shared" si="8"/>
        <v>0</v>
      </c>
      <c r="X189">
        <f t="shared" si="9"/>
        <v>0</v>
      </c>
      <c r="Y189">
        <f t="shared" si="10"/>
        <v>0</v>
      </c>
      <c r="Z189">
        <f t="shared" si="11"/>
        <v>0</v>
      </c>
      <c r="AA189">
        <f t="shared" si="12"/>
        <v>0</v>
      </c>
      <c r="AB189">
        <f t="shared" si="13"/>
        <v>0</v>
      </c>
      <c r="AC189">
        <f t="shared" si="14"/>
        <v>0</v>
      </c>
      <c r="AE189">
        <f t="shared" si="0"/>
      </c>
      <c r="AV189">
        <f t="shared" si="15"/>
      </c>
      <c r="BM189">
        <f t="shared" si="16"/>
      </c>
      <c r="CD189">
        <f t="shared" si="0"/>
      </c>
      <c r="CZ189">
        <f t="shared" si="17"/>
      </c>
      <c r="DA189">
        <f t="shared" si="1"/>
      </c>
      <c r="DB189">
        <f t="shared" si="18"/>
      </c>
      <c r="DC189">
        <f t="shared" si="19"/>
      </c>
      <c r="DD189">
        <f t="shared" si="20"/>
      </c>
      <c r="DE189">
        <f t="shared" si="21"/>
      </c>
      <c r="DF189">
        <f t="shared" si="22"/>
      </c>
      <c r="DG189">
        <f t="shared" si="23"/>
      </c>
      <c r="DH189">
        <f t="shared" si="24"/>
      </c>
      <c r="DI189">
        <f t="shared" si="1"/>
      </c>
    </row>
    <row r="190" ht="15" customHeight="1">
      <c r="B190">
        <f t="shared" si="2"/>
      </c>
      <c r="R190">
        <f t="shared" si="3"/>
        <v>0</v>
      </c>
      <c r="S190">
        <f t="shared" si="4"/>
        <v>0</v>
      </c>
      <c r="T190">
        <f t="shared" si="5"/>
        <v>0</v>
      </c>
      <c r="U190">
        <f t="shared" si="6"/>
        <v>0</v>
      </c>
      <c r="V190">
        <f t="shared" si="7"/>
        <v>0</v>
      </c>
      <c r="W190">
        <f t="shared" si="8"/>
        <v>0</v>
      </c>
      <c r="X190">
        <f t="shared" si="9"/>
        <v>0</v>
      </c>
      <c r="Y190">
        <f t="shared" si="10"/>
        <v>0</v>
      </c>
      <c r="Z190">
        <f t="shared" si="11"/>
        <v>0</v>
      </c>
      <c r="AA190">
        <f t="shared" si="12"/>
        <v>0</v>
      </c>
      <c r="AB190">
        <f t="shared" si="13"/>
        <v>0</v>
      </c>
      <c r="AC190">
        <f t="shared" si="14"/>
        <v>0</v>
      </c>
      <c r="AE190">
        <f t="shared" si="0"/>
      </c>
      <c r="AV190">
        <f t="shared" si="15"/>
      </c>
      <c r="BM190">
        <f t="shared" si="16"/>
      </c>
      <c r="CD190">
        <f t="shared" si="0"/>
      </c>
      <c r="CZ190">
        <f t="shared" si="17"/>
      </c>
      <c r="DA190">
        <f t="shared" si="1"/>
      </c>
      <c r="DB190">
        <f t="shared" si="18"/>
      </c>
      <c r="DC190">
        <f t="shared" si="19"/>
      </c>
      <c r="DD190">
        <f t="shared" si="20"/>
      </c>
      <c r="DE190">
        <f t="shared" si="21"/>
      </c>
      <c r="DF190">
        <f t="shared" si="22"/>
      </c>
      <c r="DG190">
        <f t="shared" si="23"/>
      </c>
      <c r="DH190">
        <f t="shared" si="24"/>
      </c>
      <c r="DI190">
        <f t="shared" si="1"/>
      </c>
    </row>
    <row r="191" ht="15" customHeight="1">
      <c r="B191">
        <f t="shared" si="2"/>
      </c>
      <c r="R191">
        <f t="shared" si="3"/>
        <v>0</v>
      </c>
      <c r="S191">
        <f t="shared" si="4"/>
        <v>0</v>
      </c>
      <c r="T191">
        <f t="shared" si="5"/>
        <v>0</v>
      </c>
      <c r="U191">
        <f t="shared" si="6"/>
        <v>0</v>
      </c>
      <c r="V191">
        <f t="shared" si="7"/>
        <v>0</v>
      </c>
      <c r="W191">
        <f t="shared" si="8"/>
        <v>0</v>
      </c>
      <c r="X191">
        <f t="shared" si="9"/>
        <v>0</v>
      </c>
      <c r="Y191">
        <f t="shared" si="10"/>
        <v>0</v>
      </c>
      <c r="Z191">
        <f t="shared" si="11"/>
        <v>0</v>
      </c>
      <c r="AA191">
        <f t="shared" si="12"/>
        <v>0</v>
      </c>
      <c r="AB191">
        <f t="shared" si="13"/>
        <v>0</v>
      </c>
      <c r="AC191">
        <f t="shared" si="14"/>
        <v>0</v>
      </c>
      <c r="AE191">
        <f t="shared" si="0"/>
      </c>
      <c r="AV191">
        <f t="shared" si="15"/>
      </c>
      <c r="BM191">
        <f t="shared" si="16"/>
      </c>
      <c r="CD191">
        <f t="shared" si="0"/>
      </c>
      <c r="CZ191">
        <f t="shared" si="17"/>
      </c>
      <c r="DA191">
        <f t="shared" si="1"/>
      </c>
      <c r="DB191">
        <f t="shared" si="18"/>
      </c>
      <c r="DC191">
        <f t="shared" si="19"/>
      </c>
      <c r="DD191">
        <f t="shared" si="20"/>
      </c>
      <c r="DE191">
        <f t="shared" si="21"/>
      </c>
      <c r="DF191">
        <f t="shared" si="22"/>
      </c>
      <c r="DG191">
        <f t="shared" si="23"/>
      </c>
      <c r="DH191">
        <f t="shared" si="24"/>
      </c>
      <c r="DI191">
        <f t="shared" si="1"/>
      </c>
    </row>
    <row r="192" ht="15" customHeight="1">
      <c r="B192">
        <f t="shared" si="2"/>
      </c>
      <c r="R192">
        <f t="shared" si="3"/>
        <v>0</v>
      </c>
      <c r="S192">
        <f t="shared" si="4"/>
        <v>0</v>
      </c>
      <c r="T192">
        <f t="shared" si="5"/>
        <v>0</v>
      </c>
      <c r="U192">
        <f t="shared" si="6"/>
        <v>0</v>
      </c>
      <c r="V192">
        <f t="shared" si="7"/>
        <v>0</v>
      </c>
      <c r="W192">
        <f t="shared" si="8"/>
        <v>0</v>
      </c>
      <c r="X192">
        <f t="shared" si="9"/>
        <v>0</v>
      </c>
      <c r="Y192">
        <f t="shared" si="10"/>
        <v>0</v>
      </c>
      <c r="Z192">
        <f t="shared" si="11"/>
        <v>0</v>
      </c>
      <c r="AA192">
        <f t="shared" si="12"/>
        <v>0</v>
      </c>
      <c r="AB192">
        <f t="shared" si="13"/>
        <v>0</v>
      </c>
      <c r="AC192">
        <f t="shared" si="14"/>
        <v>0</v>
      </c>
      <c r="AE192">
        <f t="shared" si="0"/>
      </c>
      <c r="AV192">
        <f t="shared" si="15"/>
      </c>
      <c r="BM192">
        <f t="shared" si="16"/>
      </c>
      <c r="CD192">
        <f t="shared" si="0"/>
      </c>
      <c r="CZ192">
        <f t="shared" si="17"/>
      </c>
      <c r="DA192">
        <f t="shared" si="1"/>
      </c>
      <c r="DB192">
        <f t="shared" si="18"/>
      </c>
      <c r="DC192">
        <f t="shared" si="19"/>
      </c>
      <c r="DD192">
        <f t="shared" si="20"/>
      </c>
      <c r="DE192">
        <f t="shared" si="21"/>
      </c>
      <c r="DF192">
        <f t="shared" si="22"/>
      </c>
      <c r="DG192">
        <f t="shared" si="23"/>
      </c>
      <c r="DH192">
        <f t="shared" si="24"/>
      </c>
      <c r="DI192">
        <f t="shared" si="1"/>
      </c>
    </row>
    <row r="193" ht="15" customHeight="1">
      <c r="B193">
        <f t="shared" si="2"/>
      </c>
      <c r="R193">
        <f t="shared" si="3"/>
        <v>0</v>
      </c>
      <c r="S193">
        <f t="shared" si="4"/>
        <v>0</v>
      </c>
      <c r="T193">
        <f t="shared" si="5"/>
        <v>0</v>
      </c>
      <c r="U193">
        <f t="shared" si="6"/>
        <v>0</v>
      </c>
      <c r="V193">
        <f t="shared" si="7"/>
        <v>0</v>
      </c>
      <c r="W193">
        <f t="shared" si="8"/>
        <v>0</v>
      </c>
      <c r="X193">
        <f t="shared" si="9"/>
        <v>0</v>
      </c>
      <c r="Y193">
        <f t="shared" si="10"/>
        <v>0</v>
      </c>
      <c r="Z193">
        <f t="shared" si="11"/>
        <v>0</v>
      </c>
      <c r="AA193">
        <f t="shared" si="12"/>
        <v>0</v>
      </c>
      <c r="AB193">
        <f t="shared" si="13"/>
        <v>0</v>
      </c>
      <c r="AC193">
        <f t="shared" si="14"/>
        <v>0</v>
      </c>
      <c r="AE193">
        <f t="shared" si="0"/>
      </c>
      <c r="AV193">
        <f t="shared" si="15"/>
      </c>
      <c r="BM193">
        <f t="shared" si="16"/>
      </c>
      <c r="CD193">
        <f t="shared" si="0"/>
      </c>
      <c r="CZ193">
        <f t="shared" si="17"/>
      </c>
      <c r="DA193">
        <f t="shared" si="1"/>
      </c>
      <c r="DB193">
        <f t="shared" si="18"/>
      </c>
      <c r="DC193">
        <f t="shared" si="19"/>
      </c>
      <c r="DD193">
        <f t="shared" si="20"/>
      </c>
      <c r="DE193">
        <f t="shared" si="21"/>
      </c>
      <c r="DF193">
        <f t="shared" si="22"/>
      </c>
      <c r="DG193">
        <f t="shared" si="23"/>
      </c>
      <c r="DH193">
        <f t="shared" si="24"/>
      </c>
      <c r="DI193">
        <f t="shared" si="1"/>
      </c>
    </row>
    <row r="194" ht="15" customHeight="1">
      <c r="B194">
        <f t="shared" si="2"/>
      </c>
      <c r="R194">
        <f t="shared" si="3"/>
        <v>0</v>
      </c>
      <c r="S194">
        <f t="shared" si="4"/>
        <v>0</v>
      </c>
      <c r="T194">
        <f t="shared" si="5"/>
        <v>0</v>
      </c>
      <c r="U194">
        <f t="shared" si="6"/>
        <v>0</v>
      </c>
      <c r="V194">
        <f t="shared" si="7"/>
        <v>0</v>
      </c>
      <c r="W194">
        <f t="shared" si="8"/>
        <v>0</v>
      </c>
      <c r="X194">
        <f t="shared" si="9"/>
        <v>0</v>
      </c>
      <c r="Y194">
        <f t="shared" si="10"/>
        <v>0</v>
      </c>
      <c r="Z194">
        <f t="shared" si="11"/>
        <v>0</v>
      </c>
      <c r="AA194">
        <f t="shared" si="12"/>
        <v>0</v>
      </c>
      <c r="AB194">
        <f t="shared" si="13"/>
        <v>0</v>
      </c>
      <c r="AC194">
        <f t="shared" si="14"/>
        <v>0</v>
      </c>
      <c r="AE194">
        <f t="shared" si="0"/>
      </c>
      <c r="AV194">
        <f t="shared" si="15"/>
      </c>
      <c r="BM194">
        <f t="shared" si="16"/>
      </c>
      <c r="CD194">
        <f t="shared" si="0"/>
      </c>
      <c r="CZ194">
        <f t="shared" si="17"/>
      </c>
      <c r="DA194">
        <f t="shared" si="1"/>
      </c>
      <c r="DB194">
        <f t="shared" si="18"/>
      </c>
      <c r="DC194">
        <f t="shared" si="19"/>
      </c>
      <c r="DD194">
        <f t="shared" si="20"/>
      </c>
      <c r="DE194">
        <f t="shared" si="21"/>
      </c>
      <c r="DF194">
        <f t="shared" si="22"/>
      </c>
      <c r="DG194">
        <f t="shared" si="23"/>
      </c>
      <c r="DH194">
        <f t="shared" si="24"/>
      </c>
      <c r="DI194">
        <f t="shared" si="1"/>
      </c>
    </row>
    <row r="195" ht="15" customHeight="1">
      <c r="B195">
        <f t="shared" si="2"/>
      </c>
      <c r="R195">
        <f t="shared" si="3"/>
        <v>0</v>
      </c>
      <c r="S195">
        <f t="shared" si="4"/>
        <v>0</v>
      </c>
      <c r="T195">
        <f t="shared" si="5"/>
        <v>0</v>
      </c>
      <c r="U195">
        <f t="shared" si="6"/>
        <v>0</v>
      </c>
      <c r="V195">
        <f t="shared" si="7"/>
        <v>0</v>
      </c>
      <c r="W195">
        <f t="shared" si="8"/>
        <v>0</v>
      </c>
      <c r="X195">
        <f t="shared" si="9"/>
        <v>0</v>
      </c>
      <c r="Y195">
        <f t="shared" si="10"/>
        <v>0</v>
      </c>
      <c r="Z195">
        <f t="shared" si="11"/>
        <v>0</v>
      </c>
      <c r="AA195">
        <f t="shared" si="12"/>
        <v>0</v>
      </c>
      <c r="AB195">
        <f t="shared" si="13"/>
        <v>0</v>
      </c>
      <c r="AC195">
        <f t="shared" si="14"/>
        <v>0</v>
      </c>
      <c r="AE195">
        <f t="shared" si="0"/>
      </c>
      <c r="AV195">
        <f t="shared" si="15"/>
      </c>
      <c r="BM195">
        <f t="shared" si="16"/>
      </c>
      <c r="CD195">
        <f t="shared" si="0"/>
      </c>
      <c r="CZ195">
        <f t="shared" si="17"/>
      </c>
      <c r="DA195">
        <f t="shared" si="1"/>
      </c>
      <c r="DB195">
        <f t="shared" si="18"/>
      </c>
      <c r="DC195">
        <f t="shared" si="19"/>
      </c>
      <c r="DD195">
        <f t="shared" si="20"/>
      </c>
      <c r="DE195">
        <f t="shared" si="21"/>
      </c>
      <c r="DF195">
        <f t="shared" si="22"/>
      </c>
      <c r="DG195">
        <f t="shared" si="23"/>
      </c>
      <c r="DH195">
        <f t="shared" si="24"/>
      </c>
      <c r="DI195">
        <f t="shared" si="1"/>
      </c>
    </row>
    <row r="196" ht="15" customHeight="1">
      <c r="B196">
        <f t="shared" si="2"/>
      </c>
      <c r="R196">
        <f t="shared" si="3"/>
        <v>0</v>
      </c>
      <c r="S196">
        <f t="shared" si="4"/>
        <v>0</v>
      </c>
      <c r="T196">
        <f t="shared" si="5"/>
        <v>0</v>
      </c>
      <c r="U196">
        <f t="shared" si="6"/>
        <v>0</v>
      </c>
      <c r="V196">
        <f t="shared" si="7"/>
        <v>0</v>
      </c>
      <c r="W196">
        <f t="shared" si="8"/>
        <v>0</v>
      </c>
      <c r="X196">
        <f t="shared" si="9"/>
        <v>0</v>
      </c>
      <c r="Y196">
        <f t="shared" si="10"/>
        <v>0</v>
      </c>
      <c r="Z196">
        <f t="shared" si="11"/>
        <v>0</v>
      </c>
      <c r="AA196">
        <f t="shared" si="12"/>
        <v>0</v>
      </c>
      <c r="AB196">
        <f t="shared" si="13"/>
        <v>0</v>
      </c>
      <c r="AC196">
        <f t="shared" si="14"/>
        <v>0</v>
      </c>
      <c r="AE196">
        <f t="shared" si="0"/>
      </c>
      <c r="AV196">
        <f t="shared" si="15"/>
      </c>
      <c r="BM196">
        <f t="shared" si="16"/>
      </c>
      <c r="CD196">
        <f t="shared" si="0"/>
      </c>
      <c r="CZ196">
        <f t="shared" si="17"/>
      </c>
      <c r="DA196">
        <f t="shared" si="1"/>
      </c>
      <c r="DB196">
        <f t="shared" si="18"/>
      </c>
      <c r="DC196">
        <f t="shared" si="19"/>
      </c>
      <c r="DD196">
        <f t="shared" si="20"/>
      </c>
      <c r="DE196">
        <f t="shared" si="21"/>
      </c>
      <c r="DF196">
        <f t="shared" si="22"/>
      </c>
      <c r="DG196">
        <f t="shared" si="23"/>
      </c>
      <c r="DH196">
        <f t="shared" si="24"/>
      </c>
      <c r="DI196">
        <f t="shared" si="1"/>
      </c>
    </row>
    <row r="197" ht="15" customHeight="1">
      <c r="B197">
        <f t="shared" si="2"/>
      </c>
      <c r="R197">
        <f t="shared" si="3"/>
        <v>0</v>
      </c>
      <c r="S197">
        <f t="shared" si="4"/>
        <v>0</v>
      </c>
      <c r="T197">
        <f t="shared" si="5"/>
        <v>0</v>
      </c>
      <c r="U197">
        <f t="shared" si="6"/>
        <v>0</v>
      </c>
      <c r="V197">
        <f t="shared" si="7"/>
        <v>0</v>
      </c>
      <c r="W197">
        <f t="shared" si="8"/>
        <v>0</v>
      </c>
      <c r="X197">
        <f t="shared" si="9"/>
        <v>0</v>
      </c>
      <c r="Y197">
        <f t="shared" si="10"/>
        <v>0</v>
      </c>
      <c r="Z197">
        <f t="shared" si="11"/>
        <v>0</v>
      </c>
      <c r="AA197">
        <f t="shared" si="12"/>
        <v>0</v>
      </c>
      <c r="AB197">
        <f t="shared" si="13"/>
        <v>0</v>
      </c>
      <c r="AC197">
        <f t="shared" si="14"/>
        <v>0</v>
      </c>
      <c r="AE197">
        <f t="shared" si="0"/>
      </c>
      <c r="AV197">
        <f t="shared" si="15"/>
      </c>
      <c r="BM197">
        <f t="shared" si="16"/>
      </c>
      <c r="CD197">
        <f t="shared" si="0"/>
      </c>
      <c r="CZ197">
        <f t="shared" si="17"/>
      </c>
      <c r="DA197">
        <f t="shared" si="1"/>
      </c>
      <c r="DB197">
        <f t="shared" si="18"/>
      </c>
      <c r="DC197">
        <f t="shared" si="19"/>
      </c>
      <c r="DD197">
        <f t="shared" si="20"/>
      </c>
      <c r="DE197">
        <f t="shared" si="21"/>
      </c>
      <c r="DF197">
        <f t="shared" si="22"/>
      </c>
      <c r="DG197">
        <f t="shared" si="23"/>
      </c>
      <c r="DH197">
        <f t="shared" si="24"/>
      </c>
      <c r="DI197">
        <f t="shared" si="1"/>
      </c>
    </row>
    <row r="198" ht="15" customHeight="1">
      <c r="B198">
        <f t="shared" si="2"/>
      </c>
      <c r="R198">
        <f t="shared" si="3"/>
        <v>0</v>
      </c>
      <c r="S198">
        <f t="shared" si="4"/>
        <v>0</v>
      </c>
      <c r="T198">
        <f t="shared" si="5"/>
        <v>0</v>
      </c>
      <c r="U198">
        <f t="shared" si="6"/>
        <v>0</v>
      </c>
      <c r="V198">
        <f t="shared" si="7"/>
        <v>0</v>
      </c>
      <c r="W198">
        <f t="shared" si="8"/>
        <v>0</v>
      </c>
      <c r="X198">
        <f t="shared" si="9"/>
        <v>0</v>
      </c>
      <c r="Y198">
        <f t="shared" si="10"/>
        <v>0</v>
      </c>
      <c r="Z198">
        <f t="shared" si="11"/>
        <v>0</v>
      </c>
      <c r="AA198">
        <f t="shared" si="12"/>
        <v>0</v>
      </c>
      <c r="AB198">
        <f t="shared" si="13"/>
        <v>0</v>
      </c>
      <c r="AC198">
        <f t="shared" si="14"/>
        <v>0</v>
      </c>
      <c r="AE198">
        <f t="shared" si="0"/>
      </c>
      <c r="AV198">
        <f t="shared" si="15"/>
      </c>
      <c r="BM198">
        <f t="shared" si="16"/>
      </c>
      <c r="CD198">
        <f t="shared" si="0"/>
      </c>
      <c r="CZ198">
        <f t="shared" si="17"/>
      </c>
      <c r="DA198">
        <f t="shared" si="1"/>
      </c>
      <c r="DB198">
        <f t="shared" si="18"/>
      </c>
      <c r="DC198">
        <f t="shared" si="19"/>
      </c>
      <c r="DD198">
        <f t="shared" si="20"/>
      </c>
      <c r="DE198">
        <f t="shared" si="21"/>
      </c>
      <c r="DF198">
        <f t="shared" si="22"/>
      </c>
      <c r="DG198">
        <f t="shared" si="23"/>
      </c>
      <c r="DH198">
        <f t="shared" si="24"/>
      </c>
      <c r="DI198">
        <f t="shared" si="1"/>
      </c>
    </row>
    <row r="199" ht="15" customHeight="1">
      <c r="B199">
        <f t="shared" si="2"/>
      </c>
      <c r="R199">
        <f t="shared" si="3"/>
        <v>0</v>
      </c>
      <c r="S199">
        <f t="shared" si="4"/>
        <v>0</v>
      </c>
      <c r="T199">
        <f t="shared" si="5"/>
        <v>0</v>
      </c>
      <c r="U199">
        <f t="shared" si="6"/>
        <v>0</v>
      </c>
      <c r="V199">
        <f t="shared" si="7"/>
        <v>0</v>
      </c>
      <c r="W199">
        <f t="shared" si="8"/>
        <v>0</v>
      </c>
      <c r="X199">
        <f t="shared" si="9"/>
        <v>0</v>
      </c>
      <c r="Y199">
        <f t="shared" si="10"/>
        <v>0</v>
      </c>
      <c r="Z199">
        <f t="shared" si="11"/>
        <v>0</v>
      </c>
      <c r="AA199">
        <f t="shared" si="12"/>
        <v>0</v>
      </c>
      <c r="AB199">
        <f t="shared" si="13"/>
        <v>0</v>
      </c>
      <c r="AC199">
        <f t="shared" si="14"/>
        <v>0</v>
      </c>
      <c r="AE199">
        <f t="shared" si="0"/>
      </c>
      <c r="AV199">
        <f t="shared" si="15"/>
      </c>
      <c r="BM199">
        <f t="shared" si="16"/>
      </c>
      <c r="CD199">
        <f t="shared" si="0"/>
      </c>
      <c r="CZ199">
        <f t="shared" si="17"/>
      </c>
      <c r="DA199">
        <f t="shared" si="1"/>
      </c>
      <c r="DB199">
        <f t="shared" si="18"/>
      </c>
      <c r="DC199">
        <f t="shared" si="19"/>
      </c>
      <c r="DD199">
        <f t="shared" si="20"/>
      </c>
      <c r="DE199">
        <f t="shared" si="21"/>
      </c>
      <c r="DF199">
        <f t="shared" si="22"/>
      </c>
      <c r="DG199">
        <f t="shared" si="23"/>
      </c>
      <c r="DH199">
        <f t="shared" si="24"/>
      </c>
      <c r="DI199">
        <f t="shared" si="1"/>
      </c>
    </row>
    <row r="200" ht="15" customHeight="1">
      <c r="B200">
        <f t="shared" si="2"/>
      </c>
      <c r="R200">
        <f t="shared" si="3"/>
        <v>0</v>
      </c>
      <c r="S200">
        <f t="shared" si="4"/>
        <v>0</v>
      </c>
      <c r="T200">
        <f t="shared" si="5"/>
        <v>0</v>
      </c>
      <c r="U200">
        <f t="shared" si="6"/>
        <v>0</v>
      </c>
      <c r="V200">
        <f t="shared" si="7"/>
        <v>0</v>
      </c>
      <c r="W200">
        <f t="shared" si="8"/>
        <v>0</v>
      </c>
      <c r="X200">
        <f t="shared" si="9"/>
        <v>0</v>
      </c>
      <c r="Y200">
        <f t="shared" si="10"/>
        <v>0</v>
      </c>
      <c r="Z200">
        <f t="shared" si="11"/>
        <v>0</v>
      </c>
      <c r="AA200">
        <f t="shared" si="12"/>
        <v>0</v>
      </c>
      <c r="AB200">
        <f t="shared" si="13"/>
        <v>0</v>
      </c>
      <c r="AC200">
        <f t="shared" si="14"/>
        <v>0</v>
      </c>
      <c r="AE200">
        <f t="shared" si="0"/>
      </c>
      <c r="AV200">
        <f t="shared" si="15"/>
      </c>
      <c r="BM200">
        <f t="shared" si="16"/>
      </c>
      <c r="CD200">
        <f t="shared" si="0"/>
      </c>
      <c r="CZ200">
        <f t="shared" si="17"/>
      </c>
      <c r="DA200">
        <f t="shared" si="1"/>
      </c>
      <c r="DB200">
        <f t="shared" si="18"/>
      </c>
      <c r="DC200">
        <f t="shared" si="19"/>
      </c>
      <c r="DD200">
        <f t="shared" si="20"/>
      </c>
      <c r="DE200">
        <f t="shared" si="21"/>
      </c>
      <c r="DF200">
        <f t="shared" si="22"/>
      </c>
      <c r="DG200">
        <f t="shared" si="23"/>
      </c>
      <c r="DH200">
        <f t="shared" si="24"/>
      </c>
      <c r="DI200">
        <f t="shared" si="1"/>
      </c>
    </row>
    <row r="201" ht="15" customHeight="1">
      <c r="B201">
        <f t="shared" si="2"/>
      </c>
      <c r="R201">
        <f t="shared" si="3"/>
        <v>0</v>
      </c>
      <c r="S201">
        <f t="shared" si="4"/>
        <v>0</v>
      </c>
      <c r="T201">
        <f t="shared" si="5"/>
        <v>0</v>
      </c>
      <c r="U201">
        <f t="shared" si="6"/>
        <v>0</v>
      </c>
      <c r="V201">
        <f t="shared" si="7"/>
        <v>0</v>
      </c>
      <c r="W201">
        <f t="shared" si="8"/>
        <v>0</v>
      </c>
      <c r="X201">
        <f t="shared" si="9"/>
        <v>0</v>
      </c>
      <c r="Y201">
        <f t="shared" si="10"/>
        <v>0</v>
      </c>
      <c r="Z201">
        <f t="shared" si="11"/>
        <v>0</v>
      </c>
      <c r="AA201">
        <f t="shared" si="12"/>
        <v>0</v>
      </c>
      <c r="AB201">
        <f t="shared" si="13"/>
        <v>0</v>
      </c>
      <c r="AC201">
        <f t="shared" si="14"/>
        <v>0</v>
      </c>
      <c r="AE201">
        <f t="shared" si="0"/>
      </c>
      <c r="AV201">
        <f t="shared" si="15"/>
      </c>
      <c r="BM201">
        <f t="shared" si="16"/>
      </c>
      <c r="CD201">
        <f t="shared" si="0"/>
      </c>
      <c r="CZ201">
        <f t="shared" si="17"/>
      </c>
      <c r="DA201">
        <f t="shared" si="1"/>
      </c>
      <c r="DB201">
        <f t="shared" si="18"/>
      </c>
      <c r="DC201">
        <f t="shared" si="19"/>
      </c>
      <c r="DD201">
        <f t="shared" si="20"/>
      </c>
      <c r="DE201">
        <f t="shared" si="21"/>
      </c>
      <c r="DF201">
        <f t="shared" si="22"/>
      </c>
      <c r="DG201">
        <f t="shared" si="23"/>
      </c>
      <c r="DH201">
        <f t="shared" si="24"/>
      </c>
      <c r="DI201">
        <f t="shared" si="1"/>
      </c>
    </row>
    <row r="202" ht="15" customHeight="1">
      <c r="B202">
        <f t="shared" si="2"/>
      </c>
      <c r="R202">
        <f t="shared" si="3"/>
        <v>0</v>
      </c>
      <c r="S202">
        <f t="shared" si="4"/>
        <v>0</v>
      </c>
      <c r="T202">
        <f t="shared" si="5"/>
        <v>0</v>
      </c>
      <c r="U202">
        <f t="shared" si="6"/>
        <v>0</v>
      </c>
      <c r="V202">
        <f t="shared" si="7"/>
        <v>0</v>
      </c>
      <c r="W202">
        <f t="shared" si="8"/>
        <v>0</v>
      </c>
      <c r="X202">
        <f t="shared" si="9"/>
        <v>0</v>
      </c>
      <c r="Y202">
        <f t="shared" si="10"/>
        <v>0</v>
      </c>
      <c r="Z202">
        <f t="shared" si="11"/>
        <v>0</v>
      </c>
      <c r="AA202">
        <f t="shared" si="12"/>
        <v>0</v>
      </c>
      <c r="AB202">
        <f t="shared" si="13"/>
        <v>0</v>
      </c>
      <c r="AC202">
        <f t="shared" si="14"/>
        <v>0</v>
      </c>
      <c r="AE202">
        <f t="shared" si="0"/>
      </c>
      <c r="AV202">
        <f t="shared" si="15"/>
      </c>
      <c r="BM202">
        <f t="shared" si="16"/>
      </c>
      <c r="CD202">
        <f t="shared" si="0"/>
      </c>
      <c r="CZ202">
        <f t="shared" si="17"/>
      </c>
      <c r="DA202">
        <f t="shared" si="1"/>
      </c>
      <c r="DB202">
        <f t="shared" si="18"/>
      </c>
      <c r="DC202">
        <f t="shared" si="19"/>
      </c>
      <c r="DD202">
        <f t="shared" si="20"/>
      </c>
      <c r="DE202">
        <f t="shared" si="21"/>
      </c>
      <c r="DF202">
        <f t="shared" si="22"/>
      </c>
      <c r="DG202">
        <f t="shared" si="23"/>
      </c>
      <c r="DH202">
        <f t="shared" si="24"/>
      </c>
      <c r="DI202">
        <f t="shared" si="1"/>
      </c>
    </row>
    <row r="203" ht="15" customHeight="1">
      <c r="B203">
        <f t="shared" si="2"/>
      </c>
      <c r="R203">
        <f t="shared" si="3"/>
        <v>0</v>
      </c>
      <c r="S203">
        <f t="shared" si="4"/>
        <v>0</v>
      </c>
      <c r="T203">
        <f t="shared" si="5"/>
        <v>0</v>
      </c>
      <c r="U203">
        <f t="shared" si="6"/>
        <v>0</v>
      </c>
      <c r="V203">
        <f t="shared" si="7"/>
        <v>0</v>
      </c>
      <c r="W203">
        <f t="shared" si="8"/>
        <v>0</v>
      </c>
      <c r="X203">
        <f t="shared" si="9"/>
        <v>0</v>
      </c>
      <c r="Y203">
        <f t="shared" si="10"/>
        <v>0</v>
      </c>
      <c r="Z203">
        <f t="shared" si="11"/>
        <v>0</v>
      </c>
      <c r="AA203">
        <f t="shared" si="12"/>
        <v>0</v>
      </c>
      <c r="AB203">
        <f t="shared" si="13"/>
        <v>0</v>
      </c>
      <c r="AC203">
        <f t="shared" si="14"/>
        <v>0</v>
      </c>
      <c r="AE203">
        <f t="shared" si="0"/>
      </c>
      <c r="AV203">
        <f t="shared" si="15"/>
      </c>
      <c r="BM203">
        <f t="shared" si="16"/>
      </c>
      <c r="CD203">
        <f t="shared" si="0"/>
      </c>
      <c r="CZ203">
        <f t="shared" si="17"/>
      </c>
      <c r="DA203">
        <f t="shared" si="1"/>
      </c>
      <c r="DB203">
        <f t="shared" si="18"/>
      </c>
      <c r="DC203">
        <f t="shared" si="19"/>
      </c>
      <c r="DD203">
        <f t="shared" si="20"/>
      </c>
      <c r="DE203">
        <f t="shared" si="21"/>
      </c>
      <c r="DF203">
        <f t="shared" si="22"/>
      </c>
      <c r="DG203">
        <f t="shared" si="23"/>
      </c>
      <c r="DH203">
        <f t="shared" si="24"/>
      </c>
      <c r="DI203">
        <f t="shared" si="1"/>
      </c>
    </row>
    <row r="204" ht="15" customHeight="1">
      <c r="B204">
        <f t="shared" si="2"/>
      </c>
      <c r="R204">
        <f t="shared" si="3"/>
        <v>0</v>
      </c>
      <c r="S204">
        <f t="shared" si="4"/>
        <v>0</v>
      </c>
      <c r="T204">
        <f t="shared" si="5"/>
        <v>0</v>
      </c>
      <c r="U204">
        <f t="shared" si="6"/>
        <v>0</v>
      </c>
      <c r="V204">
        <f t="shared" si="7"/>
        <v>0</v>
      </c>
      <c r="W204">
        <f t="shared" si="8"/>
        <v>0</v>
      </c>
      <c r="X204">
        <f t="shared" si="9"/>
        <v>0</v>
      </c>
      <c r="Y204">
        <f t="shared" si="10"/>
        <v>0</v>
      </c>
      <c r="Z204">
        <f t="shared" si="11"/>
        <v>0</v>
      </c>
      <c r="AA204">
        <f t="shared" si="12"/>
        <v>0</v>
      </c>
      <c r="AB204">
        <f t="shared" si="13"/>
        <v>0</v>
      </c>
      <c r="AC204">
        <f t="shared" si="14"/>
        <v>0</v>
      </c>
      <c r="AE204">
        <f t="shared" si="0"/>
      </c>
      <c r="AV204">
        <f t="shared" si="15"/>
      </c>
      <c r="BM204">
        <f t="shared" si="16"/>
      </c>
      <c r="CD204">
        <f t="shared" si="0"/>
      </c>
      <c r="CZ204">
        <f t="shared" si="17"/>
      </c>
      <c r="DA204">
        <f t="shared" si="1"/>
      </c>
      <c r="DB204">
        <f t="shared" si="18"/>
      </c>
      <c r="DC204">
        <f t="shared" si="19"/>
      </c>
      <c r="DD204">
        <f t="shared" si="20"/>
      </c>
      <c r="DE204">
        <f t="shared" si="21"/>
      </c>
      <c r="DF204">
        <f t="shared" si="22"/>
      </c>
      <c r="DG204">
        <f t="shared" si="23"/>
      </c>
      <c r="DH204">
        <f t="shared" si="24"/>
      </c>
      <c r="DI204">
        <f t="shared" si="1"/>
      </c>
    </row>
    <row r="205" ht="15" customHeight="1">
      <c r="B205">
        <f t="shared" si="2"/>
      </c>
      <c r="R205">
        <f t="shared" si="3"/>
        <v>0</v>
      </c>
      <c r="S205">
        <f t="shared" si="4"/>
        <v>0</v>
      </c>
      <c r="T205">
        <f t="shared" si="5"/>
        <v>0</v>
      </c>
      <c r="U205">
        <f t="shared" si="6"/>
        <v>0</v>
      </c>
      <c r="V205">
        <f t="shared" si="7"/>
        <v>0</v>
      </c>
      <c r="W205">
        <f t="shared" si="8"/>
        <v>0</v>
      </c>
      <c r="X205">
        <f t="shared" si="9"/>
        <v>0</v>
      </c>
      <c r="Y205">
        <f t="shared" si="10"/>
        <v>0</v>
      </c>
      <c r="Z205">
        <f t="shared" si="11"/>
        <v>0</v>
      </c>
      <c r="AA205">
        <f t="shared" si="12"/>
        <v>0</v>
      </c>
      <c r="AB205">
        <f t="shared" si="13"/>
        <v>0</v>
      </c>
      <c r="AC205">
        <f t="shared" si="14"/>
        <v>0</v>
      </c>
      <c r="AE205">
        <f t="shared" si="0"/>
      </c>
      <c r="AV205">
        <f t="shared" si="15"/>
      </c>
      <c r="BM205">
        <f t="shared" si="16"/>
      </c>
      <c r="CD205">
        <f t="shared" si="0"/>
      </c>
      <c r="CZ205">
        <f t="shared" si="17"/>
      </c>
      <c r="DA205">
        <f t="shared" si="1"/>
      </c>
      <c r="DB205">
        <f t="shared" si="18"/>
      </c>
      <c r="DC205">
        <f t="shared" si="19"/>
      </c>
      <c r="DD205">
        <f t="shared" si="20"/>
      </c>
      <c r="DE205">
        <f t="shared" si="21"/>
      </c>
      <c r="DF205">
        <f t="shared" si="22"/>
      </c>
      <c r="DG205">
        <f t="shared" si="23"/>
      </c>
      <c r="DH205">
        <f t="shared" si="24"/>
      </c>
      <c r="DI205">
        <f t="shared" si="1"/>
      </c>
    </row>
    <row r="206" ht="15" customHeight="1">
      <c r="B206">
        <f t="shared" si="2"/>
      </c>
      <c r="R206">
        <f t="shared" si="3"/>
        <v>0</v>
      </c>
      <c r="S206">
        <f t="shared" si="4"/>
        <v>0</v>
      </c>
      <c r="T206">
        <f t="shared" si="5"/>
        <v>0</v>
      </c>
      <c r="U206">
        <f t="shared" si="6"/>
        <v>0</v>
      </c>
      <c r="V206">
        <f t="shared" si="7"/>
        <v>0</v>
      </c>
      <c r="W206">
        <f t="shared" si="8"/>
        <v>0</v>
      </c>
      <c r="X206">
        <f t="shared" si="9"/>
        <v>0</v>
      </c>
      <c r="Y206">
        <f t="shared" si="10"/>
        <v>0</v>
      </c>
      <c r="Z206">
        <f t="shared" si="11"/>
        <v>0</v>
      </c>
      <c r="AA206">
        <f t="shared" si="12"/>
        <v>0</v>
      </c>
      <c r="AB206">
        <f t="shared" si="13"/>
        <v>0</v>
      </c>
      <c r="AC206">
        <f t="shared" si="14"/>
        <v>0</v>
      </c>
      <c r="AE206">
        <f t="shared" si="0"/>
      </c>
      <c r="AV206">
        <f t="shared" si="15"/>
      </c>
      <c r="BM206">
        <f t="shared" si="16"/>
      </c>
      <c r="CD206">
        <f t="shared" si="0"/>
      </c>
      <c r="CZ206">
        <f t="shared" si="17"/>
      </c>
      <c r="DA206">
        <f t="shared" si="1"/>
      </c>
      <c r="DB206">
        <f t="shared" si="18"/>
      </c>
      <c r="DC206">
        <f t="shared" si="19"/>
      </c>
      <c r="DD206">
        <f t="shared" si="20"/>
      </c>
      <c r="DE206">
        <f t="shared" si="21"/>
      </c>
      <c r="DF206">
        <f t="shared" si="22"/>
      </c>
      <c r="DG206">
        <f t="shared" si="23"/>
      </c>
      <c r="DH206">
        <f t="shared" si="24"/>
      </c>
      <c r="DI206">
        <f t="shared" si="1"/>
      </c>
    </row>
    <row r="207" ht="15" customHeight="1">
      <c r="B207">
        <f t="shared" si="2"/>
      </c>
      <c r="R207">
        <f t="shared" si="3"/>
        <v>0</v>
      </c>
      <c r="S207">
        <f t="shared" si="4"/>
        <v>0</v>
      </c>
      <c r="T207">
        <f t="shared" si="5"/>
        <v>0</v>
      </c>
      <c r="U207">
        <f t="shared" si="6"/>
        <v>0</v>
      </c>
      <c r="V207">
        <f t="shared" si="7"/>
        <v>0</v>
      </c>
      <c r="W207">
        <f t="shared" si="8"/>
        <v>0</v>
      </c>
      <c r="X207">
        <f t="shared" si="9"/>
        <v>0</v>
      </c>
      <c r="Y207">
        <f t="shared" si="10"/>
        <v>0</v>
      </c>
      <c r="Z207">
        <f t="shared" si="11"/>
        <v>0</v>
      </c>
      <c r="AA207">
        <f t="shared" si="12"/>
        <v>0</v>
      </c>
      <c r="AB207">
        <f t="shared" si="13"/>
        <v>0</v>
      </c>
      <c r="AC207">
        <f t="shared" si="14"/>
        <v>0</v>
      </c>
      <c r="AE207">
        <f t="shared" si="0"/>
      </c>
      <c r="AV207">
        <f t="shared" si="15"/>
      </c>
      <c r="BM207">
        <f t="shared" si="16"/>
      </c>
      <c r="CD207">
        <f t="shared" si="0"/>
      </c>
      <c r="CZ207">
        <f t="shared" si="17"/>
      </c>
      <c r="DA207">
        <f t="shared" si="1"/>
      </c>
      <c r="DB207">
        <f t="shared" si="18"/>
      </c>
      <c r="DC207">
        <f t="shared" si="19"/>
      </c>
      <c r="DD207">
        <f t="shared" si="20"/>
      </c>
      <c r="DE207">
        <f t="shared" si="21"/>
      </c>
      <c r="DF207">
        <f t="shared" si="22"/>
      </c>
      <c r="DG207">
        <f t="shared" si="23"/>
      </c>
      <c r="DH207">
        <f t="shared" si="24"/>
      </c>
      <c r="DI207">
        <f t="shared" si="1"/>
      </c>
    </row>
    <row r="208" ht="15" customHeight="1">
      <c r="B208">
        <f t="shared" si="2"/>
      </c>
      <c r="R208">
        <f t="shared" si="3"/>
        <v>0</v>
      </c>
      <c r="S208">
        <f t="shared" si="4"/>
        <v>0</v>
      </c>
      <c r="T208">
        <f t="shared" si="5"/>
        <v>0</v>
      </c>
      <c r="U208">
        <f t="shared" si="6"/>
        <v>0</v>
      </c>
      <c r="V208">
        <f t="shared" si="7"/>
        <v>0</v>
      </c>
      <c r="W208">
        <f t="shared" si="8"/>
        <v>0</v>
      </c>
      <c r="X208">
        <f t="shared" si="9"/>
        <v>0</v>
      </c>
      <c r="Y208">
        <f t="shared" si="10"/>
        <v>0</v>
      </c>
      <c r="Z208">
        <f t="shared" si="11"/>
        <v>0</v>
      </c>
      <c r="AA208">
        <f t="shared" si="12"/>
        <v>0</v>
      </c>
      <c r="AB208">
        <f t="shared" si="13"/>
        <v>0</v>
      </c>
      <c r="AC208">
        <f t="shared" si="14"/>
        <v>0</v>
      </c>
      <c r="AE208">
        <f t="shared" si="0"/>
      </c>
      <c r="AV208">
        <f t="shared" si="15"/>
      </c>
      <c r="BM208">
        <f t="shared" si="16"/>
      </c>
      <c r="CD208">
        <f t="shared" si="0"/>
      </c>
      <c r="CZ208">
        <f t="shared" si="17"/>
      </c>
      <c r="DA208">
        <f t="shared" si="1"/>
      </c>
      <c r="DB208">
        <f t="shared" si="18"/>
      </c>
      <c r="DC208">
        <f t="shared" si="19"/>
      </c>
      <c r="DD208">
        <f t="shared" si="20"/>
      </c>
      <c r="DE208">
        <f t="shared" si="21"/>
      </c>
      <c r="DF208">
        <f t="shared" si="22"/>
      </c>
      <c r="DG208">
        <f t="shared" si="23"/>
      </c>
      <c r="DH208">
        <f t="shared" si="24"/>
      </c>
      <c r="DI208">
        <f t="shared" si="1"/>
      </c>
    </row>
    <row r="209" ht="15" customHeight="1">
      <c r="B209">
        <f t="shared" si="2"/>
      </c>
      <c r="R209">
        <f t="shared" si="3"/>
        <v>0</v>
      </c>
      <c r="S209">
        <f t="shared" si="4"/>
        <v>0</v>
      </c>
      <c r="T209">
        <f t="shared" si="5"/>
        <v>0</v>
      </c>
      <c r="U209">
        <f t="shared" si="6"/>
        <v>0</v>
      </c>
      <c r="V209">
        <f t="shared" si="7"/>
        <v>0</v>
      </c>
      <c r="W209">
        <f t="shared" si="8"/>
        <v>0</v>
      </c>
      <c r="X209">
        <f t="shared" si="9"/>
        <v>0</v>
      </c>
      <c r="Y209">
        <f t="shared" si="10"/>
        <v>0</v>
      </c>
      <c r="Z209">
        <f t="shared" si="11"/>
        <v>0</v>
      </c>
      <c r="AA209">
        <f t="shared" si="12"/>
        <v>0</v>
      </c>
      <c r="AB209">
        <f t="shared" si="13"/>
        <v>0</v>
      </c>
      <c r="AC209">
        <f t="shared" si="14"/>
        <v>0</v>
      </c>
      <c r="AE209">
        <f t="shared" si="0"/>
      </c>
      <c r="AV209">
        <f t="shared" si="15"/>
      </c>
      <c r="BM209">
        <f t="shared" si="16"/>
      </c>
      <c r="CD209">
        <f t="shared" si="0"/>
      </c>
      <c r="CZ209">
        <f t="shared" si="17"/>
      </c>
      <c r="DA209">
        <f t="shared" si="1"/>
      </c>
      <c r="DB209">
        <f t="shared" si="18"/>
      </c>
      <c r="DC209">
        <f t="shared" si="19"/>
      </c>
      <c r="DD209">
        <f t="shared" si="20"/>
      </c>
      <c r="DE209">
        <f t="shared" si="21"/>
      </c>
      <c r="DF209">
        <f t="shared" si="22"/>
      </c>
      <c r="DG209">
        <f t="shared" si="23"/>
      </c>
      <c r="DH209">
        <f t="shared" si="24"/>
      </c>
      <c r="DI209">
        <f t="shared" si="1"/>
      </c>
    </row>
    <row r="210" ht="15" customHeight="1">
      <c r="B210">
        <f t="shared" si="2"/>
      </c>
      <c r="R210">
        <f t="shared" si="3"/>
        <v>0</v>
      </c>
      <c r="S210">
        <f t="shared" si="4"/>
        <v>0</v>
      </c>
      <c r="T210">
        <f t="shared" si="5"/>
        <v>0</v>
      </c>
      <c r="U210">
        <f t="shared" si="6"/>
        <v>0</v>
      </c>
      <c r="V210">
        <f t="shared" si="7"/>
        <v>0</v>
      </c>
      <c r="W210">
        <f t="shared" si="8"/>
        <v>0</v>
      </c>
      <c r="X210">
        <f t="shared" si="9"/>
        <v>0</v>
      </c>
      <c r="Y210">
        <f t="shared" si="10"/>
        <v>0</v>
      </c>
      <c r="Z210">
        <f t="shared" si="11"/>
        <v>0</v>
      </c>
      <c r="AA210">
        <f t="shared" si="12"/>
        <v>0</v>
      </c>
      <c r="AB210">
        <f t="shared" si="13"/>
        <v>0</v>
      </c>
      <c r="AC210">
        <f t="shared" si="14"/>
        <v>0</v>
      </c>
      <c r="AE210">
        <f t="shared" si="0"/>
      </c>
      <c r="AV210">
        <f t="shared" si="15"/>
      </c>
      <c r="BM210">
        <f t="shared" si="16"/>
      </c>
      <c r="CD210">
        <f t="shared" si="0"/>
      </c>
      <c r="CZ210">
        <f t="shared" si="17"/>
      </c>
      <c r="DA210">
        <f t="shared" si="1"/>
      </c>
      <c r="DB210">
        <f t="shared" si="18"/>
      </c>
      <c r="DC210">
        <f t="shared" si="19"/>
      </c>
      <c r="DD210">
        <f t="shared" si="20"/>
      </c>
      <c r="DE210">
        <f t="shared" si="21"/>
      </c>
      <c r="DF210">
        <f t="shared" si="22"/>
      </c>
      <c r="DG210">
        <f t="shared" si="23"/>
      </c>
      <c r="DH210">
        <f t="shared" si="24"/>
      </c>
      <c r="DI210">
        <f t="shared" si="1"/>
      </c>
    </row>
    <row r="211" ht="15" customHeight="1">
      <c r="B211">
        <f t="shared" si="2"/>
      </c>
      <c r="R211">
        <f t="shared" si="3"/>
        <v>0</v>
      </c>
      <c r="S211">
        <f t="shared" si="4"/>
        <v>0</v>
      </c>
      <c r="T211">
        <f t="shared" si="5"/>
        <v>0</v>
      </c>
      <c r="U211">
        <f t="shared" si="6"/>
        <v>0</v>
      </c>
      <c r="V211">
        <f t="shared" si="7"/>
        <v>0</v>
      </c>
      <c r="W211">
        <f t="shared" si="8"/>
        <v>0</v>
      </c>
      <c r="X211">
        <f t="shared" si="9"/>
        <v>0</v>
      </c>
      <c r="Y211">
        <f t="shared" si="10"/>
        <v>0</v>
      </c>
      <c r="Z211">
        <f t="shared" si="11"/>
        <v>0</v>
      </c>
      <c r="AA211">
        <f t="shared" si="12"/>
        <v>0</v>
      </c>
      <c r="AB211">
        <f t="shared" si="13"/>
        <v>0</v>
      </c>
      <c r="AC211">
        <f t="shared" si="14"/>
        <v>0</v>
      </c>
      <c r="AE211">
        <f t="shared" si="0"/>
      </c>
      <c r="AV211">
        <f t="shared" si="15"/>
      </c>
      <c r="BM211">
        <f t="shared" si="16"/>
      </c>
      <c r="CD211">
        <f t="shared" si="0"/>
      </c>
      <c r="CZ211">
        <f t="shared" si="17"/>
      </c>
      <c r="DA211">
        <f t="shared" si="1"/>
      </c>
      <c r="DB211">
        <f t="shared" si="18"/>
      </c>
      <c r="DC211">
        <f t="shared" si="19"/>
      </c>
      <c r="DD211">
        <f t="shared" si="20"/>
      </c>
      <c r="DE211">
        <f t="shared" si="21"/>
      </c>
      <c r="DF211">
        <f t="shared" si="22"/>
      </c>
      <c r="DG211">
        <f t="shared" si="23"/>
      </c>
      <c r="DH211">
        <f t="shared" si="24"/>
      </c>
      <c r="DI211">
        <f t="shared" si="1"/>
      </c>
    </row>
    <row r="212" ht="15" customHeight="1">
      <c r="B212">
        <f t="shared" si="2"/>
      </c>
      <c r="R212">
        <f t="shared" si="3"/>
        <v>0</v>
      </c>
      <c r="S212">
        <f t="shared" si="4"/>
        <v>0</v>
      </c>
      <c r="T212">
        <f t="shared" si="5"/>
        <v>0</v>
      </c>
      <c r="U212">
        <f t="shared" si="6"/>
        <v>0</v>
      </c>
      <c r="V212">
        <f t="shared" si="7"/>
        <v>0</v>
      </c>
      <c r="W212">
        <f t="shared" si="8"/>
        <v>0</v>
      </c>
      <c r="X212">
        <f t="shared" si="9"/>
        <v>0</v>
      </c>
      <c r="Y212">
        <f t="shared" si="10"/>
        <v>0</v>
      </c>
      <c r="Z212">
        <f t="shared" si="11"/>
        <v>0</v>
      </c>
      <c r="AA212">
        <f t="shared" si="12"/>
        <v>0</v>
      </c>
      <c r="AB212">
        <f t="shared" si="13"/>
        <v>0</v>
      </c>
      <c r="AC212">
        <f t="shared" si="14"/>
        <v>0</v>
      </c>
      <c r="AE212">
        <f t="shared" si="0"/>
      </c>
      <c r="AV212">
        <f t="shared" si="15"/>
      </c>
      <c r="BM212">
        <f t="shared" si="16"/>
      </c>
      <c r="CD212">
        <f t="shared" si="0"/>
      </c>
      <c r="CZ212">
        <f t="shared" si="17"/>
      </c>
      <c r="DA212">
        <f t="shared" si="1"/>
      </c>
      <c r="DB212">
        <f t="shared" si="18"/>
      </c>
      <c r="DC212">
        <f t="shared" si="19"/>
      </c>
      <c r="DD212">
        <f t="shared" si="20"/>
      </c>
      <c r="DE212">
        <f t="shared" si="21"/>
      </c>
      <c r="DF212">
        <f t="shared" si="22"/>
      </c>
      <c r="DG212">
        <f t="shared" si="23"/>
      </c>
      <c r="DH212">
        <f t="shared" si="24"/>
      </c>
      <c r="DI212">
        <f t="shared" si="1"/>
      </c>
    </row>
    <row r="213" ht="15" customHeight="1">
      <c r="B213">
        <f t="shared" si="2"/>
      </c>
      <c r="R213">
        <f t="shared" si="3"/>
        <v>0</v>
      </c>
      <c r="S213">
        <f t="shared" si="4"/>
        <v>0</v>
      </c>
      <c r="T213">
        <f t="shared" si="5"/>
        <v>0</v>
      </c>
      <c r="U213">
        <f t="shared" si="6"/>
        <v>0</v>
      </c>
      <c r="V213">
        <f t="shared" si="7"/>
        <v>0</v>
      </c>
      <c r="W213">
        <f t="shared" si="8"/>
        <v>0</v>
      </c>
      <c r="X213">
        <f t="shared" si="9"/>
        <v>0</v>
      </c>
      <c r="Y213">
        <f t="shared" si="10"/>
        <v>0</v>
      </c>
      <c r="Z213">
        <f t="shared" si="11"/>
        <v>0</v>
      </c>
      <c r="AA213">
        <f t="shared" si="12"/>
        <v>0</v>
      </c>
      <c r="AB213">
        <f t="shared" si="13"/>
        <v>0</v>
      </c>
      <c r="AC213">
        <f t="shared" si="14"/>
        <v>0</v>
      </c>
      <c r="AE213">
        <f t="shared" si="0"/>
      </c>
      <c r="AV213">
        <f t="shared" si="15"/>
      </c>
      <c r="BM213">
        <f t="shared" si="16"/>
      </c>
      <c r="CD213">
        <f t="shared" si="0"/>
      </c>
      <c r="CZ213">
        <f t="shared" si="17"/>
      </c>
      <c r="DA213">
        <f t="shared" si="1"/>
      </c>
      <c r="DB213">
        <f t="shared" si="18"/>
      </c>
      <c r="DC213">
        <f t="shared" si="19"/>
      </c>
      <c r="DD213">
        <f t="shared" si="20"/>
      </c>
      <c r="DE213">
        <f t="shared" si="21"/>
      </c>
      <c r="DF213">
        <f t="shared" si="22"/>
      </c>
      <c r="DG213">
        <f t="shared" si="23"/>
      </c>
      <c r="DH213">
        <f t="shared" si="24"/>
      </c>
      <c r="DI213">
        <f t="shared" si="1"/>
      </c>
    </row>
    <row r="214" ht="15" customHeight="1">
      <c r="B214">
        <f t="shared" si="2"/>
      </c>
      <c r="R214">
        <f t="shared" si="3"/>
        <v>0</v>
      </c>
      <c r="S214">
        <f t="shared" si="4"/>
        <v>0</v>
      </c>
      <c r="T214">
        <f t="shared" si="5"/>
        <v>0</v>
      </c>
      <c r="U214">
        <f t="shared" si="6"/>
        <v>0</v>
      </c>
      <c r="V214">
        <f t="shared" si="7"/>
        <v>0</v>
      </c>
      <c r="W214">
        <f t="shared" si="8"/>
        <v>0</v>
      </c>
      <c r="X214">
        <f t="shared" si="9"/>
        <v>0</v>
      </c>
      <c r="Y214">
        <f t="shared" si="10"/>
        <v>0</v>
      </c>
      <c r="Z214">
        <f t="shared" si="11"/>
        <v>0</v>
      </c>
      <c r="AA214">
        <f t="shared" si="12"/>
        <v>0</v>
      </c>
      <c r="AB214">
        <f t="shared" si="13"/>
        <v>0</v>
      </c>
      <c r="AC214">
        <f t="shared" si="14"/>
        <v>0</v>
      </c>
      <c r="AE214">
        <f t="shared" si="0"/>
      </c>
      <c r="AV214">
        <f t="shared" si="15"/>
      </c>
      <c r="BM214">
        <f t="shared" si="16"/>
      </c>
      <c r="CD214">
        <f t="shared" si="0"/>
      </c>
      <c r="CZ214">
        <f t="shared" si="17"/>
      </c>
      <c r="DA214">
        <f t="shared" si="1"/>
      </c>
      <c r="DB214">
        <f t="shared" si="18"/>
      </c>
      <c r="DC214">
        <f t="shared" si="19"/>
      </c>
      <c r="DD214">
        <f t="shared" si="20"/>
      </c>
      <c r="DE214">
        <f t="shared" si="21"/>
      </c>
      <c r="DF214">
        <f t="shared" si="22"/>
      </c>
      <c r="DG214">
        <f t="shared" si="23"/>
      </c>
      <c r="DH214">
        <f t="shared" si="24"/>
      </c>
      <c r="DI214">
        <f t="shared" si="1"/>
      </c>
    </row>
    <row r="215" ht="15" customHeight="1">
      <c r="B215">
        <f t="shared" si="2"/>
      </c>
      <c r="R215">
        <f t="shared" si="3"/>
        <v>0</v>
      </c>
      <c r="S215">
        <f t="shared" si="4"/>
        <v>0</v>
      </c>
      <c r="T215">
        <f t="shared" si="5"/>
        <v>0</v>
      </c>
      <c r="U215">
        <f t="shared" si="6"/>
        <v>0</v>
      </c>
      <c r="V215">
        <f t="shared" si="7"/>
        <v>0</v>
      </c>
      <c r="W215">
        <f t="shared" si="8"/>
        <v>0</v>
      </c>
      <c r="X215">
        <f t="shared" si="9"/>
        <v>0</v>
      </c>
      <c r="Y215">
        <f t="shared" si="10"/>
        <v>0</v>
      </c>
      <c r="Z215">
        <f t="shared" si="11"/>
        <v>0</v>
      </c>
      <c r="AA215">
        <f t="shared" si="12"/>
        <v>0</v>
      </c>
      <c r="AB215">
        <f t="shared" si="13"/>
        <v>0</v>
      </c>
      <c r="AC215">
        <f t="shared" si="14"/>
        <v>0</v>
      </c>
      <c r="AE215">
        <f t="shared" si="0"/>
      </c>
      <c r="AV215">
        <f t="shared" si="15"/>
      </c>
      <c r="BM215">
        <f t="shared" si="16"/>
      </c>
      <c r="CD215">
        <f t="shared" si="0"/>
      </c>
      <c r="CZ215">
        <f t="shared" si="17"/>
      </c>
      <c r="DA215">
        <f t="shared" si="1"/>
      </c>
      <c r="DB215">
        <f t="shared" si="18"/>
      </c>
      <c r="DC215">
        <f t="shared" si="19"/>
      </c>
      <c r="DD215">
        <f t="shared" si="20"/>
      </c>
      <c r="DE215">
        <f t="shared" si="21"/>
      </c>
      <c r="DF215">
        <f t="shared" si="22"/>
      </c>
      <c r="DG215">
        <f t="shared" si="23"/>
      </c>
      <c r="DH215">
        <f t="shared" si="24"/>
      </c>
      <c r="DI215">
        <f t="shared" si="1"/>
      </c>
    </row>
    <row r="216" ht="15" customHeight="1">
      <c r="B216">
        <f t="shared" si="2"/>
      </c>
      <c r="R216">
        <f t="shared" si="3"/>
        <v>0</v>
      </c>
      <c r="S216">
        <f t="shared" si="4"/>
        <v>0</v>
      </c>
      <c r="T216">
        <f t="shared" si="5"/>
        <v>0</v>
      </c>
      <c r="U216">
        <f t="shared" si="6"/>
        <v>0</v>
      </c>
      <c r="V216">
        <f t="shared" si="7"/>
        <v>0</v>
      </c>
      <c r="W216">
        <f t="shared" si="8"/>
        <v>0</v>
      </c>
      <c r="X216">
        <f t="shared" si="9"/>
        <v>0</v>
      </c>
      <c r="Y216">
        <f t="shared" si="10"/>
        <v>0</v>
      </c>
      <c r="Z216">
        <f t="shared" si="11"/>
        <v>0</v>
      </c>
      <c r="AA216">
        <f t="shared" si="12"/>
        <v>0</v>
      </c>
      <c r="AB216">
        <f t="shared" si="13"/>
        <v>0</v>
      </c>
      <c r="AC216">
        <f t="shared" si="14"/>
        <v>0</v>
      </c>
      <c r="AE216">
        <f t="shared" si="0"/>
      </c>
      <c r="AV216">
        <f t="shared" si="15"/>
      </c>
      <c r="BM216">
        <f t="shared" si="16"/>
      </c>
      <c r="CD216">
        <f t="shared" si="0"/>
      </c>
      <c r="CZ216">
        <f t="shared" si="17"/>
      </c>
      <c r="DA216">
        <f t="shared" si="1"/>
      </c>
      <c r="DB216">
        <f t="shared" si="18"/>
      </c>
      <c r="DC216">
        <f t="shared" si="19"/>
      </c>
      <c r="DD216">
        <f t="shared" si="20"/>
      </c>
      <c r="DE216">
        <f t="shared" si="21"/>
      </c>
      <c r="DF216">
        <f t="shared" si="22"/>
      </c>
      <c r="DG216">
        <f t="shared" si="23"/>
      </c>
      <c r="DH216">
        <f t="shared" si="24"/>
      </c>
      <c r="DI216">
        <f t="shared" si="1"/>
      </c>
    </row>
    <row r="217" ht="15" customHeight="1">
      <c r="B217">
        <f t="shared" si="2"/>
      </c>
      <c r="R217">
        <f t="shared" si="3"/>
        <v>0</v>
      </c>
      <c r="S217">
        <f t="shared" si="4"/>
        <v>0</v>
      </c>
      <c r="T217">
        <f t="shared" si="5"/>
        <v>0</v>
      </c>
      <c r="U217">
        <f t="shared" si="6"/>
        <v>0</v>
      </c>
      <c r="V217">
        <f t="shared" si="7"/>
        <v>0</v>
      </c>
      <c r="W217">
        <f t="shared" si="8"/>
        <v>0</v>
      </c>
      <c r="X217">
        <f t="shared" si="9"/>
        <v>0</v>
      </c>
      <c r="Y217">
        <f t="shared" si="10"/>
        <v>0</v>
      </c>
      <c r="Z217">
        <f t="shared" si="11"/>
        <v>0</v>
      </c>
      <c r="AA217">
        <f t="shared" si="12"/>
        <v>0</v>
      </c>
      <c r="AB217">
        <f t="shared" si="13"/>
        <v>0</v>
      </c>
      <c r="AC217">
        <f t="shared" si="14"/>
        <v>0</v>
      </c>
      <c r="AE217">
        <f t="shared" si="0"/>
      </c>
      <c r="AV217">
        <f t="shared" si="15"/>
      </c>
      <c r="BM217">
        <f t="shared" si="16"/>
      </c>
      <c r="CD217">
        <f t="shared" si="0"/>
      </c>
      <c r="CZ217">
        <f t="shared" si="17"/>
      </c>
      <c r="DA217">
        <f t="shared" si="1"/>
      </c>
      <c r="DB217">
        <f t="shared" si="18"/>
      </c>
      <c r="DC217">
        <f t="shared" si="19"/>
      </c>
      <c r="DD217">
        <f t="shared" si="20"/>
      </c>
      <c r="DE217">
        <f t="shared" si="21"/>
      </c>
      <c r="DF217">
        <f t="shared" si="22"/>
      </c>
      <c r="DG217">
        <f t="shared" si="23"/>
      </c>
      <c r="DH217">
        <f t="shared" si="24"/>
      </c>
      <c r="DI217">
        <f t="shared" si="1"/>
      </c>
    </row>
    <row r="218" ht="15" customHeight="1">
      <c r="B218">
        <f t="shared" si="2"/>
      </c>
      <c r="R218">
        <f t="shared" si="3"/>
        <v>0</v>
      </c>
      <c r="S218">
        <f t="shared" si="4"/>
        <v>0</v>
      </c>
      <c r="T218">
        <f t="shared" si="5"/>
        <v>0</v>
      </c>
      <c r="U218">
        <f t="shared" si="6"/>
        <v>0</v>
      </c>
      <c r="V218">
        <f t="shared" si="7"/>
        <v>0</v>
      </c>
      <c r="W218">
        <f t="shared" si="8"/>
        <v>0</v>
      </c>
      <c r="X218">
        <f t="shared" si="9"/>
        <v>0</v>
      </c>
      <c r="Y218">
        <f t="shared" si="10"/>
        <v>0</v>
      </c>
      <c r="Z218">
        <f t="shared" si="11"/>
        <v>0</v>
      </c>
      <c r="AA218">
        <f t="shared" si="12"/>
        <v>0</v>
      </c>
      <c r="AB218">
        <f t="shared" si="13"/>
        <v>0</v>
      </c>
      <c r="AC218">
        <f t="shared" si="14"/>
        <v>0</v>
      </c>
      <c r="AE218">
        <f t="shared" si="0"/>
      </c>
      <c r="AV218">
        <f t="shared" si="15"/>
      </c>
      <c r="BM218">
        <f t="shared" si="16"/>
      </c>
      <c r="CD218">
        <f t="shared" si="0"/>
      </c>
      <c r="CZ218">
        <f t="shared" si="17"/>
      </c>
      <c r="DA218">
        <f t="shared" si="1"/>
      </c>
      <c r="DB218">
        <f t="shared" si="18"/>
      </c>
      <c r="DC218">
        <f t="shared" si="19"/>
      </c>
      <c r="DD218">
        <f t="shared" si="20"/>
      </c>
      <c r="DE218">
        <f t="shared" si="21"/>
      </c>
      <c r="DF218">
        <f t="shared" si="22"/>
      </c>
      <c r="DG218">
        <f t="shared" si="23"/>
      </c>
      <c r="DH218">
        <f t="shared" si="24"/>
      </c>
      <c r="DI218">
        <f t="shared" si="1"/>
      </c>
    </row>
    <row r="219" ht="15" customHeight="1">
      <c r="B219">
        <f t="shared" si="2"/>
      </c>
      <c r="R219">
        <f t="shared" si="3"/>
        <v>0</v>
      </c>
      <c r="S219">
        <f t="shared" si="4"/>
        <v>0</v>
      </c>
      <c r="T219">
        <f t="shared" si="5"/>
        <v>0</v>
      </c>
      <c r="U219">
        <f t="shared" si="6"/>
        <v>0</v>
      </c>
      <c r="V219">
        <f t="shared" si="7"/>
        <v>0</v>
      </c>
      <c r="W219">
        <f t="shared" si="8"/>
        <v>0</v>
      </c>
      <c r="X219">
        <f t="shared" si="9"/>
        <v>0</v>
      </c>
      <c r="Y219">
        <f t="shared" si="10"/>
        <v>0</v>
      </c>
      <c r="Z219">
        <f t="shared" si="11"/>
        <v>0</v>
      </c>
      <c r="AA219">
        <f t="shared" si="12"/>
        <v>0</v>
      </c>
      <c r="AB219">
        <f t="shared" si="13"/>
        <v>0</v>
      </c>
      <c r="AC219">
        <f t="shared" si="14"/>
        <v>0</v>
      </c>
      <c r="AE219">
        <f t="shared" si="0"/>
      </c>
      <c r="AV219">
        <f t="shared" si="15"/>
      </c>
      <c r="BM219">
        <f t="shared" si="16"/>
      </c>
      <c r="CD219">
        <f t="shared" si="0"/>
      </c>
      <c r="CZ219">
        <f t="shared" si="17"/>
      </c>
      <c r="DA219">
        <f t="shared" si="1"/>
      </c>
      <c r="DB219">
        <f t="shared" si="18"/>
      </c>
      <c r="DC219">
        <f t="shared" si="19"/>
      </c>
      <c r="DD219">
        <f t="shared" si="20"/>
      </c>
      <c r="DE219">
        <f t="shared" si="21"/>
      </c>
      <c r="DF219">
        <f t="shared" si="22"/>
      </c>
      <c r="DG219">
        <f t="shared" si="23"/>
      </c>
      <c r="DH219">
        <f t="shared" si="24"/>
      </c>
      <c r="DI219">
        <f t="shared" si="1"/>
      </c>
    </row>
    <row r="220" ht="15" customHeight="1">
      <c r="B220">
        <f t="shared" si="2"/>
      </c>
      <c r="R220">
        <f t="shared" si="3"/>
        <v>0</v>
      </c>
      <c r="S220">
        <f t="shared" si="4"/>
        <v>0</v>
      </c>
      <c r="T220">
        <f t="shared" si="5"/>
        <v>0</v>
      </c>
      <c r="U220">
        <f t="shared" si="6"/>
        <v>0</v>
      </c>
      <c r="V220">
        <f t="shared" si="7"/>
        <v>0</v>
      </c>
      <c r="W220">
        <f t="shared" si="8"/>
        <v>0</v>
      </c>
      <c r="X220">
        <f t="shared" si="9"/>
        <v>0</v>
      </c>
      <c r="Y220">
        <f t="shared" si="10"/>
        <v>0</v>
      </c>
      <c r="Z220">
        <f t="shared" si="11"/>
        <v>0</v>
      </c>
      <c r="AA220">
        <f t="shared" si="12"/>
        <v>0</v>
      </c>
      <c r="AB220">
        <f t="shared" si="13"/>
        <v>0</v>
      </c>
      <c r="AC220">
        <f t="shared" si="14"/>
        <v>0</v>
      </c>
      <c r="AE220">
        <f t="shared" si="0"/>
      </c>
      <c r="AV220">
        <f t="shared" si="15"/>
      </c>
      <c r="BM220">
        <f t="shared" si="16"/>
      </c>
      <c r="CD220">
        <f t="shared" si="0"/>
      </c>
      <c r="CZ220">
        <f t="shared" si="17"/>
      </c>
      <c r="DA220">
        <f t="shared" si="1"/>
      </c>
      <c r="DB220">
        <f t="shared" si="18"/>
      </c>
      <c r="DC220">
        <f t="shared" si="19"/>
      </c>
      <c r="DD220">
        <f t="shared" si="20"/>
      </c>
      <c r="DE220">
        <f t="shared" si="21"/>
      </c>
      <c r="DF220">
        <f t="shared" si="22"/>
      </c>
      <c r="DG220">
        <f t="shared" si="23"/>
      </c>
      <c r="DH220">
        <f t="shared" si="24"/>
      </c>
      <c r="DI220">
        <f t="shared" si="1"/>
      </c>
    </row>
    <row r="221" ht="15" customHeight="1">
      <c r="B221">
        <f t="shared" si="2"/>
      </c>
      <c r="R221">
        <f t="shared" si="3"/>
        <v>0</v>
      </c>
      <c r="S221">
        <f t="shared" si="4"/>
        <v>0</v>
      </c>
      <c r="T221">
        <f t="shared" si="5"/>
        <v>0</v>
      </c>
      <c r="U221">
        <f t="shared" si="6"/>
        <v>0</v>
      </c>
      <c r="V221">
        <f t="shared" si="7"/>
        <v>0</v>
      </c>
      <c r="W221">
        <f t="shared" si="8"/>
        <v>0</v>
      </c>
      <c r="X221">
        <f t="shared" si="9"/>
        <v>0</v>
      </c>
      <c r="Y221">
        <f t="shared" si="10"/>
        <v>0</v>
      </c>
      <c r="Z221">
        <f t="shared" si="11"/>
        <v>0</v>
      </c>
      <c r="AA221">
        <f t="shared" si="12"/>
        <v>0</v>
      </c>
      <c r="AB221">
        <f t="shared" si="13"/>
        <v>0</v>
      </c>
      <c r="AC221">
        <f t="shared" si="14"/>
        <v>0</v>
      </c>
      <c r="AE221">
        <f t="shared" si="0"/>
      </c>
      <c r="AV221">
        <f t="shared" si="15"/>
      </c>
      <c r="BM221">
        <f t="shared" si="16"/>
      </c>
      <c r="CD221">
        <f t="shared" si="0"/>
      </c>
      <c r="CZ221">
        <f t="shared" si="17"/>
      </c>
      <c r="DA221">
        <f t="shared" si="1"/>
      </c>
      <c r="DB221">
        <f t="shared" si="18"/>
      </c>
      <c r="DC221">
        <f t="shared" si="19"/>
      </c>
      <c r="DD221">
        <f t="shared" si="20"/>
      </c>
      <c r="DE221">
        <f t="shared" si="21"/>
      </c>
      <c r="DF221">
        <f t="shared" si="22"/>
      </c>
      <c r="DG221">
        <f t="shared" si="23"/>
      </c>
      <c r="DH221">
        <f t="shared" si="24"/>
      </c>
      <c r="DI221">
        <f t="shared" si="1"/>
      </c>
    </row>
    <row r="222" ht="15" customHeight="1">
      <c r="B222">
        <f t="shared" si="2"/>
      </c>
      <c r="R222">
        <f t="shared" si="3"/>
        <v>0</v>
      </c>
      <c r="S222">
        <f t="shared" si="4"/>
        <v>0</v>
      </c>
      <c r="T222">
        <f t="shared" si="5"/>
        <v>0</v>
      </c>
      <c r="U222">
        <f t="shared" si="6"/>
        <v>0</v>
      </c>
      <c r="V222">
        <f t="shared" si="7"/>
        <v>0</v>
      </c>
      <c r="W222">
        <f t="shared" si="8"/>
        <v>0</v>
      </c>
      <c r="X222">
        <f t="shared" si="9"/>
        <v>0</v>
      </c>
      <c r="Y222">
        <f t="shared" si="10"/>
        <v>0</v>
      </c>
      <c r="Z222">
        <f t="shared" si="11"/>
        <v>0</v>
      </c>
      <c r="AA222">
        <f t="shared" si="12"/>
        <v>0</v>
      </c>
      <c r="AB222">
        <f t="shared" si="13"/>
        <v>0</v>
      </c>
      <c r="AC222">
        <f t="shared" si="14"/>
        <v>0</v>
      </c>
      <c r="AE222">
        <f t="shared" si="0"/>
      </c>
      <c r="AV222">
        <f t="shared" si="15"/>
      </c>
      <c r="BM222">
        <f t="shared" si="16"/>
      </c>
      <c r="CD222">
        <f t="shared" si="0"/>
      </c>
      <c r="CZ222">
        <f t="shared" si="17"/>
      </c>
      <c r="DA222">
        <f t="shared" si="1"/>
      </c>
      <c r="DB222">
        <f t="shared" si="18"/>
      </c>
      <c r="DC222">
        <f t="shared" si="19"/>
      </c>
      <c r="DD222">
        <f t="shared" si="20"/>
      </c>
      <c r="DE222">
        <f t="shared" si="21"/>
      </c>
      <c r="DF222">
        <f t="shared" si="22"/>
      </c>
      <c r="DG222">
        <f t="shared" si="23"/>
      </c>
      <c r="DH222">
        <f t="shared" si="24"/>
      </c>
      <c r="DI222">
        <f t="shared" si="1"/>
      </c>
    </row>
    <row r="223" ht="15" customHeight="1">
      <c r="B223">
        <f t="shared" si="2"/>
      </c>
      <c r="R223">
        <f t="shared" si="3"/>
        <v>0</v>
      </c>
      <c r="S223">
        <f t="shared" si="4"/>
        <v>0</v>
      </c>
      <c r="T223">
        <f t="shared" si="5"/>
        <v>0</v>
      </c>
      <c r="U223">
        <f t="shared" si="6"/>
        <v>0</v>
      </c>
      <c r="V223">
        <f t="shared" si="7"/>
        <v>0</v>
      </c>
      <c r="W223">
        <f t="shared" si="8"/>
        <v>0</v>
      </c>
      <c r="X223">
        <f t="shared" si="9"/>
        <v>0</v>
      </c>
      <c r="Y223">
        <f t="shared" si="10"/>
        <v>0</v>
      </c>
      <c r="Z223">
        <f t="shared" si="11"/>
        <v>0</v>
      </c>
      <c r="AA223">
        <f t="shared" si="12"/>
        <v>0</v>
      </c>
      <c r="AB223">
        <f t="shared" si="13"/>
        <v>0</v>
      </c>
      <c r="AC223">
        <f t="shared" si="14"/>
        <v>0</v>
      </c>
      <c r="AE223">
        <f t="shared" si="0"/>
      </c>
      <c r="AV223">
        <f t="shared" si="15"/>
      </c>
      <c r="BM223">
        <f t="shared" si="16"/>
      </c>
      <c r="CD223">
        <f t="shared" si="0"/>
      </c>
      <c r="CZ223">
        <f t="shared" si="17"/>
      </c>
      <c r="DA223">
        <f t="shared" si="1"/>
      </c>
      <c r="DB223">
        <f t="shared" si="18"/>
      </c>
      <c r="DC223">
        <f t="shared" si="19"/>
      </c>
      <c r="DD223">
        <f t="shared" si="20"/>
      </c>
      <c r="DE223">
        <f t="shared" si="21"/>
      </c>
      <c r="DF223">
        <f t="shared" si="22"/>
      </c>
      <c r="DG223">
        <f t="shared" si="23"/>
      </c>
      <c r="DH223">
        <f t="shared" si="24"/>
      </c>
      <c r="DI223">
        <f t="shared" si="1"/>
      </c>
    </row>
    <row r="224" ht="15" customHeight="1">
      <c r="B224">
        <f t="shared" si="2"/>
      </c>
      <c r="R224">
        <f t="shared" si="3"/>
        <v>0</v>
      </c>
      <c r="S224">
        <f t="shared" si="4"/>
        <v>0</v>
      </c>
      <c r="T224">
        <f t="shared" si="5"/>
        <v>0</v>
      </c>
      <c r="U224">
        <f t="shared" si="6"/>
        <v>0</v>
      </c>
      <c r="V224">
        <f t="shared" si="7"/>
        <v>0</v>
      </c>
      <c r="W224">
        <f t="shared" si="8"/>
        <v>0</v>
      </c>
      <c r="X224">
        <f t="shared" si="9"/>
        <v>0</v>
      </c>
      <c r="Y224">
        <f t="shared" si="10"/>
        <v>0</v>
      </c>
      <c r="Z224">
        <f t="shared" si="11"/>
        <v>0</v>
      </c>
      <c r="AA224">
        <f t="shared" si="12"/>
        <v>0</v>
      </c>
      <c r="AB224">
        <f t="shared" si="13"/>
        <v>0</v>
      </c>
      <c r="AC224">
        <f t="shared" si="14"/>
        <v>0</v>
      </c>
      <c r="AE224">
        <f t="shared" si="0"/>
      </c>
      <c r="AV224">
        <f t="shared" si="15"/>
      </c>
      <c r="BM224">
        <f t="shared" si="16"/>
      </c>
      <c r="CD224">
        <f t="shared" si="0"/>
      </c>
      <c r="CZ224">
        <f t="shared" si="17"/>
      </c>
      <c r="DA224">
        <f t="shared" si="1"/>
      </c>
      <c r="DB224">
        <f t="shared" si="18"/>
      </c>
      <c r="DC224">
        <f t="shared" si="19"/>
      </c>
      <c r="DD224">
        <f t="shared" si="20"/>
      </c>
      <c r="DE224">
        <f t="shared" si="21"/>
      </c>
      <c r="DF224">
        <f t="shared" si="22"/>
      </c>
      <c r="DG224">
        <f t="shared" si="23"/>
      </c>
      <c r="DH224">
        <f t="shared" si="24"/>
      </c>
      <c r="DI224">
        <f t="shared" si="1"/>
      </c>
    </row>
    <row r="225" ht="15" customHeight="1">
      <c r="B225">
        <f t="shared" si="2"/>
      </c>
      <c r="R225">
        <f t="shared" si="3"/>
        <v>0</v>
      </c>
      <c r="S225">
        <f t="shared" si="4"/>
        <v>0</v>
      </c>
      <c r="T225">
        <f t="shared" si="5"/>
        <v>0</v>
      </c>
      <c r="U225">
        <f t="shared" si="6"/>
        <v>0</v>
      </c>
      <c r="V225">
        <f t="shared" si="7"/>
        <v>0</v>
      </c>
      <c r="W225">
        <f t="shared" si="8"/>
        <v>0</v>
      </c>
      <c r="X225">
        <f t="shared" si="9"/>
        <v>0</v>
      </c>
      <c r="Y225">
        <f t="shared" si="10"/>
        <v>0</v>
      </c>
      <c r="Z225">
        <f t="shared" si="11"/>
        <v>0</v>
      </c>
      <c r="AA225">
        <f t="shared" si="12"/>
        <v>0</v>
      </c>
      <c r="AB225">
        <f t="shared" si="13"/>
        <v>0</v>
      </c>
      <c r="AC225">
        <f t="shared" si="14"/>
        <v>0</v>
      </c>
      <c r="AE225">
        <f t="shared" si="0"/>
      </c>
      <c r="AV225">
        <f t="shared" si="15"/>
      </c>
      <c r="BM225">
        <f t="shared" si="16"/>
      </c>
      <c r="CD225">
        <f t="shared" si="0"/>
      </c>
      <c r="CZ225">
        <f t="shared" si="17"/>
      </c>
      <c r="DA225">
        <f t="shared" si="1"/>
      </c>
      <c r="DB225">
        <f t="shared" si="18"/>
      </c>
      <c r="DC225">
        <f t="shared" si="19"/>
      </c>
      <c r="DD225">
        <f t="shared" si="20"/>
      </c>
      <c r="DE225">
        <f t="shared" si="21"/>
      </c>
      <c r="DF225">
        <f t="shared" si="22"/>
      </c>
      <c r="DG225">
        <f t="shared" si="23"/>
      </c>
      <c r="DH225">
        <f t="shared" si="24"/>
      </c>
      <c r="DI225">
        <f t="shared" si="1"/>
      </c>
    </row>
    <row r="226" ht="15" customHeight="1">
      <c r="B226">
        <f t="shared" si="2"/>
      </c>
      <c r="R226">
        <f t="shared" si="3"/>
        <v>0</v>
      </c>
      <c r="S226">
        <f t="shared" si="4"/>
        <v>0</v>
      </c>
      <c r="T226">
        <f t="shared" si="5"/>
        <v>0</v>
      </c>
      <c r="U226">
        <f t="shared" si="6"/>
        <v>0</v>
      </c>
      <c r="V226">
        <f t="shared" si="7"/>
        <v>0</v>
      </c>
      <c r="W226">
        <f t="shared" si="8"/>
        <v>0</v>
      </c>
      <c r="X226">
        <f t="shared" si="9"/>
        <v>0</v>
      </c>
      <c r="Y226">
        <f t="shared" si="10"/>
        <v>0</v>
      </c>
      <c r="Z226">
        <f t="shared" si="11"/>
        <v>0</v>
      </c>
      <c r="AA226">
        <f t="shared" si="12"/>
        <v>0</v>
      </c>
      <c r="AB226">
        <f t="shared" si="13"/>
        <v>0</v>
      </c>
      <c r="AC226">
        <f t="shared" si="14"/>
        <v>0</v>
      </c>
      <c r="AE226">
        <f t="shared" si="0"/>
      </c>
      <c r="AV226">
        <f t="shared" si="15"/>
      </c>
      <c r="BM226">
        <f t="shared" si="16"/>
      </c>
      <c r="CD226">
        <f t="shared" si="0"/>
      </c>
      <c r="CZ226">
        <f t="shared" si="17"/>
      </c>
      <c r="DA226">
        <f t="shared" si="1"/>
      </c>
      <c r="DB226">
        <f t="shared" si="18"/>
      </c>
      <c r="DC226">
        <f t="shared" si="19"/>
      </c>
      <c r="DD226">
        <f t="shared" si="20"/>
      </c>
      <c r="DE226">
        <f t="shared" si="21"/>
      </c>
      <c r="DF226">
        <f t="shared" si="22"/>
      </c>
      <c r="DG226">
        <f t="shared" si="23"/>
      </c>
      <c r="DH226">
        <f t="shared" si="24"/>
      </c>
      <c r="DI226">
        <f t="shared" si="1"/>
      </c>
    </row>
    <row r="227" ht="15" customHeight="1">
      <c r="B227">
        <f t="shared" si="2"/>
      </c>
      <c r="R227">
        <f t="shared" si="3"/>
        <v>0</v>
      </c>
      <c r="S227">
        <f t="shared" si="4"/>
        <v>0</v>
      </c>
      <c r="T227">
        <f t="shared" si="5"/>
        <v>0</v>
      </c>
      <c r="U227">
        <f t="shared" si="6"/>
        <v>0</v>
      </c>
      <c r="V227">
        <f t="shared" si="7"/>
        <v>0</v>
      </c>
      <c r="W227">
        <f t="shared" si="8"/>
        <v>0</v>
      </c>
      <c r="X227">
        <f t="shared" si="9"/>
        <v>0</v>
      </c>
      <c r="Y227">
        <f t="shared" si="10"/>
        <v>0</v>
      </c>
      <c r="Z227">
        <f t="shared" si="11"/>
        <v>0</v>
      </c>
      <c r="AA227">
        <f t="shared" si="12"/>
        <v>0</v>
      </c>
      <c r="AB227">
        <f t="shared" si="13"/>
        <v>0</v>
      </c>
      <c r="AC227">
        <f t="shared" si="14"/>
        <v>0</v>
      </c>
      <c r="AE227">
        <f t="shared" si="0"/>
      </c>
      <c r="AV227">
        <f t="shared" si="15"/>
      </c>
      <c r="BM227">
        <f t="shared" si="16"/>
      </c>
      <c r="CD227">
        <f t="shared" si="0"/>
      </c>
      <c r="CZ227">
        <f t="shared" si="17"/>
      </c>
      <c r="DA227">
        <f t="shared" si="1"/>
      </c>
      <c r="DB227">
        <f t="shared" si="18"/>
      </c>
      <c r="DC227">
        <f t="shared" si="19"/>
      </c>
      <c r="DD227">
        <f t="shared" si="20"/>
      </c>
      <c r="DE227">
        <f t="shared" si="21"/>
      </c>
      <c r="DF227">
        <f t="shared" si="22"/>
      </c>
      <c r="DG227">
        <f t="shared" si="23"/>
      </c>
      <c r="DH227">
        <f t="shared" si="24"/>
      </c>
      <c r="DI227">
        <f t="shared" si="1"/>
      </c>
    </row>
    <row r="228" ht="15" customHeight="1">
      <c r="B228">
        <f t="shared" si="2"/>
      </c>
      <c r="R228">
        <f t="shared" si="3"/>
        <v>0</v>
      </c>
      <c r="S228">
        <f t="shared" si="4"/>
        <v>0</v>
      </c>
      <c r="T228">
        <f t="shared" si="5"/>
        <v>0</v>
      </c>
      <c r="U228">
        <f t="shared" si="6"/>
        <v>0</v>
      </c>
      <c r="V228">
        <f t="shared" si="7"/>
        <v>0</v>
      </c>
      <c r="W228">
        <f t="shared" si="8"/>
        <v>0</v>
      </c>
      <c r="X228">
        <f t="shared" si="9"/>
        <v>0</v>
      </c>
      <c r="Y228">
        <f t="shared" si="10"/>
        <v>0</v>
      </c>
      <c r="Z228">
        <f t="shared" si="11"/>
        <v>0</v>
      </c>
      <c r="AA228">
        <f t="shared" si="12"/>
        <v>0</v>
      </c>
      <c r="AB228">
        <f t="shared" si="13"/>
        <v>0</v>
      </c>
      <c r="AC228">
        <f t="shared" si="14"/>
        <v>0</v>
      </c>
      <c r="AE228">
        <f t="shared" si="0"/>
      </c>
      <c r="AV228">
        <f t="shared" si="15"/>
      </c>
      <c r="BM228">
        <f t="shared" si="16"/>
      </c>
      <c r="CD228">
        <f t="shared" si="0"/>
      </c>
      <c r="CZ228">
        <f t="shared" si="17"/>
      </c>
      <c r="DA228">
        <f t="shared" si="1"/>
      </c>
      <c r="DB228">
        <f t="shared" si="18"/>
      </c>
      <c r="DC228">
        <f t="shared" si="19"/>
      </c>
      <c r="DD228">
        <f t="shared" si="20"/>
      </c>
      <c r="DE228">
        <f t="shared" si="21"/>
      </c>
      <c r="DF228">
        <f t="shared" si="22"/>
      </c>
      <c r="DG228">
        <f t="shared" si="23"/>
      </c>
      <c r="DH228">
        <f t="shared" si="24"/>
      </c>
      <c r="DI228">
        <f t="shared" si="1"/>
      </c>
    </row>
    <row r="229" ht="15" customHeight="1">
      <c r="B229">
        <f t="shared" si="2"/>
      </c>
      <c r="R229">
        <f t="shared" si="3"/>
        <v>0</v>
      </c>
      <c r="S229">
        <f t="shared" si="4"/>
        <v>0</v>
      </c>
      <c r="T229">
        <f t="shared" si="5"/>
        <v>0</v>
      </c>
      <c r="U229">
        <f t="shared" si="6"/>
        <v>0</v>
      </c>
      <c r="V229">
        <f t="shared" si="7"/>
        <v>0</v>
      </c>
      <c r="W229">
        <f t="shared" si="8"/>
        <v>0</v>
      </c>
      <c r="X229">
        <f t="shared" si="9"/>
        <v>0</v>
      </c>
      <c r="Y229">
        <f t="shared" si="10"/>
        <v>0</v>
      </c>
      <c r="Z229">
        <f t="shared" si="11"/>
        <v>0</v>
      </c>
      <c r="AA229">
        <f t="shared" si="12"/>
        <v>0</v>
      </c>
      <c r="AB229">
        <f t="shared" si="13"/>
        <v>0</v>
      </c>
      <c r="AC229">
        <f t="shared" si="14"/>
        <v>0</v>
      </c>
      <c r="AE229">
        <f t="shared" si="0"/>
      </c>
      <c r="AV229">
        <f t="shared" si="15"/>
      </c>
      <c r="BM229">
        <f t="shared" si="16"/>
      </c>
      <c r="CD229">
        <f t="shared" si="0"/>
      </c>
      <c r="CZ229">
        <f t="shared" si="17"/>
      </c>
      <c r="DA229">
        <f t="shared" si="1"/>
      </c>
      <c r="DB229">
        <f t="shared" si="18"/>
      </c>
      <c r="DC229">
        <f t="shared" si="19"/>
      </c>
      <c r="DD229">
        <f t="shared" si="20"/>
      </c>
      <c r="DE229">
        <f t="shared" si="21"/>
      </c>
      <c r="DF229">
        <f t="shared" si="22"/>
      </c>
      <c r="DG229">
        <f t="shared" si="23"/>
      </c>
      <c r="DH229">
        <f t="shared" si="24"/>
      </c>
      <c r="DI229">
        <f t="shared" si="1"/>
      </c>
    </row>
    <row r="230" ht="15" customHeight="1">
      <c r="B230">
        <f t="shared" si="2"/>
      </c>
      <c r="R230">
        <f t="shared" si="3"/>
        <v>0</v>
      </c>
      <c r="S230">
        <f t="shared" si="4"/>
        <v>0</v>
      </c>
      <c r="T230">
        <f t="shared" si="5"/>
        <v>0</v>
      </c>
      <c r="U230">
        <f t="shared" si="6"/>
        <v>0</v>
      </c>
      <c r="V230">
        <f t="shared" si="7"/>
        <v>0</v>
      </c>
      <c r="W230">
        <f t="shared" si="8"/>
        <v>0</v>
      </c>
      <c r="X230">
        <f t="shared" si="9"/>
        <v>0</v>
      </c>
      <c r="Y230">
        <f t="shared" si="10"/>
        <v>0</v>
      </c>
      <c r="Z230">
        <f t="shared" si="11"/>
        <v>0</v>
      </c>
      <c r="AA230">
        <f t="shared" si="12"/>
        <v>0</v>
      </c>
      <c r="AB230">
        <f t="shared" si="13"/>
        <v>0</v>
      </c>
      <c r="AC230">
        <f t="shared" si="14"/>
        <v>0</v>
      </c>
      <c r="AE230">
        <f t="shared" si="0"/>
      </c>
      <c r="AV230">
        <f t="shared" si="15"/>
      </c>
      <c r="BM230">
        <f t="shared" si="16"/>
      </c>
      <c r="CD230">
        <f t="shared" si="0"/>
      </c>
      <c r="CZ230">
        <f t="shared" si="17"/>
      </c>
      <c r="DA230">
        <f t="shared" si="1"/>
      </c>
      <c r="DB230">
        <f t="shared" si="18"/>
      </c>
      <c r="DC230">
        <f t="shared" si="19"/>
      </c>
      <c r="DD230">
        <f t="shared" si="20"/>
      </c>
      <c r="DE230">
        <f t="shared" si="21"/>
      </c>
      <c r="DF230">
        <f t="shared" si="22"/>
      </c>
      <c r="DG230">
        <f t="shared" si="23"/>
      </c>
      <c r="DH230">
        <f t="shared" si="24"/>
      </c>
      <c r="DI230">
        <f t="shared" si="1"/>
      </c>
    </row>
    <row r="231" ht="15" customHeight="1">
      <c r="B231">
        <f t="shared" si="2"/>
      </c>
      <c r="R231">
        <f t="shared" si="3"/>
        <v>0</v>
      </c>
      <c r="S231">
        <f t="shared" si="4"/>
        <v>0</v>
      </c>
      <c r="T231">
        <f t="shared" si="5"/>
        <v>0</v>
      </c>
      <c r="U231">
        <f t="shared" si="6"/>
        <v>0</v>
      </c>
      <c r="V231">
        <f t="shared" si="7"/>
        <v>0</v>
      </c>
      <c r="W231">
        <f t="shared" si="8"/>
        <v>0</v>
      </c>
      <c r="X231">
        <f t="shared" si="9"/>
        <v>0</v>
      </c>
      <c r="Y231">
        <f t="shared" si="10"/>
        <v>0</v>
      </c>
      <c r="Z231">
        <f t="shared" si="11"/>
        <v>0</v>
      </c>
      <c r="AA231">
        <f t="shared" si="12"/>
        <v>0</v>
      </c>
      <c r="AB231">
        <f t="shared" si="13"/>
        <v>0</v>
      </c>
      <c r="AC231">
        <f t="shared" si="14"/>
        <v>0</v>
      </c>
      <c r="AE231">
        <f t="shared" si="0"/>
      </c>
      <c r="AV231">
        <f t="shared" si="15"/>
      </c>
      <c r="BM231">
        <f t="shared" si="16"/>
      </c>
      <c r="CD231">
        <f t="shared" si="0"/>
      </c>
      <c r="CZ231">
        <f t="shared" si="17"/>
      </c>
      <c r="DA231">
        <f t="shared" si="1"/>
      </c>
      <c r="DB231">
        <f t="shared" si="18"/>
      </c>
      <c r="DC231">
        <f t="shared" si="19"/>
      </c>
      <c r="DD231">
        <f t="shared" si="20"/>
      </c>
      <c r="DE231">
        <f t="shared" si="21"/>
      </c>
      <c r="DF231">
        <f t="shared" si="22"/>
      </c>
      <c r="DG231">
        <f t="shared" si="23"/>
      </c>
      <c r="DH231">
        <f t="shared" si="24"/>
      </c>
      <c r="DI231">
        <f t="shared" si="1"/>
      </c>
    </row>
    <row r="232" ht="15" customHeight="1">
      <c r="B232">
        <f t="shared" si="2"/>
      </c>
      <c r="R232">
        <f t="shared" si="3"/>
        <v>0</v>
      </c>
      <c r="S232">
        <f t="shared" si="4"/>
        <v>0</v>
      </c>
      <c r="T232">
        <f t="shared" si="5"/>
        <v>0</v>
      </c>
      <c r="U232">
        <f t="shared" si="6"/>
        <v>0</v>
      </c>
      <c r="V232">
        <f t="shared" si="7"/>
        <v>0</v>
      </c>
      <c r="W232">
        <f t="shared" si="8"/>
        <v>0</v>
      </c>
      <c r="X232">
        <f t="shared" si="9"/>
        <v>0</v>
      </c>
      <c r="Y232">
        <f t="shared" si="10"/>
        <v>0</v>
      </c>
      <c r="Z232">
        <f t="shared" si="11"/>
        <v>0</v>
      </c>
      <c r="AA232">
        <f t="shared" si="12"/>
        <v>0</v>
      </c>
      <c r="AB232">
        <f t="shared" si="13"/>
        <v>0</v>
      </c>
      <c r="AC232">
        <f t="shared" si="14"/>
        <v>0</v>
      </c>
      <c r="AE232">
        <f t="shared" si="0"/>
      </c>
      <c r="AV232">
        <f t="shared" si="15"/>
      </c>
      <c r="BM232">
        <f t="shared" si="16"/>
      </c>
      <c r="CD232">
        <f t="shared" si="0"/>
      </c>
      <c r="CZ232">
        <f t="shared" si="17"/>
      </c>
      <c r="DA232">
        <f t="shared" si="1"/>
      </c>
      <c r="DB232">
        <f t="shared" si="18"/>
      </c>
      <c r="DC232">
        <f t="shared" si="19"/>
      </c>
      <c r="DD232">
        <f t="shared" si="20"/>
      </c>
      <c r="DE232">
        <f t="shared" si="21"/>
      </c>
      <c r="DF232">
        <f t="shared" si="22"/>
      </c>
      <c r="DG232">
        <f t="shared" si="23"/>
      </c>
      <c r="DH232">
        <f t="shared" si="24"/>
      </c>
      <c r="DI232">
        <f t="shared" si="1"/>
      </c>
    </row>
    <row r="233" ht="15" customHeight="1">
      <c r="B233">
        <f t="shared" si="2"/>
      </c>
      <c r="R233">
        <f t="shared" si="3"/>
        <v>0</v>
      </c>
      <c r="S233">
        <f t="shared" si="4"/>
        <v>0</v>
      </c>
      <c r="T233">
        <f t="shared" si="5"/>
        <v>0</v>
      </c>
      <c r="U233">
        <f t="shared" si="6"/>
        <v>0</v>
      </c>
      <c r="V233">
        <f t="shared" si="7"/>
        <v>0</v>
      </c>
      <c r="W233">
        <f t="shared" si="8"/>
        <v>0</v>
      </c>
      <c r="X233">
        <f t="shared" si="9"/>
        <v>0</v>
      </c>
      <c r="Y233">
        <f t="shared" si="10"/>
        <v>0</v>
      </c>
      <c r="Z233">
        <f t="shared" si="11"/>
        <v>0</v>
      </c>
      <c r="AA233">
        <f t="shared" si="12"/>
        <v>0</v>
      </c>
      <c r="AB233">
        <f t="shared" si="13"/>
        <v>0</v>
      </c>
      <c r="AC233">
        <f t="shared" si="14"/>
        <v>0</v>
      </c>
      <c r="AE233">
        <f t="shared" si="0"/>
      </c>
      <c r="AV233">
        <f t="shared" si="15"/>
      </c>
      <c r="BM233">
        <f t="shared" si="16"/>
      </c>
      <c r="CD233">
        <f t="shared" si="0"/>
      </c>
      <c r="CZ233">
        <f t="shared" si="17"/>
      </c>
      <c r="DA233">
        <f t="shared" si="1"/>
      </c>
      <c r="DB233">
        <f t="shared" si="18"/>
      </c>
      <c r="DC233">
        <f t="shared" si="19"/>
      </c>
      <c r="DD233">
        <f t="shared" si="20"/>
      </c>
      <c r="DE233">
        <f t="shared" si="21"/>
      </c>
      <c r="DF233">
        <f t="shared" si="22"/>
      </c>
      <c r="DG233">
        <f t="shared" si="23"/>
      </c>
      <c r="DH233">
        <f t="shared" si="24"/>
      </c>
      <c r="DI233">
        <f t="shared" si="1"/>
      </c>
    </row>
    <row r="234" ht="15" customHeight="1">
      <c r="B234">
        <f t="shared" si="2"/>
      </c>
      <c r="R234">
        <f t="shared" si="3"/>
        <v>0</v>
      </c>
      <c r="S234">
        <f t="shared" si="4"/>
        <v>0</v>
      </c>
      <c r="T234">
        <f t="shared" si="5"/>
        <v>0</v>
      </c>
      <c r="U234">
        <f t="shared" si="6"/>
        <v>0</v>
      </c>
      <c r="V234">
        <f t="shared" si="7"/>
        <v>0</v>
      </c>
      <c r="W234">
        <f t="shared" si="8"/>
        <v>0</v>
      </c>
      <c r="X234">
        <f t="shared" si="9"/>
        <v>0</v>
      </c>
      <c r="Y234">
        <f t="shared" si="10"/>
        <v>0</v>
      </c>
      <c r="Z234">
        <f t="shared" si="11"/>
        <v>0</v>
      </c>
      <c r="AA234">
        <f t="shared" si="12"/>
        <v>0</v>
      </c>
      <c r="AB234">
        <f t="shared" si="13"/>
        <v>0</v>
      </c>
      <c r="AC234">
        <f t="shared" si="14"/>
        <v>0</v>
      </c>
      <c r="AE234">
        <f t="shared" si="0"/>
      </c>
      <c r="AV234">
        <f t="shared" si="15"/>
      </c>
      <c r="BM234">
        <f t="shared" si="16"/>
      </c>
      <c r="CD234">
        <f t="shared" si="0"/>
      </c>
      <c r="CZ234">
        <f t="shared" si="17"/>
      </c>
      <c r="DA234">
        <f t="shared" si="1"/>
      </c>
      <c r="DB234">
        <f t="shared" si="18"/>
      </c>
      <c r="DC234">
        <f t="shared" si="19"/>
      </c>
      <c r="DD234">
        <f t="shared" si="20"/>
      </c>
      <c r="DE234">
        <f t="shared" si="21"/>
      </c>
      <c r="DF234">
        <f t="shared" si="22"/>
      </c>
      <c r="DG234">
        <f t="shared" si="23"/>
      </c>
      <c r="DH234">
        <f t="shared" si="24"/>
      </c>
      <c r="DI234">
        <f t="shared" si="1"/>
      </c>
    </row>
    <row r="235" ht="15" customHeight="1">
      <c r="B235">
        <f t="shared" si="2"/>
      </c>
      <c r="R235">
        <f t="shared" si="3"/>
        <v>0</v>
      </c>
      <c r="S235">
        <f t="shared" si="4"/>
        <v>0</v>
      </c>
      <c r="T235">
        <f t="shared" si="5"/>
        <v>0</v>
      </c>
      <c r="U235">
        <f t="shared" si="6"/>
        <v>0</v>
      </c>
      <c r="V235">
        <f t="shared" si="7"/>
        <v>0</v>
      </c>
      <c r="W235">
        <f t="shared" si="8"/>
        <v>0</v>
      </c>
      <c r="X235">
        <f t="shared" si="9"/>
        <v>0</v>
      </c>
      <c r="Y235">
        <f t="shared" si="10"/>
        <v>0</v>
      </c>
      <c r="Z235">
        <f t="shared" si="11"/>
        <v>0</v>
      </c>
      <c r="AA235">
        <f t="shared" si="12"/>
        <v>0</v>
      </c>
      <c r="AB235">
        <f t="shared" si="13"/>
        <v>0</v>
      </c>
      <c r="AC235">
        <f t="shared" si="14"/>
        <v>0</v>
      </c>
      <c r="AE235">
        <f t="shared" si="0"/>
      </c>
      <c r="AV235">
        <f t="shared" si="15"/>
      </c>
      <c r="BM235">
        <f t="shared" si="16"/>
      </c>
      <c r="CD235">
        <f t="shared" si="0"/>
      </c>
      <c r="CZ235">
        <f t="shared" si="17"/>
      </c>
      <c r="DA235">
        <f t="shared" si="1"/>
      </c>
      <c r="DB235">
        <f t="shared" si="18"/>
      </c>
      <c r="DC235">
        <f t="shared" si="19"/>
      </c>
      <c r="DD235">
        <f t="shared" si="20"/>
      </c>
      <c r="DE235">
        <f t="shared" si="21"/>
      </c>
      <c r="DF235">
        <f t="shared" si="22"/>
      </c>
      <c r="DG235">
        <f t="shared" si="23"/>
      </c>
      <c r="DH235">
        <f t="shared" si="24"/>
      </c>
      <c r="DI235">
        <f t="shared" si="1"/>
      </c>
    </row>
    <row r="236" ht="15" customHeight="1">
      <c r="B236">
        <f t="shared" si="2"/>
      </c>
      <c r="R236">
        <f t="shared" si="3"/>
        <v>0</v>
      </c>
      <c r="S236">
        <f t="shared" si="4"/>
        <v>0</v>
      </c>
      <c r="T236">
        <f t="shared" si="5"/>
        <v>0</v>
      </c>
      <c r="U236">
        <f t="shared" si="6"/>
        <v>0</v>
      </c>
      <c r="V236">
        <f t="shared" si="7"/>
        <v>0</v>
      </c>
      <c r="W236">
        <f t="shared" si="8"/>
        <v>0</v>
      </c>
      <c r="X236">
        <f t="shared" si="9"/>
        <v>0</v>
      </c>
      <c r="Y236">
        <f t="shared" si="10"/>
        <v>0</v>
      </c>
      <c r="Z236">
        <f t="shared" si="11"/>
        <v>0</v>
      </c>
      <c r="AA236">
        <f t="shared" si="12"/>
        <v>0</v>
      </c>
      <c r="AB236">
        <f t="shared" si="13"/>
        <v>0</v>
      </c>
      <c r="AC236">
        <f t="shared" si="14"/>
        <v>0</v>
      </c>
      <c r="AE236">
        <f t="shared" si="0"/>
      </c>
      <c r="AV236">
        <f t="shared" si="15"/>
      </c>
      <c r="BM236">
        <f t="shared" si="16"/>
      </c>
      <c r="CD236">
        <f t="shared" si="0"/>
      </c>
      <c r="CZ236">
        <f t="shared" si="17"/>
      </c>
      <c r="DA236">
        <f t="shared" si="1"/>
      </c>
      <c r="DB236">
        <f t="shared" si="18"/>
      </c>
      <c r="DC236">
        <f t="shared" si="19"/>
      </c>
      <c r="DD236">
        <f t="shared" si="20"/>
      </c>
      <c r="DE236">
        <f t="shared" si="21"/>
      </c>
      <c r="DF236">
        <f t="shared" si="22"/>
      </c>
      <c r="DG236">
        <f t="shared" si="23"/>
      </c>
      <c r="DH236">
        <f t="shared" si="24"/>
      </c>
      <c r="DI236">
        <f t="shared" si="1"/>
      </c>
    </row>
    <row r="237" ht="15" customHeight="1">
      <c r="B237">
        <f t="shared" si="2"/>
      </c>
      <c r="R237">
        <f t="shared" si="3"/>
        <v>0</v>
      </c>
      <c r="S237">
        <f t="shared" si="4"/>
        <v>0</v>
      </c>
      <c r="T237">
        <f t="shared" si="5"/>
        <v>0</v>
      </c>
      <c r="U237">
        <f t="shared" si="6"/>
        <v>0</v>
      </c>
      <c r="V237">
        <f t="shared" si="7"/>
        <v>0</v>
      </c>
      <c r="W237">
        <f t="shared" si="8"/>
        <v>0</v>
      </c>
      <c r="X237">
        <f t="shared" si="9"/>
        <v>0</v>
      </c>
      <c r="Y237">
        <f t="shared" si="10"/>
        <v>0</v>
      </c>
      <c r="Z237">
        <f t="shared" si="11"/>
        <v>0</v>
      </c>
      <c r="AA237">
        <f t="shared" si="12"/>
        <v>0</v>
      </c>
      <c r="AB237">
        <f t="shared" si="13"/>
        <v>0</v>
      </c>
      <c r="AC237">
        <f t="shared" si="14"/>
        <v>0</v>
      </c>
      <c r="AE237">
        <f t="shared" si="0"/>
      </c>
      <c r="AV237">
        <f t="shared" si="15"/>
      </c>
      <c r="BM237">
        <f t="shared" si="16"/>
      </c>
      <c r="CD237">
        <f t="shared" si="0"/>
      </c>
      <c r="CZ237">
        <f t="shared" si="17"/>
      </c>
      <c r="DA237">
        <f t="shared" si="1"/>
      </c>
      <c r="DB237">
        <f t="shared" si="18"/>
      </c>
      <c r="DC237">
        <f t="shared" si="19"/>
      </c>
      <c r="DD237">
        <f t="shared" si="20"/>
      </c>
      <c r="DE237">
        <f t="shared" si="21"/>
      </c>
      <c r="DF237">
        <f t="shared" si="22"/>
      </c>
      <c r="DG237">
        <f t="shared" si="23"/>
      </c>
      <c r="DH237">
        <f t="shared" si="24"/>
      </c>
      <c r="DI237">
        <f t="shared" si="1"/>
      </c>
    </row>
    <row r="238" ht="15" customHeight="1">
      <c r="B238">
        <f t="shared" si="2"/>
      </c>
      <c r="R238">
        <f t="shared" si="3"/>
        <v>0</v>
      </c>
      <c r="S238">
        <f t="shared" si="4"/>
        <v>0</v>
      </c>
      <c r="T238">
        <f t="shared" si="5"/>
        <v>0</v>
      </c>
      <c r="U238">
        <f t="shared" si="6"/>
        <v>0</v>
      </c>
      <c r="V238">
        <f t="shared" si="7"/>
        <v>0</v>
      </c>
      <c r="W238">
        <f t="shared" si="8"/>
        <v>0</v>
      </c>
      <c r="X238">
        <f t="shared" si="9"/>
        <v>0</v>
      </c>
      <c r="Y238">
        <f t="shared" si="10"/>
        <v>0</v>
      </c>
      <c r="Z238">
        <f t="shared" si="11"/>
        <v>0</v>
      </c>
      <c r="AA238">
        <f t="shared" si="12"/>
        <v>0</v>
      </c>
      <c r="AB238">
        <f t="shared" si="13"/>
        <v>0</v>
      </c>
      <c r="AC238">
        <f t="shared" si="14"/>
        <v>0</v>
      </c>
      <c r="AE238">
        <f t="shared" si="0"/>
      </c>
      <c r="AV238">
        <f t="shared" si="15"/>
      </c>
      <c r="BM238">
        <f t="shared" si="16"/>
      </c>
      <c r="CD238">
        <f t="shared" si="0"/>
      </c>
      <c r="CZ238">
        <f t="shared" si="17"/>
      </c>
      <c r="DA238">
        <f t="shared" si="1"/>
      </c>
      <c r="DB238">
        <f t="shared" si="18"/>
      </c>
      <c r="DC238">
        <f t="shared" si="19"/>
      </c>
      <c r="DD238">
        <f t="shared" si="20"/>
      </c>
      <c r="DE238">
        <f t="shared" si="21"/>
      </c>
      <c r="DF238">
        <f t="shared" si="22"/>
      </c>
      <c r="DG238">
        <f t="shared" si="23"/>
      </c>
      <c r="DH238">
        <f t="shared" si="24"/>
      </c>
      <c r="DI238">
        <f t="shared" si="1"/>
      </c>
    </row>
    <row r="239" ht="15" customHeight="1">
      <c r="B239">
        <f t="shared" si="2"/>
      </c>
      <c r="R239">
        <f t="shared" si="3"/>
        <v>0</v>
      </c>
      <c r="S239">
        <f t="shared" si="4"/>
        <v>0</v>
      </c>
      <c r="T239">
        <f t="shared" si="5"/>
        <v>0</v>
      </c>
      <c r="U239">
        <f t="shared" si="6"/>
        <v>0</v>
      </c>
      <c r="V239">
        <f t="shared" si="7"/>
        <v>0</v>
      </c>
      <c r="W239">
        <f t="shared" si="8"/>
        <v>0</v>
      </c>
      <c r="X239">
        <f t="shared" si="9"/>
        <v>0</v>
      </c>
      <c r="Y239">
        <f t="shared" si="10"/>
        <v>0</v>
      </c>
      <c r="Z239">
        <f t="shared" si="11"/>
        <v>0</v>
      </c>
      <c r="AA239">
        <f t="shared" si="12"/>
        <v>0</v>
      </c>
      <c r="AB239">
        <f t="shared" si="13"/>
        <v>0</v>
      </c>
      <c r="AC239">
        <f t="shared" si="14"/>
        <v>0</v>
      </c>
      <c r="AE239">
        <f t="shared" si="0"/>
      </c>
      <c r="AV239">
        <f t="shared" si="15"/>
      </c>
      <c r="BM239">
        <f t="shared" si="16"/>
      </c>
      <c r="CD239">
        <f t="shared" si="0"/>
      </c>
      <c r="CZ239">
        <f t="shared" si="17"/>
      </c>
      <c r="DA239">
        <f t="shared" si="1"/>
      </c>
      <c r="DB239">
        <f t="shared" si="18"/>
      </c>
      <c r="DC239">
        <f t="shared" si="19"/>
      </c>
      <c r="DD239">
        <f t="shared" si="20"/>
      </c>
      <c r="DE239">
        <f t="shared" si="21"/>
      </c>
      <c r="DF239">
        <f t="shared" si="22"/>
      </c>
      <c r="DG239">
        <f t="shared" si="23"/>
      </c>
      <c r="DH239">
        <f t="shared" si="24"/>
      </c>
      <c r="DI239">
        <f t="shared" si="1"/>
      </c>
    </row>
    <row r="240" ht="15" customHeight="1">
      <c r="B240">
        <f t="shared" si="2"/>
      </c>
      <c r="R240">
        <f t="shared" si="3"/>
        <v>0</v>
      </c>
      <c r="S240">
        <f t="shared" si="4"/>
        <v>0</v>
      </c>
      <c r="T240">
        <f t="shared" si="5"/>
        <v>0</v>
      </c>
      <c r="U240">
        <f t="shared" si="6"/>
        <v>0</v>
      </c>
      <c r="V240">
        <f t="shared" si="7"/>
        <v>0</v>
      </c>
      <c r="W240">
        <f t="shared" si="8"/>
        <v>0</v>
      </c>
      <c r="X240">
        <f t="shared" si="9"/>
        <v>0</v>
      </c>
      <c r="Y240">
        <f t="shared" si="10"/>
        <v>0</v>
      </c>
      <c r="Z240">
        <f t="shared" si="11"/>
        <v>0</v>
      </c>
      <c r="AA240">
        <f t="shared" si="12"/>
        <v>0</v>
      </c>
      <c r="AB240">
        <f t="shared" si="13"/>
        <v>0</v>
      </c>
      <c r="AC240">
        <f t="shared" si="14"/>
        <v>0</v>
      </c>
      <c r="AE240">
        <f t="shared" si="0"/>
      </c>
      <c r="AV240">
        <f t="shared" si="15"/>
      </c>
      <c r="BM240">
        <f t="shared" si="16"/>
      </c>
      <c r="CD240">
        <f t="shared" si="0"/>
      </c>
      <c r="CZ240">
        <f t="shared" si="17"/>
      </c>
      <c r="DA240">
        <f t="shared" si="1"/>
      </c>
      <c r="DB240">
        <f t="shared" si="18"/>
      </c>
      <c r="DC240">
        <f t="shared" si="19"/>
      </c>
      <c r="DD240">
        <f t="shared" si="20"/>
      </c>
      <c r="DE240">
        <f t="shared" si="21"/>
      </c>
      <c r="DF240">
        <f t="shared" si="22"/>
      </c>
      <c r="DG240">
        <f t="shared" si="23"/>
      </c>
      <c r="DH240">
        <f t="shared" si="24"/>
      </c>
      <c r="DI240">
        <f t="shared" si="1"/>
      </c>
    </row>
    <row r="241" ht="15" customHeight="1">
      <c r="B241">
        <f t="shared" si="2"/>
      </c>
      <c r="R241">
        <f t="shared" si="3"/>
        <v>0</v>
      </c>
      <c r="S241">
        <f t="shared" si="4"/>
        <v>0</v>
      </c>
      <c r="T241">
        <f t="shared" si="5"/>
        <v>0</v>
      </c>
      <c r="U241">
        <f t="shared" si="6"/>
        <v>0</v>
      </c>
      <c r="V241">
        <f t="shared" si="7"/>
        <v>0</v>
      </c>
      <c r="W241">
        <f t="shared" si="8"/>
        <v>0</v>
      </c>
      <c r="X241">
        <f t="shared" si="9"/>
        <v>0</v>
      </c>
      <c r="Y241">
        <f t="shared" si="10"/>
        <v>0</v>
      </c>
      <c r="Z241">
        <f t="shared" si="11"/>
        <v>0</v>
      </c>
      <c r="AA241">
        <f t="shared" si="12"/>
        <v>0</v>
      </c>
      <c r="AB241">
        <f t="shared" si="13"/>
        <v>0</v>
      </c>
      <c r="AC241">
        <f t="shared" si="14"/>
        <v>0</v>
      </c>
      <c r="AE241">
        <f t="shared" si="0"/>
      </c>
      <c r="AV241">
        <f t="shared" si="15"/>
      </c>
      <c r="BM241">
        <f t="shared" si="16"/>
      </c>
      <c r="CD241">
        <f t="shared" si="0"/>
      </c>
      <c r="CZ241">
        <f t="shared" si="17"/>
      </c>
      <c r="DA241">
        <f t="shared" si="1"/>
      </c>
      <c r="DB241">
        <f t="shared" si="18"/>
      </c>
      <c r="DC241">
        <f t="shared" si="19"/>
      </c>
      <c r="DD241">
        <f t="shared" si="20"/>
      </c>
      <c r="DE241">
        <f t="shared" si="21"/>
      </c>
      <c r="DF241">
        <f t="shared" si="22"/>
      </c>
      <c r="DG241">
        <f t="shared" si="23"/>
      </c>
      <c r="DH241">
        <f t="shared" si="24"/>
      </c>
      <c r="DI241">
        <f t="shared" si="1"/>
      </c>
    </row>
    <row r="242" ht="15" customHeight="1">
      <c r="B242">
        <f t="shared" si="2"/>
      </c>
      <c r="R242">
        <f t="shared" si="3"/>
        <v>0</v>
      </c>
      <c r="S242">
        <f t="shared" si="4"/>
        <v>0</v>
      </c>
      <c r="T242">
        <f t="shared" si="5"/>
        <v>0</v>
      </c>
      <c r="U242">
        <f t="shared" si="6"/>
        <v>0</v>
      </c>
      <c r="V242">
        <f t="shared" si="7"/>
        <v>0</v>
      </c>
      <c r="W242">
        <f t="shared" si="8"/>
        <v>0</v>
      </c>
      <c r="X242">
        <f t="shared" si="9"/>
        <v>0</v>
      </c>
      <c r="Y242">
        <f t="shared" si="10"/>
        <v>0</v>
      </c>
      <c r="Z242">
        <f t="shared" si="11"/>
        <v>0</v>
      </c>
      <c r="AA242">
        <f t="shared" si="12"/>
        <v>0</v>
      </c>
      <c r="AB242">
        <f t="shared" si="13"/>
        <v>0</v>
      </c>
      <c r="AC242">
        <f t="shared" si="14"/>
        <v>0</v>
      </c>
      <c r="AE242">
        <f t="shared" si="0"/>
      </c>
      <c r="AV242">
        <f t="shared" si="15"/>
      </c>
      <c r="BM242">
        <f t="shared" si="16"/>
      </c>
      <c r="CD242">
        <f t="shared" si="0"/>
      </c>
      <c r="CZ242">
        <f t="shared" si="17"/>
      </c>
      <c r="DA242">
        <f t="shared" si="1"/>
      </c>
      <c r="DB242">
        <f t="shared" si="18"/>
      </c>
      <c r="DC242">
        <f t="shared" si="19"/>
      </c>
      <c r="DD242">
        <f t="shared" si="20"/>
      </c>
      <c r="DE242">
        <f t="shared" si="21"/>
      </c>
      <c r="DF242">
        <f t="shared" si="22"/>
      </c>
      <c r="DG242">
        <f t="shared" si="23"/>
      </c>
      <c r="DH242">
        <f t="shared" si="24"/>
      </c>
      <c r="DI242">
        <f t="shared" si="1"/>
      </c>
    </row>
    <row r="243" ht="15" customHeight="1">
      <c r="B243">
        <f t="shared" si="2"/>
      </c>
      <c r="R243">
        <f t="shared" si="3"/>
        <v>0</v>
      </c>
      <c r="S243">
        <f t="shared" si="4"/>
        <v>0</v>
      </c>
      <c r="T243">
        <f t="shared" si="5"/>
        <v>0</v>
      </c>
      <c r="U243">
        <f t="shared" si="6"/>
        <v>0</v>
      </c>
      <c r="V243">
        <f t="shared" si="7"/>
        <v>0</v>
      </c>
      <c r="W243">
        <f t="shared" si="8"/>
        <v>0</v>
      </c>
      <c r="X243">
        <f t="shared" si="9"/>
        <v>0</v>
      </c>
      <c r="Y243">
        <f t="shared" si="10"/>
        <v>0</v>
      </c>
      <c r="Z243">
        <f t="shared" si="11"/>
        <v>0</v>
      </c>
      <c r="AA243">
        <f t="shared" si="12"/>
        <v>0</v>
      </c>
      <c r="AB243">
        <f t="shared" si="13"/>
        <v>0</v>
      </c>
      <c r="AC243">
        <f t="shared" si="14"/>
        <v>0</v>
      </c>
      <c r="AE243">
        <f t="shared" si="0"/>
      </c>
      <c r="AV243">
        <f t="shared" si="15"/>
      </c>
      <c r="BM243">
        <f t="shared" si="16"/>
      </c>
      <c r="CD243">
        <f t="shared" si="0"/>
      </c>
      <c r="CZ243">
        <f t="shared" si="17"/>
      </c>
      <c r="DA243">
        <f t="shared" si="1"/>
      </c>
      <c r="DB243">
        <f t="shared" si="18"/>
      </c>
      <c r="DC243">
        <f t="shared" si="19"/>
      </c>
      <c r="DD243">
        <f t="shared" si="20"/>
      </c>
      <c r="DE243">
        <f t="shared" si="21"/>
      </c>
      <c r="DF243">
        <f t="shared" si="22"/>
      </c>
      <c r="DG243">
        <f t="shared" si="23"/>
      </c>
      <c r="DH243">
        <f t="shared" si="24"/>
      </c>
      <c r="DI243">
        <f t="shared" si="1"/>
      </c>
    </row>
    <row r="244" ht="15" customHeight="1">
      <c r="B244">
        <f t="shared" si="2"/>
      </c>
      <c r="R244">
        <f t="shared" si="3"/>
        <v>0</v>
      </c>
      <c r="S244">
        <f t="shared" si="4"/>
        <v>0</v>
      </c>
      <c r="T244">
        <f t="shared" si="5"/>
        <v>0</v>
      </c>
      <c r="U244">
        <f t="shared" si="6"/>
        <v>0</v>
      </c>
      <c r="V244">
        <f t="shared" si="7"/>
        <v>0</v>
      </c>
      <c r="W244">
        <f t="shared" si="8"/>
        <v>0</v>
      </c>
      <c r="X244">
        <f t="shared" si="9"/>
        <v>0</v>
      </c>
      <c r="Y244">
        <f t="shared" si="10"/>
        <v>0</v>
      </c>
      <c r="Z244">
        <f t="shared" si="11"/>
        <v>0</v>
      </c>
      <c r="AA244">
        <f t="shared" si="12"/>
        <v>0</v>
      </c>
      <c r="AB244">
        <f t="shared" si="13"/>
        <v>0</v>
      </c>
      <c r="AC244">
        <f t="shared" si="14"/>
        <v>0</v>
      </c>
      <c r="AE244">
        <f t="shared" si="0"/>
      </c>
      <c r="AV244">
        <f t="shared" si="15"/>
      </c>
      <c r="BM244">
        <f t="shared" si="16"/>
      </c>
      <c r="CD244">
        <f t="shared" si="0"/>
      </c>
      <c r="CZ244">
        <f t="shared" si="17"/>
      </c>
      <c r="DA244">
        <f t="shared" si="1"/>
      </c>
      <c r="DB244">
        <f t="shared" si="18"/>
      </c>
      <c r="DC244">
        <f t="shared" si="19"/>
      </c>
      <c r="DD244">
        <f t="shared" si="20"/>
      </c>
      <c r="DE244">
        <f t="shared" si="21"/>
      </c>
      <c r="DF244">
        <f t="shared" si="22"/>
      </c>
      <c r="DG244">
        <f t="shared" si="23"/>
      </c>
      <c r="DH244">
        <f t="shared" si="24"/>
      </c>
      <c r="DI244">
        <f t="shared" si="1"/>
      </c>
    </row>
    <row r="245" ht="15" customHeight="1">
      <c r="B245">
        <f t="shared" si="2"/>
      </c>
      <c r="R245">
        <f t="shared" si="3"/>
        <v>0</v>
      </c>
      <c r="S245">
        <f t="shared" si="4"/>
        <v>0</v>
      </c>
      <c r="T245">
        <f t="shared" si="5"/>
        <v>0</v>
      </c>
      <c r="U245">
        <f t="shared" si="6"/>
        <v>0</v>
      </c>
      <c r="V245">
        <f t="shared" si="7"/>
        <v>0</v>
      </c>
      <c r="W245">
        <f t="shared" si="8"/>
        <v>0</v>
      </c>
      <c r="X245">
        <f t="shared" si="9"/>
        <v>0</v>
      </c>
      <c r="Y245">
        <f t="shared" si="10"/>
        <v>0</v>
      </c>
      <c r="Z245">
        <f t="shared" si="11"/>
        <v>0</v>
      </c>
      <c r="AA245">
        <f t="shared" si="12"/>
        <v>0</v>
      </c>
      <c r="AB245">
        <f t="shared" si="13"/>
        <v>0</v>
      </c>
      <c r="AC245">
        <f t="shared" si="14"/>
        <v>0</v>
      </c>
      <c r="AE245">
        <f t="shared" si="0"/>
      </c>
      <c r="AV245">
        <f t="shared" si="15"/>
      </c>
      <c r="BM245">
        <f t="shared" si="16"/>
      </c>
      <c r="CD245">
        <f t="shared" si="0"/>
      </c>
      <c r="CZ245">
        <f t="shared" si="17"/>
      </c>
      <c r="DA245">
        <f t="shared" si="1"/>
      </c>
      <c r="DB245">
        <f t="shared" si="18"/>
      </c>
      <c r="DC245">
        <f t="shared" si="19"/>
      </c>
      <c r="DD245">
        <f t="shared" si="20"/>
      </c>
      <c r="DE245">
        <f t="shared" si="21"/>
      </c>
      <c r="DF245">
        <f t="shared" si="22"/>
      </c>
      <c r="DG245">
        <f t="shared" si="23"/>
      </c>
      <c r="DH245">
        <f t="shared" si="24"/>
      </c>
      <c r="DI245">
        <f t="shared" si="1"/>
      </c>
    </row>
    <row r="246" ht="15" customHeight="1">
      <c r="B246">
        <f t="shared" si="2"/>
      </c>
      <c r="R246">
        <f t="shared" si="3"/>
        <v>0</v>
      </c>
      <c r="S246">
        <f t="shared" si="4"/>
        <v>0</v>
      </c>
      <c r="T246">
        <f t="shared" si="5"/>
        <v>0</v>
      </c>
      <c r="U246">
        <f t="shared" si="6"/>
        <v>0</v>
      </c>
      <c r="V246">
        <f t="shared" si="7"/>
        <v>0</v>
      </c>
      <c r="W246">
        <f t="shared" si="8"/>
        <v>0</v>
      </c>
      <c r="X246">
        <f t="shared" si="9"/>
        <v>0</v>
      </c>
      <c r="Y246">
        <f t="shared" si="10"/>
        <v>0</v>
      </c>
      <c r="Z246">
        <f t="shared" si="11"/>
        <v>0</v>
      </c>
      <c r="AA246">
        <f t="shared" si="12"/>
        <v>0</v>
      </c>
      <c r="AB246">
        <f t="shared" si="13"/>
        <v>0</v>
      </c>
      <c r="AC246">
        <f t="shared" si="14"/>
        <v>0</v>
      </c>
      <c r="AE246">
        <f t="shared" si="0"/>
      </c>
      <c r="AV246">
        <f t="shared" si="15"/>
      </c>
      <c r="BM246">
        <f t="shared" si="16"/>
      </c>
      <c r="CD246">
        <f t="shared" si="0"/>
      </c>
      <c r="CZ246">
        <f t="shared" si="17"/>
      </c>
      <c r="DA246">
        <f t="shared" si="1"/>
      </c>
      <c r="DB246">
        <f t="shared" si="18"/>
      </c>
      <c r="DC246">
        <f t="shared" si="19"/>
      </c>
      <c r="DD246">
        <f t="shared" si="20"/>
      </c>
      <c r="DE246">
        <f t="shared" si="21"/>
      </c>
      <c r="DF246">
        <f t="shared" si="22"/>
      </c>
      <c r="DG246">
        <f t="shared" si="23"/>
      </c>
      <c r="DH246">
        <f t="shared" si="24"/>
      </c>
      <c r="DI246">
        <f t="shared" si="1"/>
      </c>
    </row>
    <row r="247" ht="15" customHeight="1">
      <c r="B247">
        <f t="shared" si="2"/>
      </c>
      <c r="R247">
        <f t="shared" si="3"/>
        <v>0</v>
      </c>
      <c r="S247">
        <f t="shared" si="4"/>
        <v>0</v>
      </c>
      <c r="T247">
        <f t="shared" si="5"/>
        <v>0</v>
      </c>
      <c r="U247">
        <f t="shared" si="6"/>
        <v>0</v>
      </c>
      <c r="V247">
        <f t="shared" si="7"/>
        <v>0</v>
      </c>
      <c r="W247">
        <f t="shared" si="8"/>
        <v>0</v>
      </c>
      <c r="X247">
        <f t="shared" si="9"/>
        <v>0</v>
      </c>
      <c r="Y247">
        <f t="shared" si="10"/>
        <v>0</v>
      </c>
      <c r="Z247">
        <f t="shared" si="11"/>
        <v>0</v>
      </c>
      <c r="AA247">
        <f t="shared" si="12"/>
        <v>0</v>
      </c>
      <c r="AB247">
        <f t="shared" si="13"/>
        <v>0</v>
      </c>
      <c r="AC247">
        <f t="shared" si="14"/>
        <v>0</v>
      </c>
      <c r="AE247">
        <f t="shared" si="0"/>
      </c>
      <c r="AV247">
        <f t="shared" si="15"/>
      </c>
      <c r="BM247">
        <f t="shared" si="16"/>
      </c>
      <c r="CD247">
        <f t="shared" si="0"/>
      </c>
      <c r="CZ247">
        <f t="shared" si="17"/>
      </c>
      <c r="DA247">
        <f t="shared" si="1"/>
      </c>
      <c r="DB247">
        <f t="shared" si="18"/>
      </c>
      <c r="DC247">
        <f t="shared" si="19"/>
      </c>
      <c r="DD247">
        <f t="shared" si="20"/>
      </c>
      <c r="DE247">
        <f t="shared" si="21"/>
      </c>
      <c r="DF247">
        <f t="shared" si="22"/>
      </c>
      <c r="DG247">
        <f t="shared" si="23"/>
      </c>
      <c r="DH247">
        <f t="shared" si="24"/>
      </c>
      <c r="DI247">
        <f t="shared" si="1"/>
      </c>
    </row>
    <row r="248" ht="15" customHeight="1">
      <c r="B248">
        <f t="shared" si="2"/>
      </c>
      <c r="R248">
        <f t="shared" si="3"/>
        <v>0</v>
      </c>
      <c r="S248">
        <f t="shared" si="4"/>
        <v>0</v>
      </c>
      <c r="T248">
        <f t="shared" si="5"/>
        <v>0</v>
      </c>
      <c r="U248">
        <f t="shared" si="6"/>
        <v>0</v>
      </c>
      <c r="V248">
        <f t="shared" si="7"/>
        <v>0</v>
      </c>
      <c r="W248">
        <f t="shared" si="8"/>
        <v>0</v>
      </c>
      <c r="X248">
        <f t="shared" si="9"/>
        <v>0</v>
      </c>
      <c r="Y248">
        <f t="shared" si="10"/>
        <v>0</v>
      </c>
      <c r="Z248">
        <f t="shared" si="11"/>
        <v>0</v>
      </c>
      <c r="AA248">
        <f t="shared" si="12"/>
        <v>0</v>
      </c>
      <c r="AB248">
        <f t="shared" si="13"/>
        <v>0</v>
      </c>
      <c r="AC248">
        <f t="shared" si="14"/>
        <v>0</v>
      </c>
      <c r="AE248">
        <f t="shared" si="0"/>
      </c>
      <c r="AV248">
        <f t="shared" si="15"/>
      </c>
      <c r="BM248">
        <f t="shared" si="16"/>
      </c>
      <c r="CD248">
        <f t="shared" si="0"/>
      </c>
      <c r="CZ248">
        <f t="shared" si="17"/>
      </c>
      <c r="DA248">
        <f t="shared" si="1"/>
      </c>
      <c r="DB248">
        <f t="shared" si="18"/>
      </c>
      <c r="DC248">
        <f t="shared" si="19"/>
      </c>
      <c r="DD248">
        <f t="shared" si="20"/>
      </c>
      <c r="DE248">
        <f t="shared" si="21"/>
      </c>
      <c r="DF248">
        <f t="shared" si="22"/>
      </c>
      <c r="DG248">
        <f t="shared" si="23"/>
      </c>
      <c r="DH248">
        <f t="shared" si="24"/>
      </c>
      <c r="DI248">
        <f t="shared" si="1"/>
      </c>
    </row>
    <row r="249" ht="15" customHeight="1">
      <c r="B249">
        <f t="shared" si="2"/>
      </c>
      <c r="R249">
        <f t="shared" si="3"/>
        <v>0</v>
      </c>
      <c r="S249">
        <f t="shared" si="4"/>
        <v>0</v>
      </c>
      <c r="T249">
        <f t="shared" si="5"/>
        <v>0</v>
      </c>
      <c r="U249">
        <f t="shared" si="6"/>
        <v>0</v>
      </c>
      <c r="V249">
        <f t="shared" si="7"/>
        <v>0</v>
      </c>
      <c r="W249">
        <f t="shared" si="8"/>
        <v>0</v>
      </c>
      <c r="X249">
        <f t="shared" si="9"/>
        <v>0</v>
      </c>
      <c r="Y249">
        <f t="shared" si="10"/>
        <v>0</v>
      </c>
      <c r="Z249">
        <f t="shared" si="11"/>
        <v>0</v>
      </c>
      <c r="AA249">
        <f t="shared" si="12"/>
        <v>0</v>
      </c>
      <c r="AB249">
        <f t="shared" si="13"/>
        <v>0</v>
      </c>
      <c r="AC249">
        <f t="shared" si="14"/>
        <v>0</v>
      </c>
      <c r="AE249">
        <f t="shared" si="0"/>
      </c>
      <c r="AV249">
        <f t="shared" si="15"/>
      </c>
      <c r="BM249">
        <f t="shared" si="16"/>
      </c>
      <c r="CD249">
        <f t="shared" si="0"/>
      </c>
      <c r="CZ249">
        <f t="shared" si="17"/>
      </c>
      <c r="DA249">
        <f t="shared" si="1"/>
      </c>
      <c r="DB249">
        <f t="shared" si="18"/>
      </c>
      <c r="DC249">
        <f t="shared" si="19"/>
      </c>
      <c r="DD249">
        <f t="shared" si="20"/>
      </c>
      <c r="DE249">
        <f t="shared" si="21"/>
      </c>
      <c r="DF249">
        <f t="shared" si="22"/>
      </c>
      <c r="DG249">
        <f t="shared" si="23"/>
      </c>
      <c r="DH249">
        <f t="shared" si="24"/>
      </c>
      <c r="DI249">
        <f t="shared" si="1"/>
      </c>
    </row>
    <row r="250" ht="15" customHeight="1">
      <c r="B250">
        <f t="shared" si="2"/>
      </c>
      <c r="R250">
        <f t="shared" si="3"/>
        <v>0</v>
      </c>
      <c r="S250">
        <f t="shared" si="4"/>
        <v>0</v>
      </c>
      <c r="T250">
        <f t="shared" si="5"/>
        <v>0</v>
      </c>
      <c r="U250">
        <f t="shared" si="6"/>
        <v>0</v>
      </c>
      <c r="V250">
        <f t="shared" si="7"/>
        <v>0</v>
      </c>
      <c r="W250">
        <f t="shared" si="8"/>
        <v>0</v>
      </c>
      <c r="X250">
        <f t="shared" si="9"/>
        <v>0</v>
      </c>
      <c r="Y250">
        <f t="shared" si="10"/>
        <v>0</v>
      </c>
      <c r="Z250">
        <f t="shared" si="11"/>
        <v>0</v>
      </c>
      <c r="AA250">
        <f t="shared" si="12"/>
        <v>0</v>
      </c>
      <c r="AB250">
        <f t="shared" si="13"/>
        <v>0</v>
      </c>
      <c r="AC250">
        <f t="shared" si="14"/>
        <v>0</v>
      </c>
      <c r="AE250">
        <f t="shared" si="0"/>
      </c>
      <c r="AV250">
        <f t="shared" si="15"/>
      </c>
      <c r="BM250">
        <f t="shared" si="16"/>
      </c>
      <c r="CD250">
        <f t="shared" si="0"/>
      </c>
      <c r="CZ250">
        <f t="shared" si="17"/>
      </c>
      <c r="DA250">
        <f t="shared" si="1"/>
      </c>
      <c r="DB250">
        <f t="shared" si="18"/>
      </c>
      <c r="DC250">
        <f t="shared" si="19"/>
      </c>
      <c r="DD250">
        <f t="shared" si="20"/>
      </c>
      <c r="DE250">
        <f t="shared" si="21"/>
      </c>
      <c r="DF250">
        <f t="shared" si="22"/>
      </c>
      <c r="DG250">
        <f t="shared" si="23"/>
      </c>
      <c r="DH250">
        <f t="shared" si="24"/>
      </c>
      <c r="DI250">
        <f t="shared" si="1"/>
      </c>
    </row>
    <row r="251" ht="15" customHeight="1">
      <c r="B251">
        <f t="shared" si="2"/>
      </c>
      <c r="R251">
        <f t="shared" si="3"/>
        <v>0</v>
      </c>
      <c r="S251">
        <f t="shared" si="4"/>
        <v>0</v>
      </c>
      <c r="T251">
        <f t="shared" si="5"/>
        <v>0</v>
      </c>
      <c r="U251">
        <f t="shared" si="6"/>
        <v>0</v>
      </c>
      <c r="V251">
        <f t="shared" si="7"/>
        <v>0</v>
      </c>
      <c r="W251">
        <f t="shared" si="8"/>
        <v>0</v>
      </c>
      <c r="X251">
        <f t="shared" si="9"/>
        <v>0</v>
      </c>
      <c r="Y251">
        <f t="shared" si="10"/>
        <v>0</v>
      </c>
      <c r="Z251">
        <f t="shared" si="11"/>
        <v>0</v>
      </c>
      <c r="AA251">
        <f t="shared" si="12"/>
        <v>0</v>
      </c>
      <c r="AB251">
        <f t="shared" si="13"/>
        <v>0</v>
      </c>
      <c r="AC251">
        <f t="shared" si="14"/>
        <v>0</v>
      </c>
      <c r="AE251">
        <f t="shared" si="0"/>
      </c>
      <c r="AV251">
        <f t="shared" si="15"/>
      </c>
      <c r="BM251">
        <f t="shared" si="16"/>
      </c>
      <c r="CD251">
        <f t="shared" si="0"/>
      </c>
      <c r="CZ251">
        <f t="shared" si="17"/>
      </c>
      <c r="DA251">
        <f t="shared" si="1"/>
      </c>
      <c r="DB251">
        <f t="shared" si="18"/>
      </c>
      <c r="DC251">
        <f t="shared" si="19"/>
      </c>
      <c r="DD251">
        <f t="shared" si="20"/>
      </c>
      <c r="DE251">
        <f t="shared" si="21"/>
      </c>
      <c r="DF251">
        <f t="shared" si="22"/>
      </c>
      <c r="DG251">
        <f t="shared" si="23"/>
      </c>
      <c r="DH251">
        <f t="shared" si="24"/>
      </c>
      <c r="DI251">
        <f t="shared" si="1"/>
      </c>
    </row>
    <row r="252" ht="15" customHeight="1">
      <c r="B252">
        <f t="shared" si="2"/>
      </c>
      <c r="R252">
        <f t="shared" si="3"/>
        <v>0</v>
      </c>
      <c r="S252">
        <f t="shared" si="4"/>
        <v>0</v>
      </c>
      <c r="T252">
        <f t="shared" si="5"/>
        <v>0</v>
      </c>
      <c r="U252">
        <f t="shared" si="6"/>
        <v>0</v>
      </c>
      <c r="V252">
        <f t="shared" si="7"/>
        <v>0</v>
      </c>
      <c r="W252">
        <f t="shared" si="8"/>
        <v>0</v>
      </c>
      <c r="X252">
        <f t="shared" si="9"/>
        <v>0</v>
      </c>
      <c r="Y252">
        <f t="shared" si="10"/>
        <v>0</v>
      </c>
      <c r="Z252">
        <f t="shared" si="11"/>
        <v>0</v>
      </c>
      <c r="AA252">
        <f t="shared" si="12"/>
        <v>0</v>
      </c>
      <c r="AB252">
        <f t="shared" si="13"/>
        <v>0</v>
      </c>
      <c r="AC252">
        <f t="shared" si="14"/>
        <v>0</v>
      </c>
      <c r="AE252">
        <f t="shared" si="0"/>
      </c>
      <c r="AV252">
        <f t="shared" si="15"/>
      </c>
      <c r="BM252">
        <f t="shared" si="16"/>
      </c>
      <c r="CD252">
        <f t="shared" si="0"/>
      </c>
      <c r="CZ252">
        <f t="shared" si="17"/>
      </c>
      <c r="DA252">
        <f t="shared" si="1"/>
      </c>
      <c r="DB252">
        <f t="shared" si="18"/>
      </c>
      <c r="DC252">
        <f t="shared" si="19"/>
      </c>
      <c r="DD252">
        <f t="shared" si="20"/>
      </c>
      <c r="DE252">
        <f t="shared" si="21"/>
      </c>
      <c r="DF252">
        <f t="shared" si="22"/>
      </c>
      <c r="DG252">
        <f t="shared" si="23"/>
      </c>
      <c r="DH252">
        <f t="shared" si="24"/>
      </c>
      <c r="DI252">
        <f t="shared" si="1"/>
      </c>
    </row>
    <row r="253" ht="15" customHeight="1">
      <c r="B253">
        <f t="shared" si="2"/>
      </c>
      <c r="R253">
        <f t="shared" si="3"/>
        <v>0</v>
      </c>
      <c r="S253">
        <f t="shared" si="4"/>
        <v>0</v>
      </c>
      <c r="T253">
        <f t="shared" si="5"/>
        <v>0</v>
      </c>
      <c r="U253">
        <f t="shared" si="6"/>
        <v>0</v>
      </c>
      <c r="V253">
        <f t="shared" si="7"/>
        <v>0</v>
      </c>
      <c r="W253">
        <f t="shared" si="8"/>
        <v>0</v>
      </c>
      <c r="X253">
        <f t="shared" si="9"/>
        <v>0</v>
      </c>
      <c r="Y253">
        <f t="shared" si="10"/>
        <v>0</v>
      </c>
      <c r="Z253">
        <f t="shared" si="11"/>
        <v>0</v>
      </c>
      <c r="AA253">
        <f t="shared" si="12"/>
        <v>0</v>
      </c>
      <c r="AB253">
        <f t="shared" si="13"/>
        <v>0</v>
      </c>
      <c r="AC253">
        <f t="shared" si="14"/>
        <v>0</v>
      </c>
      <c r="AE253">
        <f t="shared" si="0"/>
      </c>
      <c r="AV253">
        <f t="shared" si="15"/>
      </c>
      <c r="BM253">
        <f t="shared" si="16"/>
      </c>
      <c r="CD253">
        <f t="shared" si="0"/>
      </c>
      <c r="CZ253">
        <f t="shared" si="17"/>
      </c>
      <c r="DA253">
        <f t="shared" si="1"/>
      </c>
      <c r="DB253">
        <f t="shared" si="18"/>
      </c>
      <c r="DC253">
        <f t="shared" si="19"/>
      </c>
      <c r="DD253">
        <f t="shared" si="20"/>
      </c>
      <c r="DE253">
        <f t="shared" si="21"/>
      </c>
      <c r="DF253">
        <f t="shared" si="22"/>
      </c>
      <c r="DG253">
        <f t="shared" si="23"/>
      </c>
      <c r="DH253">
        <f t="shared" si="24"/>
      </c>
      <c r="DI253">
        <f t="shared" si="1"/>
      </c>
    </row>
    <row r="254" ht="15" customHeight="1">
      <c r="B254">
        <f t="shared" si="2"/>
      </c>
      <c r="R254">
        <f t="shared" si="3"/>
        <v>0</v>
      </c>
      <c r="S254">
        <f t="shared" si="4"/>
        <v>0</v>
      </c>
      <c r="T254">
        <f t="shared" si="5"/>
        <v>0</v>
      </c>
      <c r="U254">
        <f t="shared" si="6"/>
        <v>0</v>
      </c>
      <c r="V254">
        <f t="shared" si="7"/>
        <v>0</v>
      </c>
      <c r="W254">
        <f t="shared" si="8"/>
        <v>0</v>
      </c>
      <c r="X254">
        <f t="shared" si="9"/>
        <v>0</v>
      </c>
      <c r="Y254">
        <f t="shared" si="10"/>
        <v>0</v>
      </c>
      <c r="Z254">
        <f t="shared" si="11"/>
        <v>0</v>
      </c>
      <c r="AA254">
        <f t="shared" si="12"/>
        <v>0</v>
      </c>
      <c r="AB254">
        <f t="shared" si="13"/>
        <v>0</v>
      </c>
      <c r="AC254">
        <f t="shared" si="14"/>
        <v>0</v>
      </c>
      <c r="AE254">
        <f t="shared" si="0"/>
      </c>
      <c r="AV254">
        <f t="shared" si="15"/>
      </c>
      <c r="BM254">
        <f t="shared" si="16"/>
      </c>
      <c r="CD254">
        <f t="shared" si="0"/>
      </c>
      <c r="CZ254">
        <f t="shared" si="17"/>
      </c>
      <c r="DA254">
        <f t="shared" si="1"/>
      </c>
      <c r="DB254">
        <f t="shared" si="18"/>
      </c>
      <c r="DC254">
        <f t="shared" si="19"/>
      </c>
      <c r="DD254">
        <f t="shared" si="20"/>
      </c>
      <c r="DE254">
        <f t="shared" si="21"/>
      </c>
      <c r="DF254">
        <f t="shared" si="22"/>
      </c>
      <c r="DG254">
        <f t="shared" si="23"/>
      </c>
      <c r="DH254">
        <f t="shared" si="24"/>
      </c>
      <c r="DI254">
        <f t="shared" si="1"/>
      </c>
    </row>
    <row r="255" ht="15" customHeight="1">
      <c r="B255">
        <f t="shared" si="2"/>
      </c>
      <c r="R255">
        <f t="shared" si="3"/>
        <v>0</v>
      </c>
      <c r="S255">
        <f t="shared" si="4"/>
        <v>0</v>
      </c>
      <c r="T255">
        <f t="shared" si="5"/>
        <v>0</v>
      </c>
      <c r="U255">
        <f t="shared" si="6"/>
        <v>0</v>
      </c>
      <c r="V255">
        <f t="shared" si="7"/>
        <v>0</v>
      </c>
      <c r="W255">
        <f t="shared" si="8"/>
        <v>0</v>
      </c>
      <c r="X255">
        <f t="shared" si="9"/>
        <v>0</v>
      </c>
      <c r="Y255">
        <f t="shared" si="10"/>
        <v>0</v>
      </c>
      <c r="Z255">
        <f t="shared" si="11"/>
        <v>0</v>
      </c>
      <c r="AA255">
        <f t="shared" si="12"/>
        <v>0</v>
      </c>
      <c r="AB255">
        <f t="shared" si="13"/>
        <v>0</v>
      </c>
      <c r="AC255">
        <f t="shared" si="14"/>
        <v>0</v>
      </c>
      <c r="AE255">
        <f t="shared" si="0"/>
      </c>
      <c r="AV255">
        <f t="shared" si="15"/>
      </c>
      <c r="BM255">
        <f t="shared" si="16"/>
      </c>
      <c r="CD255">
        <f t="shared" si="0"/>
      </c>
      <c r="CZ255">
        <f t="shared" si="17"/>
      </c>
      <c r="DA255">
        <f t="shared" si="1"/>
      </c>
      <c r="DB255">
        <f t="shared" si="18"/>
      </c>
      <c r="DC255">
        <f t="shared" si="19"/>
      </c>
      <c r="DD255">
        <f t="shared" si="20"/>
      </c>
      <c r="DE255">
        <f t="shared" si="21"/>
      </c>
      <c r="DF255">
        <f t="shared" si="22"/>
      </c>
      <c r="DG255">
        <f t="shared" si="23"/>
      </c>
      <c r="DH255">
        <f t="shared" si="24"/>
      </c>
      <c r="DI255">
        <f t="shared" si="1"/>
      </c>
    </row>
    <row r="256" ht="15" customHeight="1">
      <c r="B256">
        <f t="shared" si="2"/>
      </c>
      <c r="R256">
        <f t="shared" si="3"/>
        <v>0</v>
      </c>
      <c r="S256">
        <f t="shared" si="4"/>
        <v>0</v>
      </c>
      <c r="T256">
        <f t="shared" si="5"/>
        <v>0</v>
      </c>
      <c r="U256">
        <f t="shared" si="6"/>
        <v>0</v>
      </c>
      <c r="V256">
        <f t="shared" si="7"/>
        <v>0</v>
      </c>
      <c r="W256">
        <f t="shared" si="8"/>
        <v>0</v>
      </c>
      <c r="X256">
        <f t="shared" si="9"/>
        <v>0</v>
      </c>
      <c r="Y256">
        <f t="shared" si="10"/>
        <v>0</v>
      </c>
      <c r="Z256">
        <f t="shared" si="11"/>
        <v>0</v>
      </c>
      <c r="AA256">
        <f t="shared" si="12"/>
        <v>0</v>
      </c>
      <c r="AB256">
        <f t="shared" si="13"/>
        <v>0</v>
      </c>
      <c r="AC256">
        <f t="shared" si="14"/>
        <v>0</v>
      </c>
      <c r="AE256">
        <f t="shared" si="0"/>
      </c>
      <c r="AV256">
        <f t="shared" si="15"/>
      </c>
      <c r="BM256">
        <f t="shared" si="16"/>
      </c>
      <c r="CD256">
        <f t="shared" si="0"/>
      </c>
      <c r="CZ256">
        <f t="shared" si="17"/>
      </c>
      <c r="DA256">
        <f t="shared" si="1"/>
      </c>
      <c r="DB256">
        <f t="shared" si="18"/>
      </c>
      <c r="DC256">
        <f t="shared" si="19"/>
      </c>
      <c r="DD256">
        <f t="shared" si="20"/>
      </c>
      <c r="DE256">
        <f t="shared" si="21"/>
      </c>
      <c r="DF256">
        <f t="shared" si="22"/>
      </c>
      <c r="DG256">
        <f t="shared" si="23"/>
      </c>
      <c r="DH256">
        <f t="shared" si="24"/>
      </c>
      <c r="DI256">
        <f t="shared" si="1"/>
      </c>
    </row>
    <row r="257" ht="15" customHeight="1">
      <c r="B257">
        <f t="shared" si="2"/>
      </c>
      <c r="R257">
        <f t="shared" si="3"/>
        <v>0</v>
      </c>
      <c r="S257">
        <f t="shared" si="4"/>
        <v>0</v>
      </c>
      <c r="T257">
        <f t="shared" si="5"/>
        <v>0</v>
      </c>
      <c r="U257">
        <f t="shared" si="6"/>
        <v>0</v>
      </c>
      <c r="V257">
        <f t="shared" si="7"/>
        <v>0</v>
      </c>
      <c r="W257">
        <f t="shared" si="8"/>
        <v>0</v>
      </c>
      <c r="X257">
        <f t="shared" si="9"/>
        <v>0</v>
      </c>
      <c r="Y257">
        <f t="shared" si="10"/>
        <v>0</v>
      </c>
      <c r="Z257">
        <f t="shared" si="11"/>
        <v>0</v>
      </c>
      <c r="AA257">
        <f t="shared" si="12"/>
        <v>0</v>
      </c>
      <c r="AB257">
        <f t="shared" si="13"/>
        <v>0</v>
      </c>
      <c r="AC257">
        <f t="shared" si="14"/>
        <v>0</v>
      </c>
      <c r="AE257">
        <f t="shared" si="0"/>
      </c>
      <c r="AV257">
        <f t="shared" si="15"/>
      </c>
      <c r="BM257">
        <f t="shared" si="16"/>
      </c>
      <c r="CD257">
        <f t="shared" si="0"/>
      </c>
      <c r="CZ257">
        <f t="shared" si="17"/>
      </c>
      <c r="DA257">
        <f t="shared" si="1"/>
      </c>
      <c r="DB257">
        <f t="shared" si="18"/>
      </c>
      <c r="DC257">
        <f t="shared" si="19"/>
      </c>
      <c r="DD257">
        <f t="shared" si="20"/>
      </c>
      <c r="DE257">
        <f t="shared" si="21"/>
      </c>
      <c r="DF257">
        <f t="shared" si="22"/>
      </c>
      <c r="DG257">
        <f t="shared" si="23"/>
      </c>
      <c r="DH257">
        <f t="shared" si="24"/>
      </c>
      <c r="DI257">
        <f t="shared" si="1"/>
      </c>
    </row>
    <row r="258" ht="15" customHeight="1">
      <c r="B258">
        <f t="shared" si="2"/>
      </c>
      <c r="R258">
        <f t="shared" si="3"/>
        <v>0</v>
      </c>
      <c r="S258">
        <f t="shared" si="4"/>
        <v>0</v>
      </c>
      <c r="T258">
        <f t="shared" si="5"/>
        <v>0</v>
      </c>
      <c r="U258">
        <f t="shared" si="6"/>
        <v>0</v>
      </c>
      <c r="V258">
        <f t="shared" si="7"/>
        <v>0</v>
      </c>
      <c r="W258">
        <f t="shared" si="8"/>
        <v>0</v>
      </c>
      <c r="X258">
        <f t="shared" si="9"/>
        <v>0</v>
      </c>
      <c r="Y258">
        <f t="shared" si="10"/>
        <v>0</v>
      </c>
      <c r="Z258">
        <f t="shared" si="11"/>
        <v>0</v>
      </c>
      <c r="AA258">
        <f t="shared" si="12"/>
        <v>0</v>
      </c>
      <c r="AB258">
        <f t="shared" si="13"/>
        <v>0</v>
      </c>
      <c r="AC258">
        <f t="shared" si="14"/>
        <v>0</v>
      </c>
      <c r="AE258">
        <f t="shared" si="0"/>
      </c>
      <c r="AV258">
        <f t="shared" si="15"/>
      </c>
      <c r="BM258">
        <f t="shared" si="16"/>
      </c>
      <c r="CD258">
        <f t="shared" si="0"/>
      </c>
      <c r="CZ258">
        <f t="shared" si="17"/>
      </c>
      <c r="DA258">
        <f t="shared" si="1"/>
      </c>
      <c r="DB258">
        <f t="shared" si="18"/>
      </c>
      <c r="DC258">
        <f t="shared" si="19"/>
      </c>
      <c r="DD258">
        <f t="shared" si="20"/>
      </c>
      <c r="DE258">
        <f t="shared" si="21"/>
      </c>
      <c r="DF258">
        <f t="shared" si="22"/>
      </c>
      <c r="DG258">
        <f t="shared" si="23"/>
      </c>
      <c r="DH258">
        <f t="shared" si="24"/>
      </c>
      <c r="DI258">
        <f t="shared" si="1"/>
      </c>
    </row>
    <row r="259" ht="15" customHeight="1">
      <c r="B259">
        <f t="shared" si="2"/>
      </c>
      <c r="R259">
        <f t="shared" si="3"/>
        <v>0</v>
      </c>
      <c r="S259">
        <f t="shared" si="4"/>
        <v>0</v>
      </c>
      <c r="T259">
        <f t="shared" si="5"/>
        <v>0</v>
      </c>
      <c r="U259">
        <f t="shared" si="6"/>
        <v>0</v>
      </c>
      <c r="V259">
        <f t="shared" si="7"/>
        <v>0</v>
      </c>
      <c r="W259">
        <f t="shared" si="8"/>
        <v>0</v>
      </c>
      <c r="X259">
        <f t="shared" si="9"/>
        <v>0</v>
      </c>
      <c r="Y259">
        <f t="shared" si="10"/>
        <v>0</v>
      </c>
      <c r="Z259">
        <f t="shared" si="11"/>
        <v>0</v>
      </c>
      <c r="AA259">
        <f t="shared" si="12"/>
        <v>0</v>
      </c>
      <c r="AB259">
        <f t="shared" si="13"/>
        <v>0</v>
      </c>
      <c r="AC259">
        <f t="shared" si="14"/>
        <v>0</v>
      </c>
      <c r="AE259">
        <f t="shared" si="0"/>
      </c>
      <c r="AV259">
        <f t="shared" si="15"/>
      </c>
      <c r="BM259">
        <f t="shared" si="16"/>
      </c>
      <c r="CD259">
        <f t="shared" si="0"/>
      </c>
      <c r="CZ259">
        <f t="shared" si="17"/>
      </c>
      <c r="DA259">
        <f t="shared" si="1"/>
      </c>
      <c r="DB259">
        <f t="shared" si="18"/>
      </c>
      <c r="DC259">
        <f t="shared" si="19"/>
      </c>
      <c r="DD259">
        <f t="shared" si="20"/>
      </c>
      <c r="DE259">
        <f t="shared" si="21"/>
      </c>
      <c r="DF259">
        <f t="shared" si="22"/>
      </c>
      <c r="DG259">
        <f t="shared" si="23"/>
      </c>
      <c r="DH259">
        <f t="shared" si="24"/>
      </c>
      <c r="DI259">
        <f t="shared" si="1"/>
      </c>
    </row>
    <row r="260" ht="15" customHeight="1">
      <c r="B260">
        <f t="shared" si="2"/>
      </c>
      <c r="R260">
        <f t="shared" si="3"/>
        <v>0</v>
      </c>
      <c r="S260">
        <f t="shared" si="4"/>
        <v>0</v>
      </c>
      <c r="T260">
        <f t="shared" si="5"/>
        <v>0</v>
      </c>
      <c r="U260">
        <f t="shared" si="6"/>
        <v>0</v>
      </c>
      <c r="V260">
        <f t="shared" si="7"/>
        <v>0</v>
      </c>
      <c r="W260">
        <f t="shared" si="8"/>
        <v>0</v>
      </c>
      <c r="X260">
        <f t="shared" si="9"/>
        <v>0</v>
      </c>
      <c r="Y260">
        <f t="shared" si="10"/>
        <v>0</v>
      </c>
      <c r="Z260">
        <f t="shared" si="11"/>
        <v>0</v>
      </c>
      <c r="AA260">
        <f t="shared" si="12"/>
        <v>0</v>
      </c>
      <c r="AB260">
        <f t="shared" si="13"/>
        <v>0</v>
      </c>
      <c r="AC260">
        <f t="shared" si="14"/>
        <v>0</v>
      </c>
      <c r="AE260">
        <f t="shared" si="0"/>
      </c>
      <c r="AV260">
        <f t="shared" si="15"/>
      </c>
      <c r="BM260">
        <f t="shared" si="16"/>
      </c>
      <c r="CD260">
        <f t="shared" si="0"/>
      </c>
      <c r="CZ260">
        <f t="shared" si="17"/>
      </c>
      <c r="DA260">
        <f t="shared" si="1"/>
      </c>
      <c r="DB260">
        <f t="shared" si="18"/>
      </c>
      <c r="DC260">
        <f t="shared" si="19"/>
      </c>
      <c r="DD260">
        <f t="shared" si="20"/>
      </c>
      <c r="DE260">
        <f t="shared" si="21"/>
      </c>
      <c r="DF260">
        <f t="shared" si="22"/>
      </c>
      <c r="DG260">
        <f t="shared" si="23"/>
      </c>
      <c r="DH260">
        <f t="shared" si="24"/>
      </c>
      <c r="DI260">
        <f t="shared" si="1"/>
      </c>
    </row>
    <row r="261" ht="15" customHeight="1">
      <c r="B261">
        <f t="shared" si="2"/>
      </c>
      <c r="R261">
        <f t="shared" si="3"/>
        <v>0</v>
      </c>
      <c r="S261">
        <f t="shared" si="4"/>
        <v>0</v>
      </c>
      <c r="T261">
        <f t="shared" si="5"/>
        <v>0</v>
      </c>
      <c r="U261">
        <f t="shared" si="6"/>
        <v>0</v>
      </c>
      <c r="V261">
        <f t="shared" si="7"/>
        <v>0</v>
      </c>
      <c r="W261">
        <f t="shared" si="8"/>
        <v>0</v>
      </c>
      <c r="X261">
        <f t="shared" si="9"/>
        <v>0</v>
      </c>
      <c r="Y261">
        <f t="shared" si="10"/>
        <v>0</v>
      </c>
      <c r="Z261">
        <f t="shared" si="11"/>
        <v>0</v>
      </c>
      <c r="AA261">
        <f t="shared" si="12"/>
        <v>0</v>
      </c>
      <c r="AB261">
        <f t="shared" si="13"/>
        <v>0</v>
      </c>
      <c r="AC261">
        <f t="shared" si="14"/>
        <v>0</v>
      </c>
      <c r="AE261">
        <f t="shared" si="0"/>
      </c>
      <c r="AV261">
        <f t="shared" si="15"/>
      </c>
      <c r="BM261">
        <f t="shared" si="16"/>
      </c>
      <c r="CD261">
        <f t="shared" si="0"/>
      </c>
      <c r="CZ261">
        <f t="shared" si="17"/>
      </c>
      <c r="DA261">
        <f t="shared" si="1"/>
      </c>
      <c r="DB261">
        <f t="shared" si="18"/>
      </c>
      <c r="DC261">
        <f t="shared" si="19"/>
      </c>
      <c r="DD261">
        <f t="shared" si="20"/>
      </c>
      <c r="DE261">
        <f t="shared" si="21"/>
      </c>
      <c r="DF261">
        <f t="shared" si="22"/>
      </c>
      <c r="DG261">
        <f t="shared" si="23"/>
      </c>
      <c r="DH261">
        <f t="shared" si="24"/>
      </c>
      <c r="DI261">
        <f t="shared" si="1"/>
      </c>
    </row>
    <row r="262" ht="15" customHeight="1">
      <c r="B262">
        <f t="shared" si="2"/>
      </c>
      <c r="R262">
        <f t="shared" si="3"/>
        <v>0</v>
      </c>
      <c r="S262">
        <f t="shared" si="4"/>
        <v>0</v>
      </c>
      <c r="T262">
        <f t="shared" si="5"/>
        <v>0</v>
      </c>
      <c r="U262">
        <f t="shared" si="6"/>
        <v>0</v>
      </c>
      <c r="V262">
        <f t="shared" si="7"/>
        <v>0</v>
      </c>
      <c r="W262">
        <f t="shared" si="8"/>
        <v>0</v>
      </c>
      <c r="X262">
        <f t="shared" si="9"/>
        <v>0</v>
      </c>
      <c r="Y262">
        <f t="shared" si="10"/>
        <v>0</v>
      </c>
      <c r="Z262">
        <f t="shared" si="11"/>
        <v>0</v>
      </c>
      <c r="AA262">
        <f t="shared" si="12"/>
        <v>0</v>
      </c>
      <c r="AB262">
        <f t="shared" si="13"/>
        <v>0</v>
      </c>
      <c r="AC262">
        <f t="shared" si="14"/>
        <v>0</v>
      </c>
      <c r="AE262">
        <f t="shared" si="0"/>
      </c>
      <c r="AV262">
        <f t="shared" si="15"/>
      </c>
      <c r="BM262">
        <f t="shared" si="16"/>
      </c>
      <c r="CD262">
        <f t="shared" si="0"/>
      </c>
      <c r="CZ262">
        <f t="shared" si="17"/>
      </c>
      <c r="DA262">
        <f t="shared" si="1"/>
      </c>
      <c r="DB262">
        <f t="shared" si="18"/>
      </c>
      <c r="DC262">
        <f t="shared" si="19"/>
      </c>
      <c r="DD262">
        <f t="shared" si="20"/>
      </c>
      <c r="DE262">
        <f t="shared" si="21"/>
      </c>
      <c r="DF262">
        <f t="shared" si="22"/>
      </c>
      <c r="DG262">
        <f t="shared" si="23"/>
      </c>
      <c r="DH262">
        <f t="shared" si="24"/>
      </c>
      <c r="DI262">
        <f t="shared" si="1"/>
      </c>
    </row>
    <row r="263" ht="15" customHeight="1">
      <c r="B263">
        <f t="shared" si="2"/>
      </c>
      <c r="R263">
        <f t="shared" si="3"/>
        <v>0</v>
      </c>
      <c r="S263">
        <f t="shared" si="4"/>
        <v>0</v>
      </c>
      <c r="T263">
        <f t="shared" si="5"/>
        <v>0</v>
      </c>
      <c r="U263">
        <f t="shared" si="6"/>
        <v>0</v>
      </c>
      <c r="V263">
        <f t="shared" si="7"/>
        <v>0</v>
      </c>
      <c r="W263">
        <f t="shared" si="8"/>
        <v>0</v>
      </c>
      <c r="X263">
        <f t="shared" si="9"/>
        <v>0</v>
      </c>
      <c r="Y263">
        <f t="shared" si="10"/>
        <v>0</v>
      </c>
      <c r="Z263">
        <f t="shared" si="11"/>
        <v>0</v>
      </c>
      <c r="AA263">
        <f t="shared" si="12"/>
        <v>0</v>
      </c>
      <c r="AB263">
        <f t="shared" si="13"/>
        <v>0</v>
      </c>
      <c r="AC263">
        <f t="shared" si="14"/>
        <v>0</v>
      </c>
      <c r="AE263">
        <f t="shared" si="0"/>
      </c>
      <c r="AV263">
        <f t="shared" si="15"/>
      </c>
      <c r="BM263">
        <f t="shared" si="16"/>
      </c>
      <c r="CD263">
        <f t="shared" si="0"/>
      </c>
      <c r="CZ263">
        <f t="shared" si="17"/>
      </c>
      <c r="DA263">
        <f t="shared" si="1"/>
      </c>
      <c r="DB263">
        <f t="shared" si="18"/>
      </c>
      <c r="DC263">
        <f t="shared" si="19"/>
      </c>
      <c r="DD263">
        <f t="shared" si="20"/>
      </c>
      <c r="DE263">
        <f t="shared" si="21"/>
      </c>
      <c r="DF263">
        <f t="shared" si="22"/>
      </c>
      <c r="DG263">
        <f t="shared" si="23"/>
      </c>
      <c r="DH263">
        <f t="shared" si="24"/>
      </c>
      <c r="DI263">
        <f t="shared" si="1"/>
      </c>
    </row>
    <row r="264" ht="15" customHeight="1">
      <c r="B264">
        <f t="shared" si="2"/>
      </c>
      <c r="R264">
        <f t="shared" si="3"/>
        <v>0</v>
      </c>
      <c r="S264">
        <f t="shared" si="4"/>
        <v>0</v>
      </c>
      <c r="T264">
        <f t="shared" si="5"/>
        <v>0</v>
      </c>
      <c r="U264">
        <f t="shared" si="6"/>
        <v>0</v>
      </c>
      <c r="V264">
        <f t="shared" si="7"/>
        <v>0</v>
      </c>
      <c r="W264">
        <f t="shared" si="8"/>
        <v>0</v>
      </c>
      <c r="X264">
        <f t="shared" si="9"/>
        <v>0</v>
      </c>
      <c r="Y264">
        <f t="shared" si="10"/>
        <v>0</v>
      </c>
      <c r="Z264">
        <f t="shared" si="11"/>
        <v>0</v>
      </c>
      <c r="AA264">
        <f t="shared" si="12"/>
        <v>0</v>
      </c>
      <c r="AB264">
        <f t="shared" si="13"/>
        <v>0</v>
      </c>
      <c r="AC264">
        <f t="shared" si="14"/>
        <v>0</v>
      </c>
      <c r="AE264">
        <f t="shared" si="0"/>
      </c>
      <c r="AV264">
        <f t="shared" si="15"/>
      </c>
      <c r="BM264">
        <f t="shared" si="16"/>
      </c>
      <c r="CD264">
        <f t="shared" si="0"/>
      </c>
      <c r="CZ264">
        <f t="shared" si="17"/>
      </c>
      <c r="DA264">
        <f t="shared" si="1"/>
      </c>
      <c r="DB264">
        <f t="shared" si="18"/>
      </c>
      <c r="DC264">
        <f t="shared" si="19"/>
      </c>
      <c r="DD264">
        <f t="shared" si="20"/>
      </c>
      <c r="DE264">
        <f t="shared" si="21"/>
      </c>
      <c r="DF264">
        <f t="shared" si="22"/>
      </c>
      <c r="DG264">
        <f t="shared" si="23"/>
      </c>
      <c r="DH264">
        <f t="shared" si="24"/>
      </c>
      <c r="DI264">
        <f t="shared" si="1"/>
      </c>
    </row>
    <row r="265" ht="15" customHeight="1">
      <c r="B265">
        <f t="shared" si="2"/>
      </c>
      <c r="R265">
        <f t="shared" si="3"/>
        <v>0</v>
      </c>
      <c r="S265">
        <f t="shared" si="4"/>
        <v>0</v>
      </c>
      <c r="T265">
        <f t="shared" si="5"/>
        <v>0</v>
      </c>
      <c r="U265">
        <f t="shared" si="6"/>
        <v>0</v>
      </c>
      <c r="V265">
        <f t="shared" si="7"/>
        <v>0</v>
      </c>
      <c r="W265">
        <f t="shared" si="8"/>
        <v>0</v>
      </c>
      <c r="X265">
        <f t="shared" si="9"/>
        <v>0</v>
      </c>
      <c r="Y265">
        <f t="shared" si="10"/>
        <v>0</v>
      </c>
      <c r="Z265">
        <f t="shared" si="11"/>
        <v>0</v>
      </c>
      <c r="AA265">
        <f t="shared" si="12"/>
        <v>0</v>
      </c>
      <c r="AB265">
        <f t="shared" si="13"/>
        <v>0</v>
      </c>
      <c r="AC265">
        <f t="shared" si="14"/>
        <v>0</v>
      </c>
      <c r="AE265">
        <f t="shared" si="0"/>
      </c>
      <c r="AV265">
        <f t="shared" si="15"/>
      </c>
      <c r="BM265">
        <f t="shared" si="16"/>
      </c>
      <c r="CD265">
        <f t="shared" si="0"/>
      </c>
      <c r="CZ265">
        <f t="shared" si="17"/>
      </c>
      <c r="DA265">
        <f t="shared" si="1"/>
      </c>
      <c r="DB265">
        <f t="shared" si="18"/>
      </c>
      <c r="DC265">
        <f t="shared" si="19"/>
      </c>
      <c r="DD265">
        <f t="shared" si="20"/>
      </c>
      <c r="DE265">
        <f t="shared" si="21"/>
      </c>
      <c r="DF265">
        <f t="shared" si="22"/>
      </c>
      <c r="DG265">
        <f t="shared" si="23"/>
      </c>
      <c r="DH265">
        <f t="shared" si="24"/>
      </c>
      <c r="DI265">
        <f t="shared" si="1"/>
      </c>
    </row>
    <row r="266" ht="15" customHeight="1">
      <c r="B266">
        <f t="shared" si="2"/>
      </c>
      <c r="R266">
        <f t="shared" si="3"/>
        <v>0</v>
      </c>
      <c r="S266">
        <f t="shared" si="4"/>
        <v>0</v>
      </c>
      <c r="T266">
        <f t="shared" si="5"/>
        <v>0</v>
      </c>
      <c r="U266">
        <f t="shared" si="6"/>
        <v>0</v>
      </c>
      <c r="V266">
        <f t="shared" si="7"/>
        <v>0</v>
      </c>
      <c r="W266">
        <f t="shared" si="8"/>
        <v>0</v>
      </c>
      <c r="X266">
        <f t="shared" si="9"/>
        <v>0</v>
      </c>
      <c r="Y266">
        <f t="shared" si="10"/>
        <v>0</v>
      </c>
      <c r="Z266">
        <f t="shared" si="11"/>
        <v>0</v>
      </c>
      <c r="AA266">
        <f t="shared" si="12"/>
        <v>0</v>
      </c>
      <c r="AB266">
        <f t="shared" si="13"/>
        <v>0</v>
      </c>
      <c r="AC266">
        <f t="shared" si="14"/>
        <v>0</v>
      </c>
      <c r="AE266">
        <f t="shared" si="0"/>
      </c>
      <c r="AV266">
        <f t="shared" si="15"/>
      </c>
      <c r="BM266">
        <f t="shared" si="16"/>
      </c>
      <c r="CD266">
        <f t="shared" si="0"/>
      </c>
      <c r="CZ266">
        <f t="shared" si="17"/>
      </c>
      <c r="DA266">
        <f t="shared" si="1"/>
      </c>
      <c r="DB266">
        <f t="shared" si="18"/>
      </c>
      <c r="DC266">
        <f t="shared" si="19"/>
      </c>
      <c r="DD266">
        <f t="shared" si="20"/>
      </c>
      <c r="DE266">
        <f t="shared" si="21"/>
      </c>
      <c r="DF266">
        <f t="shared" si="22"/>
      </c>
      <c r="DG266">
        <f t="shared" si="23"/>
      </c>
      <c r="DH266">
        <f t="shared" si="24"/>
      </c>
      <c r="DI266">
        <f t="shared" si="1"/>
      </c>
    </row>
    <row r="267" ht="15" customHeight="1">
      <c r="B267">
        <f t="shared" si="2"/>
      </c>
      <c r="R267">
        <f t="shared" si="3"/>
        <v>0</v>
      </c>
      <c r="S267">
        <f t="shared" si="4"/>
        <v>0</v>
      </c>
      <c r="T267">
        <f t="shared" si="5"/>
        <v>0</v>
      </c>
      <c r="U267">
        <f t="shared" si="6"/>
        <v>0</v>
      </c>
      <c r="V267">
        <f t="shared" si="7"/>
        <v>0</v>
      </c>
      <c r="W267">
        <f t="shared" si="8"/>
        <v>0</v>
      </c>
      <c r="X267">
        <f t="shared" si="9"/>
        <v>0</v>
      </c>
      <c r="Y267">
        <f t="shared" si="10"/>
        <v>0</v>
      </c>
      <c r="Z267">
        <f t="shared" si="11"/>
        <v>0</v>
      </c>
      <c r="AA267">
        <f t="shared" si="12"/>
        <v>0</v>
      </c>
      <c r="AB267">
        <f t="shared" si="13"/>
        <v>0</v>
      </c>
      <c r="AC267">
        <f t="shared" si="14"/>
        <v>0</v>
      </c>
      <c r="AE267">
        <f t="shared" si="0"/>
      </c>
      <c r="AV267">
        <f t="shared" si="15"/>
      </c>
      <c r="BM267">
        <f t="shared" si="16"/>
      </c>
      <c r="CD267">
        <f t="shared" si="0"/>
      </c>
      <c r="CZ267">
        <f t="shared" si="17"/>
      </c>
      <c r="DA267">
        <f t="shared" si="1"/>
      </c>
      <c r="DB267">
        <f t="shared" si="18"/>
      </c>
      <c r="DC267">
        <f t="shared" si="19"/>
      </c>
      <c r="DD267">
        <f t="shared" si="20"/>
      </c>
      <c r="DE267">
        <f t="shared" si="21"/>
      </c>
      <c r="DF267">
        <f t="shared" si="22"/>
      </c>
      <c r="DG267">
        <f t="shared" si="23"/>
      </c>
      <c r="DH267">
        <f t="shared" si="24"/>
      </c>
      <c r="DI267">
        <f t="shared" si="1"/>
      </c>
    </row>
    <row r="268" ht="15" customHeight="1">
      <c r="B268">
        <f t="shared" si="2"/>
      </c>
      <c r="R268">
        <f t="shared" si="3"/>
        <v>0</v>
      </c>
      <c r="S268">
        <f t="shared" si="4"/>
        <v>0</v>
      </c>
      <c r="T268">
        <f t="shared" si="5"/>
        <v>0</v>
      </c>
      <c r="U268">
        <f t="shared" si="6"/>
        <v>0</v>
      </c>
      <c r="V268">
        <f t="shared" si="7"/>
        <v>0</v>
      </c>
      <c r="W268">
        <f t="shared" si="8"/>
        <v>0</v>
      </c>
      <c r="X268">
        <f t="shared" si="9"/>
        <v>0</v>
      </c>
      <c r="Y268">
        <f t="shared" si="10"/>
        <v>0</v>
      </c>
      <c r="Z268">
        <f t="shared" si="11"/>
        <v>0</v>
      </c>
      <c r="AA268">
        <f t="shared" si="12"/>
        <v>0</v>
      </c>
      <c r="AB268">
        <f t="shared" si="13"/>
        <v>0</v>
      </c>
      <c r="AC268">
        <f t="shared" si="14"/>
        <v>0</v>
      </c>
      <c r="AE268">
        <f t="shared" si="0"/>
      </c>
      <c r="AV268">
        <f t="shared" si="15"/>
      </c>
      <c r="BM268">
        <f t="shared" si="16"/>
      </c>
      <c r="CD268">
        <f t="shared" si="0"/>
      </c>
      <c r="CZ268">
        <f t="shared" si="17"/>
      </c>
      <c r="DA268">
        <f t="shared" si="1"/>
      </c>
      <c r="DB268">
        <f t="shared" si="18"/>
      </c>
      <c r="DC268">
        <f t="shared" si="19"/>
      </c>
      <c r="DD268">
        <f t="shared" si="20"/>
      </c>
      <c r="DE268">
        <f t="shared" si="21"/>
      </c>
      <c r="DF268">
        <f t="shared" si="22"/>
      </c>
      <c r="DG268">
        <f t="shared" si="23"/>
      </c>
      <c r="DH268">
        <f t="shared" si="24"/>
      </c>
      <c r="DI268">
        <f t="shared" si="1"/>
      </c>
    </row>
    <row r="269" ht="15" customHeight="1">
      <c r="B269">
        <f t="shared" si="2"/>
      </c>
      <c r="R269">
        <f t="shared" si="3"/>
        <v>0</v>
      </c>
      <c r="S269">
        <f t="shared" si="4"/>
        <v>0</v>
      </c>
      <c r="T269">
        <f t="shared" si="5"/>
        <v>0</v>
      </c>
      <c r="U269">
        <f t="shared" si="6"/>
        <v>0</v>
      </c>
      <c r="V269">
        <f t="shared" si="7"/>
        <v>0</v>
      </c>
      <c r="W269">
        <f t="shared" si="8"/>
        <v>0</v>
      </c>
      <c r="X269">
        <f t="shared" si="9"/>
        <v>0</v>
      </c>
      <c r="Y269">
        <f t="shared" si="10"/>
        <v>0</v>
      </c>
      <c r="Z269">
        <f t="shared" si="11"/>
        <v>0</v>
      </c>
      <c r="AA269">
        <f t="shared" si="12"/>
        <v>0</v>
      </c>
      <c r="AB269">
        <f t="shared" si="13"/>
        <v>0</v>
      </c>
      <c r="AC269">
        <f t="shared" si="14"/>
        <v>0</v>
      </c>
      <c r="AE269">
        <f t="shared" si="0"/>
      </c>
      <c r="AV269">
        <f t="shared" si="15"/>
      </c>
      <c r="BM269">
        <f t="shared" si="16"/>
      </c>
      <c r="CD269">
        <f t="shared" si="0"/>
      </c>
      <c r="CZ269">
        <f t="shared" si="17"/>
      </c>
      <c r="DA269">
        <f t="shared" si="1"/>
      </c>
      <c r="DB269">
        <f t="shared" si="18"/>
      </c>
      <c r="DC269">
        <f t="shared" si="19"/>
      </c>
      <c r="DD269">
        <f t="shared" si="20"/>
      </c>
      <c r="DE269">
        <f t="shared" si="21"/>
      </c>
      <c r="DF269">
        <f t="shared" si="22"/>
      </c>
      <c r="DG269">
        <f t="shared" si="23"/>
      </c>
      <c r="DH269">
        <f t="shared" si="24"/>
      </c>
      <c r="DI269">
        <f t="shared" si="1"/>
      </c>
    </row>
    <row r="270" ht="15" customHeight="1">
      <c r="B270">
        <f t="shared" si="2"/>
      </c>
      <c r="R270">
        <f t="shared" si="3"/>
        <v>0</v>
      </c>
      <c r="S270">
        <f t="shared" si="4"/>
        <v>0</v>
      </c>
      <c r="T270">
        <f t="shared" si="5"/>
        <v>0</v>
      </c>
      <c r="U270">
        <f t="shared" si="6"/>
        <v>0</v>
      </c>
      <c r="V270">
        <f t="shared" si="7"/>
        <v>0</v>
      </c>
      <c r="W270">
        <f t="shared" si="8"/>
        <v>0</v>
      </c>
      <c r="X270">
        <f t="shared" si="9"/>
        <v>0</v>
      </c>
      <c r="Y270">
        <f t="shared" si="10"/>
        <v>0</v>
      </c>
      <c r="Z270">
        <f t="shared" si="11"/>
        <v>0</v>
      </c>
      <c r="AA270">
        <f t="shared" si="12"/>
        <v>0</v>
      </c>
      <c r="AB270">
        <f t="shared" si="13"/>
        <v>0</v>
      </c>
      <c r="AC270">
        <f t="shared" si="14"/>
        <v>0</v>
      </c>
      <c r="AE270">
        <f t="shared" si="0"/>
      </c>
      <c r="AV270">
        <f t="shared" si="15"/>
      </c>
      <c r="BM270">
        <f t="shared" si="16"/>
      </c>
      <c r="CD270">
        <f t="shared" si="0"/>
      </c>
      <c r="CZ270">
        <f t="shared" si="17"/>
      </c>
      <c r="DA270">
        <f t="shared" si="1"/>
      </c>
      <c r="DB270">
        <f t="shared" si="18"/>
      </c>
      <c r="DC270">
        <f t="shared" si="19"/>
      </c>
      <c r="DD270">
        <f t="shared" si="20"/>
      </c>
      <c r="DE270">
        <f t="shared" si="21"/>
      </c>
      <c r="DF270">
        <f t="shared" si="22"/>
      </c>
      <c r="DG270">
        <f t="shared" si="23"/>
      </c>
      <c r="DH270">
        <f t="shared" si="24"/>
      </c>
      <c r="DI270">
        <f t="shared" si="1"/>
      </c>
    </row>
    <row r="271" ht="15" customHeight="1">
      <c r="B271">
        <f t="shared" si="2"/>
      </c>
      <c r="R271">
        <f t="shared" si="3"/>
        <v>0</v>
      </c>
      <c r="S271">
        <f t="shared" si="4"/>
        <v>0</v>
      </c>
      <c r="T271">
        <f t="shared" si="5"/>
        <v>0</v>
      </c>
      <c r="U271">
        <f t="shared" si="6"/>
        <v>0</v>
      </c>
      <c r="V271">
        <f t="shared" si="7"/>
        <v>0</v>
      </c>
      <c r="W271">
        <f t="shared" si="8"/>
        <v>0</v>
      </c>
      <c r="X271">
        <f t="shared" si="9"/>
        <v>0</v>
      </c>
      <c r="Y271">
        <f t="shared" si="10"/>
        <v>0</v>
      </c>
      <c r="Z271">
        <f t="shared" si="11"/>
        <v>0</v>
      </c>
      <c r="AA271">
        <f t="shared" si="12"/>
        <v>0</v>
      </c>
      <c r="AB271">
        <f t="shared" si="13"/>
        <v>0</v>
      </c>
      <c r="AC271">
        <f t="shared" si="14"/>
        <v>0</v>
      </c>
      <c r="AE271">
        <f t="shared" si="0"/>
      </c>
      <c r="AV271">
        <f t="shared" si="15"/>
      </c>
      <c r="BM271">
        <f t="shared" si="16"/>
      </c>
      <c r="CD271">
        <f t="shared" si="0"/>
      </c>
      <c r="CZ271">
        <f t="shared" si="17"/>
      </c>
      <c r="DA271">
        <f t="shared" si="1"/>
      </c>
      <c r="DB271">
        <f t="shared" si="18"/>
      </c>
      <c r="DC271">
        <f t="shared" si="19"/>
      </c>
      <c r="DD271">
        <f t="shared" si="20"/>
      </c>
      <c r="DE271">
        <f t="shared" si="21"/>
      </c>
      <c r="DF271">
        <f t="shared" si="22"/>
      </c>
      <c r="DG271">
        <f t="shared" si="23"/>
      </c>
      <c r="DH271">
        <f t="shared" si="24"/>
      </c>
      <c r="DI271">
        <f t="shared" si="1"/>
      </c>
    </row>
    <row r="272" ht="15" customHeight="1">
      <c r="B272">
        <f t="shared" si="2"/>
      </c>
      <c r="R272">
        <f t="shared" si="3"/>
        <v>0</v>
      </c>
      <c r="S272">
        <f t="shared" si="4"/>
        <v>0</v>
      </c>
      <c r="T272">
        <f t="shared" si="5"/>
        <v>0</v>
      </c>
      <c r="U272">
        <f t="shared" si="6"/>
        <v>0</v>
      </c>
      <c r="V272">
        <f t="shared" si="7"/>
        <v>0</v>
      </c>
      <c r="W272">
        <f t="shared" si="8"/>
        <v>0</v>
      </c>
      <c r="X272">
        <f t="shared" si="9"/>
        <v>0</v>
      </c>
      <c r="Y272">
        <f t="shared" si="10"/>
        <v>0</v>
      </c>
      <c r="Z272">
        <f t="shared" si="11"/>
        <v>0</v>
      </c>
      <c r="AA272">
        <f t="shared" si="12"/>
        <v>0</v>
      </c>
      <c r="AB272">
        <f t="shared" si="13"/>
        <v>0</v>
      </c>
      <c r="AC272">
        <f t="shared" si="14"/>
        <v>0</v>
      </c>
      <c r="AE272">
        <f t="shared" si="0"/>
      </c>
      <c r="AV272">
        <f t="shared" si="15"/>
      </c>
      <c r="BM272">
        <f t="shared" si="16"/>
      </c>
      <c r="CD272">
        <f t="shared" si="0"/>
      </c>
      <c r="CZ272">
        <f t="shared" si="17"/>
      </c>
      <c r="DA272">
        <f t="shared" si="1"/>
      </c>
      <c r="DB272">
        <f t="shared" si="18"/>
      </c>
      <c r="DC272">
        <f t="shared" si="19"/>
      </c>
      <c r="DD272">
        <f t="shared" si="20"/>
      </c>
      <c r="DE272">
        <f t="shared" si="21"/>
      </c>
      <c r="DF272">
        <f t="shared" si="22"/>
      </c>
      <c r="DG272">
        <f t="shared" si="23"/>
      </c>
      <c r="DH272">
        <f t="shared" si="24"/>
      </c>
      <c r="DI272">
        <f t="shared" si="1"/>
      </c>
    </row>
    <row r="273" ht="15" customHeight="1">
      <c r="B273">
        <f t="shared" si="2"/>
      </c>
      <c r="R273">
        <f t="shared" si="3"/>
        <v>0</v>
      </c>
      <c r="S273">
        <f t="shared" si="4"/>
        <v>0</v>
      </c>
      <c r="T273">
        <f t="shared" si="5"/>
        <v>0</v>
      </c>
      <c r="U273">
        <f t="shared" si="6"/>
        <v>0</v>
      </c>
      <c r="V273">
        <f t="shared" si="7"/>
        <v>0</v>
      </c>
      <c r="W273">
        <f t="shared" si="8"/>
        <v>0</v>
      </c>
      <c r="X273">
        <f t="shared" si="9"/>
        <v>0</v>
      </c>
      <c r="Y273">
        <f t="shared" si="10"/>
        <v>0</v>
      </c>
      <c r="Z273">
        <f t="shared" si="11"/>
        <v>0</v>
      </c>
      <c r="AA273">
        <f t="shared" si="12"/>
        <v>0</v>
      </c>
      <c r="AB273">
        <f t="shared" si="13"/>
        <v>0</v>
      </c>
      <c r="AC273">
        <f t="shared" si="14"/>
        <v>0</v>
      </c>
      <c r="AE273">
        <f t="shared" si="0"/>
      </c>
      <c r="AV273">
        <f t="shared" si="15"/>
      </c>
      <c r="BM273">
        <f t="shared" si="16"/>
      </c>
      <c r="CD273">
        <f t="shared" si="0"/>
      </c>
      <c r="CZ273">
        <f t="shared" si="17"/>
      </c>
      <c r="DA273">
        <f t="shared" si="1"/>
      </c>
      <c r="DB273">
        <f t="shared" si="18"/>
      </c>
      <c r="DC273">
        <f t="shared" si="19"/>
      </c>
      <c r="DD273">
        <f t="shared" si="20"/>
      </c>
      <c r="DE273">
        <f t="shared" si="21"/>
      </c>
      <c r="DF273">
        <f t="shared" si="22"/>
      </c>
      <c r="DG273">
        <f t="shared" si="23"/>
      </c>
      <c r="DH273">
        <f t="shared" si="24"/>
      </c>
      <c r="DI273">
        <f t="shared" si="1"/>
      </c>
    </row>
    <row r="274" ht="15" customHeight="1">
      <c r="B274">
        <f t="shared" si="2"/>
      </c>
      <c r="R274">
        <f t="shared" si="3"/>
        <v>0</v>
      </c>
      <c r="S274">
        <f t="shared" si="4"/>
        <v>0</v>
      </c>
      <c r="T274">
        <f t="shared" si="5"/>
        <v>0</v>
      </c>
      <c r="U274">
        <f t="shared" si="6"/>
        <v>0</v>
      </c>
      <c r="V274">
        <f t="shared" si="7"/>
        <v>0</v>
      </c>
      <c r="W274">
        <f t="shared" si="8"/>
        <v>0</v>
      </c>
      <c r="X274">
        <f t="shared" si="9"/>
        <v>0</v>
      </c>
      <c r="Y274">
        <f t="shared" si="10"/>
        <v>0</v>
      </c>
      <c r="Z274">
        <f t="shared" si="11"/>
        <v>0</v>
      </c>
      <c r="AA274">
        <f t="shared" si="12"/>
        <v>0</v>
      </c>
      <c r="AB274">
        <f t="shared" si="13"/>
        <v>0</v>
      </c>
      <c r="AC274">
        <f t="shared" si="14"/>
        <v>0</v>
      </c>
      <c r="AE274">
        <f t="shared" si="0"/>
      </c>
      <c r="AV274">
        <f t="shared" si="15"/>
      </c>
      <c r="BM274">
        <f t="shared" si="16"/>
      </c>
      <c r="CD274">
        <f t="shared" si="0"/>
      </c>
      <c r="CZ274">
        <f t="shared" si="17"/>
      </c>
      <c r="DA274">
        <f t="shared" si="1"/>
      </c>
      <c r="DB274">
        <f t="shared" si="18"/>
      </c>
      <c r="DC274">
        <f t="shared" si="19"/>
      </c>
      <c r="DD274">
        <f t="shared" si="20"/>
      </c>
      <c r="DE274">
        <f t="shared" si="21"/>
      </c>
      <c r="DF274">
        <f t="shared" si="22"/>
      </c>
      <c r="DG274">
        <f t="shared" si="23"/>
      </c>
      <c r="DH274">
        <f t="shared" si="24"/>
      </c>
      <c r="DI274">
        <f t="shared" si="1"/>
      </c>
    </row>
    <row r="275" ht="15" customHeight="1">
      <c r="B275">
        <f t="shared" si="2"/>
      </c>
      <c r="R275">
        <f t="shared" si="3"/>
        <v>0</v>
      </c>
      <c r="S275">
        <f t="shared" si="4"/>
        <v>0</v>
      </c>
      <c r="T275">
        <f t="shared" si="5"/>
        <v>0</v>
      </c>
      <c r="U275">
        <f t="shared" si="6"/>
        <v>0</v>
      </c>
      <c r="V275">
        <f t="shared" si="7"/>
        <v>0</v>
      </c>
      <c r="W275">
        <f t="shared" si="8"/>
        <v>0</v>
      </c>
      <c r="X275">
        <f t="shared" si="9"/>
        <v>0</v>
      </c>
      <c r="Y275">
        <f t="shared" si="10"/>
        <v>0</v>
      </c>
      <c r="Z275">
        <f t="shared" si="11"/>
        <v>0</v>
      </c>
      <c r="AA275">
        <f t="shared" si="12"/>
        <v>0</v>
      </c>
      <c r="AB275">
        <f t="shared" si="13"/>
        <v>0</v>
      </c>
      <c r="AC275">
        <f t="shared" si="14"/>
        <v>0</v>
      </c>
      <c r="AE275">
        <f t="shared" si="0"/>
      </c>
      <c r="AV275">
        <f t="shared" si="15"/>
      </c>
      <c r="BM275">
        <f t="shared" si="16"/>
      </c>
      <c r="CD275">
        <f t="shared" si="0"/>
      </c>
      <c r="CZ275">
        <f t="shared" si="17"/>
      </c>
      <c r="DA275">
        <f t="shared" si="1"/>
      </c>
      <c r="DB275">
        <f t="shared" si="18"/>
      </c>
      <c r="DC275">
        <f t="shared" si="19"/>
      </c>
      <c r="DD275">
        <f t="shared" si="20"/>
      </c>
      <c r="DE275">
        <f t="shared" si="21"/>
      </c>
      <c r="DF275">
        <f t="shared" si="22"/>
      </c>
      <c r="DG275">
        <f t="shared" si="23"/>
      </c>
      <c r="DH275">
        <f t="shared" si="24"/>
      </c>
      <c r="DI275">
        <f t="shared" si="1"/>
      </c>
    </row>
    <row r="276" ht="15" customHeight="1">
      <c r="B276">
        <f t="shared" si="2"/>
      </c>
      <c r="R276">
        <f t="shared" si="3"/>
        <v>0</v>
      </c>
      <c r="S276">
        <f t="shared" si="4"/>
        <v>0</v>
      </c>
      <c r="T276">
        <f t="shared" si="5"/>
        <v>0</v>
      </c>
      <c r="U276">
        <f t="shared" si="6"/>
        <v>0</v>
      </c>
      <c r="V276">
        <f t="shared" si="7"/>
        <v>0</v>
      </c>
      <c r="W276">
        <f t="shared" si="8"/>
        <v>0</v>
      </c>
      <c r="X276">
        <f t="shared" si="9"/>
        <v>0</v>
      </c>
      <c r="Y276">
        <f t="shared" si="10"/>
        <v>0</v>
      </c>
      <c r="Z276">
        <f t="shared" si="11"/>
        <v>0</v>
      </c>
      <c r="AA276">
        <f t="shared" si="12"/>
        <v>0</v>
      </c>
      <c r="AB276">
        <f t="shared" si="13"/>
        <v>0</v>
      </c>
      <c r="AC276">
        <f t="shared" si="14"/>
        <v>0</v>
      </c>
      <c r="AE276">
        <f t="shared" si="0"/>
      </c>
      <c r="AV276">
        <f t="shared" si="15"/>
      </c>
      <c r="BM276">
        <f t="shared" si="16"/>
      </c>
      <c r="CD276">
        <f t="shared" si="0"/>
      </c>
      <c r="CZ276">
        <f t="shared" si="17"/>
      </c>
      <c r="DA276">
        <f t="shared" si="1"/>
      </c>
      <c r="DB276">
        <f t="shared" si="18"/>
      </c>
      <c r="DC276">
        <f t="shared" si="19"/>
      </c>
      <c r="DD276">
        <f t="shared" si="20"/>
      </c>
      <c r="DE276">
        <f t="shared" si="21"/>
      </c>
      <c r="DF276">
        <f t="shared" si="22"/>
      </c>
      <c r="DG276">
        <f t="shared" si="23"/>
      </c>
      <c r="DH276">
        <f t="shared" si="24"/>
      </c>
      <c r="DI276">
        <f t="shared" si="1"/>
      </c>
    </row>
    <row r="277" ht="15" customHeight="1">
      <c r="B277">
        <f t="shared" si="2"/>
      </c>
      <c r="R277">
        <f t="shared" si="3"/>
        <v>0</v>
      </c>
      <c r="S277">
        <f t="shared" si="4"/>
        <v>0</v>
      </c>
      <c r="T277">
        <f t="shared" si="5"/>
        <v>0</v>
      </c>
      <c r="U277">
        <f t="shared" si="6"/>
        <v>0</v>
      </c>
      <c r="V277">
        <f t="shared" si="7"/>
        <v>0</v>
      </c>
      <c r="W277">
        <f t="shared" si="8"/>
        <v>0</v>
      </c>
      <c r="X277">
        <f t="shared" si="9"/>
        <v>0</v>
      </c>
      <c r="Y277">
        <f t="shared" si="10"/>
        <v>0</v>
      </c>
      <c r="Z277">
        <f t="shared" si="11"/>
        <v>0</v>
      </c>
      <c r="AA277">
        <f t="shared" si="12"/>
        <v>0</v>
      </c>
      <c r="AB277">
        <f t="shared" si="13"/>
        <v>0</v>
      </c>
      <c r="AC277">
        <f t="shared" si="14"/>
        <v>0</v>
      </c>
      <c r="AE277">
        <f t="shared" si="0"/>
      </c>
      <c r="AV277">
        <f t="shared" si="15"/>
      </c>
      <c r="BM277">
        <f t="shared" si="16"/>
      </c>
      <c r="CD277">
        <f t="shared" si="0"/>
      </c>
      <c r="CZ277">
        <f t="shared" si="17"/>
      </c>
      <c r="DA277">
        <f t="shared" si="1"/>
      </c>
      <c r="DB277">
        <f t="shared" si="18"/>
      </c>
      <c r="DC277">
        <f t="shared" si="19"/>
      </c>
      <c r="DD277">
        <f t="shared" si="20"/>
      </c>
      <c r="DE277">
        <f t="shared" si="21"/>
      </c>
      <c r="DF277">
        <f t="shared" si="22"/>
      </c>
      <c r="DG277">
        <f t="shared" si="23"/>
      </c>
      <c r="DH277">
        <f t="shared" si="24"/>
      </c>
      <c r="DI277">
        <f t="shared" si="1"/>
      </c>
    </row>
    <row r="278" ht="15" customHeight="1">
      <c r="B278">
        <f t="shared" si="2"/>
      </c>
      <c r="R278">
        <f t="shared" si="3"/>
        <v>0</v>
      </c>
      <c r="S278">
        <f t="shared" si="4"/>
        <v>0</v>
      </c>
      <c r="T278">
        <f t="shared" si="5"/>
        <v>0</v>
      </c>
      <c r="U278">
        <f t="shared" si="6"/>
        <v>0</v>
      </c>
      <c r="V278">
        <f t="shared" si="7"/>
        <v>0</v>
      </c>
      <c r="W278">
        <f t="shared" si="8"/>
        <v>0</v>
      </c>
      <c r="X278">
        <f t="shared" si="9"/>
        <v>0</v>
      </c>
      <c r="Y278">
        <f t="shared" si="10"/>
        <v>0</v>
      </c>
      <c r="Z278">
        <f t="shared" si="11"/>
        <v>0</v>
      </c>
      <c r="AA278">
        <f t="shared" si="12"/>
        <v>0</v>
      </c>
      <c r="AB278">
        <f t="shared" si="13"/>
        <v>0</v>
      </c>
      <c r="AC278">
        <f t="shared" si="14"/>
        <v>0</v>
      </c>
      <c r="AE278">
        <f t="shared" si="0"/>
      </c>
      <c r="AV278">
        <f t="shared" si="15"/>
      </c>
      <c r="BM278">
        <f t="shared" si="16"/>
      </c>
      <c r="CD278">
        <f t="shared" si="0"/>
      </c>
      <c r="CZ278">
        <f t="shared" si="17"/>
      </c>
      <c r="DA278">
        <f t="shared" si="1"/>
      </c>
      <c r="DB278">
        <f t="shared" si="18"/>
      </c>
      <c r="DC278">
        <f t="shared" si="19"/>
      </c>
      <c r="DD278">
        <f t="shared" si="20"/>
      </c>
      <c r="DE278">
        <f t="shared" si="21"/>
      </c>
      <c r="DF278">
        <f t="shared" si="22"/>
      </c>
      <c r="DG278">
        <f t="shared" si="23"/>
      </c>
      <c r="DH278">
        <f t="shared" si="24"/>
      </c>
      <c r="DI278">
        <f t="shared" si="1"/>
      </c>
    </row>
    <row r="279" ht="15" customHeight="1">
      <c r="B279">
        <f t="shared" si="2"/>
      </c>
      <c r="R279">
        <f t="shared" si="3"/>
        <v>0</v>
      </c>
      <c r="S279">
        <f t="shared" si="4"/>
        <v>0</v>
      </c>
      <c r="T279">
        <f t="shared" si="5"/>
        <v>0</v>
      </c>
      <c r="U279">
        <f t="shared" si="6"/>
        <v>0</v>
      </c>
      <c r="V279">
        <f t="shared" si="7"/>
        <v>0</v>
      </c>
      <c r="W279">
        <f t="shared" si="8"/>
        <v>0</v>
      </c>
      <c r="X279">
        <f t="shared" si="9"/>
        <v>0</v>
      </c>
      <c r="Y279">
        <f t="shared" si="10"/>
        <v>0</v>
      </c>
      <c r="Z279">
        <f t="shared" si="11"/>
        <v>0</v>
      </c>
      <c r="AA279">
        <f t="shared" si="12"/>
        <v>0</v>
      </c>
      <c r="AB279">
        <f t="shared" si="13"/>
        <v>0</v>
      </c>
      <c r="AC279">
        <f t="shared" si="14"/>
        <v>0</v>
      </c>
      <c r="AE279">
        <f t="shared" si="0"/>
      </c>
      <c r="AV279">
        <f t="shared" si="15"/>
      </c>
      <c r="BM279">
        <f t="shared" si="16"/>
      </c>
      <c r="CD279">
        <f t="shared" si="0"/>
      </c>
      <c r="CZ279">
        <f t="shared" si="17"/>
      </c>
      <c r="DA279">
        <f t="shared" si="1"/>
      </c>
      <c r="DB279">
        <f t="shared" si="18"/>
      </c>
      <c r="DC279">
        <f t="shared" si="19"/>
      </c>
      <c r="DD279">
        <f t="shared" si="20"/>
      </c>
      <c r="DE279">
        <f t="shared" si="21"/>
      </c>
      <c r="DF279">
        <f t="shared" si="22"/>
      </c>
      <c r="DG279">
        <f t="shared" si="23"/>
      </c>
      <c r="DH279">
        <f t="shared" si="24"/>
      </c>
      <c r="DI279">
        <f t="shared" si="1"/>
      </c>
    </row>
    <row r="280" ht="15" customHeight="1">
      <c r="B280">
        <f t="shared" si="2"/>
      </c>
      <c r="R280">
        <f t="shared" si="3"/>
        <v>0</v>
      </c>
      <c r="S280">
        <f t="shared" si="4"/>
        <v>0</v>
      </c>
      <c r="T280">
        <f t="shared" si="5"/>
        <v>0</v>
      </c>
      <c r="U280">
        <f t="shared" si="6"/>
        <v>0</v>
      </c>
      <c r="V280">
        <f t="shared" si="7"/>
        <v>0</v>
      </c>
      <c r="W280">
        <f t="shared" si="8"/>
        <v>0</v>
      </c>
      <c r="X280">
        <f t="shared" si="9"/>
        <v>0</v>
      </c>
      <c r="Y280">
        <f t="shared" si="10"/>
        <v>0</v>
      </c>
      <c r="Z280">
        <f t="shared" si="11"/>
        <v>0</v>
      </c>
      <c r="AA280">
        <f t="shared" si="12"/>
        <v>0</v>
      </c>
      <c r="AB280">
        <f t="shared" si="13"/>
        <v>0</v>
      </c>
      <c r="AC280">
        <f t="shared" si="14"/>
        <v>0</v>
      </c>
      <c r="AE280">
        <f t="shared" si="0"/>
      </c>
      <c r="AV280">
        <f t="shared" si="15"/>
      </c>
      <c r="BM280">
        <f t="shared" si="16"/>
      </c>
      <c r="CD280">
        <f t="shared" si="0"/>
      </c>
      <c r="CZ280">
        <f t="shared" si="17"/>
      </c>
      <c r="DA280">
        <f t="shared" si="1"/>
      </c>
      <c r="DB280">
        <f t="shared" si="18"/>
      </c>
      <c r="DC280">
        <f t="shared" si="19"/>
      </c>
      <c r="DD280">
        <f t="shared" si="20"/>
      </c>
      <c r="DE280">
        <f t="shared" si="21"/>
      </c>
      <c r="DF280">
        <f t="shared" si="22"/>
      </c>
      <c r="DG280">
        <f t="shared" si="23"/>
      </c>
      <c r="DH280">
        <f t="shared" si="24"/>
      </c>
      <c r="DI280">
        <f t="shared" si="1"/>
      </c>
    </row>
    <row r="281" ht="15" customHeight="1">
      <c r="B281">
        <f t="shared" si="2"/>
      </c>
      <c r="R281">
        <f t="shared" si="3"/>
        <v>0</v>
      </c>
      <c r="S281">
        <f t="shared" si="4"/>
        <v>0</v>
      </c>
      <c r="T281">
        <f t="shared" si="5"/>
        <v>0</v>
      </c>
      <c r="U281">
        <f t="shared" si="6"/>
        <v>0</v>
      </c>
      <c r="V281">
        <f t="shared" si="7"/>
        <v>0</v>
      </c>
      <c r="W281">
        <f t="shared" si="8"/>
        <v>0</v>
      </c>
      <c r="X281">
        <f t="shared" si="9"/>
        <v>0</v>
      </c>
      <c r="Y281">
        <f t="shared" si="10"/>
        <v>0</v>
      </c>
      <c r="Z281">
        <f t="shared" si="11"/>
        <v>0</v>
      </c>
      <c r="AA281">
        <f t="shared" si="12"/>
        <v>0</v>
      </c>
      <c r="AB281">
        <f t="shared" si="13"/>
        <v>0</v>
      </c>
      <c r="AC281">
        <f t="shared" si="14"/>
        <v>0</v>
      </c>
      <c r="AE281">
        <f t="shared" si="0"/>
      </c>
      <c r="AV281">
        <f t="shared" si="15"/>
      </c>
      <c r="BM281">
        <f t="shared" si="16"/>
      </c>
      <c r="CD281">
        <f t="shared" si="0"/>
      </c>
      <c r="CZ281">
        <f t="shared" si="17"/>
      </c>
      <c r="DA281">
        <f t="shared" si="1"/>
      </c>
      <c r="DB281">
        <f t="shared" si="18"/>
      </c>
      <c r="DC281">
        <f t="shared" si="19"/>
      </c>
      <c r="DD281">
        <f t="shared" si="20"/>
      </c>
      <c r="DE281">
        <f t="shared" si="21"/>
      </c>
      <c r="DF281">
        <f t="shared" si="22"/>
      </c>
      <c r="DG281">
        <f t="shared" si="23"/>
      </c>
      <c r="DH281">
        <f t="shared" si="24"/>
      </c>
      <c r="DI281">
        <f t="shared" si="1"/>
      </c>
    </row>
    <row r="282" ht="15" customHeight="1">
      <c r="B282">
        <f t="shared" si="2"/>
      </c>
      <c r="R282">
        <f t="shared" si="3"/>
        <v>0</v>
      </c>
      <c r="S282">
        <f t="shared" si="4"/>
        <v>0</v>
      </c>
      <c r="T282">
        <f t="shared" si="5"/>
        <v>0</v>
      </c>
      <c r="U282">
        <f t="shared" si="6"/>
        <v>0</v>
      </c>
      <c r="V282">
        <f t="shared" si="7"/>
        <v>0</v>
      </c>
      <c r="W282">
        <f t="shared" si="8"/>
        <v>0</v>
      </c>
      <c r="X282">
        <f t="shared" si="9"/>
        <v>0</v>
      </c>
      <c r="Y282">
        <f t="shared" si="10"/>
        <v>0</v>
      </c>
      <c r="Z282">
        <f t="shared" si="11"/>
        <v>0</v>
      </c>
      <c r="AA282">
        <f t="shared" si="12"/>
        <v>0</v>
      </c>
      <c r="AB282">
        <f t="shared" si="13"/>
        <v>0</v>
      </c>
      <c r="AC282">
        <f t="shared" si="14"/>
        <v>0</v>
      </c>
      <c r="AE282">
        <f t="shared" si="0"/>
      </c>
      <c r="AV282">
        <f t="shared" si="15"/>
      </c>
      <c r="BM282">
        <f t="shared" si="16"/>
      </c>
      <c r="CD282">
        <f t="shared" si="0"/>
      </c>
      <c r="CZ282">
        <f t="shared" si="17"/>
      </c>
      <c r="DA282">
        <f t="shared" si="1"/>
      </c>
      <c r="DB282">
        <f t="shared" si="18"/>
      </c>
      <c r="DC282">
        <f t="shared" si="19"/>
      </c>
      <c r="DD282">
        <f t="shared" si="20"/>
      </c>
      <c r="DE282">
        <f t="shared" si="21"/>
      </c>
      <c r="DF282">
        <f t="shared" si="22"/>
      </c>
      <c r="DG282">
        <f t="shared" si="23"/>
      </c>
      <c r="DH282">
        <f t="shared" si="24"/>
      </c>
      <c r="DI282">
        <f t="shared" si="1"/>
      </c>
    </row>
    <row r="283" ht="15" customHeight="1">
      <c r="B283">
        <f t="shared" si="2"/>
      </c>
      <c r="R283">
        <f t="shared" si="3"/>
        <v>0</v>
      </c>
      <c r="S283">
        <f t="shared" si="4"/>
        <v>0</v>
      </c>
      <c r="T283">
        <f t="shared" si="5"/>
        <v>0</v>
      </c>
      <c r="U283">
        <f t="shared" si="6"/>
        <v>0</v>
      </c>
      <c r="V283">
        <f t="shared" si="7"/>
        <v>0</v>
      </c>
      <c r="W283">
        <f t="shared" si="8"/>
        <v>0</v>
      </c>
      <c r="X283">
        <f t="shared" si="9"/>
        <v>0</v>
      </c>
      <c r="Y283">
        <f t="shared" si="10"/>
        <v>0</v>
      </c>
      <c r="Z283">
        <f t="shared" si="11"/>
        <v>0</v>
      </c>
      <c r="AA283">
        <f t="shared" si="12"/>
        <v>0</v>
      </c>
      <c r="AB283">
        <f t="shared" si="13"/>
        <v>0</v>
      </c>
      <c r="AC283">
        <f t="shared" si="14"/>
        <v>0</v>
      </c>
      <c r="AE283">
        <f t="shared" si="0"/>
      </c>
      <c r="AV283">
        <f t="shared" si="15"/>
      </c>
      <c r="BM283">
        <f t="shared" si="16"/>
      </c>
      <c r="CD283">
        <f t="shared" si="0"/>
      </c>
      <c r="CZ283">
        <f t="shared" si="17"/>
      </c>
      <c r="DA283">
        <f t="shared" si="1"/>
      </c>
      <c r="DB283">
        <f t="shared" si="18"/>
      </c>
      <c r="DC283">
        <f t="shared" si="19"/>
      </c>
      <c r="DD283">
        <f t="shared" si="20"/>
      </c>
      <c r="DE283">
        <f t="shared" si="21"/>
      </c>
      <c r="DF283">
        <f t="shared" si="22"/>
      </c>
      <c r="DG283">
        <f t="shared" si="23"/>
      </c>
      <c r="DH283">
        <f t="shared" si="24"/>
      </c>
      <c r="DI283">
        <f t="shared" si="1"/>
      </c>
    </row>
    <row r="284" ht="15" customHeight="1">
      <c r="B284">
        <f t="shared" si="2"/>
      </c>
      <c r="R284">
        <f t="shared" si="3"/>
        <v>0</v>
      </c>
      <c r="S284">
        <f t="shared" si="4"/>
        <v>0</v>
      </c>
      <c r="T284">
        <f t="shared" si="5"/>
        <v>0</v>
      </c>
      <c r="U284">
        <f t="shared" si="6"/>
        <v>0</v>
      </c>
      <c r="V284">
        <f t="shared" si="7"/>
        <v>0</v>
      </c>
      <c r="W284">
        <f t="shared" si="8"/>
        <v>0</v>
      </c>
      <c r="X284">
        <f t="shared" si="9"/>
        <v>0</v>
      </c>
      <c r="Y284">
        <f t="shared" si="10"/>
        <v>0</v>
      </c>
      <c r="Z284">
        <f t="shared" si="11"/>
        <v>0</v>
      </c>
      <c r="AA284">
        <f t="shared" si="12"/>
        <v>0</v>
      </c>
      <c r="AB284">
        <f t="shared" si="13"/>
        <v>0</v>
      </c>
      <c r="AC284">
        <f t="shared" si="14"/>
        <v>0</v>
      </c>
      <c r="AE284">
        <f t="shared" si="0"/>
      </c>
      <c r="AV284">
        <f t="shared" si="15"/>
      </c>
      <c r="BM284">
        <f t="shared" si="16"/>
      </c>
      <c r="CD284">
        <f t="shared" si="0"/>
      </c>
      <c r="CZ284">
        <f t="shared" si="17"/>
      </c>
      <c r="DA284">
        <f t="shared" si="1"/>
      </c>
      <c r="DB284">
        <f t="shared" si="18"/>
      </c>
      <c r="DC284">
        <f t="shared" si="19"/>
      </c>
      <c r="DD284">
        <f t="shared" si="20"/>
      </c>
      <c r="DE284">
        <f t="shared" si="21"/>
      </c>
      <c r="DF284">
        <f t="shared" si="22"/>
      </c>
      <c r="DG284">
        <f t="shared" si="23"/>
      </c>
      <c r="DH284">
        <f t="shared" si="24"/>
      </c>
      <c r="DI284">
        <f t="shared" si="1"/>
      </c>
    </row>
    <row r="285" ht="15" customHeight="1">
      <c r="B285">
        <f t="shared" si="2"/>
      </c>
      <c r="R285">
        <f t="shared" si="3"/>
        <v>0</v>
      </c>
      <c r="S285">
        <f t="shared" si="4"/>
        <v>0</v>
      </c>
      <c r="T285">
        <f t="shared" si="5"/>
        <v>0</v>
      </c>
      <c r="U285">
        <f t="shared" si="6"/>
        <v>0</v>
      </c>
      <c r="V285">
        <f t="shared" si="7"/>
        <v>0</v>
      </c>
      <c r="W285">
        <f t="shared" si="8"/>
        <v>0</v>
      </c>
      <c r="X285">
        <f t="shared" si="9"/>
        <v>0</v>
      </c>
      <c r="Y285">
        <f t="shared" si="10"/>
        <v>0</v>
      </c>
      <c r="Z285">
        <f t="shared" si="11"/>
        <v>0</v>
      </c>
      <c r="AA285">
        <f t="shared" si="12"/>
        <v>0</v>
      </c>
      <c r="AB285">
        <f t="shared" si="13"/>
        <v>0</v>
      </c>
      <c r="AC285">
        <f t="shared" si="14"/>
        <v>0</v>
      </c>
      <c r="AE285">
        <f t="shared" si="0"/>
      </c>
      <c r="AV285">
        <f t="shared" si="15"/>
      </c>
      <c r="BM285">
        <f t="shared" si="16"/>
      </c>
      <c r="CD285">
        <f t="shared" si="0"/>
      </c>
      <c r="CZ285">
        <f t="shared" si="17"/>
      </c>
      <c r="DA285">
        <f t="shared" si="1"/>
      </c>
      <c r="DB285">
        <f t="shared" si="18"/>
      </c>
      <c r="DC285">
        <f t="shared" si="19"/>
      </c>
      <c r="DD285">
        <f t="shared" si="20"/>
      </c>
      <c r="DE285">
        <f t="shared" si="21"/>
      </c>
      <c r="DF285">
        <f t="shared" si="22"/>
      </c>
      <c r="DG285">
        <f t="shared" si="23"/>
      </c>
      <c r="DH285">
        <f t="shared" si="24"/>
      </c>
      <c r="DI285">
        <f t="shared" si="1"/>
      </c>
    </row>
    <row r="286" ht="15" customHeight="1">
      <c r="B286">
        <f t="shared" si="2"/>
      </c>
      <c r="R286">
        <f t="shared" si="3"/>
        <v>0</v>
      </c>
      <c r="S286">
        <f t="shared" si="4"/>
        <v>0</v>
      </c>
      <c r="T286">
        <f t="shared" si="5"/>
        <v>0</v>
      </c>
      <c r="U286">
        <f t="shared" si="6"/>
        <v>0</v>
      </c>
      <c r="V286">
        <f t="shared" si="7"/>
        <v>0</v>
      </c>
      <c r="W286">
        <f t="shared" si="8"/>
        <v>0</v>
      </c>
      <c r="X286">
        <f t="shared" si="9"/>
        <v>0</v>
      </c>
      <c r="Y286">
        <f t="shared" si="10"/>
        <v>0</v>
      </c>
      <c r="Z286">
        <f t="shared" si="11"/>
        <v>0</v>
      </c>
      <c r="AA286">
        <f t="shared" si="12"/>
        <v>0</v>
      </c>
      <c r="AB286">
        <f t="shared" si="13"/>
        <v>0</v>
      </c>
      <c r="AC286">
        <f t="shared" si="14"/>
        <v>0</v>
      </c>
      <c r="AE286">
        <f t="shared" si="0"/>
      </c>
      <c r="AV286">
        <f t="shared" si="15"/>
      </c>
      <c r="BM286">
        <f t="shared" si="16"/>
      </c>
      <c r="CD286">
        <f t="shared" si="0"/>
      </c>
      <c r="CZ286">
        <f t="shared" si="17"/>
      </c>
      <c r="DA286">
        <f t="shared" si="1"/>
      </c>
      <c r="DB286">
        <f t="shared" si="18"/>
      </c>
      <c r="DC286">
        <f t="shared" si="19"/>
      </c>
      <c r="DD286">
        <f t="shared" si="20"/>
      </c>
      <c r="DE286">
        <f t="shared" si="21"/>
      </c>
      <c r="DF286">
        <f t="shared" si="22"/>
      </c>
      <c r="DG286">
        <f t="shared" si="23"/>
      </c>
      <c r="DH286">
        <f t="shared" si="24"/>
      </c>
      <c r="DI286">
        <f t="shared" si="1"/>
      </c>
    </row>
    <row r="287" ht="15" customHeight="1">
      <c r="B287">
        <f t="shared" si="2"/>
      </c>
      <c r="R287">
        <f t="shared" si="3"/>
        <v>0</v>
      </c>
      <c r="S287">
        <f t="shared" si="4"/>
        <v>0</v>
      </c>
      <c r="T287">
        <f t="shared" si="5"/>
        <v>0</v>
      </c>
      <c r="U287">
        <f t="shared" si="6"/>
        <v>0</v>
      </c>
      <c r="V287">
        <f t="shared" si="7"/>
        <v>0</v>
      </c>
      <c r="W287">
        <f t="shared" si="8"/>
        <v>0</v>
      </c>
      <c r="X287">
        <f t="shared" si="9"/>
        <v>0</v>
      </c>
      <c r="Y287">
        <f t="shared" si="10"/>
        <v>0</v>
      </c>
      <c r="Z287">
        <f t="shared" si="11"/>
        <v>0</v>
      </c>
      <c r="AA287">
        <f t="shared" si="12"/>
        <v>0</v>
      </c>
      <c r="AB287">
        <f t="shared" si="13"/>
        <v>0</v>
      </c>
      <c r="AC287">
        <f t="shared" si="14"/>
        <v>0</v>
      </c>
      <c r="AE287">
        <f t="shared" si="0"/>
      </c>
      <c r="AV287">
        <f t="shared" si="15"/>
      </c>
      <c r="BM287">
        <f t="shared" si="16"/>
      </c>
      <c r="CD287">
        <f t="shared" si="0"/>
      </c>
      <c r="CZ287">
        <f t="shared" si="17"/>
      </c>
      <c r="DA287">
        <f t="shared" si="1"/>
      </c>
      <c r="DB287">
        <f t="shared" si="18"/>
      </c>
      <c r="DC287">
        <f t="shared" si="19"/>
      </c>
      <c r="DD287">
        <f t="shared" si="20"/>
      </c>
      <c r="DE287">
        <f t="shared" si="21"/>
      </c>
      <c r="DF287">
        <f t="shared" si="22"/>
      </c>
      <c r="DG287">
        <f t="shared" si="23"/>
      </c>
      <c r="DH287">
        <f t="shared" si="24"/>
      </c>
      <c r="DI287">
        <f t="shared" si="1"/>
      </c>
    </row>
    <row r="288" ht="15" customHeight="1">
      <c r="B288">
        <f t="shared" si="2"/>
      </c>
      <c r="R288">
        <f t="shared" si="3"/>
        <v>0</v>
      </c>
      <c r="S288">
        <f t="shared" si="4"/>
        <v>0</v>
      </c>
      <c r="T288">
        <f t="shared" si="5"/>
        <v>0</v>
      </c>
      <c r="U288">
        <f t="shared" si="6"/>
        <v>0</v>
      </c>
      <c r="V288">
        <f t="shared" si="7"/>
        <v>0</v>
      </c>
      <c r="W288">
        <f t="shared" si="8"/>
        <v>0</v>
      </c>
      <c r="X288">
        <f t="shared" si="9"/>
        <v>0</v>
      </c>
      <c r="Y288">
        <f t="shared" si="10"/>
        <v>0</v>
      </c>
      <c r="Z288">
        <f t="shared" si="11"/>
        <v>0</v>
      </c>
      <c r="AA288">
        <f t="shared" si="12"/>
        <v>0</v>
      </c>
      <c r="AB288">
        <f t="shared" si="13"/>
        <v>0</v>
      </c>
      <c r="AC288">
        <f t="shared" si="14"/>
        <v>0</v>
      </c>
      <c r="AE288">
        <f t="shared" si="0"/>
      </c>
      <c r="AV288">
        <f t="shared" si="15"/>
      </c>
      <c r="BM288">
        <f t="shared" si="16"/>
      </c>
      <c r="CD288">
        <f t="shared" si="0"/>
      </c>
      <c r="CZ288">
        <f t="shared" si="17"/>
      </c>
      <c r="DA288">
        <f t="shared" si="1"/>
      </c>
      <c r="DB288">
        <f t="shared" si="18"/>
      </c>
      <c r="DC288">
        <f t="shared" si="19"/>
      </c>
      <c r="DD288">
        <f t="shared" si="20"/>
      </c>
      <c r="DE288">
        <f t="shared" si="21"/>
      </c>
      <c r="DF288">
        <f t="shared" si="22"/>
      </c>
      <c r="DG288">
        <f t="shared" si="23"/>
      </c>
      <c r="DH288">
        <f t="shared" si="24"/>
      </c>
      <c r="DI288">
        <f t="shared" si="1"/>
      </c>
    </row>
    <row r="289" ht="15" customHeight="1">
      <c r="B289">
        <f t="shared" si="2"/>
      </c>
      <c r="R289">
        <f t="shared" si="3"/>
        <v>0</v>
      </c>
      <c r="S289">
        <f t="shared" si="4"/>
        <v>0</v>
      </c>
      <c r="T289">
        <f t="shared" si="5"/>
        <v>0</v>
      </c>
      <c r="U289">
        <f t="shared" si="6"/>
        <v>0</v>
      </c>
      <c r="V289">
        <f t="shared" si="7"/>
        <v>0</v>
      </c>
      <c r="W289">
        <f t="shared" si="8"/>
        <v>0</v>
      </c>
      <c r="X289">
        <f t="shared" si="9"/>
        <v>0</v>
      </c>
      <c r="Y289">
        <f t="shared" si="10"/>
        <v>0</v>
      </c>
      <c r="Z289">
        <f t="shared" si="11"/>
        <v>0</v>
      </c>
      <c r="AA289">
        <f t="shared" si="12"/>
        <v>0</v>
      </c>
      <c r="AB289">
        <f t="shared" si="13"/>
        <v>0</v>
      </c>
      <c r="AC289">
        <f t="shared" si="14"/>
        <v>0</v>
      </c>
      <c r="AE289">
        <f t="shared" si="0"/>
      </c>
      <c r="AV289">
        <f t="shared" si="15"/>
      </c>
      <c r="BM289">
        <f t="shared" si="16"/>
      </c>
      <c r="CD289">
        <f t="shared" si="0"/>
      </c>
      <c r="CZ289">
        <f t="shared" si="17"/>
      </c>
      <c r="DA289">
        <f t="shared" si="1"/>
      </c>
      <c r="DB289">
        <f t="shared" si="18"/>
      </c>
      <c r="DC289">
        <f t="shared" si="19"/>
      </c>
      <c r="DD289">
        <f t="shared" si="20"/>
      </c>
      <c r="DE289">
        <f t="shared" si="21"/>
      </c>
      <c r="DF289">
        <f t="shared" si="22"/>
      </c>
      <c r="DG289">
        <f t="shared" si="23"/>
      </c>
      <c r="DH289">
        <f t="shared" si="24"/>
      </c>
      <c r="DI289">
        <f t="shared" si="1"/>
      </c>
    </row>
    <row r="290" ht="15" customHeight="1">
      <c r="B290">
        <f t="shared" si="2"/>
      </c>
      <c r="R290">
        <f t="shared" si="3"/>
        <v>0</v>
      </c>
      <c r="S290">
        <f t="shared" si="4"/>
        <v>0</v>
      </c>
      <c r="T290">
        <f t="shared" si="5"/>
        <v>0</v>
      </c>
      <c r="U290">
        <f t="shared" si="6"/>
        <v>0</v>
      </c>
      <c r="V290">
        <f t="shared" si="7"/>
        <v>0</v>
      </c>
      <c r="W290">
        <f t="shared" si="8"/>
        <v>0</v>
      </c>
      <c r="X290">
        <f t="shared" si="9"/>
        <v>0</v>
      </c>
      <c r="Y290">
        <f t="shared" si="10"/>
        <v>0</v>
      </c>
      <c r="Z290">
        <f t="shared" si="11"/>
        <v>0</v>
      </c>
      <c r="AA290">
        <f t="shared" si="12"/>
        <v>0</v>
      </c>
      <c r="AB290">
        <f t="shared" si="13"/>
        <v>0</v>
      </c>
      <c r="AC290">
        <f t="shared" si="14"/>
        <v>0</v>
      </c>
      <c r="AE290">
        <f t="shared" si="0"/>
      </c>
      <c r="AV290">
        <f t="shared" si="15"/>
      </c>
      <c r="BM290">
        <f t="shared" si="16"/>
      </c>
      <c r="CD290">
        <f t="shared" si="0"/>
      </c>
      <c r="CZ290">
        <f t="shared" si="17"/>
      </c>
      <c r="DA290">
        <f t="shared" si="1"/>
      </c>
      <c r="DB290">
        <f t="shared" si="18"/>
      </c>
      <c r="DC290">
        <f t="shared" si="19"/>
      </c>
      <c r="DD290">
        <f t="shared" si="20"/>
      </c>
      <c r="DE290">
        <f t="shared" si="21"/>
      </c>
      <c r="DF290">
        <f t="shared" si="22"/>
      </c>
      <c r="DG290">
        <f t="shared" si="23"/>
      </c>
      <c r="DH290">
        <f t="shared" si="24"/>
      </c>
      <c r="DI290">
        <f t="shared" si="1"/>
      </c>
    </row>
    <row r="291" ht="15" customHeight="1">
      <c r="B291">
        <f t="shared" si="2"/>
      </c>
      <c r="R291">
        <f t="shared" si="3"/>
        <v>0</v>
      </c>
      <c r="S291">
        <f t="shared" si="4"/>
        <v>0</v>
      </c>
      <c r="T291">
        <f t="shared" si="5"/>
        <v>0</v>
      </c>
      <c r="U291">
        <f t="shared" si="6"/>
        <v>0</v>
      </c>
      <c r="V291">
        <f t="shared" si="7"/>
        <v>0</v>
      </c>
      <c r="W291">
        <f t="shared" si="8"/>
        <v>0</v>
      </c>
      <c r="X291">
        <f t="shared" si="9"/>
        <v>0</v>
      </c>
      <c r="Y291">
        <f t="shared" si="10"/>
        <v>0</v>
      </c>
      <c r="Z291">
        <f t="shared" si="11"/>
        <v>0</v>
      </c>
      <c r="AA291">
        <f t="shared" si="12"/>
        <v>0</v>
      </c>
      <c r="AB291">
        <f t="shared" si="13"/>
        <v>0</v>
      </c>
      <c r="AC291">
        <f t="shared" si="14"/>
        <v>0</v>
      </c>
      <c r="AE291">
        <f t="shared" si="0"/>
      </c>
      <c r="AV291">
        <f t="shared" si="15"/>
      </c>
      <c r="BM291">
        <f t="shared" si="16"/>
      </c>
      <c r="CD291">
        <f t="shared" si="0"/>
      </c>
      <c r="CZ291">
        <f t="shared" si="17"/>
      </c>
      <c r="DA291">
        <f t="shared" si="1"/>
      </c>
      <c r="DB291">
        <f t="shared" si="18"/>
      </c>
      <c r="DC291">
        <f t="shared" si="19"/>
      </c>
      <c r="DD291">
        <f t="shared" si="20"/>
      </c>
      <c r="DE291">
        <f t="shared" si="21"/>
      </c>
      <c r="DF291">
        <f t="shared" si="22"/>
      </c>
      <c r="DG291">
        <f t="shared" si="23"/>
      </c>
      <c r="DH291">
        <f t="shared" si="24"/>
      </c>
      <c r="DI291">
        <f t="shared" si="1"/>
      </c>
    </row>
    <row r="292" ht="15" customHeight="1">
      <c r="B292">
        <f t="shared" si="2"/>
      </c>
      <c r="R292">
        <f t="shared" si="3"/>
        <v>0</v>
      </c>
      <c r="S292">
        <f t="shared" si="4"/>
        <v>0</v>
      </c>
      <c r="T292">
        <f t="shared" si="5"/>
        <v>0</v>
      </c>
      <c r="U292">
        <f t="shared" si="6"/>
        <v>0</v>
      </c>
      <c r="V292">
        <f t="shared" si="7"/>
        <v>0</v>
      </c>
      <c r="W292">
        <f t="shared" si="8"/>
        <v>0</v>
      </c>
      <c r="X292">
        <f t="shared" si="9"/>
        <v>0</v>
      </c>
      <c r="Y292">
        <f t="shared" si="10"/>
        <v>0</v>
      </c>
      <c r="Z292">
        <f t="shared" si="11"/>
        <v>0</v>
      </c>
      <c r="AA292">
        <f t="shared" si="12"/>
        <v>0</v>
      </c>
      <c r="AB292">
        <f t="shared" si="13"/>
        <v>0</v>
      </c>
      <c r="AC292">
        <f t="shared" si="14"/>
        <v>0</v>
      </c>
      <c r="AE292">
        <f t="shared" si="0"/>
      </c>
      <c r="AV292">
        <f t="shared" si="15"/>
      </c>
      <c r="BM292">
        <f t="shared" si="16"/>
      </c>
      <c r="CD292">
        <f t="shared" si="0"/>
      </c>
      <c r="CZ292">
        <f t="shared" si="17"/>
      </c>
      <c r="DA292">
        <f t="shared" si="1"/>
      </c>
      <c r="DB292">
        <f t="shared" si="18"/>
      </c>
      <c r="DC292">
        <f t="shared" si="19"/>
      </c>
      <c r="DD292">
        <f t="shared" si="20"/>
      </c>
      <c r="DE292">
        <f t="shared" si="21"/>
      </c>
      <c r="DF292">
        <f t="shared" si="22"/>
      </c>
      <c r="DG292">
        <f t="shared" si="23"/>
      </c>
      <c r="DH292">
        <f t="shared" si="24"/>
      </c>
      <c r="DI292">
        <f t="shared" si="1"/>
      </c>
    </row>
    <row r="293" ht="15" customHeight="1">
      <c r="B293">
        <f t="shared" si="2"/>
      </c>
      <c r="R293">
        <f t="shared" si="3"/>
        <v>0</v>
      </c>
      <c r="S293">
        <f t="shared" si="4"/>
        <v>0</v>
      </c>
      <c r="T293">
        <f t="shared" si="5"/>
        <v>0</v>
      </c>
      <c r="U293">
        <f t="shared" si="6"/>
        <v>0</v>
      </c>
      <c r="V293">
        <f t="shared" si="7"/>
        <v>0</v>
      </c>
      <c r="W293">
        <f t="shared" si="8"/>
        <v>0</v>
      </c>
      <c r="X293">
        <f t="shared" si="9"/>
        <v>0</v>
      </c>
      <c r="Y293">
        <f t="shared" si="10"/>
        <v>0</v>
      </c>
      <c r="Z293">
        <f t="shared" si="11"/>
        <v>0</v>
      </c>
      <c r="AA293">
        <f t="shared" si="12"/>
        <v>0</v>
      </c>
      <c r="AB293">
        <f t="shared" si="13"/>
        <v>0</v>
      </c>
      <c r="AC293">
        <f t="shared" si="14"/>
        <v>0</v>
      </c>
      <c r="AE293">
        <f t="shared" si="0"/>
      </c>
      <c r="AV293">
        <f t="shared" si="15"/>
      </c>
      <c r="BM293">
        <f t="shared" si="16"/>
      </c>
      <c r="CD293">
        <f t="shared" si="0"/>
      </c>
      <c r="CZ293">
        <f t="shared" si="17"/>
      </c>
      <c r="DA293">
        <f t="shared" si="1"/>
      </c>
      <c r="DB293">
        <f t="shared" si="18"/>
      </c>
      <c r="DC293">
        <f t="shared" si="19"/>
      </c>
      <c r="DD293">
        <f t="shared" si="20"/>
      </c>
      <c r="DE293">
        <f t="shared" si="21"/>
      </c>
      <c r="DF293">
        <f t="shared" si="22"/>
      </c>
      <c r="DG293">
        <f t="shared" si="23"/>
      </c>
      <c r="DH293">
        <f t="shared" si="24"/>
      </c>
      <c r="DI293">
        <f t="shared" si="1"/>
      </c>
    </row>
    <row r="294" ht="15" customHeight="1">
      <c r="B294">
        <f t="shared" si="2"/>
      </c>
      <c r="R294">
        <f t="shared" si="3"/>
        <v>0</v>
      </c>
      <c r="S294">
        <f t="shared" si="4"/>
        <v>0</v>
      </c>
      <c r="T294">
        <f t="shared" si="5"/>
        <v>0</v>
      </c>
      <c r="U294">
        <f t="shared" si="6"/>
        <v>0</v>
      </c>
      <c r="V294">
        <f t="shared" si="7"/>
        <v>0</v>
      </c>
      <c r="W294">
        <f t="shared" si="8"/>
        <v>0</v>
      </c>
      <c r="X294">
        <f t="shared" si="9"/>
        <v>0</v>
      </c>
      <c r="Y294">
        <f t="shared" si="10"/>
        <v>0</v>
      </c>
      <c r="Z294">
        <f t="shared" si="11"/>
        <v>0</v>
      </c>
      <c r="AA294">
        <f t="shared" si="12"/>
        <v>0</v>
      </c>
      <c r="AB294">
        <f t="shared" si="13"/>
        <v>0</v>
      </c>
      <c r="AC294">
        <f t="shared" si="14"/>
        <v>0</v>
      </c>
      <c r="AE294">
        <f t="shared" si="0"/>
      </c>
      <c r="AV294">
        <f t="shared" si="15"/>
      </c>
      <c r="BM294">
        <f t="shared" si="16"/>
      </c>
      <c r="CD294">
        <f t="shared" si="0"/>
      </c>
      <c r="CZ294">
        <f t="shared" si="17"/>
      </c>
      <c r="DA294">
        <f t="shared" si="1"/>
      </c>
      <c r="DB294">
        <f t="shared" si="18"/>
      </c>
      <c r="DC294">
        <f t="shared" si="19"/>
      </c>
      <c r="DD294">
        <f t="shared" si="20"/>
      </c>
      <c r="DE294">
        <f t="shared" si="21"/>
      </c>
      <c r="DF294">
        <f t="shared" si="22"/>
      </c>
      <c r="DG294">
        <f t="shared" si="23"/>
      </c>
      <c r="DH294">
        <f t="shared" si="24"/>
      </c>
      <c r="DI294">
        <f t="shared" si="1"/>
      </c>
    </row>
    <row r="295" ht="15" customHeight="1">
      <c r="B295">
        <f t="shared" si="2"/>
      </c>
      <c r="R295">
        <f t="shared" si="3"/>
        <v>0</v>
      </c>
      <c r="S295">
        <f t="shared" si="4"/>
        <v>0</v>
      </c>
      <c r="T295">
        <f t="shared" si="5"/>
        <v>0</v>
      </c>
      <c r="U295">
        <f t="shared" si="6"/>
        <v>0</v>
      </c>
      <c r="V295">
        <f t="shared" si="7"/>
        <v>0</v>
      </c>
      <c r="W295">
        <f t="shared" si="8"/>
        <v>0</v>
      </c>
      <c r="X295">
        <f t="shared" si="9"/>
        <v>0</v>
      </c>
      <c r="Y295">
        <f t="shared" si="10"/>
        <v>0</v>
      </c>
      <c r="Z295">
        <f t="shared" si="11"/>
        <v>0</v>
      </c>
      <c r="AA295">
        <f t="shared" si="12"/>
        <v>0</v>
      </c>
      <c r="AB295">
        <f t="shared" si="13"/>
        <v>0</v>
      </c>
      <c r="AC295">
        <f t="shared" si="14"/>
        <v>0</v>
      </c>
      <c r="AE295">
        <f t="shared" si="0"/>
      </c>
      <c r="AV295">
        <f t="shared" si="15"/>
      </c>
      <c r="BM295">
        <f t="shared" si="16"/>
      </c>
      <c r="CD295">
        <f t="shared" si="0"/>
      </c>
      <c r="CZ295">
        <f t="shared" si="17"/>
      </c>
      <c r="DA295">
        <f t="shared" si="1"/>
      </c>
      <c r="DB295">
        <f t="shared" si="18"/>
      </c>
      <c r="DC295">
        <f t="shared" si="19"/>
      </c>
      <c r="DD295">
        <f t="shared" si="20"/>
      </c>
      <c r="DE295">
        <f t="shared" si="21"/>
      </c>
      <c r="DF295">
        <f t="shared" si="22"/>
      </c>
      <c r="DG295">
        <f t="shared" si="23"/>
      </c>
      <c r="DH295">
        <f t="shared" si="24"/>
      </c>
      <c r="DI295">
        <f t="shared" si="1"/>
      </c>
    </row>
    <row r="296" ht="15" customHeight="1">
      <c r="B296">
        <f t="shared" si="2"/>
      </c>
      <c r="R296">
        <f t="shared" si="3"/>
        <v>0</v>
      </c>
      <c r="S296">
        <f t="shared" si="4"/>
        <v>0</v>
      </c>
      <c r="T296">
        <f t="shared" si="5"/>
        <v>0</v>
      </c>
      <c r="U296">
        <f t="shared" si="6"/>
        <v>0</v>
      </c>
      <c r="V296">
        <f t="shared" si="7"/>
        <v>0</v>
      </c>
      <c r="W296">
        <f t="shared" si="8"/>
        <v>0</v>
      </c>
      <c r="X296">
        <f t="shared" si="9"/>
        <v>0</v>
      </c>
      <c r="Y296">
        <f t="shared" si="10"/>
        <v>0</v>
      </c>
      <c r="Z296">
        <f t="shared" si="11"/>
        <v>0</v>
      </c>
      <c r="AA296">
        <f t="shared" si="12"/>
        <v>0</v>
      </c>
      <c r="AB296">
        <f t="shared" si="13"/>
        <v>0</v>
      </c>
      <c r="AC296">
        <f t="shared" si="14"/>
        <v>0</v>
      </c>
      <c r="AE296">
        <f t="shared" si="0"/>
      </c>
      <c r="AV296">
        <f t="shared" si="15"/>
      </c>
      <c r="BM296">
        <f t="shared" si="16"/>
      </c>
      <c r="CD296">
        <f t="shared" si="0"/>
      </c>
      <c r="CZ296">
        <f t="shared" si="17"/>
      </c>
      <c r="DA296">
        <f t="shared" si="1"/>
      </c>
      <c r="DB296">
        <f t="shared" si="18"/>
      </c>
      <c r="DC296">
        <f t="shared" si="19"/>
      </c>
      <c r="DD296">
        <f t="shared" si="20"/>
      </c>
      <c r="DE296">
        <f t="shared" si="21"/>
      </c>
      <c r="DF296">
        <f t="shared" si="22"/>
      </c>
      <c r="DG296">
        <f t="shared" si="23"/>
      </c>
      <c r="DH296">
        <f t="shared" si="24"/>
      </c>
      <c r="DI296">
        <f t="shared" si="1"/>
      </c>
    </row>
    <row r="297" ht="15" customHeight="1">
      <c r="B297">
        <f t="shared" si="2"/>
      </c>
      <c r="R297">
        <f t="shared" si="3"/>
        <v>0</v>
      </c>
      <c r="S297">
        <f t="shared" si="4"/>
        <v>0</v>
      </c>
      <c r="T297">
        <f t="shared" si="5"/>
        <v>0</v>
      </c>
      <c r="U297">
        <f t="shared" si="6"/>
        <v>0</v>
      </c>
      <c r="V297">
        <f t="shared" si="7"/>
        <v>0</v>
      </c>
      <c r="W297">
        <f t="shared" si="8"/>
        <v>0</v>
      </c>
      <c r="X297">
        <f t="shared" si="9"/>
        <v>0</v>
      </c>
      <c r="Y297">
        <f t="shared" si="10"/>
        <v>0</v>
      </c>
      <c r="Z297">
        <f t="shared" si="11"/>
        <v>0</v>
      </c>
      <c r="AA297">
        <f t="shared" si="12"/>
        <v>0</v>
      </c>
      <c r="AB297">
        <f t="shared" si="13"/>
        <v>0</v>
      </c>
      <c r="AC297">
        <f t="shared" si="14"/>
        <v>0</v>
      </c>
      <c r="AE297">
        <f t="shared" si="0"/>
      </c>
      <c r="AV297">
        <f t="shared" si="15"/>
      </c>
      <c r="BM297">
        <f t="shared" si="16"/>
      </c>
      <c r="CD297">
        <f t="shared" si="0"/>
      </c>
      <c r="CZ297">
        <f t="shared" si="17"/>
      </c>
      <c r="DA297">
        <f t="shared" si="1"/>
      </c>
      <c r="DB297">
        <f t="shared" si="18"/>
      </c>
      <c r="DC297">
        <f t="shared" si="19"/>
      </c>
      <c r="DD297">
        <f t="shared" si="20"/>
      </c>
      <c r="DE297">
        <f t="shared" si="21"/>
      </c>
      <c r="DF297">
        <f t="shared" si="22"/>
      </c>
      <c r="DG297">
        <f t="shared" si="23"/>
      </c>
      <c r="DH297">
        <f t="shared" si="24"/>
      </c>
      <c r="DI297">
        <f t="shared" si="1"/>
      </c>
    </row>
    <row r="298" ht="15" customHeight="1">
      <c r="B298">
        <f t="shared" si="2"/>
      </c>
      <c r="R298">
        <f t="shared" si="3"/>
        <v>0</v>
      </c>
      <c r="S298">
        <f t="shared" si="4"/>
        <v>0</v>
      </c>
      <c r="T298">
        <f t="shared" si="5"/>
        <v>0</v>
      </c>
      <c r="U298">
        <f t="shared" si="6"/>
        <v>0</v>
      </c>
      <c r="V298">
        <f t="shared" si="7"/>
        <v>0</v>
      </c>
      <c r="W298">
        <f t="shared" si="8"/>
        <v>0</v>
      </c>
      <c r="X298">
        <f t="shared" si="9"/>
        <v>0</v>
      </c>
      <c r="Y298">
        <f t="shared" si="10"/>
        <v>0</v>
      </c>
      <c r="Z298">
        <f t="shared" si="11"/>
        <v>0</v>
      </c>
      <c r="AA298">
        <f t="shared" si="12"/>
        <v>0</v>
      </c>
      <c r="AB298">
        <f t="shared" si="13"/>
        <v>0</v>
      </c>
      <c r="AC298">
        <f t="shared" si="14"/>
        <v>0</v>
      </c>
      <c r="AE298">
        <f t="shared" si="0"/>
      </c>
      <c r="AV298">
        <f t="shared" si="15"/>
      </c>
      <c r="BM298">
        <f t="shared" si="16"/>
      </c>
      <c r="CD298">
        <f t="shared" si="0"/>
      </c>
      <c r="CZ298">
        <f t="shared" si="17"/>
      </c>
      <c r="DA298">
        <f t="shared" si="1"/>
      </c>
      <c r="DB298">
        <f t="shared" si="18"/>
      </c>
      <c r="DC298">
        <f t="shared" si="19"/>
      </c>
      <c r="DD298">
        <f t="shared" si="20"/>
      </c>
      <c r="DE298">
        <f t="shared" si="21"/>
      </c>
      <c r="DF298">
        <f t="shared" si="22"/>
      </c>
      <c r="DG298">
        <f t="shared" si="23"/>
      </c>
      <c r="DH298">
        <f t="shared" si="24"/>
      </c>
      <c r="DI298">
        <f t="shared" si="1"/>
      </c>
    </row>
    <row r="299" ht="15" customHeight="1">
      <c r="B299">
        <f t="shared" si="2"/>
      </c>
      <c r="R299">
        <f t="shared" si="3"/>
        <v>0</v>
      </c>
      <c r="S299">
        <f t="shared" si="4"/>
        <v>0</v>
      </c>
      <c r="T299">
        <f t="shared" si="5"/>
        <v>0</v>
      </c>
      <c r="U299">
        <f t="shared" si="6"/>
        <v>0</v>
      </c>
      <c r="V299">
        <f t="shared" si="7"/>
        <v>0</v>
      </c>
      <c r="W299">
        <f t="shared" si="8"/>
        <v>0</v>
      </c>
      <c r="X299">
        <f t="shared" si="9"/>
        <v>0</v>
      </c>
      <c r="Y299">
        <f t="shared" si="10"/>
        <v>0</v>
      </c>
      <c r="Z299">
        <f t="shared" si="11"/>
        <v>0</v>
      </c>
      <c r="AA299">
        <f t="shared" si="12"/>
        <v>0</v>
      </c>
      <c r="AB299">
        <f t="shared" si="13"/>
        <v>0</v>
      </c>
      <c r="AC299">
        <f t="shared" si="14"/>
        <v>0</v>
      </c>
      <c r="AE299">
        <f t="shared" si="0"/>
      </c>
      <c r="AV299">
        <f t="shared" si="15"/>
      </c>
      <c r="BM299">
        <f t="shared" si="16"/>
      </c>
      <c r="CD299">
        <f t="shared" si="0"/>
      </c>
      <c r="CZ299">
        <f t="shared" si="17"/>
      </c>
      <c r="DA299">
        <f t="shared" si="1"/>
      </c>
      <c r="DB299">
        <f t="shared" si="18"/>
      </c>
      <c r="DC299">
        <f t="shared" si="19"/>
      </c>
      <c r="DD299">
        <f t="shared" si="20"/>
      </c>
      <c r="DE299">
        <f t="shared" si="21"/>
      </c>
      <c r="DF299">
        <f t="shared" si="22"/>
      </c>
      <c r="DG299">
        <f t="shared" si="23"/>
      </c>
      <c r="DH299">
        <f t="shared" si="24"/>
      </c>
      <c r="DI299">
        <f t="shared" si="1"/>
      </c>
    </row>
    <row r="300" ht="15" customHeight="1">
      <c r="B300">
        <f t="shared" si="2"/>
      </c>
      <c r="R300">
        <f t="shared" si="3"/>
        <v>0</v>
      </c>
      <c r="S300">
        <f t="shared" si="4"/>
        <v>0</v>
      </c>
      <c r="T300">
        <f t="shared" si="5"/>
        <v>0</v>
      </c>
      <c r="U300">
        <f t="shared" si="6"/>
        <v>0</v>
      </c>
      <c r="V300">
        <f t="shared" si="7"/>
        <v>0</v>
      </c>
      <c r="W300">
        <f t="shared" si="8"/>
        <v>0</v>
      </c>
      <c r="X300">
        <f t="shared" si="9"/>
        <v>0</v>
      </c>
      <c r="Y300">
        <f t="shared" si="10"/>
        <v>0</v>
      </c>
      <c r="Z300">
        <f t="shared" si="11"/>
        <v>0</v>
      </c>
      <c r="AA300">
        <f t="shared" si="12"/>
        <v>0</v>
      </c>
      <c r="AB300">
        <f t="shared" si="13"/>
        <v>0</v>
      </c>
      <c r="AC300">
        <f t="shared" si="14"/>
        <v>0</v>
      </c>
      <c r="AE300">
        <f t="shared" si="0"/>
      </c>
      <c r="AV300">
        <f t="shared" si="15"/>
      </c>
      <c r="BM300">
        <f t="shared" si="16"/>
      </c>
      <c r="CD300">
        <f t="shared" si="0"/>
      </c>
      <c r="CZ300">
        <f t="shared" si="17"/>
      </c>
      <c r="DA300">
        <f t="shared" si="1"/>
      </c>
      <c r="DB300">
        <f t="shared" si="18"/>
      </c>
      <c r="DC300">
        <f t="shared" si="19"/>
      </c>
      <c r="DD300">
        <f t="shared" si="20"/>
      </c>
      <c r="DE300">
        <f t="shared" si="21"/>
      </c>
      <c r="DF300">
        <f t="shared" si="22"/>
      </c>
      <c r="DG300">
        <f t="shared" si="23"/>
      </c>
      <c r="DH300">
        <f t="shared" si="24"/>
      </c>
      <c r="DI300">
        <f t="shared" si="1"/>
      </c>
    </row>
    <row r="301" ht="15" customHeight="1">
      <c r="B301">
        <f t="shared" si="2"/>
      </c>
      <c r="R301">
        <f t="shared" si="3"/>
        <v>0</v>
      </c>
      <c r="S301">
        <f t="shared" si="4"/>
        <v>0</v>
      </c>
      <c r="T301">
        <f t="shared" si="5"/>
        <v>0</v>
      </c>
      <c r="U301">
        <f t="shared" si="6"/>
        <v>0</v>
      </c>
      <c r="V301">
        <f t="shared" si="7"/>
        <v>0</v>
      </c>
      <c r="W301">
        <f t="shared" si="8"/>
        <v>0</v>
      </c>
      <c r="X301">
        <f t="shared" si="9"/>
        <v>0</v>
      </c>
      <c r="Y301">
        <f t="shared" si="10"/>
        <v>0</v>
      </c>
      <c r="Z301">
        <f t="shared" si="11"/>
        <v>0</v>
      </c>
      <c r="AA301">
        <f t="shared" si="12"/>
        <v>0</v>
      </c>
      <c r="AB301">
        <f t="shared" si="13"/>
        <v>0</v>
      </c>
      <c r="AC301">
        <f t="shared" si="14"/>
        <v>0</v>
      </c>
      <c r="AE301">
        <f t="shared" si="0"/>
      </c>
      <c r="AV301">
        <f t="shared" si="15"/>
      </c>
      <c r="BM301">
        <f t="shared" si="16"/>
      </c>
      <c r="CD301">
        <f t="shared" si="0"/>
      </c>
      <c r="CZ301">
        <f t="shared" si="17"/>
      </c>
      <c r="DA301">
        <f t="shared" si="1"/>
      </c>
      <c r="DB301">
        <f t="shared" si="18"/>
      </c>
      <c r="DC301">
        <f t="shared" si="19"/>
      </c>
      <c r="DD301">
        <f t="shared" si="20"/>
      </c>
      <c r="DE301">
        <f t="shared" si="21"/>
      </c>
      <c r="DF301">
        <f t="shared" si="22"/>
      </c>
      <c r="DG301">
        <f t="shared" si="23"/>
      </c>
      <c r="DH301">
        <f t="shared" si="24"/>
      </c>
      <c r="DI301">
        <f t="shared" si="1"/>
      </c>
    </row>
    <row r="302" ht="15" customHeight="1">
      <c r="B302">
        <f t="shared" si="2"/>
      </c>
      <c r="R302">
        <f t="shared" si="3"/>
        <v>0</v>
      </c>
      <c r="S302">
        <f t="shared" si="4"/>
        <v>0</v>
      </c>
      <c r="T302">
        <f t="shared" si="5"/>
        <v>0</v>
      </c>
      <c r="U302">
        <f t="shared" si="6"/>
        <v>0</v>
      </c>
      <c r="V302">
        <f t="shared" si="7"/>
        <v>0</v>
      </c>
      <c r="W302">
        <f t="shared" si="8"/>
        <v>0</v>
      </c>
      <c r="X302">
        <f t="shared" si="9"/>
        <v>0</v>
      </c>
      <c r="Y302">
        <f t="shared" si="10"/>
        <v>0</v>
      </c>
      <c r="Z302">
        <f t="shared" si="11"/>
        <v>0</v>
      </c>
      <c r="AA302">
        <f t="shared" si="12"/>
        <v>0</v>
      </c>
      <c r="AB302">
        <f t="shared" si="13"/>
        <v>0</v>
      </c>
      <c r="AC302">
        <f t="shared" si="14"/>
        <v>0</v>
      </c>
      <c r="AE302">
        <f t="shared" si="0"/>
      </c>
      <c r="AV302">
        <f t="shared" si="15"/>
      </c>
      <c r="BM302">
        <f t="shared" si="16"/>
      </c>
      <c r="CD302">
        <f t="shared" si="0"/>
      </c>
      <c r="CZ302">
        <f t="shared" si="17"/>
      </c>
      <c r="DA302">
        <f t="shared" si="1"/>
      </c>
      <c r="DB302">
        <f t="shared" si="18"/>
      </c>
      <c r="DC302">
        <f t="shared" si="19"/>
      </c>
      <c r="DD302">
        <f t="shared" si="20"/>
      </c>
      <c r="DE302">
        <f t="shared" si="21"/>
      </c>
      <c r="DF302">
        <f t="shared" si="22"/>
      </c>
      <c r="DG302">
        <f t="shared" si="23"/>
      </c>
      <c r="DH302">
        <f t="shared" si="24"/>
      </c>
      <c r="DI302">
        <f t="shared" si="1"/>
      </c>
    </row>
    <row r="303" ht="15" customHeight="1">
      <c r="B303">
        <f t="shared" si="2"/>
      </c>
      <c r="R303">
        <f t="shared" si="3"/>
        <v>0</v>
      </c>
      <c r="S303">
        <f t="shared" si="4"/>
        <v>0</v>
      </c>
      <c r="T303">
        <f t="shared" si="5"/>
        <v>0</v>
      </c>
      <c r="U303">
        <f t="shared" si="6"/>
        <v>0</v>
      </c>
      <c r="V303">
        <f t="shared" si="7"/>
        <v>0</v>
      </c>
      <c r="W303">
        <f t="shared" si="8"/>
        <v>0</v>
      </c>
      <c r="X303">
        <f t="shared" si="9"/>
        <v>0</v>
      </c>
      <c r="Y303">
        <f t="shared" si="10"/>
        <v>0</v>
      </c>
      <c r="Z303">
        <f t="shared" si="11"/>
        <v>0</v>
      </c>
      <c r="AA303">
        <f t="shared" si="12"/>
        <v>0</v>
      </c>
      <c r="AB303">
        <f t="shared" si="13"/>
        <v>0</v>
      </c>
      <c r="AC303">
        <f t="shared" si="14"/>
        <v>0</v>
      </c>
      <c r="AE303">
        <f t="shared" si="0"/>
      </c>
      <c r="AV303">
        <f t="shared" si="15"/>
      </c>
      <c r="BM303">
        <f t="shared" si="16"/>
      </c>
      <c r="CD303">
        <f t="shared" si="0"/>
      </c>
      <c r="CZ303">
        <f t="shared" si="17"/>
      </c>
      <c r="DA303">
        <f t="shared" si="1"/>
      </c>
      <c r="DB303">
        <f t="shared" si="18"/>
      </c>
      <c r="DC303">
        <f t="shared" si="19"/>
      </c>
      <c r="DD303">
        <f t="shared" si="20"/>
      </c>
      <c r="DE303">
        <f t="shared" si="21"/>
      </c>
      <c r="DF303">
        <f t="shared" si="22"/>
      </c>
      <c r="DG303">
        <f t="shared" si="23"/>
      </c>
      <c r="DH303">
        <f t="shared" si="24"/>
      </c>
      <c r="DI303">
        <f t="shared" si="1"/>
      </c>
    </row>
    <row r="304" ht="15" customHeight="1">
      <c r="B304">
        <f t="shared" si="2"/>
      </c>
      <c r="R304">
        <f t="shared" si="3"/>
        <v>0</v>
      </c>
      <c r="S304">
        <f t="shared" si="4"/>
        <v>0</v>
      </c>
      <c r="T304">
        <f t="shared" si="5"/>
        <v>0</v>
      </c>
      <c r="U304">
        <f t="shared" si="6"/>
        <v>0</v>
      </c>
      <c r="V304">
        <f t="shared" si="7"/>
        <v>0</v>
      </c>
      <c r="W304">
        <f t="shared" si="8"/>
        <v>0</v>
      </c>
      <c r="X304">
        <f t="shared" si="9"/>
        <v>0</v>
      </c>
      <c r="Y304">
        <f t="shared" si="10"/>
        <v>0</v>
      </c>
      <c r="Z304">
        <f t="shared" si="11"/>
        <v>0</v>
      </c>
      <c r="AA304">
        <f t="shared" si="12"/>
        <v>0</v>
      </c>
      <c r="AB304">
        <f t="shared" si="13"/>
        <v>0</v>
      </c>
      <c r="AC304">
        <f t="shared" si="14"/>
        <v>0</v>
      </c>
      <c r="AE304">
        <f t="shared" si="0"/>
      </c>
      <c r="AV304">
        <f t="shared" si="15"/>
      </c>
      <c r="BM304">
        <f t="shared" si="16"/>
      </c>
      <c r="CD304">
        <f t="shared" si="0"/>
      </c>
      <c r="CZ304">
        <f t="shared" si="17"/>
      </c>
      <c r="DA304">
        <f t="shared" si="1"/>
      </c>
      <c r="DB304">
        <f t="shared" si="18"/>
      </c>
      <c r="DC304">
        <f t="shared" si="19"/>
      </c>
      <c r="DD304">
        <f t="shared" si="20"/>
      </c>
      <c r="DE304">
        <f t="shared" si="21"/>
      </c>
      <c r="DF304">
        <f t="shared" si="22"/>
      </c>
      <c r="DG304">
        <f t="shared" si="23"/>
      </c>
      <c r="DH304">
        <f t="shared" si="24"/>
      </c>
      <c r="DI304">
        <f t="shared" si="1"/>
      </c>
    </row>
    <row r="305" ht="15" customHeight="1">
      <c r="B305">
        <f t="shared" si="2"/>
      </c>
      <c r="R305">
        <f t="shared" si="3"/>
        <v>0</v>
      </c>
      <c r="S305">
        <f t="shared" si="4"/>
        <v>0</v>
      </c>
      <c r="T305">
        <f t="shared" si="5"/>
        <v>0</v>
      </c>
      <c r="U305">
        <f t="shared" si="6"/>
        <v>0</v>
      </c>
      <c r="V305">
        <f t="shared" si="7"/>
        <v>0</v>
      </c>
      <c r="W305">
        <f t="shared" si="8"/>
        <v>0</v>
      </c>
      <c r="X305">
        <f t="shared" si="9"/>
        <v>0</v>
      </c>
      <c r="Y305">
        <f t="shared" si="10"/>
        <v>0</v>
      </c>
      <c r="Z305">
        <f t="shared" si="11"/>
        <v>0</v>
      </c>
      <c r="AA305">
        <f t="shared" si="12"/>
        <v>0</v>
      </c>
      <c r="AB305">
        <f t="shared" si="13"/>
        <v>0</v>
      </c>
      <c r="AC305">
        <f t="shared" si="14"/>
        <v>0</v>
      </c>
      <c r="AE305">
        <f t="shared" si="0"/>
      </c>
      <c r="AV305">
        <f t="shared" si="15"/>
      </c>
      <c r="BM305">
        <f t="shared" si="16"/>
      </c>
      <c r="CD305">
        <f t="shared" si="0"/>
      </c>
      <c r="CZ305">
        <f t="shared" si="17"/>
      </c>
      <c r="DA305">
        <f t="shared" si="1"/>
      </c>
      <c r="DB305">
        <f t="shared" si="18"/>
      </c>
      <c r="DC305">
        <f t="shared" si="19"/>
      </c>
      <c r="DD305">
        <f t="shared" si="20"/>
      </c>
      <c r="DE305">
        <f t="shared" si="21"/>
      </c>
      <c r="DF305">
        <f t="shared" si="22"/>
      </c>
      <c r="DG305">
        <f t="shared" si="23"/>
      </c>
      <c r="DH305">
        <f t="shared" si="24"/>
      </c>
      <c r="DI305">
        <f t="shared" si="1"/>
      </c>
    </row>
    <row r="306" ht="15" customHeight="1">
      <c r="B306">
        <f t="shared" si="2"/>
      </c>
      <c r="R306">
        <f t="shared" si="3"/>
        <v>0</v>
      </c>
      <c r="S306">
        <f t="shared" si="4"/>
        <v>0</v>
      </c>
      <c r="T306">
        <f t="shared" si="5"/>
        <v>0</v>
      </c>
      <c r="U306">
        <f t="shared" si="6"/>
        <v>0</v>
      </c>
      <c r="V306">
        <f t="shared" si="7"/>
        <v>0</v>
      </c>
      <c r="W306">
        <f t="shared" si="8"/>
        <v>0</v>
      </c>
      <c r="X306">
        <f t="shared" si="9"/>
        <v>0</v>
      </c>
      <c r="Y306">
        <f t="shared" si="10"/>
        <v>0</v>
      </c>
      <c r="Z306">
        <f t="shared" si="11"/>
        <v>0</v>
      </c>
      <c r="AA306">
        <f t="shared" si="12"/>
        <v>0</v>
      </c>
      <c r="AB306">
        <f t="shared" si="13"/>
        <v>0</v>
      </c>
      <c r="AC306">
        <f t="shared" si="14"/>
        <v>0</v>
      </c>
      <c r="AE306">
        <f t="shared" si="0"/>
      </c>
      <c r="AV306">
        <f t="shared" si="15"/>
      </c>
      <c r="BM306">
        <f t="shared" si="16"/>
      </c>
      <c r="CD306">
        <f t="shared" si="0"/>
      </c>
      <c r="CZ306">
        <f t="shared" si="17"/>
      </c>
      <c r="DA306">
        <f t="shared" si="1"/>
      </c>
      <c r="DB306">
        <f t="shared" si="18"/>
      </c>
      <c r="DC306">
        <f t="shared" si="19"/>
      </c>
      <c r="DD306">
        <f t="shared" si="20"/>
      </c>
      <c r="DE306">
        <f t="shared" si="21"/>
      </c>
      <c r="DF306">
        <f t="shared" si="22"/>
      </c>
      <c r="DG306">
        <f t="shared" si="23"/>
      </c>
      <c r="DH306">
        <f t="shared" si="24"/>
      </c>
      <c r="DI306">
        <f t="shared" si="1"/>
      </c>
    </row>
    <row r="307" ht="15" customHeight="1">
      <c r="B307">
        <f t="shared" si="2"/>
      </c>
      <c r="R307">
        <f t="shared" si="3"/>
        <v>0</v>
      </c>
      <c r="S307">
        <f t="shared" si="4"/>
        <v>0</v>
      </c>
      <c r="T307">
        <f t="shared" si="5"/>
        <v>0</v>
      </c>
      <c r="U307">
        <f t="shared" si="6"/>
        <v>0</v>
      </c>
      <c r="V307">
        <f t="shared" si="7"/>
        <v>0</v>
      </c>
      <c r="W307">
        <f t="shared" si="8"/>
        <v>0</v>
      </c>
      <c r="X307">
        <f t="shared" si="9"/>
        <v>0</v>
      </c>
      <c r="Y307">
        <f t="shared" si="10"/>
        <v>0</v>
      </c>
      <c r="Z307">
        <f t="shared" si="11"/>
        <v>0</v>
      </c>
      <c r="AA307">
        <f t="shared" si="12"/>
        <v>0</v>
      </c>
      <c r="AB307">
        <f t="shared" si="13"/>
        <v>0</v>
      </c>
      <c r="AC307">
        <f t="shared" si="14"/>
        <v>0</v>
      </c>
      <c r="AE307">
        <f t="shared" si="0"/>
      </c>
      <c r="AV307">
        <f t="shared" si="15"/>
      </c>
      <c r="BM307">
        <f t="shared" si="16"/>
      </c>
      <c r="CD307">
        <f t="shared" si="0"/>
      </c>
      <c r="CZ307">
        <f t="shared" si="17"/>
      </c>
      <c r="DA307">
        <f t="shared" si="1"/>
      </c>
      <c r="DB307">
        <f t="shared" si="18"/>
      </c>
      <c r="DC307">
        <f t="shared" si="19"/>
      </c>
      <c r="DD307">
        <f t="shared" si="20"/>
      </c>
      <c r="DE307">
        <f t="shared" si="21"/>
      </c>
      <c r="DF307">
        <f t="shared" si="22"/>
      </c>
      <c r="DG307">
        <f t="shared" si="23"/>
      </c>
      <c r="DH307">
        <f t="shared" si="24"/>
      </c>
      <c r="DI307">
        <f t="shared" si="1"/>
      </c>
    </row>
    <row r="308" ht="15" customHeight="1">
      <c r="B308">
        <f t="shared" si="2"/>
      </c>
      <c r="R308">
        <f t="shared" si="3"/>
        <v>0</v>
      </c>
      <c r="S308">
        <f t="shared" si="4"/>
        <v>0</v>
      </c>
      <c r="T308">
        <f t="shared" si="5"/>
        <v>0</v>
      </c>
      <c r="U308">
        <f t="shared" si="6"/>
        <v>0</v>
      </c>
      <c r="V308">
        <f t="shared" si="7"/>
        <v>0</v>
      </c>
      <c r="W308">
        <f t="shared" si="8"/>
        <v>0</v>
      </c>
      <c r="X308">
        <f t="shared" si="9"/>
        <v>0</v>
      </c>
      <c r="Y308">
        <f t="shared" si="10"/>
        <v>0</v>
      </c>
      <c r="Z308">
        <f t="shared" si="11"/>
        <v>0</v>
      </c>
      <c r="AA308">
        <f t="shared" si="12"/>
        <v>0</v>
      </c>
      <c r="AB308">
        <f t="shared" si="13"/>
        <v>0</v>
      </c>
      <c r="AC308">
        <f t="shared" si="14"/>
        <v>0</v>
      </c>
      <c r="AE308">
        <f t="shared" si="0"/>
      </c>
      <c r="AV308">
        <f t="shared" si="15"/>
      </c>
      <c r="BM308">
        <f t="shared" si="16"/>
      </c>
      <c r="CD308">
        <f t="shared" si="0"/>
      </c>
      <c r="CZ308">
        <f t="shared" si="17"/>
      </c>
      <c r="DA308">
        <f t="shared" si="1"/>
      </c>
      <c r="DB308">
        <f t="shared" si="18"/>
      </c>
      <c r="DC308">
        <f t="shared" si="19"/>
      </c>
      <c r="DD308">
        <f t="shared" si="20"/>
      </c>
      <c r="DE308">
        <f t="shared" si="21"/>
      </c>
      <c r="DF308">
        <f t="shared" si="22"/>
      </c>
      <c r="DG308">
        <f t="shared" si="23"/>
      </c>
      <c r="DH308">
        <f t="shared" si="24"/>
      </c>
      <c r="DI308">
        <f t="shared" si="1"/>
      </c>
    </row>
    <row r="309" ht="15" customHeight="1">
      <c r="B309">
        <f t="shared" si="2"/>
      </c>
      <c r="R309">
        <f t="shared" si="3"/>
        <v>0</v>
      </c>
      <c r="S309">
        <f t="shared" si="4"/>
        <v>0</v>
      </c>
      <c r="T309">
        <f t="shared" si="5"/>
        <v>0</v>
      </c>
      <c r="U309">
        <f t="shared" si="6"/>
        <v>0</v>
      </c>
      <c r="V309">
        <f t="shared" si="7"/>
        <v>0</v>
      </c>
      <c r="W309">
        <f t="shared" si="8"/>
        <v>0</v>
      </c>
      <c r="X309">
        <f t="shared" si="9"/>
        <v>0</v>
      </c>
      <c r="Y309">
        <f t="shared" si="10"/>
        <v>0</v>
      </c>
      <c r="Z309">
        <f t="shared" si="11"/>
        <v>0</v>
      </c>
      <c r="AA309">
        <f t="shared" si="12"/>
        <v>0</v>
      </c>
      <c r="AB309">
        <f t="shared" si="13"/>
        <v>0</v>
      </c>
      <c r="AC309">
        <f t="shared" si="14"/>
        <v>0</v>
      </c>
      <c r="AE309">
        <f t="shared" si="0"/>
      </c>
      <c r="AV309">
        <f t="shared" si="15"/>
      </c>
      <c r="BM309">
        <f t="shared" si="16"/>
      </c>
      <c r="CD309">
        <f t="shared" si="0"/>
      </c>
      <c r="CZ309">
        <f t="shared" si="17"/>
      </c>
      <c r="DA309">
        <f t="shared" si="1"/>
      </c>
      <c r="DB309">
        <f t="shared" si="18"/>
      </c>
      <c r="DC309">
        <f t="shared" si="19"/>
      </c>
      <c r="DD309">
        <f t="shared" si="20"/>
      </c>
      <c r="DE309">
        <f t="shared" si="21"/>
      </c>
      <c r="DF309">
        <f t="shared" si="22"/>
      </c>
      <c r="DG309">
        <f t="shared" si="23"/>
      </c>
      <c r="DH309">
        <f t="shared" si="24"/>
      </c>
      <c r="DI309">
        <f t="shared" si="1"/>
      </c>
    </row>
    <row r="310" ht="15" customHeight="1">
      <c r="B310">
        <f t="shared" si="2"/>
      </c>
      <c r="R310">
        <f t="shared" si="3"/>
        <v>0</v>
      </c>
      <c r="S310">
        <f t="shared" si="4"/>
        <v>0</v>
      </c>
      <c r="T310">
        <f t="shared" si="5"/>
        <v>0</v>
      </c>
      <c r="U310">
        <f t="shared" si="6"/>
        <v>0</v>
      </c>
      <c r="V310">
        <f t="shared" si="7"/>
        <v>0</v>
      </c>
      <c r="W310">
        <f t="shared" si="8"/>
        <v>0</v>
      </c>
      <c r="X310">
        <f t="shared" si="9"/>
        <v>0</v>
      </c>
      <c r="Y310">
        <f t="shared" si="10"/>
        <v>0</v>
      </c>
      <c r="Z310">
        <f t="shared" si="11"/>
        <v>0</v>
      </c>
      <c r="AA310">
        <f t="shared" si="12"/>
        <v>0</v>
      </c>
      <c r="AB310">
        <f t="shared" si="13"/>
        <v>0</v>
      </c>
      <c r="AC310">
        <f t="shared" si="14"/>
        <v>0</v>
      </c>
      <c r="AE310">
        <f t="shared" si="0"/>
      </c>
      <c r="AV310">
        <f t="shared" si="15"/>
      </c>
      <c r="BM310">
        <f t="shared" si="16"/>
      </c>
      <c r="CD310">
        <f t="shared" si="0"/>
      </c>
      <c r="CZ310">
        <f t="shared" si="17"/>
      </c>
      <c r="DA310">
        <f t="shared" si="1"/>
      </c>
      <c r="DB310">
        <f t="shared" si="18"/>
      </c>
      <c r="DC310">
        <f t="shared" si="19"/>
      </c>
      <c r="DD310">
        <f t="shared" si="20"/>
      </c>
      <c r="DE310">
        <f t="shared" si="21"/>
      </c>
      <c r="DF310">
        <f t="shared" si="22"/>
      </c>
      <c r="DG310">
        <f t="shared" si="23"/>
      </c>
      <c r="DH310">
        <f t="shared" si="24"/>
      </c>
      <c r="DI310">
        <f t="shared" si="1"/>
      </c>
    </row>
    <row r="311" ht="15" customHeight="1">
      <c r="B311">
        <f t="shared" si="2"/>
      </c>
      <c r="R311">
        <f t="shared" si="3"/>
        <v>0</v>
      </c>
      <c r="S311">
        <f t="shared" si="4"/>
        <v>0</v>
      </c>
      <c r="T311">
        <f t="shared" si="5"/>
        <v>0</v>
      </c>
      <c r="U311">
        <f t="shared" si="6"/>
        <v>0</v>
      </c>
      <c r="V311">
        <f t="shared" si="7"/>
        <v>0</v>
      </c>
      <c r="W311">
        <f t="shared" si="8"/>
        <v>0</v>
      </c>
      <c r="X311">
        <f t="shared" si="9"/>
        <v>0</v>
      </c>
      <c r="Y311">
        <f t="shared" si="10"/>
        <v>0</v>
      </c>
      <c r="Z311">
        <f t="shared" si="11"/>
        <v>0</v>
      </c>
      <c r="AA311">
        <f t="shared" si="12"/>
        <v>0</v>
      </c>
      <c r="AB311">
        <f t="shared" si="13"/>
        <v>0</v>
      </c>
      <c r="AC311">
        <f t="shared" si="14"/>
        <v>0</v>
      </c>
      <c r="AE311">
        <f t="shared" si="0"/>
      </c>
      <c r="AV311">
        <f t="shared" si="15"/>
      </c>
      <c r="BM311">
        <f t="shared" si="16"/>
      </c>
      <c r="CD311">
        <f t="shared" si="0"/>
      </c>
      <c r="CZ311">
        <f t="shared" si="17"/>
      </c>
      <c r="DA311">
        <f t="shared" si="1"/>
      </c>
      <c r="DB311">
        <f t="shared" si="18"/>
      </c>
      <c r="DC311">
        <f t="shared" si="19"/>
      </c>
      <c r="DD311">
        <f t="shared" si="20"/>
      </c>
      <c r="DE311">
        <f t="shared" si="21"/>
      </c>
      <c r="DF311">
        <f t="shared" si="22"/>
      </c>
      <c r="DG311">
        <f t="shared" si="23"/>
      </c>
      <c r="DH311">
        <f t="shared" si="24"/>
      </c>
      <c r="DI311">
        <f t="shared" si="1"/>
      </c>
    </row>
    <row r="312" ht="15" customHeight="1">
      <c r="B312">
        <f t="shared" si="2"/>
      </c>
      <c r="R312">
        <f t="shared" si="3"/>
        <v>0</v>
      </c>
      <c r="S312">
        <f t="shared" si="4"/>
        <v>0</v>
      </c>
      <c r="T312">
        <f t="shared" si="5"/>
        <v>0</v>
      </c>
      <c r="U312">
        <f t="shared" si="6"/>
        <v>0</v>
      </c>
      <c r="V312">
        <f t="shared" si="7"/>
        <v>0</v>
      </c>
      <c r="W312">
        <f t="shared" si="8"/>
        <v>0</v>
      </c>
      <c r="X312">
        <f t="shared" si="9"/>
        <v>0</v>
      </c>
      <c r="Y312">
        <f t="shared" si="10"/>
        <v>0</v>
      </c>
      <c r="Z312">
        <f t="shared" si="11"/>
        <v>0</v>
      </c>
      <c r="AA312">
        <f t="shared" si="12"/>
        <v>0</v>
      </c>
      <c r="AB312">
        <f t="shared" si="13"/>
        <v>0</v>
      </c>
      <c r="AC312">
        <f t="shared" si="14"/>
        <v>0</v>
      </c>
      <c r="AE312">
        <f t="shared" si="0"/>
      </c>
      <c r="AV312">
        <f t="shared" si="15"/>
      </c>
      <c r="BM312">
        <f t="shared" si="16"/>
      </c>
      <c r="CD312">
        <f t="shared" si="0"/>
      </c>
      <c r="CZ312">
        <f t="shared" si="17"/>
      </c>
      <c r="DA312">
        <f t="shared" si="1"/>
      </c>
      <c r="DB312">
        <f t="shared" si="18"/>
      </c>
      <c r="DC312">
        <f t="shared" si="19"/>
      </c>
      <c r="DD312">
        <f t="shared" si="20"/>
      </c>
      <c r="DE312">
        <f t="shared" si="21"/>
      </c>
      <c r="DF312">
        <f t="shared" si="22"/>
      </c>
      <c r="DG312">
        <f t="shared" si="23"/>
      </c>
      <c r="DH312">
        <f t="shared" si="24"/>
      </c>
      <c r="DI312">
        <f t="shared" si="1"/>
      </c>
    </row>
    <row r="313" ht="15" customHeight="1">
      <c r="B313">
        <f t="shared" si="2"/>
      </c>
      <c r="R313">
        <f t="shared" si="3"/>
        <v>0</v>
      </c>
      <c r="S313">
        <f t="shared" si="4"/>
        <v>0</v>
      </c>
      <c r="T313">
        <f t="shared" si="5"/>
        <v>0</v>
      </c>
      <c r="U313">
        <f t="shared" si="6"/>
        <v>0</v>
      </c>
      <c r="V313">
        <f t="shared" si="7"/>
        <v>0</v>
      </c>
      <c r="W313">
        <f t="shared" si="8"/>
        <v>0</v>
      </c>
      <c r="X313">
        <f t="shared" si="9"/>
        <v>0</v>
      </c>
      <c r="Y313">
        <f t="shared" si="10"/>
        <v>0</v>
      </c>
      <c r="Z313">
        <f t="shared" si="11"/>
        <v>0</v>
      </c>
      <c r="AA313">
        <f t="shared" si="12"/>
        <v>0</v>
      </c>
      <c r="AB313">
        <f t="shared" si="13"/>
        <v>0</v>
      </c>
      <c r="AC313">
        <f t="shared" si="14"/>
        <v>0</v>
      </c>
      <c r="AE313">
        <f t="shared" si="0"/>
      </c>
      <c r="AV313">
        <f t="shared" si="15"/>
      </c>
      <c r="BM313">
        <f t="shared" si="16"/>
      </c>
      <c r="CD313">
        <f t="shared" si="0"/>
      </c>
      <c r="CZ313">
        <f t="shared" si="17"/>
      </c>
      <c r="DA313">
        <f t="shared" si="1"/>
      </c>
      <c r="DB313">
        <f t="shared" si="18"/>
      </c>
      <c r="DC313">
        <f t="shared" si="19"/>
      </c>
      <c r="DD313">
        <f t="shared" si="20"/>
      </c>
      <c r="DE313">
        <f t="shared" si="21"/>
      </c>
      <c r="DF313">
        <f t="shared" si="22"/>
      </c>
      <c r="DG313">
        <f t="shared" si="23"/>
      </c>
      <c r="DH313">
        <f t="shared" si="24"/>
      </c>
      <c r="DI313">
        <f t="shared" si="1"/>
      </c>
    </row>
    <row r="314" ht="15" customHeight="1">
      <c r="B314">
        <f t="shared" si="2"/>
      </c>
      <c r="R314">
        <f t="shared" si="3"/>
        <v>0</v>
      </c>
      <c r="S314">
        <f t="shared" si="4"/>
        <v>0</v>
      </c>
      <c r="T314">
        <f t="shared" si="5"/>
        <v>0</v>
      </c>
      <c r="U314">
        <f t="shared" si="6"/>
        <v>0</v>
      </c>
      <c r="V314">
        <f t="shared" si="7"/>
        <v>0</v>
      </c>
      <c r="W314">
        <f t="shared" si="8"/>
        <v>0</v>
      </c>
      <c r="X314">
        <f t="shared" si="9"/>
        <v>0</v>
      </c>
      <c r="Y314">
        <f t="shared" si="10"/>
        <v>0</v>
      </c>
      <c r="Z314">
        <f t="shared" si="11"/>
        <v>0</v>
      </c>
      <c r="AA314">
        <f t="shared" si="12"/>
        <v>0</v>
      </c>
      <c r="AB314">
        <f t="shared" si="13"/>
        <v>0</v>
      </c>
      <c r="AC314">
        <f t="shared" si="14"/>
        <v>0</v>
      </c>
      <c r="AE314">
        <f t="shared" si="0"/>
      </c>
      <c r="AV314">
        <f t="shared" si="15"/>
      </c>
      <c r="BM314">
        <f t="shared" si="16"/>
      </c>
      <c r="CD314">
        <f t="shared" si="0"/>
      </c>
      <c r="CZ314">
        <f t="shared" si="17"/>
      </c>
      <c r="DA314">
        <f t="shared" si="1"/>
      </c>
      <c r="DB314">
        <f t="shared" si="18"/>
      </c>
      <c r="DC314">
        <f t="shared" si="19"/>
      </c>
      <c r="DD314">
        <f t="shared" si="20"/>
      </c>
      <c r="DE314">
        <f t="shared" si="21"/>
      </c>
      <c r="DF314">
        <f t="shared" si="22"/>
      </c>
      <c r="DG314">
        <f t="shared" si="23"/>
      </c>
      <c r="DH314">
        <f t="shared" si="24"/>
      </c>
      <c r="DI314">
        <f t="shared" si="1"/>
      </c>
    </row>
    <row r="315" ht="15" customHeight="1">
      <c r="B315">
        <f t="shared" si="2"/>
      </c>
      <c r="R315">
        <f t="shared" si="3"/>
        <v>0</v>
      </c>
      <c r="S315">
        <f t="shared" si="4"/>
        <v>0</v>
      </c>
      <c r="T315">
        <f t="shared" si="5"/>
        <v>0</v>
      </c>
      <c r="U315">
        <f t="shared" si="6"/>
        <v>0</v>
      </c>
      <c r="V315">
        <f t="shared" si="7"/>
        <v>0</v>
      </c>
      <c r="W315">
        <f t="shared" si="8"/>
        <v>0</v>
      </c>
      <c r="X315">
        <f t="shared" si="9"/>
        <v>0</v>
      </c>
      <c r="Y315">
        <f t="shared" si="10"/>
        <v>0</v>
      </c>
      <c r="Z315">
        <f t="shared" si="11"/>
        <v>0</v>
      </c>
      <c r="AA315">
        <f t="shared" si="12"/>
        <v>0</v>
      </c>
      <c r="AB315">
        <f t="shared" si="13"/>
        <v>0</v>
      </c>
      <c r="AC315">
        <f t="shared" si="14"/>
        <v>0</v>
      </c>
      <c r="AE315">
        <f t="shared" si="0"/>
      </c>
      <c r="AV315">
        <f t="shared" si="15"/>
      </c>
      <c r="BM315">
        <f t="shared" si="16"/>
      </c>
      <c r="CD315">
        <f t="shared" si="0"/>
      </c>
      <c r="CZ315">
        <f t="shared" si="17"/>
      </c>
      <c r="DA315">
        <f t="shared" si="1"/>
      </c>
      <c r="DB315">
        <f t="shared" si="18"/>
      </c>
      <c r="DC315">
        <f t="shared" si="19"/>
      </c>
      <c r="DD315">
        <f t="shared" si="20"/>
      </c>
      <c r="DE315">
        <f t="shared" si="21"/>
      </c>
      <c r="DF315">
        <f t="shared" si="22"/>
      </c>
      <c r="DG315">
        <f t="shared" si="23"/>
      </c>
      <c r="DH315">
        <f t="shared" si="24"/>
      </c>
      <c r="DI315">
        <f t="shared" si="1"/>
      </c>
    </row>
    <row r="316" ht="15" customHeight="1">
      <c r="B316">
        <f t="shared" si="2"/>
      </c>
      <c r="R316">
        <f t="shared" si="3"/>
        <v>0</v>
      </c>
      <c r="S316">
        <f t="shared" si="4"/>
        <v>0</v>
      </c>
      <c r="T316">
        <f t="shared" si="5"/>
        <v>0</v>
      </c>
      <c r="U316">
        <f t="shared" si="6"/>
        <v>0</v>
      </c>
      <c r="V316">
        <f t="shared" si="7"/>
        <v>0</v>
      </c>
      <c r="W316">
        <f t="shared" si="8"/>
        <v>0</v>
      </c>
      <c r="X316">
        <f t="shared" si="9"/>
        <v>0</v>
      </c>
      <c r="Y316">
        <f t="shared" si="10"/>
        <v>0</v>
      </c>
      <c r="Z316">
        <f t="shared" si="11"/>
        <v>0</v>
      </c>
      <c r="AA316">
        <f t="shared" si="12"/>
        <v>0</v>
      </c>
      <c r="AB316">
        <f t="shared" si="13"/>
        <v>0</v>
      </c>
      <c r="AC316">
        <f t="shared" si="14"/>
        <v>0</v>
      </c>
      <c r="AE316">
        <f t="shared" si="0"/>
      </c>
      <c r="AV316">
        <f t="shared" si="15"/>
      </c>
      <c r="BM316">
        <f t="shared" si="16"/>
      </c>
      <c r="CD316">
        <f t="shared" si="0"/>
      </c>
      <c r="CZ316">
        <f t="shared" si="17"/>
      </c>
      <c r="DA316">
        <f t="shared" si="1"/>
      </c>
      <c r="DB316">
        <f t="shared" si="18"/>
      </c>
      <c r="DC316">
        <f t="shared" si="19"/>
      </c>
      <c r="DD316">
        <f t="shared" si="20"/>
      </c>
      <c r="DE316">
        <f t="shared" si="21"/>
      </c>
      <c r="DF316">
        <f t="shared" si="22"/>
      </c>
      <c r="DG316">
        <f t="shared" si="23"/>
      </c>
      <c r="DH316">
        <f t="shared" si="24"/>
      </c>
      <c r="DI316">
        <f t="shared" si="1"/>
      </c>
    </row>
    <row r="317" ht="15" customHeight="1">
      <c r="B317">
        <f t="shared" si="2"/>
      </c>
      <c r="R317">
        <f t="shared" si="3"/>
        <v>0</v>
      </c>
      <c r="S317">
        <f t="shared" si="4"/>
        <v>0</v>
      </c>
      <c r="T317">
        <f t="shared" si="5"/>
        <v>0</v>
      </c>
      <c r="U317">
        <f t="shared" si="6"/>
        <v>0</v>
      </c>
      <c r="V317">
        <f t="shared" si="7"/>
        <v>0</v>
      </c>
      <c r="W317">
        <f t="shared" si="8"/>
        <v>0</v>
      </c>
      <c r="X317">
        <f t="shared" si="9"/>
        <v>0</v>
      </c>
      <c r="Y317">
        <f t="shared" si="10"/>
        <v>0</v>
      </c>
      <c r="Z317">
        <f t="shared" si="11"/>
        <v>0</v>
      </c>
      <c r="AA317">
        <f t="shared" si="12"/>
        <v>0</v>
      </c>
      <c r="AB317">
        <f t="shared" si="13"/>
        <v>0</v>
      </c>
      <c r="AC317">
        <f t="shared" si="14"/>
        <v>0</v>
      </c>
      <c r="AE317">
        <f t="shared" si="0"/>
      </c>
      <c r="AV317">
        <f t="shared" si="15"/>
      </c>
      <c r="BM317">
        <f t="shared" si="16"/>
      </c>
      <c r="CD317">
        <f t="shared" si="0"/>
      </c>
      <c r="CZ317">
        <f t="shared" si="17"/>
      </c>
      <c r="DA317">
        <f t="shared" si="1"/>
      </c>
      <c r="DB317">
        <f t="shared" si="18"/>
      </c>
      <c r="DC317">
        <f t="shared" si="19"/>
      </c>
      <c r="DD317">
        <f t="shared" si="20"/>
      </c>
      <c r="DE317">
        <f t="shared" si="21"/>
      </c>
      <c r="DF317">
        <f t="shared" si="22"/>
      </c>
      <c r="DG317">
        <f t="shared" si="23"/>
      </c>
      <c r="DH317">
        <f t="shared" si="24"/>
      </c>
      <c r="DI317">
        <f t="shared" si="1"/>
      </c>
    </row>
    <row r="318" ht="15" customHeight="1">
      <c r="B318">
        <f t="shared" si="2"/>
      </c>
      <c r="R318">
        <f t="shared" si="3"/>
        <v>0</v>
      </c>
      <c r="S318">
        <f t="shared" si="4"/>
        <v>0</v>
      </c>
      <c r="T318">
        <f t="shared" si="5"/>
        <v>0</v>
      </c>
      <c r="U318">
        <f t="shared" si="6"/>
        <v>0</v>
      </c>
      <c r="V318">
        <f t="shared" si="7"/>
        <v>0</v>
      </c>
      <c r="W318">
        <f t="shared" si="8"/>
        <v>0</v>
      </c>
      <c r="X318">
        <f t="shared" si="9"/>
        <v>0</v>
      </c>
      <c r="Y318">
        <f t="shared" si="10"/>
        <v>0</v>
      </c>
      <c r="Z318">
        <f t="shared" si="11"/>
        <v>0</v>
      </c>
      <c r="AA318">
        <f t="shared" si="12"/>
        <v>0</v>
      </c>
      <c r="AB318">
        <f t="shared" si="13"/>
        <v>0</v>
      </c>
      <c r="AC318">
        <f t="shared" si="14"/>
        <v>0</v>
      </c>
      <c r="AE318">
        <f t="shared" si="0"/>
      </c>
      <c r="AV318">
        <f t="shared" si="15"/>
      </c>
      <c r="BM318">
        <f t="shared" si="16"/>
      </c>
      <c r="CD318">
        <f t="shared" si="0"/>
      </c>
      <c r="CZ318">
        <f t="shared" si="17"/>
      </c>
      <c r="DA318">
        <f t="shared" si="1"/>
      </c>
      <c r="DB318">
        <f t="shared" si="18"/>
      </c>
      <c r="DC318">
        <f t="shared" si="19"/>
      </c>
      <c r="DD318">
        <f t="shared" si="20"/>
      </c>
      <c r="DE318">
        <f t="shared" si="21"/>
      </c>
      <c r="DF318">
        <f t="shared" si="22"/>
      </c>
      <c r="DG318">
        <f t="shared" si="23"/>
      </c>
      <c r="DH318">
        <f t="shared" si="24"/>
      </c>
      <c r="DI318">
        <f t="shared" si="1"/>
      </c>
    </row>
    <row r="319" ht="15" customHeight="1">
      <c r="B319">
        <f t="shared" si="2"/>
      </c>
      <c r="R319">
        <f t="shared" si="3"/>
        <v>0</v>
      </c>
      <c r="S319">
        <f t="shared" si="4"/>
        <v>0</v>
      </c>
      <c r="T319">
        <f t="shared" si="5"/>
        <v>0</v>
      </c>
      <c r="U319">
        <f t="shared" si="6"/>
        <v>0</v>
      </c>
      <c r="V319">
        <f t="shared" si="7"/>
        <v>0</v>
      </c>
      <c r="W319">
        <f t="shared" si="8"/>
        <v>0</v>
      </c>
      <c r="X319">
        <f t="shared" si="9"/>
        <v>0</v>
      </c>
      <c r="Y319">
        <f t="shared" si="10"/>
        <v>0</v>
      </c>
      <c r="Z319">
        <f t="shared" si="11"/>
        <v>0</v>
      </c>
      <c r="AA319">
        <f t="shared" si="12"/>
        <v>0</v>
      </c>
      <c r="AB319">
        <f t="shared" si="13"/>
        <v>0</v>
      </c>
      <c r="AC319">
        <f t="shared" si="14"/>
        <v>0</v>
      </c>
      <c r="AE319">
        <f t="shared" si="0"/>
      </c>
      <c r="AV319">
        <f t="shared" si="15"/>
      </c>
      <c r="BM319">
        <f t="shared" si="16"/>
      </c>
      <c r="CD319">
        <f t="shared" si="0"/>
      </c>
      <c r="CZ319">
        <f t="shared" si="17"/>
      </c>
      <c r="DA319">
        <f t="shared" si="1"/>
      </c>
      <c r="DB319">
        <f t="shared" si="18"/>
      </c>
      <c r="DC319">
        <f t="shared" si="19"/>
      </c>
      <c r="DD319">
        <f t="shared" si="20"/>
      </c>
      <c r="DE319">
        <f t="shared" si="21"/>
      </c>
      <c r="DF319">
        <f t="shared" si="22"/>
      </c>
      <c r="DG319">
        <f t="shared" si="23"/>
      </c>
      <c r="DH319">
        <f t="shared" si="24"/>
      </c>
      <c r="DI319">
        <f t="shared" si="1"/>
      </c>
    </row>
    <row r="320" ht="15" customHeight="1">
      <c r="B320">
        <f t="shared" si="2"/>
      </c>
      <c r="R320">
        <f t="shared" si="3"/>
        <v>0</v>
      </c>
      <c r="S320">
        <f t="shared" si="4"/>
        <v>0</v>
      </c>
      <c r="T320">
        <f t="shared" si="5"/>
        <v>0</v>
      </c>
      <c r="U320">
        <f t="shared" si="6"/>
        <v>0</v>
      </c>
      <c r="V320">
        <f t="shared" si="7"/>
        <v>0</v>
      </c>
      <c r="W320">
        <f t="shared" si="8"/>
        <v>0</v>
      </c>
      <c r="X320">
        <f t="shared" si="9"/>
        <v>0</v>
      </c>
      <c r="Y320">
        <f t="shared" si="10"/>
        <v>0</v>
      </c>
      <c r="Z320">
        <f t="shared" si="11"/>
        <v>0</v>
      </c>
      <c r="AA320">
        <f t="shared" si="12"/>
        <v>0</v>
      </c>
      <c r="AB320">
        <f t="shared" si="13"/>
        <v>0</v>
      </c>
      <c r="AC320">
        <f t="shared" si="14"/>
        <v>0</v>
      </c>
      <c r="AE320">
        <f t="shared" si="0"/>
      </c>
      <c r="AV320">
        <f t="shared" si="15"/>
      </c>
      <c r="BM320">
        <f t="shared" si="16"/>
      </c>
      <c r="CD320">
        <f t="shared" si="0"/>
      </c>
      <c r="CZ320">
        <f t="shared" si="17"/>
      </c>
      <c r="DA320">
        <f t="shared" si="1"/>
      </c>
      <c r="DB320">
        <f t="shared" si="18"/>
      </c>
      <c r="DC320">
        <f t="shared" si="19"/>
      </c>
      <c r="DD320">
        <f t="shared" si="20"/>
      </c>
      <c r="DE320">
        <f t="shared" si="21"/>
      </c>
      <c r="DF320">
        <f t="shared" si="22"/>
      </c>
      <c r="DG320">
        <f t="shared" si="23"/>
      </c>
      <c r="DH320">
        <f t="shared" si="24"/>
      </c>
      <c r="DI320">
        <f t="shared" si="1"/>
      </c>
    </row>
    <row r="321" ht="15" customHeight="1">
      <c r="B321">
        <f t="shared" si="2"/>
      </c>
      <c r="R321">
        <f t="shared" si="3"/>
        <v>0</v>
      </c>
      <c r="S321">
        <f t="shared" si="4"/>
        <v>0</v>
      </c>
      <c r="T321">
        <f t="shared" si="5"/>
        <v>0</v>
      </c>
      <c r="U321">
        <f t="shared" si="6"/>
        <v>0</v>
      </c>
      <c r="V321">
        <f t="shared" si="7"/>
        <v>0</v>
      </c>
      <c r="W321">
        <f t="shared" si="8"/>
        <v>0</v>
      </c>
      <c r="X321">
        <f t="shared" si="9"/>
        <v>0</v>
      </c>
      <c r="Y321">
        <f t="shared" si="10"/>
        <v>0</v>
      </c>
      <c r="Z321">
        <f t="shared" si="11"/>
        <v>0</v>
      </c>
      <c r="AA321">
        <f t="shared" si="12"/>
        <v>0</v>
      </c>
      <c r="AB321">
        <f t="shared" si="13"/>
        <v>0</v>
      </c>
      <c r="AC321">
        <f t="shared" si="14"/>
        <v>0</v>
      </c>
      <c r="AE321">
        <f t="shared" si="0"/>
      </c>
      <c r="AV321">
        <f t="shared" si="15"/>
      </c>
      <c r="BM321">
        <f t="shared" si="16"/>
      </c>
      <c r="CD321">
        <f t="shared" si="0"/>
      </c>
      <c r="CZ321">
        <f t="shared" si="17"/>
      </c>
      <c r="DA321">
        <f t="shared" si="1"/>
      </c>
      <c r="DB321">
        <f t="shared" si="18"/>
      </c>
      <c r="DC321">
        <f t="shared" si="19"/>
      </c>
      <c r="DD321">
        <f t="shared" si="20"/>
      </c>
      <c r="DE321">
        <f t="shared" si="21"/>
      </c>
      <c r="DF321">
        <f t="shared" si="22"/>
      </c>
      <c r="DG321">
        <f t="shared" si="23"/>
      </c>
      <c r="DH321">
        <f t="shared" si="24"/>
      </c>
      <c r="DI321">
        <f t="shared" si="1"/>
      </c>
    </row>
    <row r="322" ht="15" customHeight="1">
      <c r="B322">
        <f t="shared" si="2"/>
      </c>
      <c r="R322">
        <f t="shared" si="3"/>
        <v>0</v>
      </c>
      <c r="S322">
        <f t="shared" si="4"/>
        <v>0</v>
      </c>
      <c r="T322">
        <f t="shared" si="5"/>
        <v>0</v>
      </c>
      <c r="U322">
        <f t="shared" si="6"/>
        <v>0</v>
      </c>
      <c r="V322">
        <f t="shared" si="7"/>
        <v>0</v>
      </c>
      <c r="W322">
        <f t="shared" si="8"/>
        <v>0</v>
      </c>
      <c r="X322">
        <f t="shared" si="9"/>
        <v>0</v>
      </c>
      <c r="Y322">
        <f t="shared" si="10"/>
        <v>0</v>
      </c>
      <c r="Z322">
        <f t="shared" si="11"/>
        <v>0</v>
      </c>
      <c r="AA322">
        <f t="shared" si="12"/>
        <v>0</v>
      </c>
      <c r="AB322">
        <f t="shared" si="13"/>
        <v>0</v>
      </c>
      <c r="AC322">
        <f t="shared" si="14"/>
        <v>0</v>
      </c>
      <c r="AE322">
        <f t="shared" si="0"/>
      </c>
      <c r="AV322">
        <f t="shared" si="15"/>
      </c>
      <c r="BM322">
        <f t="shared" si="16"/>
      </c>
      <c r="CD322">
        <f t="shared" si="0"/>
      </c>
      <c r="CZ322">
        <f t="shared" si="17"/>
      </c>
      <c r="DA322">
        <f t="shared" si="1"/>
      </c>
      <c r="DB322">
        <f t="shared" si="18"/>
      </c>
      <c r="DC322">
        <f t="shared" si="19"/>
      </c>
      <c r="DD322">
        <f t="shared" si="20"/>
      </c>
      <c r="DE322">
        <f t="shared" si="21"/>
      </c>
      <c r="DF322">
        <f t="shared" si="22"/>
      </c>
      <c r="DG322">
        <f t="shared" si="23"/>
      </c>
      <c r="DH322">
        <f t="shared" si="24"/>
      </c>
      <c r="DI322">
        <f t="shared" si="1"/>
      </c>
    </row>
    <row r="323" ht="15" customHeight="1">
      <c r="B323">
        <f t="shared" si="2"/>
      </c>
      <c r="R323">
        <f t="shared" si="3"/>
        <v>0</v>
      </c>
      <c r="S323">
        <f t="shared" si="4"/>
        <v>0</v>
      </c>
      <c r="T323">
        <f t="shared" si="5"/>
        <v>0</v>
      </c>
      <c r="U323">
        <f t="shared" si="6"/>
        <v>0</v>
      </c>
      <c r="V323">
        <f t="shared" si="7"/>
        <v>0</v>
      </c>
      <c r="W323">
        <f t="shared" si="8"/>
        <v>0</v>
      </c>
      <c r="X323">
        <f t="shared" si="9"/>
        <v>0</v>
      </c>
      <c r="Y323">
        <f t="shared" si="10"/>
        <v>0</v>
      </c>
      <c r="Z323">
        <f t="shared" si="11"/>
        <v>0</v>
      </c>
      <c r="AA323">
        <f t="shared" si="12"/>
        <v>0</v>
      </c>
      <c r="AB323">
        <f t="shared" si="13"/>
        <v>0</v>
      </c>
      <c r="AC323">
        <f t="shared" si="14"/>
        <v>0</v>
      </c>
      <c r="AE323">
        <f t="shared" si="0"/>
      </c>
      <c r="AV323">
        <f t="shared" si="15"/>
      </c>
      <c r="BM323">
        <f t="shared" si="16"/>
      </c>
      <c r="CD323">
        <f t="shared" si="0"/>
      </c>
      <c r="CZ323">
        <f t="shared" si="17"/>
      </c>
      <c r="DA323">
        <f t="shared" si="1"/>
      </c>
      <c r="DB323">
        <f t="shared" si="18"/>
      </c>
      <c r="DC323">
        <f t="shared" si="19"/>
      </c>
      <c r="DD323">
        <f t="shared" si="20"/>
      </c>
      <c r="DE323">
        <f t="shared" si="21"/>
      </c>
      <c r="DF323">
        <f t="shared" si="22"/>
      </c>
      <c r="DG323">
        <f t="shared" si="23"/>
      </c>
      <c r="DH323">
        <f t="shared" si="24"/>
      </c>
      <c r="DI323">
        <f t="shared" si="1"/>
      </c>
    </row>
    <row r="324" ht="15" customHeight="1">
      <c r="B324">
        <f t="shared" si="2"/>
      </c>
      <c r="R324">
        <f t="shared" si="3"/>
        <v>0</v>
      </c>
      <c r="S324">
        <f t="shared" si="4"/>
        <v>0</v>
      </c>
      <c r="T324">
        <f t="shared" si="5"/>
        <v>0</v>
      </c>
      <c r="U324">
        <f t="shared" si="6"/>
        <v>0</v>
      </c>
      <c r="V324">
        <f t="shared" si="7"/>
        <v>0</v>
      </c>
      <c r="W324">
        <f t="shared" si="8"/>
        <v>0</v>
      </c>
      <c r="X324">
        <f t="shared" si="9"/>
        <v>0</v>
      </c>
      <c r="Y324">
        <f t="shared" si="10"/>
        <v>0</v>
      </c>
      <c r="Z324">
        <f t="shared" si="11"/>
        <v>0</v>
      </c>
      <c r="AA324">
        <f t="shared" si="12"/>
        <v>0</v>
      </c>
      <c r="AB324">
        <f t="shared" si="13"/>
        <v>0</v>
      </c>
      <c r="AC324">
        <f t="shared" si="14"/>
        <v>0</v>
      </c>
      <c r="AE324">
        <f t="shared" si="0"/>
      </c>
      <c r="AV324">
        <f t="shared" si="15"/>
      </c>
      <c r="BM324">
        <f t="shared" si="16"/>
      </c>
      <c r="CD324">
        <f t="shared" si="0"/>
      </c>
      <c r="CZ324">
        <f t="shared" si="17"/>
      </c>
      <c r="DA324">
        <f t="shared" si="1"/>
      </c>
      <c r="DB324">
        <f t="shared" si="18"/>
      </c>
      <c r="DC324">
        <f t="shared" si="19"/>
      </c>
      <c r="DD324">
        <f t="shared" si="20"/>
      </c>
      <c r="DE324">
        <f t="shared" si="21"/>
      </c>
      <c r="DF324">
        <f t="shared" si="22"/>
      </c>
      <c r="DG324">
        <f t="shared" si="23"/>
      </c>
      <c r="DH324">
        <f t="shared" si="24"/>
      </c>
      <c r="DI324">
        <f t="shared" si="1"/>
      </c>
    </row>
    <row r="325" ht="15" customHeight="1">
      <c r="B325">
        <f t="shared" si="2"/>
      </c>
      <c r="R325">
        <f t="shared" si="3"/>
        <v>0</v>
      </c>
      <c r="S325">
        <f t="shared" si="4"/>
        <v>0</v>
      </c>
      <c r="T325">
        <f t="shared" si="5"/>
        <v>0</v>
      </c>
      <c r="U325">
        <f t="shared" si="6"/>
        <v>0</v>
      </c>
      <c r="V325">
        <f t="shared" si="7"/>
        <v>0</v>
      </c>
      <c r="W325">
        <f t="shared" si="8"/>
        <v>0</v>
      </c>
      <c r="X325">
        <f t="shared" si="9"/>
        <v>0</v>
      </c>
      <c r="Y325">
        <f t="shared" si="10"/>
        <v>0</v>
      </c>
      <c r="Z325">
        <f t="shared" si="11"/>
        <v>0</v>
      </c>
      <c r="AA325">
        <f t="shared" si="12"/>
        <v>0</v>
      </c>
      <c r="AB325">
        <f t="shared" si="13"/>
        <v>0</v>
      </c>
      <c r="AC325">
        <f t="shared" si="14"/>
        <v>0</v>
      </c>
      <c r="AE325">
        <f t="shared" si="0"/>
      </c>
      <c r="AV325">
        <f t="shared" si="15"/>
      </c>
      <c r="BM325">
        <f t="shared" si="16"/>
      </c>
      <c r="CD325">
        <f t="shared" si="0"/>
      </c>
      <c r="CZ325">
        <f t="shared" si="17"/>
      </c>
      <c r="DA325">
        <f t="shared" si="1"/>
      </c>
      <c r="DB325">
        <f t="shared" si="18"/>
      </c>
      <c r="DC325">
        <f t="shared" si="19"/>
      </c>
      <c r="DD325">
        <f t="shared" si="20"/>
      </c>
      <c r="DE325">
        <f t="shared" si="21"/>
      </c>
      <c r="DF325">
        <f t="shared" si="22"/>
      </c>
      <c r="DG325">
        <f t="shared" si="23"/>
      </c>
      <c r="DH325">
        <f t="shared" si="24"/>
      </c>
      <c r="DI325">
        <f t="shared" si="1"/>
      </c>
    </row>
    <row r="326" ht="15" customHeight="1">
      <c r="B326">
        <f t="shared" si="2"/>
      </c>
      <c r="R326">
        <f t="shared" si="3"/>
        <v>0</v>
      </c>
      <c r="S326">
        <f t="shared" si="4"/>
        <v>0</v>
      </c>
      <c r="T326">
        <f t="shared" si="5"/>
        <v>0</v>
      </c>
      <c r="U326">
        <f t="shared" si="6"/>
        <v>0</v>
      </c>
      <c r="V326">
        <f t="shared" si="7"/>
        <v>0</v>
      </c>
      <c r="W326">
        <f t="shared" si="8"/>
        <v>0</v>
      </c>
      <c r="X326">
        <f t="shared" si="9"/>
        <v>0</v>
      </c>
      <c r="Y326">
        <f t="shared" si="10"/>
        <v>0</v>
      </c>
      <c r="Z326">
        <f t="shared" si="11"/>
        <v>0</v>
      </c>
      <c r="AA326">
        <f t="shared" si="12"/>
        <v>0</v>
      </c>
      <c r="AB326">
        <f t="shared" si="13"/>
        <v>0</v>
      </c>
      <c r="AC326">
        <f t="shared" si="14"/>
        <v>0</v>
      </c>
      <c r="AE326">
        <f t="shared" si="0"/>
      </c>
      <c r="AV326">
        <f t="shared" si="15"/>
      </c>
      <c r="BM326">
        <f t="shared" si="16"/>
      </c>
      <c r="CD326">
        <f t="shared" si="0"/>
      </c>
      <c r="CZ326">
        <f t="shared" si="17"/>
      </c>
      <c r="DA326">
        <f t="shared" si="1"/>
      </c>
      <c r="DB326">
        <f t="shared" si="18"/>
      </c>
      <c r="DC326">
        <f t="shared" si="19"/>
      </c>
      <c r="DD326">
        <f t="shared" si="20"/>
      </c>
      <c r="DE326">
        <f t="shared" si="21"/>
      </c>
      <c r="DF326">
        <f t="shared" si="22"/>
      </c>
      <c r="DG326">
        <f t="shared" si="23"/>
      </c>
      <c r="DH326">
        <f t="shared" si="24"/>
      </c>
      <c r="DI326">
        <f t="shared" si="1"/>
      </c>
    </row>
    <row r="327" ht="15" customHeight="1">
      <c r="B327">
        <f t="shared" si="2"/>
      </c>
      <c r="R327">
        <f t="shared" si="3"/>
        <v>0</v>
      </c>
      <c r="S327">
        <f t="shared" si="4"/>
        <v>0</v>
      </c>
      <c r="T327">
        <f t="shared" si="5"/>
        <v>0</v>
      </c>
      <c r="U327">
        <f t="shared" si="6"/>
        <v>0</v>
      </c>
      <c r="V327">
        <f t="shared" si="7"/>
        <v>0</v>
      </c>
      <c r="W327">
        <f t="shared" si="8"/>
        <v>0</v>
      </c>
      <c r="X327">
        <f t="shared" si="9"/>
        <v>0</v>
      </c>
      <c r="Y327">
        <f t="shared" si="10"/>
        <v>0</v>
      </c>
      <c r="Z327">
        <f t="shared" si="11"/>
        <v>0</v>
      </c>
      <c r="AA327">
        <f t="shared" si="12"/>
        <v>0</v>
      </c>
      <c r="AB327">
        <f t="shared" si="13"/>
        <v>0</v>
      </c>
      <c r="AC327">
        <f t="shared" si="14"/>
        <v>0</v>
      </c>
      <c r="AE327">
        <f t="shared" si="0"/>
      </c>
      <c r="AV327">
        <f t="shared" si="15"/>
      </c>
      <c r="BM327">
        <f t="shared" si="16"/>
      </c>
      <c r="CD327">
        <f t="shared" si="0"/>
      </c>
      <c r="CZ327">
        <f t="shared" si="17"/>
      </c>
      <c r="DA327">
        <f t="shared" si="1"/>
      </c>
      <c r="DB327">
        <f t="shared" si="18"/>
      </c>
      <c r="DC327">
        <f t="shared" si="19"/>
      </c>
      <c r="DD327">
        <f t="shared" si="20"/>
      </c>
      <c r="DE327">
        <f t="shared" si="21"/>
      </c>
      <c r="DF327">
        <f t="shared" si="22"/>
      </c>
      <c r="DG327">
        <f t="shared" si="23"/>
      </c>
      <c r="DH327">
        <f t="shared" si="24"/>
      </c>
      <c r="DI327">
        <f t="shared" si="1"/>
      </c>
    </row>
    <row r="328" ht="15" customHeight="1">
      <c r="B328">
        <f t="shared" si="2"/>
      </c>
      <c r="R328">
        <f t="shared" si="3"/>
        <v>0</v>
      </c>
      <c r="S328">
        <f t="shared" si="4"/>
        <v>0</v>
      </c>
      <c r="T328">
        <f t="shared" si="5"/>
        <v>0</v>
      </c>
      <c r="U328">
        <f t="shared" si="6"/>
        <v>0</v>
      </c>
      <c r="V328">
        <f t="shared" si="7"/>
        <v>0</v>
      </c>
      <c r="W328">
        <f t="shared" si="8"/>
        <v>0</v>
      </c>
      <c r="X328">
        <f t="shared" si="9"/>
        <v>0</v>
      </c>
      <c r="Y328">
        <f t="shared" si="10"/>
        <v>0</v>
      </c>
      <c r="Z328">
        <f t="shared" si="11"/>
        <v>0</v>
      </c>
      <c r="AA328">
        <f t="shared" si="12"/>
        <v>0</v>
      </c>
      <c r="AB328">
        <f t="shared" si="13"/>
        <v>0</v>
      </c>
      <c r="AC328">
        <f t="shared" si="14"/>
        <v>0</v>
      </c>
      <c r="AE328">
        <f t="shared" si="0"/>
      </c>
      <c r="AV328">
        <f t="shared" si="15"/>
      </c>
      <c r="BM328">
        <f t="shared" si="16"/>
      </c>
      <c r="CD328">
        <f t="shared" si="0"/>
      </c>
      <c r="CZ328">
        <f t="shared" si="17"/>
      </c>
      <c r="DA328">
        <f t="shared" si="1"/>
      </c>
      <c r="DB328">
        <f t="shared" si="18"/>
      </c>
      <c r="DC328">
        <f t="shared" si="19"/>
      </c>
      <c r="DD328">
        <f t="shared" si="20"/>
      </c>
      <c r="DE328">
        <f t="shared" si="21"/>
      </c>
      <c r="DF328">
        <f t="shared" si="22"/>
      </c>
      <c r="DG328">
        <f t="shared" si="23"/>
      </c>
      <c r="DH328">
        <f t="shared" si="24"/>
      </c>
      <c r="DI328">
        <f t="shared" si="1"/>
      </c>
    </row>
    <row r="329" ht="15" customHeight="1">
      <c r="B329">
        <f t="shared" si="2"/>
      </c>
      <c r="R329">
        <f t="shared" si="3"/>
        <v>0</v>
      </c>
      <c r="S329">
        <f t="shared" si="4"/>
        <v>0</v>
      </c>
      <c r="T329">
        <f t="shared" si="5"/>
        <v>0</v>
      </c>
      <c r="U329">
        <f t="shared" si="6"/>
        <v>0</v>
      </c>
      <c r="V329">
        <f t="shared" si="7"/>
        <v>0</v>
      </c>
      <c r="W329">
        <f t="shared" si="8"/>
        <v>0</v>
      </c>
      <c r="X329">
        <f t="shared" si="9"/>
        <v>0</v>
      </c>
      <c r="Y329">
        <f t="shared" si="10"/>
        <v>0</v>
      </c>
      <c r="Z329">
        <f t="shared" si="11"/>
        <v>0</v>
      </c>
      <c r="AA329">
        <f t="shared" si="12"/>
        <v>0</v>
      </c>
      <c r="AB329">
        <f t="shared" si="13"/>
        <v>0</v>
      </c>
      <c r="AC329">
        <f t="shared" si="14"/>
        <v>0</v>
      </c>
      <c r="AE329">
        <f t="shared" si="0"/>
      </c>
      <c r="AV329">
        <f t="shared" si="15"/>
      </c>
      <c r="BM329">
        <f t="shared" si="16"/>
      </c>
      <c r="CD329">
        <f t="shared" si="0"/>
      </c>
      <c r="CZ329">
        <f t="shared" si="17"/>
      </c>
      <c r="DA329">
        <f t="shared" si="1"/>
      </c>
      <c r="DB329">
        <f t="shared" si="18"/>
      </c>
      <c r="DC329">
        <f t="shared" si="19"/>
      </c>
      <c r="DD329">
        <f t="shared" si="20"/>
      </c>
      <c r="DE329">
        <f t="shared" si="21"/>
      </c>
      <c r="DF329">
        <f t="shared" si="22"/>
      </c>
      <c r="DG329">
        <f t="shared" si="23"/>
      </c>
      <c r="DH329">
        <f t="shared" si="24"/>
      </c>
      <c r="DI329">
        <f t="shared" si="1"/>
      </c>
    </row>
    <row r="330" ht="15" customHeight="1">
      <c r="B330">
        <f t="shared" si="2"/>
      </c>
      <c r="R330">
        <f t="shared" si="3"/>
        <v>0</v>
      </c>
      <c r="S330">
        <f t="shared" si="4"/>
        <v>0</v>
      </c>
      <c r="T330">
        <f t="shared" si="5"/>
        <v>0</v>
      </c>
      <c r="U330">
        <f t="shared" si="6"/>
        <v>0</v>
      </c>
      <c r="V330">
        <f t="shared" si="7"/>
        <v>0</v>
      </c>
      <c r="W330">
        <f t="shared" si="8"/>
        <v>0</v>
      </c>
      <c r="X330">
        <f t="shared" si="9"/>
        <v>0</v>
      </c>
      <c r="Y330">
        <f t="shared" si="10"/>
        <v>0</v>
      </c>
      <c r="Z330">
        <f t="shared" si="11"/>
        <v>0</v>
      </c>
      <c r="AA330">
        <f t="shared" si="12"/>
        <v>0</v>
      </c>
      <c r="AB330">
        <f t="shared" si="13"/>
        <v>0</v>
      </c>
      <c r="AC330">
        <f t="shared" si="14"/>
        <v>0</v>
      </c>
      <c r="AE330">
        <f t="shared" si="0"/>
      </c>
      <c r="AV330">
        <f t="shared" si="15"/>
      </c>
      <c r="BM330">
        <f t="shared" si="16"/>
      </c>
      <c r="CD330">
        <f t="shared" si="0"/>
      </c>
      <c r="CZ330">
        <f t="shared" si="17"/>
      </c>
      <c r="DA330">
        <f t="shared" si="1"/>
      </c>
      <c r="DB330">
        <f t="shared" si="18"/>
      </c>
      <c r="DC330">
        <f t="shared" si="19"/>
      </c>
      <c r="DD330">
        <f t="shared" si="20"/>
      </c>
      <c r="DE330">
        <f t="shared" si="21"/>
      </c>
      <c r="DF330">
        <f t="shared" si="22"/>
      </c>
      <c r="DG330">
        <f t="shared" si="23"/>
      </c>
      <c r="DH330">
        <f t="shared" si="24"/>
      </c>
      <c r="DI330">
        <f t="shared" si="1"/>
      </c>
    </row>
    <row r="331" ht="15" customHeight="1">
      <c r="B331">
        <f t="shared" si="2"/>
      </c>
      <c r="R331">
        <f t="shared" si="3"/>
        <v>0</v>
      </c>
      <c r="S331">
        <f t="shared" si="4"/>
        <v>0</v>
      </c>
      <c r="T331">
        <f t="shared" si="5"/>
        <v>0</v>
      </c>
      <c r="U331">
        <f t="shared" si="6"/>
        <v>0</v>
      </c>
      <c r="V331">
        <f t="shared" si="7"/>
        <v>0</v>
      </c>
      <c r="W331">
        <f t="shared" si="8"/>
        <v>0</v>
      </c>
      <c r="X331">
        <f t="shared" si="9"/>
        <v>0</v>
      </c>
      <c r="Y331">
        <f t="shared" si="10"/>
        <v>0</v>
      </c>
      <c r="Z331">
        <f t="shared" si="11"/>
        <v>0</v>
      </c>
      <c r="AA331">
        <f t="shared" si="12"/>
        <v>0</v>
      </c>
      <c r="AB331">
        <f t="shared" si="13"/>
        <v>0</v>
      </c>
      <c r="AC331">
        <f t="shared" si="14"/>
        <v>0</v>
      </c>
      <c r="AE331">
        <f t="shared" si="0"/>
      </c>
      <c r="AV331">
        <f t="shared" si="15"/>
      </c>
      <c r="BM331">
        <f t="shared" si="16"/>
      </c>
      <c r="CD331">
        <f t="shared" si="0"/>
      </c>
      <c r="CZ331">
        <f t="shared" si="17"/>
      </c>
      <c r="DA331">
        <f t="shared" si="1"/>
      </c>
      <c r="DB331">
        <f t="shared" si="18"/>
      </c>
      <c r="DC331">
        <f t="shared" si="19"/>
      </c>
      <c r="DD331">
        <f t="shared" si="20"/>
      </c>
      <c r="DE331">
        <f t="shared" si="21"/>
      </c>
      <c r="DF331">
        <f t="shared" si="22"/>
      </c>
      <c r="DG331">
        <f t="shared" si="23"/>
      </c>
      <c r="DH331">
        <f t="shared" si="24"/>
      </c>
      <c r="DI331">
        <f t="shared" si="1"/>
      </c>
    </row>
    <row r="332" ht="15" customHeight="1">
      <c r="B332">
        <f t="shared" si="2"/>
      </c>
      <c r="R332">
        <f t="shared" si="3"/>
        <v>0</v>
      </c>
      <c r="S332">
        <f t="shared" si="4"/>
        <v>0</v>
      </c>
      <c r="T332">
        <f t="shared" si="5"/>
        <v>0</v>
      </c>
      <c r="U332">
        <f t="shared" si="6"/>
        <v>0</v>
      </c>
      <c r="V332">
        <f t="shared" si="7"/>
        <v>0</v>
      </c>
      <c r="W332">
        <f t="shared" si="8"/>
        <v>0</v>
      </c>
      <c r="X332">
        <f t="shared" si="9"/>
        <v>0</v>
      </c>
      <c r="Y332">
        <f t="shared" si="10"/>
        <v>0</v>
      </c>
      <c r="Z332">
        <f t="shared" si="11"/>
        <v>0</v>
      </c>
      <c r="AA332">
        <f t="shared" si="12"/>
        <v>0</v>
      </c>
      <c r="AB332">
        <f t="shared" si="13"/>
        <v>0</v>
      </c>
      <c r="AC332">
        <f t="shared" si="14"/>
        <v>0</v>
      </c>
      <c r="AE332">
        <f t="shared" si="0"/>
      </c>
      <c r="AV332">
        <f t="shared" si="15"/>
      </c>
      <c r="BM332">
        <f t="shared" si="16"/>
      </c>
      <c r="CD332">
        <f t="shared" si="0"/>
      </c>
      <c r="CZ332">
        <f t="shared" si="17"/>
      </c>
      <c r="DA332">
        <f t="shared" si="1"/>
      </c>
      <c r="DB332">
        <f t="shared" si="18"/>
      </c>
      <c r="DC332">
        <f t="shared" si="19"/>
      </c>
      <c r="DD332">
        <f t="shared" si="20"/>
      </c>
      <c r="DE332">
        <f t="shared" si="21"/>
      </c>
      <c r="DF332">
        <f t="shared" si="22"/>
      </c>
      <c r="DG332">
        <f t="shared" si="23"/>
      </c>
      <c r="DH332">
        <f t="shared" si="24"/>
      </c>
      <c r="DI332">
        <f t="shared" si="1"/>
      </c>
    </row>
    <row r="333" ht="15" customHeight="1">
      <c r="B333">
        <f t="shared" si="2"/>
      </c>
      <c r="R333">
        <f t="shared" si="3"/>
        <v>0</v>
      </c>
      <c r="S333">
        <f t="shared" si="4"/>
        <v>0</v>
      </c>
      <c r="T333">
        <f t="shared" si="5"/>
        <v>0</v>
      </c>
      <c r="U333">
        <f t="shared" si="6"/>
        <v>0</v>
      </c>
      <c r="V333">
        <f t="shared" si="7"/>
        <v>0</v>
      </c>
      <c r="W333">
        <f t="shared" si="8"/>
        <v>0</v>
      </c>
      <c r="X333">
        <f t="shared" si="9"/>
        <v>0</v>
      </c>
      <c r="Y333">
        <f t="shared" si="10"/>
        <v>0</v>
      </c>
      <c r="Z333">
        <f t="shared" si="11"/>
        <v>0</v>
      </c>
      <c r="AA333">
        <f t="shared" si="12"/>
        <v>0</v>
      </c>
      <c r="AB333">
        <f t="shared" si="13"/>
        <v>0</v>
      </c>
      <c r="AC333">
        <f t="shared" si="14"/>
        <v>0</v>
      </c>
      <c r="AE333">
        <f t="shared" si="0"/>
      </c>
      <c r="AV333">
        <f t="shared" si="15"/>
      </c>
      <c r="BM333">
        <f t="shared" si="16"/>
      </c>
      <c r="CD333">
        <f t="shared" si="0"/>
      </c>
      <c r="CZ333">
        <f t="shared" si="17"/>
      </c>
      <c r="DA333">
        <f t="shared" si="1"/>
      </c>
      <c r="DB333">
        <f t="shared" si="18"/>
      </c>
      <c r="DC333">
        <f t="shared" si="19"/>
      </c>
      <c r="DD333">
        <f t="shared" si="20"/>
      </c>
      <c r="DE333">
        <f t="shared" si="21"/>
      </c>
      <c r="DF333">
        <f t="shared" si="22"/>
      </c>
      <c r="DG333">
        <f t="shared" si="23"/>
      </c>
      <c r="DH333">
        <f t="shared" si="24"/>
      </c>
      <c r="DI333">
        <f t="shared" si="1"/>
      </c>
    </row>
    <row r="334" ht="15" customHeight="1">
      <c r="B334">
        <f t="shared" si="2"/>
      </c>
      <c r="R334">
        <f t="shared" si="3"/>
        <v>0</v>
      </c>
      <c r="S334">
        <f t="shared" si="4"/>
        <v>0</v>
      </c>
      <c r="T334">
        <f t="shared" si="5"/>
        <v>0</v>
      </c>
      <c r="U334">
        <f t="shared" si="6"/>
        <v>0</v>
      </c>
      <c r="V334">
        <f t="shared" si="7"/>
        <v>0</v>
      </c>
      <c r="W334">
        <f t="shared" si="8"/>
        <v>0</v>
      </c>
      <c r="X334">
        <f t="shared" si="9"/>
        <v>0</v>
      </c>
      <c r="Y334">
        <f t="shared" si="10"/>
        <v>0</v>
      </c>
      <c r="Z334">
        <f t="shared" si="11"/>
        <v>0</v>
      </c>
      <c r="AA334">
        <f t="shared" si="12"/>
        <v>0</v>
      </c>
      <c r="AB334">
        <f t="shared" si="13"/>
        <v>0</v>
      </c>
      <c r="AC334">
        <f t="shared" si="14"/>
        <v>0</v>
      </c>
      <c r="AE334">
        <f t="shared" si="0"/>
      </c>
      <c r="AV334">
        <f t="shared" si="15"/>
      </c>
      <c r="BM334">
        <f t="shared" si="16"/>
      </c>
      <c r="CD334">
        <f t="shared" si="0"/>
      </c>
      <c r="CZ334">
        <f t="shared" si="17"/>
      </c>
      <c r="DA334">
        <f t="shared" si="1"/>
      </c>
      <c r="DB334">
        <f t="shared" si="18"/>
      </c>
      <c r="DC334">
        <f t="shared" si="19"/>
      </c>
      <c r="DD334">
        <f t="shared" si="20"/>
      </c>
      <c r="DE334">
        <f t="shared" si="21"/>
      </c>
      <c r="DF334">
        <f t="shared" si="22"/>
      </c>
      <c r="DG334">
        <f t="shared" si="23"/>
      </c>
      <c r="DH334">
        <f t="shared" si="24"/>
      </c>
      <c r="DI334">
        <f t="shared" si="1"/>
      </c>
    </row>
    <row r="335" ht="15" customHeight="1">
      <c r="B335">
        <f t="shared" si="2"/>
      </c>
      <c r="R335">
        <f t="shared" si="3"/>
        <v>0</v>
      </c>
      <c r="S335">
        <f t="shared" si="4"/>
        <v>0</v>
      </c>
      <c r="T335">
        <f t="shared" si="5"/>
        <v>0</v>
      </c>
      <c r="U335">
        <f t="shared" si="6"/>
        <v>0</v>
      </c>
      <c r="V335">
        <f t="shared" si="7"/>
        <v>0</v>
      </c>
      <c r="W335">
        <f t="shared" si="8"/>
        <v>0</v>
      </c>
      <c r="X335">
        <f t="shared" si="9"/>
        <v>0</v>
      </c>
      <c r="Y335">
        <f t="shared" si="10"/>
        <v>0</v>
      </c>
      <c r="Z335">
        <f t="shared" si="11"/>
        <v>0</v>
      </c>
      <c r="AA335">
        <f t="shared" si="12"/>
        <v>0</v>
      </c>
      <c r="AB335">
        <f t="shared" si="13"/>
        <v>0</v>
      </c>
      <c r="AC335">
        <f t="shared" si="14"/>
        <v>0</v>
      </c>
      <c r="AE335">
        <f t="shared" si="0"/>
      </c>
      <c r="AV335">
        <f t="shared" si="15"/>
      </c>
      <c r="BM335">
        <f t="shared" si="16"/>
      </c>
      <c r="CD335">
        <f t="shared" si="0"/>
      </c>
      <c r="CZ335">
        <f t="shared" si="17"/>
      </c>
      <c r="DA335">
        <f t="shared" si="1"/>
      </c>
      <c r="DB335">
        <f t="shared" si="18"/>
      </c>
      <c r="DC335">
        <f t="shared" si="19"/>
      </c>
      <c r="DD335">
        <f t="shared" si="20"/>
      </c>
      <c r="DE335">
        <f t="shared" si="21"/>
      </c>
      <c r="DF335">
        <f t="shared" si="22"/>
      </c>
      <c r="DG335">
        <f t="shared" si="23"/>
      </c>
      <c r="DH335">
        <f t="shared" si="24"/>
      </c>
      <c r="DI335">
        <f t="shared" si="1"/>
      </c>
    </row>
    <row r="336" ht="15" customHeight="1">
      <c r="B336">
        <f t="shared" si="2"/>
      </c>
      <c r="R336">
        <f t="shared" si="3"/>
        <v>0</v>
      </c>
      <c r="S336">
        <f t="shared" si="4"/>
        <v>0</v>
      </c>
      <c r="T336">
        <f t="shared" si="5"/>
        <v>0</v>
      </c>
      <c r="U336">
        <f t="shared" si="6"/>
        <v>0</v>
      </c>
      <c r="V336">
        <f t="shared" si="7"/>
        <v>0</v>
      </c>
      <c r="W336">
        <f t="shared" si="8"/>
        <v>0</v>
      </c>
      <c r="X336">
        <f t="shared" si="9"/>
        <v>0</v>
      </c>
      <c r="Y336">
        <f t="shared" si="10"/>
        <v>0</v>
      </c>
      <c r="Z336">
        <f t="shared" si="11"/>
        <v>0</v>
      </c>
      <c r="AA336">
        <f t="shared" si="12"/>
        <v>0</v>
      </c>
      <c r="AB336">
        <f t="shared" si="13"/>
        <v>0</v>
      </c>
      <c r="AC336">
        <f t="shared" si="14"/>
        <v>0</v>
      </c>
      <c r="AE336">
        <f t="shared" si="0"/>
      </c>
      <c r="AV336">
        <f t="shared" si="15"/>
      </c>
      <c r="BM336">
        <f t="shared" si="16"/>
      </c>
      <c r="CD336">
        <f t="shared" si="0"/>
      </c>
      <c r="CZ336">
        <f t="shared" si="17"/>
      </c>
      <c r="DA336">
        <f t="shared" si="1"/>
      </c>
      <c r="DB336">
        <f t="shared" si="18"/>
      </c>
      <c r="DC336">
        <f t="shared" si="19"/>
      </c>
      <c r="DD336">
        <f t="shared" si="20"/>
      </c>
      <c r="DE336">
        <f t="shared" si="21"/>
      </c>
      <c r="DF336">
        <f t="shared" si="22"/>
      </c>
      <c r="DG336">
        <f t="shared" si="23"/>
      </c>
      <c r="DH336">
        <f t="shared" si="24"/>
      </c>
      <c r="DI336">
        <f t="shared" si="1"/>
      </c>
    </row>
    <row r="337" ht="15" customHeight="1">
      <c r="B337">
        <f t="shared" si="2"/>
      </c>
      <c r="R337">
        <f t="shared" si="3"/>
        <v>0</v>
      </c>
      <c r="S337">
        <f t="shared" si="4"/>
        <v>0</v>
      </c>
      <c r="T337">
        <f t="shared" si="5"/>
        <v>0</v>
      </c>
      <c r="U337">
        <f t="shared" si="6"/>
        <v>0</v>
      </c>
      <c r="V337">
        <f t="shared" si="7"/>
        <v>0</v>
      </c>
      <c r="W337">
        <f t="shared" si="8"/>
        <v>0</v>
      </c>
      <c r="X337">
        <f t="shared" si="9"/>
        <v>0</v>
      </c>
      <c r="Y337">
        <f t="shared" si="10"/>
        <v>0</v>
      </c>
      <c r="Z337">
        <f t="shared" si="11"/>
        <v>0</v>
      </c>
      <c r="AA337">
        <f t="shared" si="12"/>
        <v>0</v>
      </c>
      <c r="AB337">
        <f t="shared" si="13"/>
        <v>0</v>
      </c>
      <c r="AC337">
        <f t="shared" si="14"/>
        <v>0</v>
      </c>
      <c r="AE337">
        <f t="shared" si="0"/>
      </c>
      <c r="AV337">
        <f t="shared" si="15"/>
      </c>
      <c r="BM337">
        <f t="shared" si="16"/>
      </c>
      <c r="CD337">
        <f t="shared" si="0"/>
      </c>
      <c r="CZ337">
        <f t="shared" si="17"/>
      </c>
      <c r="DA337">
        <f t="shared" si="1"/>
      </c>
      <c r="DB337">
        <f t="shared" si="18"/>
      </c>
      <c r="DC337">
        <f t="shared" si="19"/>
      </c>
      <c r="DD337">
        <f t="shared" si="20"/>
      </c>
      <c r="DE337">
        <f t="shared" si="21"/>
      </c>
      <c r="DF337">
        <f t="shared" si="22"/>
      </c>
      <c r="DG337">
        <f t="shared" si="23"/>
      </c>
      <c r="DH337">
        <f t="shared" si="24"/>
      </c>
      <c r="DI337">
        <f t="shared" si="1"/>
      </c>
    </row>
    <row r="338" ht="15" customHeight="1">
      <c r="B338">
        <f t="shared" si="2"/>
      </c>
      <c r="R338">
        <f t="shared" si="3"/>
        <v>0</v>
      </c>
      <c r="S338">
        <f t="shared" si="4"/>
        <v>0</v>
      </c>
      <c r="T338">
        <f t="shared" si="5"/>
        <v>0</v>
      </c>
      <c r="U338">
        <f t="shared" si="6"/>
        <v>0</v>
      </c>
      <c r="V338">
        <f t="shared" si="7"/>
        <v>0</v>
      </c>
      <c r="W338">
        <f t="shared" si="8"/>
        <v>0</v>
      </c>
      <c r="X338">
        <f t="shared" si="9"/>
        <v>0</v>
      </c>
      <c r="Y338">
        <f t="shared" si="10"/>
        <v>0</v>
      </c>
      <c r="Z338">
        <f t="shared" si="11"/>
        <v>0</v>
      </c>
      <c r="AA338">
        <f t="shared" si="12"/>
        <v>0</v>
      </c>
      <c r="AB338">
        <f t="shared" si="13"/>
        <v>0</v>
      </c>
      <c r="AC338">
        <f t="shared" si="14"/>
        <v>0</v>
      </c>
      <c r="AE338">
        <f t="shared" si="0"/>
      </c>
      <c r="AV338">
        <f t="shared" si="15"/>
      </c>
      <c r="BM338">
        <f t="shared" si="16"/>
      </c>
      <c r="CD338">
        <f t="shared" si="0"/>
      </c>
      <c r="CZ338">
        <f t="shared" si="17"/>
      </c>
      <c r="DA338">
        <f t="shared" si="1"/>
      </c>
      <c r="DB338">
        <f t="shared" si="18"/>
      </c>
      <c r="DC338">
        <f t="shared" si="19"/>
      </c>
      <c r="DD338">
        <f t="shared" si="20"/>
      </c>
      <c r="DE338">
        <f t="shared" si="21"/>
      </c>
      <c r="DF338">
        <f t="shared" si="22"/>
      </c>
      <c r="DG338">
        <f t="shared" si="23"/>
      </c>
      <c r="DH338">
        <f t="shared" si="24"/>
      </c>
      <c r="DI338">
        <f t="shared" si="1"/>
      </c>
    </row>
    <row r="339" ht="15" customHeight="1">
      <c r="B339">
        <f t="shared" si="2"/>
      </c>
      <c r="R339">
        <f t="shared" si="3"/>
        <v>0</v>
      </c>
      <c r="S339">
        <f t="shared" si="4"/>
        <v>0</v>
      </c>
      <c r="T339">
        <f t="shared" si="5"/>
        <v>0</v>
      </c>
      <c r="U339">
        <f t="shared" si="6"/>
        <v>0</v>
      </c>
      <c r="V339">
        <f t="shared" si="7"/>
        <v>0</v>
      </c>
      <c r="W339">
        <f t="shared" si="8"/>
        <v>0</v>
      </c>
      <c r="X339">
        <f t="shared" si="9"/>
        <v>0</v>
      </c>
      <c r="Y339">
        <f t="shared" si="10"/>
        <v>0</v>
      </c>
      <c r="Z339">
        <f t="shared" si="11"/>
        <v>0</v>
      </c>
      <c r="AA339">
        <f t="shared" si="12"/>
        <v>0</v>
      </c>
      <c r="AB339">
        <f t="shared" si="13"/>
        <v>0</v>
      </c>
      <c r="AC339">
        <f t="shared" si="14"/>
        <v>0</v>
      </c>
      <c r="AE339">
        <f t="shared" si="0"/>
      </c>
      <c r="AV339">
        <f t="shared" si="15"/>
      </c>
      <c r="BM339">
        <f t="shared" si="16"/>
      </c>
      <c r="CD339">
        <f t="shared" si="0"/>
      </c>
      <c r="CZ339">
        <f t="shared" si="17"/>
      </c>
      <c r="DA339">
        <f t="shared" si="1"/>
      </c>
      <c r="DB339">
        <f t="shared" si="18"/>
      </c>
      <c r="DC339">
        <f t="shared" si="19"/>
      </c>
      <c r="DD339">
        <f t="shared" si="20"/>
      </c>
      <c r="DE339">
        <f t="shared" si="21"/>
      </c>
      <c r="DF339">
        <f t="shared" si="22"/>
      </c>
      <c r="DG339">
        <f t="shared" si="23"/>
      </c>
      <c r="DH339">
        <f t="shared" si="24"/>
      </c>
      <c r="DI339">
        <f t="shared" si="1"/>
      </c>
    </row>
    <row r="340" ht="15" customHeight="1">
      <c r="B340">
        <f t="shared" si="2"/>
      </c>
      <c r="R340">
        <f t="shared" si="3"/>
        <v>0</v>
      </c>
      <c r="S340">
        <f t="shared" si="4"/>
        <v>0</v>
      </c>
      <c r="T340">
        <f t="shared" si="5"/>
        <v>0</v>
      </c>
      <c r="U340">
        <f t="shared" si="6"/>
        <v>0</v>
      </c>
      <c r="V340">
        <f t="shared" si="7"/>
        <v>0</v>
      </c>
      <c r="W340">
        <f t="shared" si="8"/>
        <v>0</v>
      </c>
      <c r="X340">
        <f t="shared" si="9"/>
        <v>0</v>
      </c>
      <c r="Y340">
        <f t="shared" si="10"/>
        <v>0</v>
      </c>
      <c r="Z340">
        <f t="shared" si="11"/>
        <v>0</v>
      </c>
      <c r="AA340">
        <f t="shared" si="12"/>
        <v>0</v>
      </c>
      <c r="AB340">
        <f t="shared" si="13"/>
        <v>0</v>
      </c>
      <c r="AC340">
        <f t="shared" si="14"/>
        <v>0</v>
      </c>
      <c r="AE340">
        <f t="shared" si="0"/>
      </c>
      <c r="AV340">
        <f t="shared" si="15"/>
      </c>
      <c r="BM340">
        <f t="shared" si="16"/>
      </c>
      <c r="CD340">
        <f t="shared" si="0"/>
      </c>
      <c r="CZ340">
        <f t="shared" si="17"/>
      </c>
      <c r="DA340">
        <f t="shared" si="1"/>
      </c>
      <c r="DB340">
        <f t="shared" si="18"/>
      </c>
      <c r="DC340">
        <f t="shared" si="19"/>
      </c>
      <c r="DD340">
        <f t="shared" si="20"/>
      </c>
      <c r="DE340">
        <f t="shared" si="21"/>
      </c>
      <c r="DF340">
        <f t="shared" si="22"/>
      </c>
      <c r="DG340">
        <f t="shared" si="23"/>
      </c>
      <c r="DH340">
        <f t="shared" si="24"/>
      </c>
      <c r="DI340">
        <f t="shared" si="1"/>
      </c>
    </row>
    <row r="341" ht="15" customHeight="1">
      <c r="B341">
        <f t="shared" si="2"/>
      </c>
      <c r="R341">
        <f t="shared" si="3"/>
        <v>0</v>
      </c>
      <c r="S341">
        <f t="shared" si="4"/>
        <v>0</v>
      </c>
      <c r="T341">
        <f t="shared" si="5"/>
        <v>0</v>
      </c>
      <c r="U341">
        <f t="shared" si="6"/>
        <v>0</v>
      </c>
      <c r="V341">
        <f t="shared" si="7"/>
        <v>0</v>
      </c>
      <c r="W341">
        <f t="shared" si="8"/>
        <v>0</v>
      </c>
      <c r="X341">
        <f t="shared" si="9"/>
        <v>0</v>
      </c>
      <c r="Y341">
        <f t="shared" si="10"/>
        <v>0</v>
      </c>
      <c r="Z341">
        <f t="shared" si="11"/>
        <v>0</v>
      </c>
      <c r="AA341">
        <f t="shared" si="12"/>
        <v>0</v>
      </c>
      <c r="AB341">
        <f t="shared" si="13"/>
        <v>0</v>
      </c>
      <c r="AC341">
        <f t="shared" si="14"/>
        <v>0</v>
      </c>
      <c r="AE341">
        <f t="shared" si="0"/>
      </c>
      <c r="AV341">
        <f t="shared" si="15"/>
      </c>
      <c r="BM341">
        <f t="shared" si="16"/>
      </c>
      <c r="CD341">
        <f t="shared" si="0"/>
      </c>
      <c r="CZ341">
        <f t="shared" si="17"/>
      </c>
      <c r="DA341">
        <f t="shared" si="1"/>
      </c>
      <c r="DB341">
        <f t="shared" si="18"/>
      </c>
      <c r="DC341">
        <f t="shared" si="19"/>
      </c>
      <c r="DD341">
        <f t="shared" si="20"/>
      </c>
      <c r="DE341">
        <f t="shared" si="21"/>
      </c>
      <c r="DF341">
        <f t="shared" si="22"/>
      </c>
      <c r="DG341">
        <f t="shared" si="23"/>
      </c>
      <c r="DH341">
        <f t="shared" si="24"/>
      </c>
      <c r="DI341">
        <f t="shared" si="1"/>
      </c>
    </row>
    <row r="342" ht="15" customHeight="1">
      <c r="B342">
        <f t="shared" si="2"/>
      </c>
      <c r="R342">
        <f t="shared" si="3"/>
        <v>0</v>
      </c>
      <c r="S342">
        <f t="shared" si="4"/>
        <v>0</v>
      </c>
      <c r="T342">
        <f t="shared" si="5"/>
        <v>0</v>
      </c>
      <c r="U342">
        <f t="shared" si="6"/>
        <v>0</v>
      </c>
      <c r="V342">
        <f t="shared" si="7"/>
        <v>0</v>
      </c>
      <c r="W342">
        <f t="shared" si="8"/>
        <v>0</v>
      </c>
      <c r="X342">
        <f t="shared" si="9"/>
        <v>0</v>
      </c>
      <c r="Y342">
        <f t="shared" si="10"/>
        <v>0</v>
      </c>
      <c r="Z342">
        <f t="shared" si="11"/>
        <v>0</v>
      </c>
      <c r="AA342">
        <f t="shared" si="12"/>
        <v>0</v>
      </c>
      <c r="AB342">
        <f t="shared" si="13"/>
        <v>0</v>
      </c>
      <c r="AC342">
        <f t="shared" si="14"/>
        <v>0</v>
      </c>
      <c r="AE342">
        <f t="shared" si="0"/>
      </c>
      <c r="AV342">
        <f t="shared" si="15"/>
      </c>
      <c r="BM342">
        <f t="shared" si="16"/>
      </c>
      <c r="CD342">
        <f t="shared" si="0"/>
      </c>
      <c r="CZ342">
        <f t="shared" si="17"/>
      </c>
      <c r="DA342">
        <f t="shared" si="1"/>
      </c>
      <c r="DB342">
        <f t="shared" si="18"/>
      </c>
      <c r="DC342">
        <f t="shared" si="19"/>
      </c>
      <c r="DD342">
        <f t="shared" si="20"/>
      </c>
      <c r="DE342">
        <f t="shared" si="21"/>
      </c>
      <c r="DF342">
        <f t="shared" si="22"/>
      </c>
      <c r="DG342">
        <f t="shared" si="23"/>
      </c>
      <c r="DH342">
        <f t="shared" si="24"/>
      </c>
      <c r="DI342">
        <f t="shared" si="1"/>
      </c>
    </row>
    <row r="343" ht="15" customHeight="1">
      <c r="B343">
        <f t="shared" si="2"/>
      </c>
      <c r="R343">
        <f t="shared" si="3"/>
        <v>0</v>
      </c>
      <c r="S343">
        <f t="shared" si="4"/>
        <v>0</v>
      </c>
      <c r="T343">
        <f t="shared" si="5"/>
        <v>0</v>
      </c>
      <c r="U343">
        <f t="shared" si="6"/>
        <v>0</v>
      </c>
      <c r="V343">
        <f t="shared" si="7"/>
        <v>0</v>
      </c>
      <c r="W343">
        <f t="shared" si="8"/>
        <v>0</v>
      </c>
      <c r="X343">
        <f t="shared" si="9"/>
        <v>0</v>
      </c>
      <c r="Y343">
        <f t="shared" si="10"/>
        <v>0</v>
      </c>
      <c r="Z343">
        <f t="shared" si="11"/>
        <v>0</v>
      </c>
      <c r="AA343">
        <f t="shared" si="12"/>
        <v>0</v>
      </c>
      <c r="AB343">
        <f t="shared" si="13"/>
        <v>0</v>
      </c>
      <c r="AC343">
        <f t="shared" si="14"/>
        <v>0</v>
      </c>
      <c r="AE343">
        <f t="shared" si="0"/>
      </c>
      <c r="AV343">
        <f t="shared" si="15"/>
      </c>
      <c r="BM343">
        <f t="shared" si="16"/>
      </c>
      <c r="CD343">
        <f t="shared" si="0"/>
      </c>
      <c r="CZ343">
        <f t="shared" si="17"/>
      </c>
      <c r="DA343">
        <f t="shared" si="1"/>
      </c>
      <c r="DB343">
        <f t="shared" si="18"/>
      </c>
      <c r="DC343">
        <f t="shared" si="19"/>
      </c>
      <c r="DD343">
        <f t="shared" si="20"/>
      </c>
      <c r="DE343">
        <f t="shared" si="21"/>
      </c>
      <c r="DF343">
        <f t="shared" si="22"/>
      </c>
      <c r="DG343">
        <f t="shared" si="23"/>
      </c>
      <c r="DH343">
        <f t="shared" si="24"/>
      </c>
      <c r="DI343">
        <f t="shared" si="1"/>
      </c>
    </row>
    <row r="344" ht="15" customHeight="1">
      <c r="B344">
        <f t="shared" si="2"/>
      </c>
      <c r="R344">
        <f t="shared" si="3"/>
        <v>0</v>
      </c>
      <c r="S344">
        <f t="shared" si="4"/>
        <v>0</v>
      </c>
      <c r="T344">
        <f t="shared" si="5"/>
        <v>0</v>
      </c>
      <c r="U344">
        <f t="shared" si="6"/>
        <v>0</v>
      </c>
      <c r="V344">
        <f t="shared" si="7"/>
        <v>0</v>
      </c>
      <c r="W344">
        <f t="shared" si="8"/>
        <v>0</v>
      </c>
      <c r="X344">
        <f t="shared" si="9"/>
        <v>0</v>
      </c>
      <c r="Y344">
        <f t="shared" si="10"/>
        <v>0</v>
      </c>
      <c r="Z344">
        <f t="shared" si="11"/>
        <v>0</v>
      </c>
      <c r="AA344">
        <f t="shared" si="12"/>
        <v>0</v>
      </c>
      <c r="AB344">
        <f t="shared" si="13"/>
        <v>0</v>
      </c>
      <c r="AC344">
        <f t="shared" si="14"/>
        <v>0</v>
      </c>
      <c r="AE344">
        <f t="shared" si="0"/>
      </c>
      <c r="AV344">
        <f t="shared" si="15"/>
      </c>
      <c r="BM344">
        <f t="shared" si="16"/>
      </c>
      <c r="CD344">
        <f t="shared" si="0"/>
      </c>
      <c r="CZ344">
        <f t="shared" si="17"/>
      </c>
      <c r="DA344">
        <f t="shared" si="1"/>
      </c>
      <c r="DB344">
        <f t="shared" si="18"/>
      </c>
      <c r="DC344">
        <f t="shared" si="19"/>
      </c>
      <c r="DD344">
        <f t="shared" si="20"/>
      </c>
      <c r="DE344">
        <f t="shared" si="21"/>
      </c>
      <c r="DF344">
        <f t="shared" si="22"/>
      </c>
      <c r="DG344">
        <f t="shared" si="23"/>
      </c>
      <c r="DH344">
        <f t="shared" si="24"/>
      </c>
      <c r="DI344">
        <f t="shared" si="1"/>
      </c>
    </row>
    <row r="345" ht="15" customHeight="1">
      <c r="B345">
        <f t="shared" si="2"/>
      </c>
      <c r="R345">
        <f t="shared" si="3"/>
        <v>0</v>
      </c>
      <c r="S345">
        <f t="shared" si="4"/>
        <v>0</v>
      </c>
      <c r="T345">
        <f t="shared" si="5"/>
        <v>0</v>
      </c>
      <c r="U345">
        <f t="shared" si="6"/>
        <v>0</v>
      </c>
      <c r="V345">
        <f t="shared" si="7"/>
        <v>0</v>
      </c>
      <c r="W345">
        <f t="shared" si="8"/>
        <v>0</v>
      </c>
      <c r="X345">
        <f t="shared" si="9"/>
        <v>0</v>
      </c>
      <c r="Y345">
        <f t="shared" si="10"/>
        <v>0</v>
      </c>
      <c r="Z345">
        <f t="shared" si="11"/>
        <v>0</v>
      </c>
      <c r="AA345">
        <f t="shared" si="12"/>
        <v>0</v>
      </c>
      <c r="AB345">
        <f t="shared" si="13"/>
        <v>0</v>
      </c>
      <c r="AC345">
        <f t="shared" si="14"/>
        <v>0</v>
      </c>
      <c r="AE345">
        <f t="shared" si="0"/>
      </c>
      <c r="AV345">
        <f t="shared" si="15"/>
      </c>
      <c r="BM345">
        <f t="shared" si="16"/>
      </c>
      <c r="CD345">
        <f t="shared" si="0"/>
      </c>
      <c r="CZ345">
        <f t="shared" si="17"/>
      </c>
      <c r="DA345">
        <f t="shared" si="1"/>
      </c>
      <c r="DB345">
        <f t="shared" si="18"/>
      </c>
      <c r="DC345">
        <f t="shared" si="19"/>
      </c>
      <c r="DD345">
        <f t="shared" si="20"/>
      </c>
      <c r="DE345">
        <f t="shared" si="21"/>
      </c>
      <c r="DF345">
        <f t="shared" si="22"/>
      </c>
      <c r="DG345">
        <f t="shared" si="23"/>
      </c>
      <c r="DH345">
        <f t="shared" si="24"/>
      </c>
      <c r="DI345">
        <f t="shared" si="1"/>
      </c>
    </row>
    <row r="346" ht="15" customHeight="1">
      <c r="B346">
        <f t="shared" si="2"/>
      </c>
      <c r="R346">
        <f t="shared" si="3"/>
        <v>0</v>
      </c>
      <c r="S346">
        <f t="shared" si="4"/>
        <v>0</v>
      </c>
      <c r="T346">
        <f t="shared" si="5"/>
        <v>0</v>
      </c>
      <c r="U346">
        <f t="shared" si="6"/>
        <v>0</v>
      </c>
      <c r="V346">
        <f t="shared" si="7"/>
        <v>0</v>
      </c>
      <c r="W346">
        <f t="shared" si="8"/>
        <v>0</v>
      </c>
      <c r="X346">
        <f t="shared" si="9"/>
        <v>0</v>
      </c>
      <c r="Y346">
        <f t="shared" si="10"/>
        <v>0</v>
      </c>
      <c r="Z346">
        <f t="shared" si="11"/>
        <v>0</v>
      </c>
      <c r="AA346">
        <f t="shared" si="12"/>
        <v>0</v>
      </c>
      <c r="AB346">
        <f t="shared" si="13"/>
        <v>0</v>
      </c>
      <c r="AC346">
        <f t="shared" si="14"/>
        <v>0</v>
      </c>
      <c r="AE346">
        <f t="shared" si="0"/>
      </c>
      <c r="AV346">
        <f t="shared" si="15"/>
      </c>
      <c r="BM346">
        <f t="shared" si="16"/>
      </c>
      <c r="CD346">
        <f t="shared" si="0"/>
      </c>
      <c r="CZ346">
        <f t="shared" si="17"/>
      </c>
      <c r="DA346">
        <f t="shared" si="1"/>
      </c>
      <c r="DB346">
        <f t="shared" si="18"/>
      </c>
      <c r="DC346">
        <f t="shared" si="19"/>
      </c>
      <c r="DD346">
        <f t="shared" si="20"/>
      </c>
      <c r="DE346">
        <f t="shared" si="21"/>
      </c>
      <c r="DF346">
        <f t="shared" si="22"/>
      </c>
      <c r="DG346">
        <f t="shared" si="23"/>
      </c>
      <c r="DH346">
        <f t="shared" si="24"/>
      </c>
      <c r="DI346">
        <f t="shared" si="1"/>
      </c>
    </row>
    <row r="347" ht="15" customHeight="1">
      <c r="B347">
        <f t="shared" si="2"/>
      </c>
      <c r="R347">
        <f t="shared" si="3"/>
        <v>0</v>
      </c>
      <c r="S347">
        <f t="shared" si="4"/>
        <v>0</v>
      </c>
      <c r="T347">
        <f t="shared" si="5"/>
        <v>0</v>
      </c>
      <c r="U347">
        <f t="shared" si="6"/>
        <v>0</v>
      </c>
      <c r="V347">
        <f t="shared" si="7"/>
        <v>0</v>
      </c>
      <c r="W347">
        <f t="shared" si="8"/>
        <v>0</v>
      </c>
      <c r="X347">
        <f t="shared" si="9"/>
        <v>0</v>
      </c>
      <c r="Y347">
        <f t="shared" si="10"/>
        <v>0</v>
      </c>
      <c r="Z347">
        <f t="shared" si="11"/>
        <v>0</v>
      </c>
      <c r="AA347">
        <f t="shared" si="12"/>
        <v>0</v>
      </c>
      <c r="AB347">
        <f t="shared" si="13"/>
        <v>0</v>
      </c>
      <c r="AC347">
        <f t="shared" si="14"/>
        <v>0</v>
      </c>
      <c r="AE347">
        <f t="shared" si="0"/>
      </c>
      <c r="AV347">
        <f t="shared" si="15"/>
      </c>
      <c r="BM347">
        <f t="shared" si="16"/>
      </c>
      <c r="CD347">
        <f t="shared" si="0"/>
      </c>
      <c r="CZ347">
        <f t="shared" si="17"/>
      </c>
      <c r="DA347">
        <f t="shared" si="1"/>
      </c>
      <c r="DB347">
        <f t="shared" si="18"/>
      </c>
      <c r="DC347">
        <f t="shared" si="19"/>
      </c>
      <c r="DD347">
        <f t="shared" si="20"/>
      </c>
      <c r="DE347">
        <f t="shared" si="21"/>
      </c>
      <c r="DF347">
        <f t="shared" si="22"/>
      </c>
      <c r="DG347">
        <f t="shared" si="23"/>
      </c>
      <c r="DH347">
        <f t="shared" si="24"/>
      </c>
      <c r="DI347">
        <f t="shared" si="1"/>
      </c>
    </row>
    <row r="348" ht="15" customHeight="1">
      <c r="B348">
        <f t="shared" si="2"/>
      </c>
      <c r="R348">
        <f t="shared" si="3"/>
        <v>0</v>
      </c>
      <c r="S348">
        <f t="shared" si="4"/>
        <v>0</v>
      </c>
      <c r="T348">
        <f t="shared" si="5"/>
        <v>0</v>
      </c>
      <c r="U348">
        <f t="shared" si="6"/>
        <v>0</v>
      </c>
      <c r="V348">
        <f t="shared" si="7"/>
        <v>0</v>
      </c>
      <c r="W348">
        <f t="shared" si="8"/>
        <v>0</v>
      </c>
      <c r="X348">
        <f t="shared" si="9"/>
        <v>0</v>
      </c>
      <c r="Y348">
        <f t="shared" si="10"/>
        <v>0</v>
      </c>
      <c r="Z348">
        <f t="shared" si="11"/>
        <v>0</v>
      </c>
      <c r="AA348">
        <f t="shared" si="12"/>
        <v>0</v>
      </c>
      <c r="AB348">
        <f t="shared" si="13"/>
        <v>0</v>
      </c>
      <c r="AC348">
        <f t="shared" si="14"/>
        <v>0</v>
      </c>
      <c r="AE348">
        <f t="shared" si="0"/>
      </c>
      <c r="AV348">
        <f t="shared" si="15"/>
      </c>
      <c r="BM348">
        <f t="shared" si="16"/>
      </c>
      <c r="CD348">
        <f t="shared" si="0"/>
      </c>
      <c r="CZ348">
        <f t="shared" si="17"/>
      </c>
      <c r="DA348">
        <f t="shared" si="1"/>
      </c>
      <c r="DB348">
        <f t="shared" si="18"/>
      </c>
      <c r="DC348">
        <f t="shared" si="19"/>
      </c>
      <c r="DD348">
        <f t="shared" si="20"/>
      </c>
      <c r="DE348">
        <f t="shared" si="21"/>
      </c>
      <c r="DF348">
        <f t="shared" si="22"/>
      </c>
      <c r="DG348">
        <f t="shared" si="23"/>
      </c>
      <c r="DH348">
        <f t="shared" si="24"/>
      </c>
      <c r="DI348">
        <f t="shared" si="1"/>
      </c>
    </row>
    <row r="349" ht="15" customHeight="1">
      <c r="B349">
        <f t="shared" si="2"/>
      </c>
      <c r="R349">
        <f t="shared" si="3"/>
        <v>0</v>
      </c>
      <c r="S349">
        <f t="shared" si="4"/>
        <v>0</v>
      </c>
      <c r="T349">
        <f t="shared" si="5"/>
        <v>0</v>
      </c>
      <c r="U349">
        <f t="shared" si="6"/>
        <v>0</v>
      </c>
      <c r="V349">
        <f t="shared" si="7"/>
        <v>0</v>
      </c>
      <c r="W349">
        <f t="shared" si="8"/>
        <v>0</v>
      </c>
      <c r="X349">
        <f t="shared" si="9"/>
        <v>0</v>
      </c>
      <c r="Y349">
        <f t="shared" si="10"/>
        <v>0</v>
      </c>
      <c r="Z349">
        <f t="shared" si="11"/>
        <v>0</v>
      </c>
      <c r="AA349">
        <f t="shared" si="12"/>
        <v>0</v>
      </c>
      <c r="AB349">
        <f t="shared" si="13"/>
        <v>0</v>
      </c>
      <c r="AC349">
        <f t="shared" si="14"/>
        <v>0</v>
      </c>
      <c r="AE349">
        <f t="shared" si="0"/>
      </c>
      <c r="AV349">
        <f t="shared" si="15"/>
      </c>
      <c r="BM349">
        <f t="shared" si="16"/>
      </c>
      <c r="CD349">
        <f t="shared" si="0"/>
      </c>
      <c r="CZ349">
        <f t="shared" si="17"/>
      </c>
      <c r="DA349">
        <f t="shared" si="1"/>
      </c>
      <c r="DB349">
        <f t="shared" si="18"/>
      </c>
      <c r="DC349">
        <f t="shared" si="19"/>
      </c>
      <c r="DD349">
        <f t="shared" si="20"/>
      </c>
      <c r="DE349">
        <f t="shared" si="21"/>
      </c>
      <c r="DF349">
        <f t="shared" si="22"/>
      </c>
      <c r="DG349">
        <f t="shared" si="23"/>
      </c>
      <c r="DH349">
        <f t="shared" si="24"/>
      </c>
      <c r="DI349">
        <f t="shared" si="1"/>
      </c>
    </row>
    <row r="350" ht="15" customHeight="1">
      <c r="B350">
        <f t="shared" si="2"/>
      </c>
      <c r="R350">
        <f t="shared" si="3"/>
        <v>0</v>
      </c>
      <c r="S350">
        <f t="shared" si="4"/>
        <v>0</v>
      </c>
      <c r="T350">
        <f t="shared" si="5"/>
        <v>0</v>
      </c>
      <c r="U350">
        <f t="shared" si="6"/>
        <v>0</v>
      </c>
      <c r="V350">
        <f t="shared" si="7"/>
        <v>0</v>
      </c>
      <c r="W350">
        <f t="shared" si="8"/>
        <v>0</v>
      </c>
      <c r="X350">
        <f t="shared" si="9"/>
        <v>0</v>
      </c>
      <c r="Y350">
        <f t="shared" si="10"/>
        <v>0</v>
      </c>
      <c r="Z350">
        <f t="shared" si="11"/>
        <v>0</v>
      </c>
      <c r="AA350">
        <f t="shared" si="12"/>
        <v>0</v>
      </c>
      <c r="AB350">
        <f t="shared" si="13"/>
        <v>0</v>
      </c>
      <c r="AC350">
        <f t="shared" si="14"/>
        <v>0</v>
      </c>
      <c r="AE350">
        <f t="shared" si="0"/>
      </c>
      <c r="AV350">
        <f t="shared" si="15"/>
      </c>
      <c r="BM350">
        <f t="shared" si="16"/>
      </c>
      <c r="CD350">
        <f t="shared" si="0"/>
      </c>
      <c r="CZ350">
        <f t="shared" si="17"/>
      </c>
      <c r="DA350">
        <f t="shared" si="1"/>
      </c>
      <c r="DB350">
        <f t="shared" si="18"/>
      </c>
      <c r="DC350">
        <f t="shared" si="19"/>
      </c>
      <c r="DD350">
        <f t="shared" si="20"/>
      </c>
      <c r="DE350">
        <f t="shared" si="21"/>
      </c>
      <c r="DF350">
        <f t="shared" si="22"/>
      </c>
      <c r="DG350">
        <f t="shared" si="23"/>
      </c>
      <c r="DH350">
        <f t="shared" si="24"/>
      </c>
      <c r="DI350">
        <f t="shared" si="1"/>
      </c>
    </row>
    <row r="351" ht="15" customHeight="1">
      <c r="B351">
        <f t="shared" si="2"/>
      </c>
      <c r="R351">
        <f t="shared" si="3"/>
        <v>0</v>
      </c>
      <c r="S351">
        <f t="shared" si="4"/>
        <v>0</v>
      </c>
      <c r="T351">
        <f t="shared" si="5"/>
        <v>0</v>
      </c>
      <c r="U351">
        <f t="shared" si="6"/>
        <v>0</v>
      </c>
      <c r="V351">
        <f t="shared" si="7"/>
        <v>0</v>
      </c>
      <c r="W351">
        <f t="shared" si="8"/>
        <v>0</v>
      </c>
      <c r="X351">
        <f t="shared" si="9"/>
        <v>0</v>
      </c>
      <c r="Y351">
        <f t="shared" si="10"/>
        <v>0</v>
      </c>
      <c r="Z351">
        <f t="shared" si="11"/>
        <v>0</v>
      </c>
      <c r="AA351">
        <f t="shared" si="12"/>
        <v>0</v>
      </c>
      <c r="AB351">
        <f t="shared" si="13"/>
        <v>0</v>
      </c>
      <c r="AC351">
        <f t="shared" si="14"/>
        <v>0</v>
      </c>
      <c r="AE351">
        <f t="shared" si="0"/>
      </c>
      <c r="AV351">
        <f t="shared" si="15"/>
      </c>
      <c r="BM351">
        <f t="shared" si="16"/>
      </c>
      <c r="CD351">
        <f t="shared" si="0"/>
      </c>
      <c r="CZ351">
        <f t="shared" si="17"/>
      </c>
      <c r="DA351">
        <f t="shared" si="1"/>
      </c>
      <c r="DB351">
        <f t="shared" si="18"/>
      </c>
      <c r="DC351">
        <f t="shared" si="19"/>
      </c>
      <c r="DD351">
        <f t="shared" si="20"/>
      </c>
      <c r="DE351">
        <f t="shared" si="21"/>
      </c>
      <c r="DF351">
        <f t="shared" si="22"/>
      </c>
      <c r="DG351">
        <f t="shared" si="23"/>
      </c>
      <c r="DH351">
        <f t="shared" si="24"/>
      </c>
      <c r="DI351">
        <f t="shared" si="1"/>
      </c>
    </row>
    <row r="352" ht="15" customHeight="1">
      <c r="B352">
        <f t="shared" si="2"/>
      </c>
      <c r="R352">
        <f t="shared" si="3"/>
        <v>0</v>
      </c>
      <c r="S352">
        <f t="shared" si="4"/>
        <v>0</v>
      </c>
      <c r="T352">
        <f t="shared" si="5"/>
        <v>0</v>
      </c>
      <c r="U352">
        <f t="shared" si="6"/>
        <v>0</v>
      </c>
      <c r="V352">
        <f t="shared" si="7"/>
        <v>0</v>
      </c>
      <c r="W352">
        <f t="shared" si="8"/>
        <v>0</v>
      </c>
      <c r="X352">
        <f t="shared" si="9"/>
        <v>0</v>
      </c>
      <c r="Y352">
        <f t="shared" si="10"/>
        <v>0</v>
      </c>
      <c r="Z352">
        <f t="shared" si="11"/>
        <v>0</v>
      </c>
      <c r="AA352">
        <f t="shared" si="12"/>
        <v>0</v>
      </c>
      <c r="AB352">
        <f t="shared" si="13"/>
        <v>0</v>
      </c>
      <c r="AC352">
        <f t="shared" si="14"/>
        <v>0</v>
      </c>
      <c r="AE352">
        <f t="shared" si="0"/>
      </c>
      <c r="AV352">
        <f t="shared" si="15"/>
      </c>
      <c r="BM352">
        <f t="shared" si="16"/>
      </c>
      <c r="CD352">
        <f t="shared" si="0"/>
      </c>
      <c r="CZ352">
        <f t="shared" si="17"/>
      </c>
      <c r="DA352">
        <f t="shared" si="1"/>
      </c>
      <c r="DB352">
        <f t="shared" si="18"/>
      </c>
      <c r="DC352">
        <f t="shared" si="19"/>
      </c>
      <c r="DD352">
        <f t="shared" si="20"/>
      </c>
      <c r="DE352">
        <f t="shared" si="21"/>
      </c>
      <c r="DF352">
        <f t="shared" si="22"/>
      </c>
      <c r="DG352">
        <f t="shared" si="23"/>
      </c>
      <c r="DH352">
        <f t="shared" si="24"/>
      </c>
      <c r="DI352">
        <f t="shared" si="1"/>
      </c>
    </row>
    <row r="353" ht="15" customHeight="1">
      <c r="B353">
        <f t="shared" si="2"/>
      </c>
      <c r="R353">
        <f t="shared" si="3"/>
        <v>0</v>
      </c>
      <c r="S353">
        <f t="shared" si="4"/>
        <v>0</v>
      </c>
      <c r="T353">
        <f t="shared" si="5"/>
        <v>0</v>
      </c>
      <c r="U353">
        <f t="shared" si="6"/>
        <v>0</v>
      </c>
      <c r="V353">
        <f t="shared" si="7"/>
        <v>0</v>
      </c>
      <c r="W353">
        <f t="shared" si="8"/>
        <v>0</v>
      </c>
      <c r="X353">
        <f t="shared" si="9"/>
        <v>0</v>
      </c>
      <c r="Y353">
        <f t="shared" si="10"/>
        <v>0</v>
      </c>
      <c r="Z353">
        <f t="shared" si="11"/>
        <v>0</v>
      </c>
      <c r="AA353">
        <f t="shared" si="12"/>
        <v>0</v>
      </c>
      <c r="AB353">
        <f t="shared" si="13"/>
        <v>0</v>
      </c>
      <c r="AC353">
        <f t="shared" si="14"/>
        <v>0</v>
      </c>
      <c r="AE353">
        <f t="shared" si="0"/>
      </c>
      <c r="AV353">
        <f t="shared" si="15"/>
      </c>
      <c r="BM353">
        <f t="shared" si="16"/>
      </c>
      <c r="CD353">
        <f t="shared" si="0"/>
      </c>
      <c r="CZ353">
        <f t="shared" si="17"/>
      </c>
      <c r="DA353">
        <f t="shared" si="1"/>
      </c>
      <c r="DB353">
        <f t="shared" si="18"/>
      </c>
      <c r="DC353">
        <f t="shared" si="19"/>
      </c>
      <c r="DD353">
        <f t="shared" si="20"/>
      </c>
      <c r="DE353">
        <f t="shared" si="21"/>
      </c>
      <c r="DF353">
        <f t="shared" si="22"/>
      </c>
      <c r="DG353">
        <f t="shared" si="23"/>
      </c>
      <c r="DH353">
        <f t="shared" si="24"/>
      </c>
      <c r="DI353">
        <f t="shared" si="1"/>
      </c>
    </row>
    <row r="354" ht="15" customHeight="1">
      <c r="B354">
        <f t="shared" si="2"/>
      </c>
      <c r="R354">
        <f t="shared" si="3"/>
        <v>0</v>
      </c>
      <c r="S354">
        <f t="shared" si="4"/>
        <v>0</v>
      </c>
      <c r="T354">
        <f t="shared" si="5"/>
        <v>0</v>
      </c>
      <c r="U354">
        <f t="shared" si="6"/>
        <v>0</v>
      </c>
      <c r="V354">
        <f t="shared" si="7"/>
        <v>0</v>
      </c>
      <c r="W354">
        <f t="shared" si="8"/>
        <v>0</v>
      </c>
      <c r="X354">
        <f t="shared" si="9"/>
        <v>0</v>
      </c>
      <c r="Y354">
        <f t="shared" si="10"/>
        <v>0</v>
      </c>
      <c r="Z354">
        <f t="shared" si="11"/>
        <v>0</v>
      </c>
      <c r="AA354">
        <f t="shared" si="12"/>
        <v>0</v>
      </c>
      <c r="AB354">
        <f t="shared" si="13"/>
        <v>0</v>
      </c>
      <c r="AC354">
        <f t="shared" si="14"/>
        <v>0</v>
      </c>
      <c r="AE354">
        <f t="shared" si="0"/>
      </c>
      <c r="AV354">
        <f t="shared" si="15"/>
      </c>
      <c r="BM354">
        <f t="shared" si="16"/>
      </c>
      <c r="CD354">
        <f t="shared" si="0"/>
      </c>
      <c r="CZ354">
        <f t="shared" si="17"/>
      </c>
      <c r="DA354">
        <f t="shared" si="1"/>
      </c>
      <c r="DB354">
        <f t="shared" si="18"/>
      </c>
      <c r="DC354">
        <f t="shared" si="19"/>
      </c>
      <c r="DD354">
        <f t="shared" si="20"/>
      </c>
      <c r="DE354">
        <f t="shared" si="21"/>
      </c>
      <c r="DF354">
        <f t="shared" si="22"/>
      </c>
      <c r="DG354">
        <f t="shared" si="23"/>
      </c>
      <c r="DH354">
        <f t="shared" si="24"/>
      </c>
      <c r="DI354">
        <f t="shared" si="1"/>
      </c>
    </row>
    <row r="355" ht="15" customHeight="1">
      <c r="B355">
        <f t="shared" si="2"/>
      </c>
      <c r="R355">
        <f t="shared" si="3"/>
        <v>0</v>
      </c>
      <c r="S355">
        <f t="shared" si="4"/>
        <v>0</v>
      </c>
      <c r="T355">
        <f t="shared" si="5"/>
        <v>0</v>
      </c>
      <c r="U355">
        <f t="shared" si="6"/>
        <v>0</v>
      </c>
      <c r="V355">
        <f t="shared" si="7"/>
        <v>0</v>
      </c>
      <c r="W355">
        <f t="shared" si="8"/>
        <v>0</v>
      </c>
      <c r="X355">
        <f t="shared" si="9"/>
        <v>0</v>
      </c>
      <c r="Y355">
        <f t="shared" si="10"/>
        <v>0</v>
      </c>
      <c r="Z355">
        <f t="shared" si="11"/>
        <v>0</v>
      </c>
      <c r="AA355">
        <f t="shared" si="12"/>
        <v>0</v>
      </c>
      <c r="AB355">
        <f t="shared" si="13"/>
        <v>0</v>
      </c>
      <c r="AC355">
        <f t="shared" si="14"/>
        <v>0</v>
      </c>
      <c r="AE355">
        <f t="shared" si="0"/>
      </c>
      <c r="AV355">
        <f t="shared" si="15"/>
      </c>
      <c r="BM355">
        <f t="shared" si="16"/>
      </c>
      <c r="CD355">
        <f t="shared" si="0"/>
      </c>
      <c r="CZ355">
        <f t="shared" si="17"/>
      </c>
      <c r="DA355">
        <f t="shared" si="1"/>
      </c>
      <c r="DB355">
        <f t="shared" si="18"/>
      </c>
      <c r="DC355">
        <f t="shared" si="19"/>
      </c>
      <c r="DD355">
        <f t="shared" si="20"/>
      </c>
      <c r="DE355">
        <f t="shared" si="21"/>
      </c>
      <c r="DF355">
        <f t="shared" si="22"/>
      </c>
      <c r="DG355">
        <f t="shared" si="23"/>
      </c>
      <c r="DH355">
        <f t="shared" si="24"/>
      </c>
      <c r="DI355">
        <f t="shared" si="1"/>
      </c>
    </row>
    <row r="356" ht="15" customHeight="1">
      <c r="B356">
        <f t="shared" si="2"/>
      </c>
      <c r="R356">
        <f t="shared" si="3"/>
        <v>0</v>
      </c>
      <c r="S356">
        <f t="shared" si="4"/>
        <v>0</v>
      </c>
      <c r="T356">
        <f t="shared" si="5"/>
        <v>0</v>
      </c>
      <c r="U356">
        <f t="shared" si="6"/>
        <v>0</v>
      </c>
      <c r="V356">
        <f t="shared" si="7"/>
        <v>0</v>
      </c>
      <c r="W356">
        <f t="shared" si="8"/>
        <v>0</v>
      </c>
      <c r="X356">
        <f t="shared" si="9"/>
        <v>0</v>
      </c>
      <c r="Y356">
        <f t="shared" si="10"/>
        <v>0</v>
      </c>
      <c r="Z356">
        <f t="shared" si="11"/>
        <v>0</v>
      </c>
      <c r="AA356">
        <f t="shared" si="12"/>
        <v>0</v>
      </c>
      <c r="AB356">
        <f t="shared" si="13"/>
        <v>0</v>
      </c>
      <c r="AC356">
        <f t="shared" si="14"/>
        <v>0</v>
      </c>
      <c r="AE356">
        <f t="shared" si="0"/>
      </c>
      <c r="AV356">
        <f t="shared" si="15"/>
      </c>
      <c r="BM356">
        <f t="shared" si="16"/>
      </c>
      <c r="CD356">
        <f t="shared" si="0"/>
      </c>
      <c r="CZ356">
        <f t="shared" si="17"/>
      </c>
      <c r="DA356">
        <f t="shared" si="1"/>
      </c>
      <c r="DB356">
        <f t="shared" si="18"/>
      </c>
      <c r="DC356">
        <f t="shared" si="19"/>
      </c>
      <c r="DD356">
        <f t="shared" si="20"/>
      </c>
      <c r="DE356">
        <f t="shared" si="21"/>
      </c>
      <c r="DF356">
        <f t="shared" si="22"/>
      </c>
      <c r="DG356">
        <f t="shared" si="23"/>
      </c>
      <c r="DH356">
        <f t="shared" si="24"/>
      </c>
      <c r="DI356">
        <f t="shared" si="1"/>
      </c>
    </row>
    <row r="357" ht="15" customHeight="1">
      <c r="B357">
        <f t="shared" si="2"/>
      </c>
      <c r="R357">
        <f t="shared" si="3"/>
        <v>0</v>
      </c>
      <c r="S357">
        <f t="shared" si="4"/>
        <v>0</v>
      </c>
      <c r="T357">
        <f t="shared" si="5"/>
        <v>0</v>
      </c>
      <c r="U357">
        <f t="shared" si="6"/>
        <v>0</v>
      </c>
      <c r="V357">
        <f t="shared" si="7"/>
        <v>0</v>
      </c>
      <c r="W357">
        <f t="shared" si="8"/>
        <v>0</v>
      </c>
      <c r="X357">
        <f t="shared" si="9"/>
        <v>0</v>
      </c>
      <c r="Y357">
        <f t="shared" si="10"/>
        <v>0</v>
      </c>
      <c r="Z357">
        <f t="shared" si="11"/>
        <v>0</v>
      </c>
      <c r="AA357">
        <f t="shared" si="12"/>
        <v>0</v>
      </c>
      <c r="AB357">
        <f t="shared" si="13"/>
        <v>0</v>
      </c>
      <c r="AC357">
        <f t="shared" si="14"/>
        <v>0</v>
      </c>
      <c r="AE357">
        <f t="shared" si="0"/>
      </c>
      <c r="AV357">
        <f t="shared" si="15"/>
      </c>
      <c r="BM357">
        <f t="shared" si="16"/>
      </c>
      <c r="CD357">
        <f t="shared" si="0"/>
      </c>
      <c r="CZ357">
        <f t="shared" si="17"/>
      </c>
      <c r="DA357">
        <f t="shared" si="1"/>
      </c>
      <c r="DB357">
        <f t="shared" si="18"/>
      </c>
      <c r="DC357">
        <f t="shared" si="19"/>
      </c>
      <c r="DD357">
        <f t="shared" si="20"/>
      </c>
      <c r="DE357">
        <f t="shared" si="21"/>
      </c>
      <c r="DF357">
        <f t="shared" si="22"/>
      </c>
      <c r="DG357">
        <f t="shared" si="23"/>
      </c>
      <c r="DH357">
        <f t="shared" si="24"/>
      </c>
      <c r="DI357">
        <f t="shared" si="1"/>
      </c>
    </row>
    <row r="358" ht="15" customHeight="1">
      <c r="B358">
        <f t="shared" si="2"/>
      </c>
      <c r="R358">
        <f t="shared" si="3"/>
        <v>0</v>
      </c>
      <c r="S358">
        <f t="shared" si="4"/>
        <v>0</v>
      </c>
      <c r="T358">
        <f t="shared" si="5"/>
        <v>0</v>
      </c>
      <c r="U358">
        <f t="shared" si="6"/>
        <v>0</v>
      </c>
      <c r="V358">
        <f t="shared" si="7"/>
        <v>0</v>
      </c>
      <c r="W358">
        <f t="shared" si="8"/>
        <v>0</v>
      </c>
      <c r="X358">
        <f t="shared" si="9"/>
        <v>0</v>
      </c>
      <c r="Y358">
        <f t="shared" si="10"/>
        <v>0</v>
      </c>
      <c r="Z358">
        <f t="shared" si="11"/>
        <v>0</v>
      </c>
      <c r="AA358">
        <f t="shared" si="12"/>
        <v>0</v>
      </c>
      <c r="AB358">
        <f t="shared" si="13"/>
        <v>0</v>
      </c>
      <c r="AC358">
        <f t="shared" si="14"/>
        <v>0</v>
      </c>
      <c r="AE358">
        <f t="shared" si="0"/>
      </c>
      <c r="AV358">
        <f t="shared" si="15"/>
      </c>
      <c r="BM358">
        <f t="shared" si="16"/>
      </c>
      <c r="CD358">
        <f t="shared" si="0"/>
      </c>
      <c r="CZ358">
        <f t="shared" si="17"/>
      </c>
      <c r="DA358">
        <f t="shared" si="1"/>
      </c>
      <c r="DB358">
        <f t="shared" si="18"/>
      </c>
      <c r="DC358">
        <f t="shared" si="19"/>
      </c>
      <c r="DD358">
        <f t="shared" si="20"/>
      </c>
      <c r="DE358">
        <f t="shared" si="21"/>
      </c>
      <c r="DF358">
        <f t="shared" si="22"/>
      </c>
      <c r="DG358">
        <f t="shared" si="23"/>
      </c>
      <c r="DH358">
        <f t="shared" si="24"/>
      </c>
      <c r="DI358">
        <f t="shared" si="1"/>
      </c>
    </row>
    <row r="359" ht="15" customHeight="1">
      <c r="B359">
        <f t="shared" si="2"/>
      </c>
      <c r="R359">
        <f t="shared" si="3"/>
        <v>0</v>
      </c>
      <c r="S359">
        <f t="shared" si="4"/>
        <v>0</v>
      </c>
      <c r="T359">
        <f t="shared" si="5"/>
        <v>0</v>
      </c>
      <c r="U359">
        <f t="shared" si="6"/>
        <v>0</v>
      </c>
      <c r="V359">
        <f t="shared" si="7"/>
        <v>0</v>
      </c>
      <c r="W359">
        <f t="shared" si="8"/>
        <v>0</v>
      </c>
      <c r="X359">
        <f t="shared" si="9"/>
        <v>0</v>
      </c>
      <c r="Y359">
        <f t="shared" si="10"/>
        <v>0</v>
      </c>
      <c r="Z359">
        <f t="shared" si="11"/>
        <v>0</v>
      </c>
      <c r="AA359">
        <f t="shared" si="12"/>
        <v>0</v>
      </c>
      <c r="AB359">
        <f t="shared" si="13"/>
        <v>0</v>
      </c>
      <c r="AC359">
        <f t="shared" si="14"/>
        <v>0</v>
      </c>
      <c r="AE359">
        <f t="shared" si="0"/>
      </c>
      <c r="AV359">
        <f t="shared" si="15"/>
      </c>
      <c r="BM359">
        <f t="shared" si="16"/>
      </c>
      <c r="CD359">
        <f t="shared" si="0"/>
      </c>
      <c r="CZ359">
        <f t="shared" si="17"/>
      </c>
      <c r="DA359">
        <f t="shared" si="1"/>
      </c>
      <c r="DB359">
        <f t="shared" si="18"/>
      </c>
      <c r="DC359">
        <f t="shared" si="19"/>
      </c>
      <c r="DD359">
        <f t="shared" si="20"/>
      </c>
      <c r="DE359">
        <f t="shared" si="21"/>
      </c>
      <c r="DF359">
        <f t="shared" si="22"/>
      </c>
      <c r="DG359">
        <f t="shared" si="23"/>
      </c>
      <c r="DH359">
        <f t="shared" si="24"/>
      </c>
      <c r="DI359">
        <f t="shared" si="1"/>
      </c>
    </row>
    <row r="360" ht="15" customHeight="1">
      <c r="B360">
        <f t="shared" si="2"/>
      </c>
      <c r="R360">
        <f t="shared" si="3"/>
        <v>0</v>
      </c>
      <c r="S360">
        <f t="shared" si="4"/>
        <v>0</v>
      </c>
      <c r="T360">
        <f t="shared" si="5"/>
        <v>0</v>
      </c>
      <c r="U360">
        <f t="shared" si="6"/>
        <v>0</v>
      </c>
      <c r="V360">
        <f t="shared" si="7"/>
        <v>0</v>
      </c>
      <c r="W360">
        <f t="shared" si="8"/>
        <v>0</v>
      </c>
      <c r="X360">
        <f t="shared" si="9"/>
        <v>0</v>
      </c>
      <c r="Y360">
        <f t="shared" si="10"/>
        <v>0</v>
      </c>
      <c r="Z360">
        <f t="shared" si="11"/>
        <v>0</v>
      </c>
      <c r="AA360">
        <f t="shared" si="12"/>
        <v>0</v>
      </c>
      <c r="AB360">
        <f t="shared" si="13"/>
        <v>0</v>
      </c>
      <c r="AC360">
        <f t="shared" si="14"/>
        <v>0</v>
      </c>
      <c r="AE360">
        <f t="shared" si="0"/>
      </c>
      <c r="AV360">
        <f t="shared" si="15"/>
      </c>
      <c r="BM360">
        <f t="shared" si="16"/>
      </c>
      <c r="CD360">
        <f t="shared" si="0"/>
      </c>
      <c r="CZ360">
        <f t="shared" si="17"/>
      </c>
      <c r="DA360">
        <f t="shared" si="1"/>
      </c>
      <c r="DB360">
        <f t="shared" si="18"/>
      </c>
      <c r="DC360">
        <f t="shared" si="19"/>
      </c>
      <c r="DD360">
        <f t="shared" si="20"/>
      </c>
      <c r="DE360">
        <f t="shared" si="21"/>
      </c>
      <c r="DF360">
        <f t="shared" si="22"/>
      </c>
      <c r="DG360">
        <f t="shared" si="23"/>
      </c>
      <c r="DH360">
        <f t="shared" si="24"/>
      </c>
      <c r="DI360">
        <f t="shared" si="1"/>
      </c>
    </row>
    <row r="361" ht="15" customHeight="1">
      <c r="B361">
        <f t="shared" si="2"/>
      </c>
      <c r="R361">
        <f t="shared" si="3"/>
        <v>0</v>
      </c>
      <c r="S361">
        <f t="shared" si="4"/>
        <v>0</v>
      </c>
      <c r="T361">
        <f t="shared" si="5"/>
        <v>0</v>
      </c>
      <c r="U361">
        <f t="shared" si="6"/>
        <v>0</v>
      </c>
      <c r="V361">
        <f t="shared" si="7"/>
        <v>0</v>
      </c>
      <c r="W361">
        <f t="shared" si="8"/>
        <v>0</v>
      </c>
      <c r="X361">
        <f t="shared" si="9"/>
        <v>0</v>
      </c>
      <c r="Y361">
        <f t="shared" si="10"/>
        <v>0</v>
      </c>
      <c r="Z361">
        <f t="shared" si="11"/>
        <v>0</v>
      </c>
      <c r="AA361">
        <f t="shared" si="12"/>
        <v>0</v>
      </c>
      <c r="AB361">
        <f t="shared" si="13"/>
        <v>0</v>
      </c>
      <c r="AC361">
        <f t="shared" si="14"/>
        <v>0</v>
      </c>
      <c r="AE361">
        <f t="shared" si="0"/>
      </c>
      <c r="AV361">
        <f t="shared" si="15"/>
      </c>
      <c r="BM361">
        <f t="shared" si="16"/>
      </c>
      <c r="CD361">
        <f t="shared" si="0"/>
      </c>
      <c r="CZ361">
        <f t="shared" si="17"/>
      </c>
      <c r="DA361">
        <f t="shared" si="1"/>
      </c>
      <c r="DB361">
        <f t="shared" si="18"/>
      </c>
      <c r="DC361">
        <f t="shared" si="19"/>
      </c>
      <c r="DD361">
        <f t="shared" si="20"/>
      </c>
      <c r="DE361">
        <f t="shared" si="21"/>
      </c>
      <c r="DF361">
        <f t="shared" si="22"/>
      </c>
      <c r="DG361">
        <f t="shared" si="23"/>
      </c>
      <c r="DH361">
        <f t="shared" si="24"/>
      </c>
      <c r="DI361">
        <f t="shared" si="1"/>
      </c>
    </row>
    <row r="362" ht="15" customHeight="1">
      <c r="B362">
        <f t="shared" si="2"/>
      </c>
      <c r="R362">
        <f t="shared" si="3"/>
        <v>0</v>
      </c>
      <c r="S362">
        <f t="shared" si="4"/>
        <v>0</v>
      </c>
      <c r="T362">
        <f t="shared" si="5"/>
        <v>0</v>
      </c>
      <c r="U362">
        <f t="shared" si="6"/>
        <v>0</v>
      </c>
      <c r="V362">
        <f t="shared" si="7"/>
        <v>0</v>
      </c>
      <c r="W362">
        <f t="shared" si="8"/>
        <v>0</v>
      </c>
      <c r="X362">
        <f t="shared" si="9"/>
        <v>0</v>
      </c>
      <c r="Y362">
        <f t="shared" si="10"/>
        <v>0</v>
      </c>
      <c r="Z362">
        <f t="shared" si="11"/>
        <v>0</v>
      </c>
      <c r="AA362">
        <f t="shared" si="12"/>
        <v>0</v>
      </c>
      <c r="AB362">
        <f t="shared" si="13"/>
        <v>0</v>
      </c>
      <c r="AC362">
        <f t="shared" si="14"/>
        <v>0</v>
      </c>
      <c r="AE362">
        <f t="shared" si="0"/>
      </c>
      <c r="AV362">
        <f t="shared" si="15"/>
      </c>
      <c r="BM362">
        <f t="shared" si="16"/>
      </c>
      <c r="CD362">
        <f t="shared" si="0"/>
      </c>
      <c r="CZ362">
        <f t="shared" si="17"/>
      </c>
      <c r="DA362">
        <f t="shared" si="1"/>
      </c>
      <c r="DB362">
        <f t="shared" si="18"/>
      </c>
      <c r="DC362">
        <f t="shared" si="19"/>
      </c>
      <c r="DD362">
        <f t="shared" si="20"/>
      </c>
      <c r="DE362">
        <f t="shared" si="21"/>
      </c>
      <c r="DF362">
        <f t="shared" si="22"/>
      </c>
      <c r="DG362">
        <f t="shared" si="23"/>
      </c>
      <c r="DH362">
        <f t="shared" si="24"/>
      </c>
      <c r="DI362">
        <f t="shared" si="1"/>
      </c>
    </row>
    <row r="363" ht="15" customHeight="1">
      <c r="B363">
        <f t="shared" si="2"/>
      </c>
      <c r="R363">
        <f t="shared" si="3"/>
        <v>0</v>
      </c>
      <c r="S363">
        <f t="shared" si="4"/>
        <v>0</v>
      </c>
      <c r="T363">
        <f t="shared" si="5"/>
        <v>0</v>
      </c>
      <c r="U363">
        <f t="shared" si="6"/>
        <v>0</v>
      </c>
      <c r="V363">
        <f t="shared" si="7"/>
        <v>0</v>
      </c>
      <c r="W363">
        <f t="shared" si="8"/>
        <v>0</v>
      </c>
      <c r="X363">
        <f t="shared" si="9"/>
        <v>0</v>
      </c>
      <c r="Y363">
        <f t="shared" si="10"/>
        <v>0</v>
      </c>
      <c r="Z363">
        <f t="shared" si="11"/>
        <v>0</v>
      </c>
      <c r="AA363">
        <f t="shared" si="12"/>
        <v>0</v>
      </c>
      <c r="AB363">
        <f t="shared" si="13"/>
        <v>0</v>
      </c>
      <c r="AC363">
        <f t="shared" si="14"/>
        <v>0</v>
      </c>
      <c r="AE363">
        <f t="shared" si="0"/>
      </c>
      <c r="AV363">
        <f t="shared" si="15"/>
      </c>
      <c r="BM363">
        <f t="shared" si="16"/>
      </c>
      <c r="CD363">
        <f t="shared" si="0"/>
      </c>
      <c r="CZ363">
        <f t="shared" si="17"/>
      </c>
      <c r="DA363">
        <f t="shared" si="1"/>
      </c>
      <c r="DB363">
        <f t="shared" si="18"/>
      </c>
      <c r="DC363">
        <f t="shared" si="19"/>
      </c>
      <c r="DD363">
        <f t="shared" si="20"/>
      </c>
      <c r="DE363">
        <f t="shared" si="21"/>
      </c>
      <c r="DF363">
        <f t="shared" si="22"/>
      </c>
      <c r="DG363">
        <f t="shared" si="23"/>
      </c>
      <c r="DH363">
        <f t="shared" si="24"/>
      </c>
      <c r="DI363">
        <f t="shared" si="1"/>
      </c>
    </row>
    <row r="364" ht="15" customHeight="1">
      <c r="B364">
        <f t="shared" si="2"/>
      </c>
      <c r="R364">
        <f t="shared" si="3"/>
        <v>0</v>
      </c>
      <c r="S364">
        <f t="shared" si="4"/>
        <v>0</v>
      </c>
      <c r="T364">
        <f t="shared" si="5"/>
        <v>0</v>
      </c>
      <c r="U364">
        <f t="shared" si="6"/>
        <v>0</v>
      </c>
      <c r="V364">
        <f t="shared" si="7"/>
        <v>0</v>
      </c>
      <c r="W364">
        <f t="shared" si="8"/>
        <v>0</v>
      </c>
      <c r="X364">
        <f t="shared" si="9"/>
        <v>0</v>
      </c>
      <c r="Y364">
        <f t="shared" si="10"/>
        <v>0</v>
      </c>
      <c r="Z364">
        <f t="shared" si="11"/>
        <v>0</v>
      </c>
      <c r="AA364">
        <f t="shared" si="12"/>
        <v>0</v>
      </c>
      <c r="AB364">
        <f t="shared" si="13"/>
        <v>0</v>
      </c>
      <c r="AC364">
        <f t="shared" si="14"/>
        <v>0</v>
      </c>
      <c r="AE364">
        <f t="shared" si="0"/>
      </c>
      <c r="AV364">
        <f t="shared" si="15"/>
      </c>
      <c r="BM364">
        <f t="shared" si="16"/>
      </c>
      <c r="CD364">
        <f t="shared" si="0"/>
      </c>
      <c r="CZ364">
        <f t="shared" si="17"/>
      </c>
      <c r="DA364">
        <f t="shared" si="1"/>
      </c>
      <c r="DB364">
        <f t="shared" si="18"/>
      </c>
      <c r="DC364">
        <f t="shared" si="19"/>
      </c>
      <c r="DD364">
        <f t="shared" si="20"/>
      </c>
      <c r="DE364">
        <f t="shared" si="21"/>
      </c>
      <c r="DF364">
        <f t="shared" si="22"/>
      </c>
      <c r="DG364">
        <f t="shared" si="23"/>
      </c>
      <c r="DH364">
        <f t="shared" si="24"/>
      </c>
      <c r="DI364">
        <f t="shared" si="1"/>
      </c>
    </row>
    <row r="365" ht="15" customHeight="1">
      <c r="B365">
        <f t="shared" si="2"/>
      </c>
      <c r="R365">
        <f t="shared" si="3"/>
        <v>0</v>
      </c>
      <c r="S365">
        <f t="shared" si="4"/>
        <v>0</v>
      </c>
      <c r="T365">
        <f t="shared" si="5"/>
        <v>0</v>
      </c>
      <c r="U365">
        <f t="shared" si="6"/>
        <v>0</v>
      </c>
      <c r="V365">
        <f t="shared" si="7"/>
        <v>0</v>
      </c>
      <c r="W365">
        <f t="shared" si="8"/>
        <v>0</v>
      </c>
      <c r="X365">
        <f t="shared" si="9"/>
        <v>0</v>
      </c>
      <c r="Y365">
        <f t="shared" si="10"/>
        <v>0</v>
      </c>
      <c r="Z365">
        <f t="shared" si="11"/>
        <v>0</v>
      </c>
      <c r="AA365">
        <f t="shared" si="12"/>
        <v>0</v>
      </c>
      <c r="AB365">
        <f t="shared" si="13"/>
        <v>0</v>
      </c>
      <c r="AC365">
        <f t="shared" si="14"/>
        <v>0</v>
      </c>
      <c r="AE365">
        <f t="shared" si="0"/>
      </c>
      <c r="AV365">
        <f t="shared" si="15"/>
      </c>
      <c r="BM365">
        <f t="shared" si="16"/>
      </c>
      <c r="CD365">
        <f t="shared" si="0"/>
      </c>
      <c r="CZ365">
        <f t="shared" si="17"/>
      </c>
      <c r="DA365">
        <f t="shared" si="1"/>
      </c>
      <c r="DB365">
        <f t="shared" si="18"/>
      </c>
      <c r="DC365">
        <f t="shared" si="19"/>
      </c>
      <c r="DD365">
        <f t="shared" si="20"/>
      </c>
      <c r="DE365">
        <f t="shared" si="21"/>
      </c>
      <c r="DF365">
        <f t="shared" si="22"/>
      </c>
      <c r="DG365">
        <f t="shared" si="23"/>
      </c>
      <c r="DH365">
        <f t="shared" si="24"/>
      </c>
      <c r="DI365">
        <f t="shared" si="1"/>
      </c>
    </row>
    <row r="366" ht="15" customHeight="1">
      <c r="B366">
        <f t="shared" si="2"/>
      </c>
      <c r="R366">
        <f t="shared" si="3"/>
        <v>0</v>
      </c>
      <c r="S366">
        <f t="shared" si="4"/>
        <v>0</v>
      </c>
      <c r="T366">
        <f t="shared" si="5"/>
        <v>0</v>
      </c>
      <c r="U366">
        <f t="shared" si="6"/>
        <v>0</v>
      </c>
      <c r="V366">
        <f t="shared" si="7"/>
        <v>0</v>
      </c>
      <c r="W366">
        <f t="shared" si="8"/>
        <v>0</v>
      </c>
      <c r="X366">
        <f t="shared" si="9"/>
        <v>0</v>
      </c>
      <c r="Y366">
        <f t="shared" si="10"/>
        <v>0</v>
      </c>
      <c r="Z366">
        <f t="shared" si="11"/>
        <v>0</v>
      </c>
      <c r="AA366">
        <f t="shared" si="12"/>
        <v>0</v>
      </c>
      <c r="AB366">
        <f t="shared" si="13"/>
        <v>0</v>
      </c>
      <c r="AC366">
        <f t="shared" si="14"/>
        <v>0</v>
      </c>
      <c r="AE366">
        <f t="shared" si="0"/>
      </c>
      <c r="AV366">
        <f t="shared" si="15"/>
      </c>
      <c r="BM366">
        <f t="shared" si="16"/>
      </c>
      <c r="CD366">
        <f t="shared" si="0"/>
      </c>
      <c r="CZ366">
        <f t="shared" si="17"/>
      </c>
      <c r="DA366">
        <f t="shared" si="1"/>
      </c>
      <c r="DB366">
        <f t="shared" si="18"/>
      </c>
      <c r="DC366">
        <f t="shared" si="19"/>
      </c>
      <c r="DD366">
        <f t="shared" si="20"/>
      </c>
      <c r="DE366">
        <f t="shared" si="21"/>
      </c>
      <c r="DF366">
        <f t="shared" si="22"/>
      </c>
      <c r="DG366">
        <f t="shared" si="23"/>
      </c>
      <c r="DH366">
        <f t="shared" si="24"/>
      </c>
      <c r="DI366">
        <f t="shared" si="1"/>
      </c>
    </row>
    <row r="367" ht="15" customHeight="1">
      <c r="B367">
        <f t="shared" si="2"/>
      </c>
      <c r="R367">
        <f t="shared" si="3"/>
        <v>0</v>
      </c>
      <c r="S367">
        <f t="shared" si="4"/>
        <v>0</v>
      </c>
      <c r="T367">
        <f t="shared" si="5"/>
        <v>0</v>
      </c>
      <c r="U367">
        <f t="shared" si="6"/>
        <v>0</v>
      </c>
      <c r="V367">
        <f t="shared" si="7"/>
        <v>0</v>
      </c>
      <c r="W367">
        <f t="shared" si="8"/>
        <v>0</v>
      </c>
      <c r="X367">
        <f t="shared" si="9"/>
        <v>0</v>
      </c>
      <c r="Y367">
        <f t="shared" si="10"/>
        <v>0</v>
      </c>
      <c r="Z367">
        <f t="shared" si="11"/>
        <v>0</v>
      </c>
      <c r="AA367">
        <f t="shared" si="12"/>
        <v>0</v>
      </c>
      <c r="AB367">
        <f t="shared" si="13"/>
        <v>0</v>
      </c>
      <c r="AC367">
        <f t="shared" si="14"/>
        <v>0</v>
      </c>
      <c r="AE367">
        <f t="shared" si="0"/>
      </c>
      <c r="AV367">
        <f t="shared" si="15"/>
      </c>
      <c r="BM367">
        <f t="shared" si="16"/>
      </c>
      <c r="CD367">
        <f t="shared" si="0"/>
      </c>
      <c r="CZ367">
        <f t="shared" si="17"/>
      </c>
      <c r="DA367">
        <f t="shared" si="1"/>
      </c>
      <c r="DB367">
        <f t="shared" si="18"/>
      </c>
      <c r="DC367">
        <f t="shared" si="19"/>
      </c>
      <c r="DD367">
        <f t="shared" si="20"/>
      </c>
      <c r="DE367">
        <f t="shared" si="21"/>
      </c>
      <c r="DF367">
        <f t="shared" si="22"/>
      </c>
      <c r="DG367">
        <f t="shared" si="23"/>
      </c>
      <c r="DH367">
        <f t="shared" si="24"/>
      </c>
      <c r="DI367">
        <f t="shared" si="1"/>
      </c>
    </row>
    <row r="368" ht="15" customHeight="1">
      <c r="B368">
        <f t="shared" si="2"/>
      </c>
      <c r="R368">
        <f t="shared" si="3"/>
        <v>0</v>
      </c>
      <c r="S368">
        <f t="shared" si="4"/>
        <v>0</v>
      </c>
      <c r="T368">
        <f t="shared" si="5"/>
        <v>0</v>
      </c>
      <c r="U368">
        <f t="shared" si="6"/>
        <v>0</v>
      </c>
      <c r="V368">
        <f t="shared" si="7"/>
        <v>0</v>
      </c>
      <c r="W368">
        <f t="shared" si="8"/>
        <v>0</v>
      </c>
      <c r="X368">
        <f t="shared" si="9"/>
        <v>0</v>
      </c>
      <c r="Y368">
        <f t="shared" si="10"/>
        <v>0</v>
      </c>
      <c r="Z368">
        <f t="shared" si="11"/>
        <v>0</v>
      </c>
      <c r="AA368">
        <f t="shared" si="12"/>
        <v>0</v>
      </c>
      <c r="AB368">
        <f t="shared" si="13"/>
        <v>0</v>
      </c>
      <c r="AC368">
        <f t="shared" si="14"/>
        <v>0</v>
      </c>
      <c r="AE368">
        <f t="shared" si="0"/>
      </c>
      <c r="AV368">
        <f t="shared" si="15"/>
      </c>
      <c r="BM368">
        <f t="shared" si="16"/>
      </c>
      <c r="CD368">
        <f t="shared" si="0"/>
      </c>
      <c r="CZ368">
        <f t="shared" si="17"/>
      </c>
      <c r="DA368">
        <f t="shared" si="1"/>
      </c>
      <c r="DB368">
        <f t="shared" si="18"/>
      </c>
      <c r="DC368">
        <f t="shared" si="19"/>
      </c>
      <c r="DD368">
        <f t="shared" si="20"/>
      </c>
      <c r="DE368">
        <f t="shared" si="21"/>
      </c>
      <c r="DF368">
        <f t="shared" si="22"/>
      </c>
      <c r="DG368">
        <f t="shared" si="23"/>
      </c>
      <c r="DH368">
        <f t="shared" si="24"/>
      </c>
      <c r="DI368">
        <f t="shared" si="1"/>
      </c>
    </row>
    <row r="369" ht="15" customHeight="1">
      <c r="B369">
        <f t="shared" si="2"/>
      </c>
      <c r="R369">
        <f t="shared" si="3"/>
        <v>0</v>
      </c>
      <c r="S369">
        <f t="shared" si="4"/>
        <v>0</v>
      </c>
      <c r="T369">
        <f t="shared" si="5"/>
        <v>0</v>
      </c>
      <c r="U369">
        <f t="shared" si="6"/>
        <v>0</v>
      </c>
      <c r="V369">
        <f t="shared" si="7"/>
        <v>0</v>
      </c>
      <c r="W369">
        <f t="shared" si="8"/>
        <v>0</v>
      </c>
      <c r="X369">
        <f t="shared" si="9"/>
        <v>0</v>
      </c>
      <c r="Y369">
        <f t="shared" si="10"/>
        <v>0</v>
      </c>
      <c r="Z369">
        <f t="shared" si="11"/>
        <v>0</v>
      </c>
      <c r="AA369">
        <f t="shared" si="12"/>
        <v>0</v>
      </c>
      <c r="AB369">
        <f t="shared" si="13"/>
        <v>0</v>
      </c>
      <c r="AC369">
        <f t="shared" si="14"/>
        <v>0</v>
      </c>
      <c r="AE369">
        <f t="shared" si="0"/>
      </c>
      <c r="AV369">
        <f t="shared" si="15"/>
      </c>
      <c r="BM369">
        <f t="shared" si="16"/>
      </c>
      <c r="CD369">
        <f t="shared" si="0"/>
      </c>
      <c r="CZ369">
        <f t="shared" si="17"/>
      </c>
      <c r="DA369">
        <f t="shared" si="1"/>
      </c>
      <c r="DB369">
        <f t="shared" si="18"/>
      </c>
      <c r="DC369">
        <f t="shared" si="19"/>
      </c>
      <c r="DD369">
        <f t="shared" si="20"/>
      </c>
      <c r="DE369">
        <f t="shared" si="21"/>
      </c>
      <c r="DF369">
        <f t="shared" si="22"/>
      </c>
      <c r="DG369">
        <f t="shared" si="23"/>
      </c>
      <c r="DH369">
        <f t="shared" si="24"/>
      </c>
      <c r="DI369">
        <f t="shared" si="1"/>
      </c>
    </row>
    <row r="370" ht="15" customHeight="1">
      <c r="B370">
        <f t="shared" si="2"/>
      </c>
      <c r="R370">
        <f t="shared" si="3"/>
        <v>0</v>
      </c>
      <c r="S370">
        <f t="shared" si="4"/>
        <v>0</v>
      </c>
      <c r="T370">
        <f t="shared" si="5"/>
        <v>0</v>
      </c>
      <c r="U370">
        <f t="shared" si="6"/>
        <v>0</v>
      </c>
      <c r="V370">
        <f t="shared" si="7"/>
        <v>0</v>
      </c>
      <c r="W370">
        <f t="shared" si="8"/>
        <v>0</v>
      </c>
      <c r="X370">
        <f t="shared" si="9"/>
        <v>0</v>
      </c>
      <c r="Y370">
        <f t="shared" si="10"/>
        <v>0</v>
      </c>
      <c r="Z370">
        <f t="shared" si="11"/>
        <v>0</v>
      </c>
      <c r="AA370">
        <f t="shared" si="12"/>
        <v>0</v>
      </c>
      <c r="AB370">
        <f t="shared" si="13"/>
        <v>0</v>
      </c>
      <c r="AC370">
        <f t="shared" si="14"/>
        <v>0</v>
      </c>
      <c r="AE370">
        <f t="shared" si="0"/>
      </c>
      <c r="AV370">
        <f t="shared" si="15"/>
      </c>
      <c r="BM370">
        <f t="shared" si="16"/>
      </c>
      <c r="CD370">
        <f t="shared" si="0"/>
      </c>
      <c r="CZ370">
        <f t="shared" si="17"/>
      </c>
      <c r="DA370">
        <f t="shared" si="1"/>
      </c>
      <c r="DB370">
        <f t="shared" si="18"/>
      </c>
      <c r="DC370">
        <f t="shared" si="19"/>
      </c>
      <c r="DD370">
        <f t="shared" si="20"/>
      </c>
      <c r="DE370">
        <f t="shared" si="21"/>
      </c>
      <c r="DF370">
        <f t="shared" si="22"/>
      </c>
      <c r="DG370">
        <f t="shared" si="23"/>
      </c>
      <c r="DH370">
        <f t="shared" si="24"/>
      </c>
      <c r="DI370">
        <f t="shared" si="1"/>
      </c>
    </row>
    <row r="371" ht="15" customHeight="1">
      <c r="B371">
        <f t="shared" si="2"/>
      </c>
      <c r="R371">
        <f t="shared" si="3"/>
        <v>0</v>
      </c>
      <c r="S371">
        <f t="shared" si="4"/>
        <v>0</v>
      </c>
      <c r="T371">
        <f t="shared" si="5"/>
        <v>0</v>
      </c>
      <c r="U371">
        <f t="shared" si="6"/>
        <v>0</v>
      </c>
      <c r="V371">
        <f t="shared" si="7"/>
        <v>0</v>
      </c>
      <c r="W371">
        <f t="shared" si="8"/>
        <v>0</v>
      </c>
      <c r="X371">
        <f t="shared" si="9"/>
        <v>0</v>
      </c>
      <c r="Y371">
        <f t="shared" si="10"/>
        <v>0</v>
      </c>
      <c r="Z371">
        <f t="shared" si="11"/>
        <v>0</v>
      </c>
      <c r="AA371">
        <f t="shared" si="12"/>
        <v>0</v>
      </c>
      <c r="AB371">
        <f t="shared" si="13"/>
        <v>0</v>
      </c>
      <c r="AC371">
        <f t="shared" si="14"/>
        <v>0</v>
      </c>
      <c r="AE371">
        <f t="shared" si="0"/>
      </c>
      <c r="AV371">
        <f t="shared" si="15"/>
      </c>
      <c r="BM371">
        <f t="shared" si="16"/>
      </c>
      <c r="CD371">
        <f t="shared" si="0"/>
      </c>
      <c r="CZ371">
        <f t="shared" si="17"/>
      </c>
      <c r="DA371">
        <f t="shared" si="1"/>
      </c>
      <c r="DB371">
        <f t="shared" si="18"/>
      </c>
      <c r="DC371">
        <f t="shared" si="19"/>
      </c>
      <c r="DD371">
        <f t="shared" si="20"/>
      </c>
      <c r="DE371">
        <f t="shared" si="21"/>
      </c>
      <c r="DF371">
        <f t="shared" si="22"/>
      </c>
      <c r="DG371">
        <f t="shared" si="23"/>
      </c>
      <c r="DH371">
        <f t="shared" si="24"/>
      </c>
      <c r="DI371">
        <f t="shared" si="1"/>
      </c>
    </row>
    <row r="372" ht="15" customHeight="1">
      <c r="B372">
        <f t="shared" si="2"/>
      </c>
      <c r="R372">
        <f t="shared" si="3"/>
        <v>0</v>
      </c>
      <c r="S372">
        <f t="shared" si="4"/>
        <v>0</v>
      </c>
      <c r="T372">
        <f t="shared" si="5"/>
        <v>0</v>
      </c>
      <c r="U372">
        <f t="shared" si="6"/>
        <v>0</v>
      </c>
      <c r="V372">
        <f t="shared" si="7"/>
        <v>0</v>
      </c>
      <c r="W372">
        <f t="shared" si="8"/>
        <v>0</v>
      </c>
      <c r="X372">
        <f t="shared" si="9"/>
        <v>0</v>
      </c>
      <c r="Y372">
        <f t="shared" si="10"/>
        <v>0</v>
      </c>
      <c r="Z372">
        <f t="shared" si="11"/>
        <v>0</v>
      </c>
      <c r="AA372">
        <f t="shared" si="12"/>
        <v>0</v>
      </c>
      <c r="AB372">
        <f t="shared" si="13"/>
        <v>0</v>
      </c>
      <c r="AC372">
        <f t="shared" si="14"/>
        <v>0</v>
      </c>
      <c r="AE372">
        <f t="shared" si="0"/>
      </c>
      <c r="AV372">
        <f t="shared" si="15"/>
      </c>
      <c r="BM372">
        <f t="shared" si="16"/>
      </c>
      <c r="CD372">
        <f t="shared" si="0"/>
      </c>
      <c r="CZ372">
        <f t="shared" si="17"/>
      </c>
      <c r="DA372">
        <f t="shared" si="1"/>
      </c>
      <c r="DB372">
        <f t="shared" si="18"/>
      </c>
      <c r="DC372">
        <f t="shared" si="19"/>
      </c>
      <c r="DD372">
        <f t="shared" si="20"/>
      </c>
      <c r="DE372">
        <f t="shared" si="21"/>
      </c>
      <c r="DF372">
        <f t="shared" si="22"/>
      </c>
      <c r="DG372">
        <f t="shared" si="23"/>
      </c>
      <c r="DH372">
        <f t="shared" si="24"/>
      </c>
      <c r="DI372">
        <f t="shared" si="1"/>
      </c>
    </row>
    <row r="373" ht="15" customHeight="1">
      <c r="B373">
        <f t="shared" si="2"/>
      </c>
      <c r="R373">
        <f t="shared" si="3"/>
        <v>0</v>
      </c>
      <c r="S373">
        <f t="shared" si="4"/>
        <v>0</v>
      </c>
      <c r="T373">
        <f t="shared" si="5"/>
        <v>0</v>
      </c>
      <c r="U373">
        <f t="shared" si="6"/>
        <v>0</v>
      </c>
      <c r="V373">
        <f t="shared" si="7"/>
        <v>0</v>
      </c>
      <c r="W373">
        <f t="shared" si="8"/>
        <v>0</v>
      </c>
      <c r="X373">
        <f t="shared" si="9"/>
        <v>0</v>
      </c>
      <c r="Y373">
        <f t="shared" si="10"/>
        <v>0</v>
      </c>
      <c r="Z373">
        <f t="shared" si="11"/>
        <v>0</v>
      </c>
      <c r="AA373">
        <f t="shared" si="12"/>
        <v>0</v>
      </c>
      <c r="AB373">
        <f t="shared" si="13"/>
        <v>0</v>
      </c>
      <c r="AC373">
        <f t="shared" si="14"/>
        <v>0</v>
      </c>
      <c r="AE373">
        <f t="shared" si="0"/>
      </c>
      <c r="AV373">
        <f t="shared" si="15"/>
      </c>
      <c r="BM373">
        <f t="shared" si="16"/>
      </c>
      <c r="CD373">
        <f t="shared" si="0"/>
      </c>
      <c r="CZ373">
        <f t="shared" si="17"/>
      </c>
      <c r="DA373">
        <f t="shared" si="1"/>
      </c>
      <c r="DB373">
        <f t="shared" si="18"/>
      </c>
      <c r="DC373">
        <f t="shared" si="19"/>
      </c>
      <c r="DD373">
        <f t="shared" si="20"/>
      </c>
      <c r="DE373">
        <f t="shared" si="21"/>
      </c>
      <c r="DF373">
        <f t="shared" si="22"/>
      </c>
      <c r="DG373">
        <f t="shared" si="23"/>
      </c>
      <c r="DH373">
        <f t="shared" si="24"/>
      </c>
      <c r="DI373">
        <f t="shared" si="1"/>
      </c>
    </row>
    <row r="374" ht="15" customHeight="1">
      <c r="B374">
        <f t="shared" si="2"/>
      </c>
      <c r="R374">
        <f t="shared" si="3"/>
        <v>0</v>
      </c>
      <c r="S374">
        <f t="shared" si="4"/>
        <v>0</v>
      </c>
      <c r="T374">
        <f t="shared" si="5"/>
        <v>0</v>
      </c>
      <c r="U374">
        <f t="shared" si="6"/>
        <v>0</v>
      </c>
      <c r="V374">
        <f t="shared" si="7"/>
        <v>0</v>
      </c>
      <c r="W374">
        <f t="shared" si="8"/>
        <v>0</v>
      </c>
      <c r="X374">
        <f t="shared" si="9"/>
        <v>0</v>
      </c>
      <c r="Y374">
        <f t="shared" si="10"/>
        <v>0</v>
      </c>
      <c r="Z374">
        <f t="shared" si="11"/>
        <v>0</v>
      </c>
      <c r="AA374">
        <f t="shared" si="12"/>
        <v>0</v>
      </c>
      <c r="AB374">
        <f t="shared" si="13"/>
        <v>0</v>
      </c>
      <c r="AC374">
        <f t="shared" si="14"/>
        <v>0</v>
      </c>
      <c r="AE374">
        <f t="shared" si="0"/>
      </c>
      <c r="AV374">
        <f t="shared" si="15"/>
      </c>
      <c r="BM374">
        <f t="shared" si="16"/>
      </c>
      <c r="CD374">
        <f t="shared" si="0"/>
      </c>
      <c r="CZ374">
        <f t="shared" si="17"/>
      </c>
      <c r="DA374">
        <f t="shared" si="1"/>
      </c>
      <c r="DB374">
        <f t="shared" si="18"/>
      </c>
      <c r="DC374">
        <f t="shared" si="19"/>
      </c>
      <c r="DD374">
        <f t="shared" si="20"/>
      </c>
      <c r="DE374">
        <f t="shared" si="21"/>
      </c>
      <c r="DF374">
        <f t="shared" si="22"/>
      </c>
      <c r="DG374">
        <f t="shared" si="23"/>
      </c>
      <c r="DH374">
        <f t="shared" si="24"/>
      </c>
      <c r="DI374">
        <f t="shared" si="1"/>
      </c>
    </row>
    <row r="375" ht="15" customHeight="1">
      <c r="B375">
        <f t="shared" si="2"/>
      </c>
      <c r="R375">
        <f t="shared" si="3"/>
        <v>0</v>
      </c>
      <c r="S375">
        <f t="shared" si="4"/>
        <v>0</v>
      </c>
      <c r="T375">
        <f t="shared" si="5"/>
        <v>0</v>
      </c>
      <c r="U375">
        <f t="shared" si="6"/>
        <v>0</v>
      </c>
      <c r="V375">
        <f t="shared" si="7"/>
        <v>0</v>
      </c>
      <c r="W375">
        <f t="shared" si="8"/>
        <v>0</v>
      </c>
      <c r="X375">
        <f t="shared" si="9"/>
        <v>0</v>
      </c>
      <c r="Y375">
        <f t="shared" si="10"/>
        <v>0</v>
      </c>
      <c r="Z375">
        <f t="shared" si="11"/>
        <v>0</v>
      </c>
      <c r="AA375">
        <f t="shared" si="12"/>
        <v>0</v>
      </c>
      <c r="AB375">
        <f t="shared" si="13"/>
        <v>0</v>
      </c>
      <c r="AC375">
        <f t="shared" si="14"/>
        <v>0</v>
      </c>
      <c r="AE375">
        <f t="shared" si="0"/>
      </c>
      <c r="AV375">
        <f t="shared" si="15"/>
      </c>
      <c r="BM375">
        <f t="shared" si="16"/>
      </c>
      <c r="CD375">
        <f t="shared" si="0"/>
      </c>
      <c r="CZ375">
        <f t="shared" si="17"/>
      </c>
      <c r="DA375">
        <f t="shared" si="1"/>
      </c>
      <c r="DB375">
        <f t="shared" si="18"/>
      </c>
      <c r="DC375">
        <f t="shared" si="19"/>
      </c>
      <c r="DD375">
        <f t="shared" si="20"/>
      </c>
      <c r="DE375">
        <f t="shared" si="21"/>
      </c>
      <c r="DF375">
        <f t="shared" si="22"/>
      </c>
      <c r="DG375">
        <f t="shared" si="23"/>
      </c>
      <c r="DH375">
        <f t="shared" si="24"/>
      </c>
      <c r="DI375">
        <f t="shared" si="1"/>
      </c>
    </row>
    <row r="376" ht="15" customHeight="1">
      <c r="B376">
        <f t="shared" si="2"/>
      </c>
      <c r="R376">
        <f t="shared" si="3"/>
        <v>0</v>
      </c>
      <c r="S376">
        <f t="shared" si="4"/>
        <v>0</v>
      </c>
      <c r="T376">
        <f t="shared" si="5"/>
        <v>0</v>
      </c>
      <c r="U376">
        <f t="shared" si="6"/>
        <v>0</v>
      </c>
      <c r="V376">
        <f t="shared" si="7"/>
        <v>0</v>
      </c>
      <c r="W376">
        <f t="shared" si="8"/>
        <v>0</v>
      </c>
      <c r="X376">
        <f t="shared" si="9"/>
        <v>0</v>
      </c>
      <c r="Y376">
        <f t="shared" si="10"/>
        <v>0</v>
      </c>
      <c r="Z376">
        <f t="shared" si="11"/>
        <v>0</v>
      </c>
      <c r="AA376">
        <f t="shared" si="12"/>
        <v>0</v>
      </c>
      <c r="AB376">
        <f t="shared" si="13"/>
        <v>0</v>
      </c>
      <c r="AC376">
        <f t="shared" si="14"/>
        <v>0</v>
      </c>
      <c r="AE376">
        <f t="shared" si="0"/>
      </c>
      <c r="AV376">
        <f t="shared" si="15"/>
      </c>
      <c r="BM376">
        <f t="shared" si="16"/>
      </c>
      <c r="CD376">
        <f t="shared" si="0"/>
      </c>
      <c r="CZ376">
        <f t="shared" si="17"/>
      </c>
      <c r="DA376">
        <f t="shared" si="1"/>
      </c>
      <c r="DB376">
        <f t="shared" si="18"/>
      </c>
      <c r="DC376">
        <f t="shared" si="19"/>
      </c>
      <c r="DD376">
        <f t="shared" si="20"/>
      </c>
      <c r="DE376">
        <f t="shared" si="21"/>
      </c>
      <c r="DF376">
        <f t="shared" si="22"/>
      </c>
      <c r="DG376">
        <f t="shared" si="23"/>
      </c>
      <c r="DH376">
        <f t="shared" si="24"/>
      </c>
      <c r="DI376">
        <f t="shared" si="1"/>
      </c>
    </row>
    <row r="377" ht="15" customHeight="1">
      <c r="B377">
        <f t="shared" si="2"/>
      </c>
      <c r="R377">
        <f t="shared" si="3"/>
        <v>0</v>
      </c>
      <c r="S377">
        <f t="shared" si="4"/>
        <v>0</v>
      </c>
      <c r="T377">
        <f t="shared" si="5"/>
        <v>0</v>
      </c>
      <c r="U377">
        <f t="shared" si="6"/>
        <v>0</v>
      </c>
      <c r="V377">
        <f t="shared" si="7"/>
        <v>0</v>
      </c>
      <c r="W377">
        <f t="shared" si="8"/>
        <v>0</v>
      </c>
      <c r="X377">
        <f t="shared" si="9"/>
        <v>0</v>
      </c>
      <c r="Y377">
        <f t="shared" si="10"/>
        <v>0</v>
      </c>
      <c r="Z377">
        <f t="shared" si="11"/>
        <v>0</v>
      </c>
      <c r="AA377">
        <f t="shared" si="12"/>
        <v>0</v>
      </c>
      <c r="AB377">
        <f t="shared" si="13"/>
        <v>0</v>
      </c>
      <c r="AC377">
        <f t="shared" si="14"/>
        <v>0</v>
      </c>
      <c r="AE377">
        <f t="shared" si="0"/>
      </c>
      <c r="AV377">
        <f t="shared" si="15"/>
      </c>
      <c r="BM377">
        <f t="shared" si="16"/>
      </c>
      <c r="CD377">
        <f t="shared" si="0"/>
      </c>
      <c r="CZ377">
        <f t="shared" si="17"/>
      </c>
      <c r="DA377">
        <f t="shared" si="1"/>
      </c>
      <c r="DB377">
        <f t="shared" si="18"/>
      </c>
      <c r="DC377">
        <f t="shared" si="19"/>
      </c>
      <c r="DD377">
        <f t="shared" si="20"/>
      </c>
      <c r="DE377">
        <f t="shared" si="21"/>
      </c>
      <c r="DF377">
        <f t="shared" si="22"/>
      </c>
      <c r="DG377">
        <f t="shared" si="23"/>
      </c>
      <c r="DH377">
        <f t="shared" si="24"/>
      </c>
      <c r="DI377">
        <f t="shared" si="1"/>
      </c>
    </row>
    <row r="378" ht="15" customHeight="1">
      <c r="B378">
        <f t="shared" si="2"/>
      </c>
      <c r="R378">
        <f t="shared" si="3"/>
        <v>0</v>
      </c>
      <c r="S378">
        <f t="shared" si="4"/>
        <v>0</v>
      </c>
      <c r="T378">
        <f t="shared" si="5"/>
        <v>0</v>
      </c>
      <c r="U378">
        <f t="shared" si="6"/>
        <v>0</v>
      </c>
      <c r="V378">
        <f t="shared" si="7"/>
        <v>0</v>
      </c>
      <c r="W378">
        <f t="shared" si="8"/>
        <v>0</v>
      </c>
      <c r="X378">
        <f t="shared" si="9"/>
        <v>0</v>
      </c>
      <c r="Y378">
        <f t="shared" si="10"/>
        <v>0</v>
      </c>
      <c r="Z378">
        <f t="shared" si="11"/>
        <v>0</v>
      </c>
      <c r="AA378">
        <f t="shared" si="12"/>
        <v>0</v>
      </c>
      <c r="AB378">
        <f t="shared" si="13"/>
        <v>0</v>
      </c>
      <c r="AC378">
        <f t="shared" si="14"/>
        <v>0</v>
      </c>
      <c r="AE378">
        <f t="shared" si="0"/>
      </c>
      <c r="AV378">
        <f t="shared" si="15"/>
      </c>
      <c r="BM378">
        <f t="shared" si="16"/>
      </c>
      <c r="CD378">
        <f t="shared" si="0"/>
      </c>
      <c r="CZ378">
        <f t="shared" si="17"/>
      </c>
      <c r="DA378">
        <f t="shared" si="1"/>
      </c>
      <c r="DB378">
        <f t="shared" si="18"/>
      </c>
      <c r="DC378">
        <f t="shared" si="19"/>
      </c>
      <c r="DD378">
        <f t="shared" si="20"/>
      </c>
      <c r="DE378">
        <f t="shared" si="21"/>
      </c>
      <c r="DF378">
        <f t="shared" si="22"/>
      </c>
      <c r="DG378">
        <f t="shared" si="23"/>
      </c>
      <c r="DH378">
        <f t="shared" si="24"/>
      </c>
      <c r="DI378">
        <f t="shared" si="1"/>
      </c>
    </row>
    <row r="379" ht="15" customHeight="1">
      <c r="B379">
        <f t="shared" si="2"/>
      </c>
      <c r="R379">
        <f t="shared" si="3"/>
        <v>0</v>
      </c>
      <c r="S379">
        <f t="shared" si="4"/>
        <v>0</v>
      </c>
      <c r="T379">
        <f t="shared" si="5"/>
        <v>0</v>
      </c>
      <c r="U379">
        <f t="shared" si="6"/>
        <v>0</v>
      </c>
      <c r="V379">
        <f t="shared" si="7"/>
        <v>0</v>
      </c>
      <c r="W379">
        <f t="shared" si="8"/>
        <v>0</v>
      </c>
      <c r="X379">
        <f t="shared" si="9"/>
        <v>0</v>
      </c>
      <c r="Y379">
        <f t="shared" si="10"/>
        <v>0</v>
      </c>
      <c r="Z379">
        <f t="shared" si="11"/>
        <v>0</v>
      </c>
      <c r="AA379">
        <f t="shared" si="12"/>
        <v>0</v>
      </c>
      <c r="AB379">
        <f t="shared" si="13"/>
        <v>0</v>
      </c>
      <c r="AC379">
        <f t="shared" si="14"/>
        <v>0</v>
      </c>
      <c r="AE379">
        <f t="shared" si="0"/>
      </c>
      <c r="AV379">
        <f t="shared" si="15"/>
      </c>
      <c r="BM379">
        <f t="shared" si="16"/>
      </c>
      <c r="CD379">
        <f t="shared" si="0"/>
      </c>
      <c r="CZ379">
        <f t="shared" si="17"/>
      </c>
      <c r="DA379">
        <f t="shared" si="1"/>
      </c>
      <c r="DB379">
        <f t="shared" si="18"/>
      </c>
      <c r="DC379">
        <f t="shared" si="19"/>
      </c>
      <c r="DD379">
        <f t="shared" si="20"/>
      </c>
      <c r="DE379">
        <f t="shared" si="21"/>
      </c>
      <c r="DF379">
        <f t="shared" si="22"/>
      </c>
      <c r="DG379">
        <f t="shared" si="23"/>
      </c>
      <c r="DH379">
        <f t="shared" si="24"/>
      </c>
      <c r="DI379">
        <f t="shared" si="1"/>
      </c>
    </row>
    <row r="380" ht="15" customHeight="1">
      <c r="B380">
        <f t="shared" si="2"/>
      </c>
      <c r="R380">
        <f t="shared" si="3"/>
        <v>0</v>
      </c>
      <c r="S380">
        <f t="shared" si="4"/>
        <v>0</v>
      </c>
      <c r="T380">
        <f t="shared" si="5"/>
        <v>0</v>
      </c>
      <c r="U380">
        <f t="shared" si="6"/>
        <v>0</v>
      </c>
      <c r="V380">
        <f t="shared" si="7"/>
        <v>0</v>
      </c>
      <c r="W380">
        <f t="shared" si="8"/>
        <v>0</v>
      </c>
      <c r="X380">
        <f t="shared" si="9"/>
        <v>0</v>
      </c>
      <c r="Y380">
        <f t="shared" si="10"/>
        <v>0</v>
      </c>
      <c r="Z380">
        <f t="shared" si="11"/>
        <v>0</v>
      </c>
      <c r="AA380">
        <f t="shared" si="12"/>
        <v>0</v>
      </c>
      <c r="AB380">
        <f t="shared" si="13"/>
        <v>0</v>
      </c>
      <c r="AC380">
        <f t="shared" si="14"/>
        <v>0</v>
      </c>
      <c r="AE380">
        <f t="shared" si="0"/>
      </c>
      <c r="AV380">
        <f t="shared" si="15"/>
      </c>
      <c r="BM380">
        <f t="shared" si="16"/>
      </c>
      <c r="CD380">
        <f t="shared" si="0"/>
      </c>
      <c r="CZ380">
        <f t="shared" si="17"/>
      </c>
      <c r="DA380">
        <f t="shared" si="1"/>
      </c>
      <c r="DB380">
        <f t="shared" si="18"/>
      </c>
      <c r="DC380">
        <f t="shared" si="19"/>
      </c>
      <c r="DD380">
        <f t="shared" si="20"/>
      </c>
      <c r="DE380">
        <f t="shared" si="21"/>
      </c>
      <c r="DF380">
        <f t="shared" si="22"/>
      </c>
      <c r="DG380">
        <f t="shared" si="23"/>
      </c>
      <c r="DH380">
        <f t="shared" si="24"/>
      </c>
      <c r="DI380">
        <f t="shared" si="1"/>
      </c>
    </row>
    <row r="381" ht="15" customHeight="1">
      <c r="B381">
        <f t="shared" si="2"/>
      </c>
      <c r="R381">
        <f t="shared" si="3"/>
        <v>0</v>
      </c>
      <c r="S381">
        <f t="shared" si="4"/>
        <v>0</v>
      </c>
      <c r="T381">
        <f t="shared" si="5"/>
        <v>0</v>
      </c>
      <c r="U381">
        <f t="shared" si="6"/>
        <v>0</v>
      </c>
      <c r="V381">
        <f t="shared" si="7"/>
        <v>0</v>
      </c>
      <c r="W381">
        <f t="shared" si="8"/>
        <v>0</v>
      </c>
      <c r="X381">
        <f t="shared" si="9"/>
        <v>0</v>
      </c>
      <c r="Y381">
        <f t="shared" si="10"/>
        <v>0</v>
      </c>
      <c r="Z381">
        <f t="shared" si="11"/>
        <v>0</v>
      </c>
      <c r="AA381">
        <f t="shared" si="12"/>
        <v>0</v>
      </c>
      <c r="AB381">
        <f t="shared" si="13"/>
        <v>0</v>
      </c>
      <c r="AC381">
        <f t="shared" si="14"/>
        <v>0</v>
      </c>
      <c r="AE381">
        <f t="shared" si="0"/>
      </c>
      <c r="AV381">
        <f t="shared" si="15"/>
      </c>
      <c r="BM381">
        <f t="shared" si="16"/>
      </c>
      <c r="CD381">
        <f t="shared" si="0"/>
      </c>
      <c r="CZ381">
        <f t="shared" si="17"/>
      </c>
      <c r="DA381">
        <f t="shared" si="1"/>
      </c>
      <c r="DB381">
        <f t="shared" si="18"/>
      </c>
      <c r="DC381">
        <f t="shared" si="19"/>
      </c>
      <c r="DD381">
        <f t="shared" si="20"/>
      </c>
      <c r="DE381">
        <f t="shared" si="21"/>
      </c>
      <c r="DF381">
        <f t="shared" si="22"/>
      </c>
      <c r="DG381">
        <f t="shared" si="23"/>
      </c>
      <c r="DH381">
        <f t="shared" si="24"/>
      </c>
      <c r="DI381">
        <f t="shared" si="1"/>
      </c>
    </row>
    <row r="382" ht="15" customHeight="1">
      <c r="B382">
        <f t="shared" si="2"/>
      </c>
      <c r="R382">
        <f t="shared" si="3"/>
        <v>0</v>
      </c>
      <c r="S382">
        <f t="shared" si="4"/>
        <v>0</v>
      </c>
      <c r="T382">
        <f t="shared" si="5"/>
        <v>0</v>
      </c>
      <c r="U382">
        <f t="shared" si="6"/>
        <v>0</v>
      </c>
      <c r="V382">
        <f t="shared" si="7"/>
        <v>0</v>
      </c>
      <c r="W382">
        <f t="shared" si="8"/>
        <v>0</v>
      </c>
      <c r="X382">
        <f t="shared" si="9"/>
        <v>0</v>
      </c>
      <c r="Y382">
        <f t="shared" si="10"/>
        <v>0</v>
      </c>
      <c r="Z382">
        <f t="shared" si="11"/>
        <v>0</v>
      </c>
      <c r="AA382">
        <f t="shared" si="12"/>
        <v>0</v>
      </c>
      <c r="AB382">
        <f t="shared" si="13"/>
        <v>0</v>
      </c>
      <c r="AC382">
        <f t="shared" si="14"/>
        <v>0</v>
      </c>
      <c r="AE382">
        <f t="shared" si="0"/>
      </c>
      <c r="AV382">
        <f t="shared" si="15"/>
      </c>
      <c r="BM382">
        <f t="shared" si="16"/>
      </c>
      <c r="CD382">
        <f t="shared" si="0"/>
      </c>
      <c r="CZ382">
        <f t="shared" si="17"/>
      </c>
      <c r="DA382">
        <f t="shared" si="1"/>
      </c>
      <c r="DB382">
        <f t="shared" si="18"/>
      </c>
      <c r="DC382">
        <f t="shared" si="19"/>
      </c>
      <c r="DD382">
        <f t="shared" si="20"/>
      </c>
      <c r="DE382">
        <f t="shared" si="21"/>
      </c>
      <c r="DF382">
        <f t="shared" si="22"/>
      </c>
      <c r="DG382">
        <f t="shared" si="23"/>
      </c>
      <c r="DH382">
        <f t="shared" si="24"/>
      </c>
      <c r="DI382">
        <f t="shared" si="1"/>
      </c>
    </row>
    <row r="383" ht="15" customHeight="1">
      <c r="B383">
        <f t="shared" si="2"/>
      </c>
      <c r="R383">
        <f t="shared" si="3"/>
        <v>0</v>
      </c>
      <c r="S383">
        <f t="shared" si="4"/>
        <v>0</v>
      </c>
      <c r="T383">
        <f t="shared" si="5"/>
        <v>0</v>
      </c>
      <c r="U383">
        <f t="shared" si="6"/>
        <v>0</v>
      </c>
      <c r="V383">
        <f t="shared" si="7"/>
        <v>0</v>
      </c>
      <c r="W383">
        <f t="shared" si="8"/>
        <v>0</v>
      </c>
      <c r="X383">
        <f t="shared" si="9"/>
        <v>0</v>
      </c>
      <c r="Y383">
        <f t="shared" si="10"/>
        <v>0</v>
      </c>
      <c r="Z383">
        <f t="shared" si="11"/>
        <v>0</v>
      </c>
      <c r="AA383">
        <f t="shared" si="12"/>
        <v>0</v>
      </c>
      <c r="AB383">
        <f t="shared" si="13"/>
        <v>0</v>
      </c>
      <c r="AC383">
        <f t="shared" si="14"/>
        <v>0</v>
      </c>
      <c r="AE383">
        <f t="shared" si="0"/>
      </c>
      <c r="AV383">
        <f t="shared" si="15"/>
      </c>
      <c r="BM383">
        <f t="shared" si="16"/>
      </c>
      <c r="CD383">
        <f t="shared" si="0"/>
      </c>
      <c r="CZ383">
        <f t="shared" si="17"/>
      </c>
      <c r="DA383">
        <f t="shared" si="1"/>
      </c>
      <c r="DB383">
        <f t="shared" si="18"/>
      </c>
      <c r="DC383">
        <f t="shared" si="19"/>
      </c>
      <c r="DD383">
        <f t="shared" si="20"/>
      </c>
      <c r="DE383">
        <f t="shared" si="21"/>
      </c>
      <c r="DF383">
        <f t="shared" si="22"/>
      </c>
      <c r="DG383">
        <f t="shared" si="23"/>
      </c>
      <c r="DH383">
        <f t="shared" si="24"/>
      </c>
      <c r="DI383">
        <f t="shared" si="1"/>
      </c>
    </row>
    <row r="384" ht="15" customHeight="1">
      <c r="B384">
        <f t="shared" si="2"/>
      </c>
      <c r="R384">
        <f t="shared" si="3"/>
        <v>0</v>
      </c>
      <c r="S384">
        <f t="shared" si="4"/>
        <v>0</v>
      </c>
      <c r="T384">
        <f t="shared" si="5"/>
        <v>0</v>
      </c>
      <c r="U384">
        <f t="shared" si="6"/>
        <v>0</v>
      </c>
      <c r="V384">
        <f t="shared" si="7"/>
        <v>0</v>
      </c>
      <c r="W384">
        <f t="shared" si="8"/>
        <v>0</v>
      </c>
      <c r="X384">
        <f t="shared" si="9"/>
        <v>0</v>
      </c>
      <c r="Y384">
        <f t="shared" si="10"/>
        <v>0</v>
      </c>
      <c r="Z384">
        <f t="shared" si="11"/>
        <v>0</v>
      </c>
      <c r="AA384">
        <f t="shared" si="12"/>
        <v>0</v>
      </c>
      <c r="AB384">
        <f t="shared" si="13"/>
        <v>0</v>
      </c>
      <c r="AC384">
        <f t="shared" si="14"/>
        <v>0</v>
      </c>
      <c r="AE384">
        <f t="shared" si="0"/>
      </c>
      <c r="AV384">
        <f t="shared" si="15"/>
      </c>
      <c r="BM384">
        <f t="shared" si="16"/>
      </c>
      <c r="CD384">
        <f t="shared" si="0"/>
      </c>
      <c r="CZ384">
        <f t="shared" si="17"/>
      </c>
      <c r="DA384">
        <f t="shared" si="1"/>
      </c>
      <c r="DB384">
        <f t="shared" si="18"/>
      </c>
      <c r="DC384">
        <f t="shared" si="19"/>
      </c>
      <c r="DD384">
        <f t="shared" si="20"/>
      </c>
      <c r="DE384">
        <f t="shared" si="21"/>
      </c>
      <c r="DF384">
        <f t="shared" si="22"/>
      </c>
      <c r="DG384">
        <f t="shared" si="23"/>
      </c>
      <c r="DH384">
        <f t="shared" si="24"/>
      </c>
      <c r="DI384">
        <f t="shared" si="1"/>
      </c>
    </row>
    <row r="385" ht="15" customHeight="1">
      <c r="B385">
        <f t="shared" si="2"/>
      </c>
      <c r="R385">
        <f t="shared" si="3"/>
        <v>0</v>
      </c>
      <c r="S385">
        <f t="shared" si="4"/>
        <v>0</v>
      </c>
      <c r="T385">
        <f t="shared" si="5"/>
        <v>0</v>
      </c>
      <c r="U385">
        <f t="shared" si="6"/>
        <v>0</v>
      </c>
      <c r="V385">
        <f t="shared" si="7"/>
        <v>0</v>
      </c>
      <c r="W385">
        <f t="shared" si="8"/>
        <v>0</v>
      </c>
      <c r="X385">
        <f t="shared" si="9"/>
        <v>0</v>
      </c>
      <c r="Y385">
        <f t="shared" si="10"/>
        <v>0</v>
      </c>
      <c r="Z385">
        <f t="shared" si="11"/>
        <v>0</v>
      </c>
      <c r="AA385">
        <f t="shared" si="12"/>
        <v>0</v>
      </c>
      <c r="AB385">
        <f t="shared" si="13"/>
        <v>0</v>
      </c>
      <c r="AC385">
        <f t="shared" si="14"/>
        <v>0</v>
      </c>
      <c r="AE385">
        <f t="shared" si="0"/>
      </c>
      <c r="AV385">
        <f t="shared" si="15"/>
      </c>
      <c r="BM385">
        <f t="shared" si="16"/>
      </c>
      <c r="CD385">
        <f t="shared" si="0"/>
      </c>
      <c r="CZ385">
        <f t="shared" si="17"/>
      </c>
      <c r="DA385">
        <f t="shared" si="1"/>
      </c>
      <c r="DB385">
        <f t="shared" si="18"/>
      </c>
      <c r="DC385">
        <f t="shared" si="19"/>
      </c>
      <c r="DD385">
        <f t="shared" si="20"/>
      </c>
      <c r="DE385">
        <f t="shared" si="21"/>
      </c>
      <c r="DF385">
        <f t="shared" si="22"/>
      </c>
      <c r="DG385">
        <f t="shared" si="23"/>
      </c>
      <c r="DH385">
        <f t="shared" si="24"/>
      </c>
      <c r="DI385">
        <f t="shared" si="1"/>
      </c>
    </row>
    <row r="386" ht="15" customHeight="1">
      <c r="B386">
        <f t="shared" si="2"/>
      </c>
      <c r="R386">
        <f t="shared" si="3"/>
        <v>0</v>
      </c>
      <c r="S386">
        <f t="shared" si="4"/>
        <v>0</v>
      </c>
      <c r="T386">
        <f t="shared" si="5"/>
        <v>0</v>
      </c>
      <c r="U386">
        <f t="shared" si="6"/>
        <v>0</v>
      </c>
      <c r="V386">
        <f t="shared" si="7"/>
        <v>0</v>
      </c>
      <c r="W386">
        <f t="shared" si="8"/>
        <v>0</v>
      </c>
      <c r="X386">
        <f t="shared" si="9"/>
        <v>0</v>
      </c>
      <c r="Y386">
        <f t="shared" si="10"/>
        <v>0</v>
      </c>
      <c r="Z386">
        <f t="shared" si="11"/>
        <v>0</v>
      </c>
      <c r="AA386">
        <f t="shared" si="12"/>
        <v>0</v>
      </c>
      <c r="AB386">
        <f t="shared" si="13"/>
        <v>0</v>
      </c>
      <c r="AC386">
        <f t="shared" si="14"/>
        <v>0</v>
      </c>
      <c r="AE386">
        <f t="shared" si="0"/>
      </c>
      <c r="AV386">
        <f t="shared" si="15"/>
      </c>
      <c r="BM386">
        <f t="shared" si="16"/>
      </c>
      <c r="CD386">
        <f t="shared" si="0"/>
      </c>
      <c r="CZ386">
        <f t="shared" si="17"/>
      </c>
      <c r="DA386">
        <f t="shared" si="1"/>
      </c>
      <c r="DB386">
        <f t="shared" si="18"/>
      </c>
      <c r="DC386">
        <f t="shared" si="19"/>
      </c>
      <c r="DD386">
        <f t="shared" si="20"/>
      </c>
      <c r="DE386">
        <f t="shared" si="21"/>
      </c>
      <c r="DF386">
        <f t="shared" si="22"/>
      </c>
      <c r="DG386">
        <f t="shared" si="23"/>
      </c>
      <c r="DH386">
        <f t="shared" si="24"/>
      </c>
      <c r="DI386">
        <f t="shared" si="1"/>
      </c>
    </row>
    <row r="387" ht="15" customHeight="1">
      <c r="B387">
        <f t="shared" si="2"/>
      </c>
      <c r="R387">
        <f t="shared" si="3"/>
        <v>0</v>
      </c>
      <c r="S387">
        <f t="shared" si="4"/>
        <v>0</v>
      </c>
      <c r="T387">
        <f t="shared" si="5"/>
        <v>0</v>
      </c>
      <c r="U387">
        <f t="shared" si="6"/>
        <v>0</v>
      </c>
      <c r="V387">
        <f t="shared" si="7"/>
        <v>0</v>
      </c>
      <c r="W387">
        <f t="shared" si="8"/>
        <v>0</v>
      </c>
      <c r="X387">
        <f t="shared" si="9"/>
        <v>0</v>
      </c>
      <c r="Y387">
        <f t="shared" si="10"/>
        <v>0</v>
      </c>
      <c r="Z387">
        <f t="shared" si="11"/>
        <v>0</v>
      </c>
      <c r="AA387">
        <f t="shared" si="12"/>
        <v>0</v>
      </c>
      <c r="AB387">
        <f t="shared" si="13"/>
        <v>0</v>
      </c>
      <c r="AC387">
        <f t="shared" si="14"/>
        <v>0</v>
      </c>
      <c r="AE387">
        <f t="shared" si="0"/>
      </c>
      <c r="AV387">
        <f t="shared" si="15"/>
      </c>
      <c r="BM387">
        <f t="shared" si="16"/>
      </c>
      <c r="CD387">
        <f t="shared" si="0"/>
      </c>
      <c r="CZ387">
        <f t="shared" si="17"/>
      </c>
      <c r="DA387">
        <f t="shared" si="1"/>
      </c>
      <c r="DB387">
        <f t="shared" si="18"/>
      </c>
      <c r="DC387">
        <f t="shared" si="19"/>
      </c>
      <c r="DD387">
        <f t="shared" si="20"/>
      </c>
      <c r="DE387">
        <f t="shared" si="21"/>
      </c>
      <c r="DF387">
        <f t="shared" si="22"/>
      </c>
      <c r="DG387">
        <f t="shared" si="23"/>
      </c>
      <c r="DH387">
        <f t="shared" si="24"/>
      </c>
      <c r="DI387">
        <f t="shared" si="1"/>
      </c>
    </row>
    <row r="388" ht="15" customHeight="1">
      <c r="B388">
        <f t="shared" si="2"/>
      </c>
      <c r="R388">
        <f t="shared" si="3"/>
        <v>0</v>
      </c>
      <c r="S388">
        <f t="shared" si="4"/>
        <v>0</v>
      </c>
      <c r="T388">
        <f t="shared" si="5"/>
        <v>0</v>
      </c>
      <c r="U388">
        <f t="shared" si="6"/>
        <v>0</v>
      </c>
      <c r="V388">
        <f t="shared" si="7"/>
        <v>0</v>
      </c>
      <c r="W388">
        <f t="shared" si="8"/>
        <v>0</v>
      </c>
      <c r="X388">
        <f t="shared" si="9"/>
        <v>0</v>
      </c>
      <c r="Y388">
        <f t="shared" si="10"/>
        <v>0</v>
      </c>
      <c r="Z388">
        <f t="shared" si="11"/>
        <v>0</v>
      </c>
      <c r="AA388">
        <f t="shared" si="12"/>
        <v>0</v>
      </c>
      <c r="AB388">
        <f t="shared" si="13"/>
        <v>0</v>
      </c>
      <c r="AC388">
        <f t="shared" si="14"/>
        <v>0</v>
      </c>
      <c r="AE388">
        <f t="shared" si="0"/>
      </c>
      <c r="AV388">
        <f t="shared" si="15"/>
      </c>
      <c r="BM388">
        <f t="shared" si="16"/>
      </c>
      <c r="CD388">
        <f t="shared" si="0"/>
      </c>
      <c r="CZ388">
        <f t="shared" si="17"/>
      </c>
      <c r="DA388">
        <f t="shared" si="1"/>
      </c>
      <c r="DB388">
        <f t="shared" si="18"/>
      </c>
      <c r="DC388">
        <f t="shared" si="19"/>
      </c>
      <c r="DD388">
        <f t="shared" si="20"/>
      </c>
      <c r="DE388">
        <f t="shared" si="21"/>
      </c>
      <c r="DF388">
        <f t="shared" si="22"/>
      </c>
      <c r="DG388">
        <f t="shared" si="23"/>
      </c>
      <c r="DH388">
        <f t="shared" si="24"/>
      </c>
      <c r="DI388">
        <f t="shared" si="1"/>
      </c>
    </row>
    <row r="389" ht="15" customHeight="1">
      <c r="B389">
        <f t="shared" si="2"/>
      </c>
      <c r="R389">
        <f t="shared" si="3"/>
        <v>0</v>
      </c>
      <c r="S389">
        <f t="shared" si="4"/>
        <v>0</v>
      </c>
      <c r="T389">
        <f t="shared" si="5"/>
        <v>0</v>
      </c>
      <c r="U389">
        <f t="shared" si="6"/>
        <v>0</v>
      </c>
      <c r="V389">
        <f t="shared" si="7"/>
        <v>0</v>
      </c>
      <c r="W389">
        <f t="shared" si="8"/>
        <v>0</v>
      </c>
      <c r="X389">
        <f t="shared" si="9"/>
        <v>0</v>
      </c>
      <c r="Y389">
        <f t="shared" si="10"/>
        <v>0</v>
      </c>
      <c r="Z389">
        <f t="shared" si="11"/>
        <v>0</v>
      </c>
      <c r="AA389">
        <f t="shared" si="12"/>
        <v>0</v>
      </c>
      <c r="AB389">
        <f t="shared" si="13"/>
        <v>0</v>
      </c>
      <c r="AC389">
        <f t="shared" si="14"/>
        <v>0</v>
      </c>
      <c r="AE389">
        <f t="shared" si="0"/>
      </c>
      <c r="AV389">
        <f t="shared" si="15"/>
      </c>
      <c r="BM389">
        <f t="shared" si="16"/>
      </c>
      <c r="CD389">
        <f t="shared" si="0"/>
      </c>
      <c r="CZ389">
        <f t="shared" si="17"/>
      </c>
      <c r="DA389">
        <f t="shared" si="1"/>
      </c>
      <c r="DB389">
        <f t="shared" si="18"/>
      </c>
      <c r="DC389">
        <f t="shared" si="19"/>
      </c>
      <c r="DD389">
        <f t="shared" si="20"/>
      </c>
      <c r="DE389">
        <f t="shared" si="21"/>
      </c>
      <c r="DF389">
        <f t="shared" si="22"/>
      </c>
      <c r="DG389">
        <f t="shared" si="23"/>
      </c>
      <c r="DH389">
        <f t="shared" si="24"/>
      </c>
      <c r="DI389">
        <f t="shared" si="1"/>
      </c>
    </row>
    <row r="390" ht="15" customHeight="1">
      <c r="B390">
        <f t="shared" si="2"/>
      </c>
      <c r="R390">
        <f t="shared" si="3"/>
        <v>0</v>
      </c>
      <c r="S390">
        <f t="shared" si="4"/>
        <v>0</v>
      </c>
      <c r="T390">
        <f t="shared" si="5"/>
        <v>0</v>
      </c>
      <c r="U390">
        <f t="shared" si="6"/>
        <v>0</v>
      </c>
      <c r="V390">
        <f t="shared" si="7"/>
        <v>0</v>
      </c>
      <c r="W390">
        <f t="shared" si="8"/>
        <v>0</v>
      </c>
      <c r="X390">
        <f t="shared" si="9"/>
        <v>0</v>
      </c>
      <c r="Y390">
        <f t="shared" si="10"/>
        <v>0</v>
      </c>
      <c r="Z390">
        <f t="shared" si="11"/>
        <v>0</v>
      </c>
      <c r="AA390">
        <f t="shared" si="12"/>
        <v>0</v>
      </c>
      <c r="AB390">
        <f t="shared" si="13"/>
        <v>0</v>
      </c>
      <c r="AC390">
        <f t="shared" si="14"/>
        <v>0</v>
      </c>
      <c r="AE390">
        <f t="shared" si="0"/>
      </c>
      <c r="AV390">
        <f t="shared" si="15"/>
      </c>
      <c r="BM390">
        <f t="shared" si="16"/>
      </c>
      <c r="CD390">
        <f t="shared" si="0"/>
      </c>
      <c r="CZ390">
        <f t="shared" si="17"/>
      </c>
      <c r="DA390">
        <f t="shared" si="1"/>
      </c>
      <c r="DB390">
        <f t="shared" si="18"/>
      </c>
      <c r="DC390">
        <f t="shared" si="19"/>
      </c>
      <c r="DD390">
        <f t="shared" si="20"/>
      </c>
      <c r="DE390">
        <f t="shared" si="21"/>
      </c>
      <c r="DF390">
        <f t="shared" si="22"/>
      </c>
      <c r="DG390">
        <f t="shared" si="23"/>
      </c>
      <c r="DH390">
        <f t="shared" si="24"/>
      </c>
      <c r="DI390">
        <f t="shared" si="1"/>
      </c>
    </row>
    <row r="391" ht="15" customHeight="1">
      <c r="B391">
        <f t="shared" si="2"/>
      </c>
      <c r="R391">
        <f t="shared" si="3"/>
        <v>0</v>
      </c>
      <c r="S391">
        <f t="shared" si="4"/>
        <v>0</v>
      </c>
      <c r="T391">
        <f t="shared" si="5"/>
        <v>0</v>
      </c>
      <c r="U391">
        <f t="shared" si="6"/>
        <v>0</v>
      </c>
      <c r="V391">
        <f t="shared" si="7"/>
        <v>0</v>
      </c>
      <c r="W391">
        <f t="shared" si="8"/>
        <v>0</v>
      </c>
      <c r="X391">
        <f t="shared" si="9"/>
        <v>0</v>
      </c>
      <c r="Y391">
        <f t="shared" si="10"/>
        <v>0</v>
      </c>
      <c r="Z391">
        <f t="shared" si="11"/>
        <v>0</v>
      </c>
      <c r="AA391">
        <f t="shared" si="12"/>
        <v>0</v>
      </c>
      <c r="AB391">
        <f t="shared" si="13"/>
        <v>0</v>
      </c>
      <c r="AC391">
        <f t="shared" si="14"/>
        <v>0</v>
      </c>
      <c r="AE391">
        <f t="shared" si="0"/>
      </c>
      <c r="AV391">
        <f t="shared" si="15"/>
      </c>
      <c r="BM391">
        <f t="shared" si="16"/>
      </c>
      <c r="CD391">
        <f t="shared" si="0"/>
      </c>
      <c r="CZ391">
        <f t="shared" si="17"/>
      </c>
      <c r="DA391">
        <f t="shared" si="1"/>
      </c>
      <c r="DB391">
        <f t="shared" si="18"/>
      </c>
      <c r="DC391">
        <f t="shared" si="19"/>
      </c>
      <c r="DD391">
        <f t="shared" si="20"/>
      </c>
      <c r="DE391">
        <f t="shared" si="21"/>
      </c>
      <c r="DF391">
        <f t="shared" si="22"/>
      </c>
      <c r="DG391">
        <f t="shared" si="23"/>
      </c>
      <c r="DH391">
        <f t="shared" si="24"/>
      </c>
      <c r="DI391">
        <f t="shared" si="1"/>
      </c>
    </row>
    <row r="392" ht="15" customHeight="1">
      <c r="B392">
        <f t="shared" si="2"/>
      </c>
      <c r="R392">
        <f t="shared" si="3"/>
        <v>0</v>
      </c>
      <c r="S392">
        <f t="shared" si="4"/>
        <v>0</v>
      </c>
      <c r="T392">
        <f t="shared" si="5"/>
        <v>0</v>
      </c>
      <c r="U392">
        <f t="shared" si="6"/>
        <v>0</v>
      </c>
      <c r="V392">
        <f t="shared" si="7"/>
        <v>0</v>
      </c>
      <c r="W392">
        <f t="shared" si="8"/>
        <v>0</v>
      </c>
      <c r="X392">
        <f t="shared" si="9"/>
        <v>0</v>
      </c>
      <c r="Y392">
        <f t="shared" si="10"/>
        <v>0</v>
      </c>
      <c r="Z392">
        <f t="shared" si="11"/>
        <v>0</v>
      </c>
      <c r="AA392">
        <f t="shared" si="12"/>
        <v>0</v>
      </c>
      <c r="AB392">
        <f t="shared" si="13"/>
        <v>0</v>
      </c>
      <c r="AC392">
        <f t="shared" si="14"/>
        <v>0</v>
      </c>
      <c r="AE392">
        <f t="shared" si="0"/>
      </c>
      <c r="AV392">
        <f t="shared" si="15"/>
      </c>
      <c r="BM392">
        <f t="shared" si="16"/>
      </c>
      <c r="CD392">
        <f t="shared" si="0"/>
      </c>
      <c r="CZ392">
        <f t="shared" si="17"/>
      </c>
      <c r="DA392">
        <f t="shared" si="1"/>
      </c>
      <c r="DB392">
        <f t="shared" si="18"/>
      </c>
      <c r="DC392">
        <f t="shared" si="19"/>
      </c>
      <c r="DD392">
        <f t="shared" si="20"/>
      </c>
      <c r="DE392">
        <f t="shared" si="21"/>
      </c>
      <c r="DF392">
        <f t="shared" si="22"/>
      </c>
      <c r="DG392">
        <f t="shared" si="23"/>
      </c>
      <c r="DH392">
        <f t="shared" si="24"/>
      </c>
      <c r="DI392">
        <f t="shared" si="1"/>
      </c>
    </row>
    <row r="393" ht="15" customHeight="1">
      <c r="B393">
        <f t="shared" si="2"/>
      </c>
      <c r="R393">
        <f t="shared" si="3"/>
        <v>0</v>
      </c>
      <c r="S393">
        <f t="shared" si="4"/>
        <v>0</v>
      </c>
      <c r="T393">
        <f t="shared" si="5"/>
        <v>0</v>
      </c>
      <c r="U393">
        <f t="shared" si="6"/>
        <v>0</v>
      </c>
      <c r="V393">
        <f t="shared" si="7"/>
        <v>0</v>
      </c>
      <c r="W393">
        <f t="shared" si="8"/>
        <v>0</v>
      </c>
      <c r="X393">
        <f t="shared" si="9"/>
        <v>0</v>
      </c>
      <c r="Y393">
        <f t="shared" si="10"/>
        <v>0</v>
      </c>
      <c r="Z393">
        <f t="shared" si="11"/>
        <v>0</v>
      </c>
      <c r="AA393">
        <f t="shared" si="12"/>
        <v>0</v>
      </c>
      <c r="AB393">
        <f t="shared" si="13"/>
        <v>0</v>
      </c>
      <c r="AC393">
        <f t="shared" si="14"/>
        <v>0</v>
      </c>
      <c r="AE393">
        <f t="shared" si="0"/>
      </c>
      <c r="AV393">
        <f t="shared" si="15"/>
      </c>
      <c r="BM393">
        <f t="shared" si="16"/>
      </c>
      <c r="CD393">
        <f t="shared" si="0"/>
      </c>
      <c r="CZ393">
        <f t="shared" si="17"/>
      </c>
      <c r="DA393">
        <f t="shared" si="1"/>
      </c>
      <c r="DB393">
        <f t="shared" si="18"/>
      </c>
      <c r="DC393">
        <f t="shared" si="19"/>
      </c>
      <c r="DD393">
        <f t="shared" si="20"/>
      </c>
      <c r="DE393">
        <f t="shared" si="21"/>
      </c>
      <c r="DF393">
        <f t="shared" si="22"/>
      </c>
      <c r="DG393">
        <f t="shared" si="23"/>
      </c>
      <c r="DH393">
        <f t="shared" si="24"/>
      </c>
      <c r="DI393">
        <f t="shared" si="1"/>
      </c>
    </row>
    <row r="394" ht="15" customHeight="1">
      <c r="B394">
        <f t="shared" si="2"/>
      </c>
      <c r="R394">
        <f t="shared" si="3"/>
        <v>0</v>
      </c>
      <c r="S394">
        <f t="shared" si="4"/>
        <v>0</v>
      </c>
      <c r="T394">
        <f t="shared" si="5"/>
        <v>0</v>
      </c>
      <c r="U394">
        <f t="shared" si="6"/>
        <v>0</v>
      </c>
      <c r="V394">
        <f t="shared" si="7"/>
        <v>0</v>
      </c>
      <c r="W394">
        <f t="shared" si="8"/>
        <v>0</v>
      </c>
      <c r="X394">
        <f t="shared" si="9"/>
        <v>0</v>
      </c>
      <c r="Y394">
        <f t="shared" si="10"/>
        <v>0</v>
      </c>
      <c r="Z394">
        <f t="shared" si="11"/>
        <v>0</v>
      </c>
      <c r="AA394">
        <f t="shared" si="12"/>
        <v>0</v>
      </c>
      <c r="AB394">
        <f t="shared" si="13"/>
        <v>0</v>
      </c>
      <c r="AC394">
        <f t="shared" si="14"/>
        <v>0</v>
      </c>
      <c r="AE394">
        <f t="shared" si="0"/>
      </c>
      <c r="AV394">
        <f t="shared" si="15"/>
      </c>
      <c r="BM394">
        <f t="shared" si="16"/>
      </c>
      <c r="CD394">
        <f t="shared" si="0"/>
      </c>
      <c r="CZ394">
        <f t="shared" si="17"/>
      </c>
      <c r="DA394">
        <f t="shared" si="1"/>
      </c>
      <c r="DB394">
        <f t="shared" si="18"/>
      </c>
      <c r="DC394">
        <f t="shared" si="19"/>
      </c>
      <c r="DD394">
        <f t="shared" si="20"/>
      </c>
      <c r="DE394">
        <f t="shared" si="21"/>
      </c>
      <c r="DF394">
        <f t="shared" si="22"/>
      </c>
      <c r="DG394">
        <f t="shared" si="23"/>
      </c>
      <c r="DH394">
        <f t="shared" si="24"/>
      </c>
      <c r="DI394">
        <f t="shared" si="1"/>
      </c>
    </row>
    <row r="395" ht="15" customHeight="1">
      <c r="B395">
        <f t="shared" si="2"/>
      </c>
      <c r="R395">
        <f t="shared" si="3"/>
        <v>0</v>
      </c>
      <c r="S395">
        <f t="shared" si="4"/>
        <v>0</v>
      </c>
      <c r="T395">
        <f t="shared" si="5"/>
        <v>0</v>
      </c>
      <c r="U395">
        <f t="shared" si="6"/>
        <v>0</v>
      </c>
      <c r="V395">
        <f t="shared" si="7"/>
        <v>0</v>
      </c>
      <c r="W395">
        <f t="shared" si="8"/>
        <v>0</v>
      </c>
      <c r="X395">
        <f t="shared" si="9"/>
        <v>0</v>
      </c>
      <c r="Y395">
        <f t="shared" si="10"/>
        <v>0</v>
      </c>
      <c r="Z395">
        <f t="shared" si="11"/>
        <v>0</v>
      </c>
      <c r="AA395">
        <f t="shared" si="12"/>
        <v>0</v>
      </c>
      <c r="AB395">
        <f t="shared" si="13"/>
        <v>0</v>
      </c>
      <c r="AC395">
        <f t="shared" si="14"/>
        <v>0</v>
      </c>
      <c r="AE395">
        <f t="shared" si="0"/>
      </c>
      <c r="AV395">
        <f t="shared" si="15"/>
      </c>
      <c r="BM395">
        <f t="shared" si="16"/>
      </c>
      <c r="CD395">
        <f t="shared" si="0"/>
      </c>
      <c r="CZ395">
        <f t="shared" si="17"/>
      </c>
      <c r="DA395">
        <f t="shared" si="1"/>
      </c>
      <c r="DB395">
        <f t="shared" si="18"/>
      </c>
      <c r="DC395">
        <f t="shared" si="19"/>
      </c>
      <c r="DD395">
        <f t="shared" si="20"/>
      </c>
      <c r="DE395">
        <f t="shared" si="21"/>
      </c>
      <c r="DF395">
        <f t="shared" si="22"/>
      </c>
      <c r="DG395">
        <f t="shared" si="23"/>
      </c>
      <c r="DH395">
        <f t="shared" si="24"/>
      </c>
      <c r="DI395">
        <f t="shared" si="1"/>
      </c>
    </row>
    <row r="396" ht="15" customHeight="1">
      <c r="B396">
        <f t="shared" si="2"/>
      </c>
      <c r="R396">
        <f t="shared" si="3"/>
        <v>0</v>
      </c>
      <c r="S396">
        <f t="shared" si="4"/>
        <v>0</v>
      </c>
      <c r="T396">
        <f t="shared" si="5"/>
        <v>0</v>
      </c>
      <c r="U396">
        <f t="shared" si="6"/>
        <v>0</v>
      </c>
      <c r="V396">
        <f t="shared" si="7"/>
        <v>0</v>
      </c>
      <c r="W396">
        <f t="shared" si="8"/>
        <v>0</v>
      </c>
      <c r="X396">
        <f t="shared" si="9"/>
        <v>0</v>
      </c>
      <c r="Y396">
        <f t="shared" si="10"/>
        <v>0</v>
      </c>
      <c r="Z396">
        <f t="shared" si="11"/>
        <v>0</v>
      </c>
      <c r="AA396">
        <f t="shared" si="12"/>
        <v>0</v>
      </c>
      <c r="AB396">
        <f t="shared" si="13"/>
        <v>0</v>
      </c>
      <c r="AC396">
        <f t="shared" si="14"/>
        <v>0</v>
      </c>
      <c r="AE396">
        <f t="shared" si="0"/>
      </c>
      <c r="AV396">
        <f t="shared" si="15"/>
      </c>
      <c r="BM396">
        <f t="shared" si="16"/>
      </c>
      <c r="CD396">
        <f t="shared" si="0"/>
      </c>
      <c r="CZ396">
        <f t="shared" si="17"/>
      </c>
      <c r="DA396">
        <f t="shared" si="1"/>
      </c>
      <c r="DB396">
        <f t="shared" si="18"/>
      </c>
      <c r="DC396">
        <f t="shared" si="19"/>
      </c>
      <c r="DD396">
        <f t="shared" si="20"/>
      </c>
      <c r="DE396">
        <f t="shared" si="21"/>
      </c>
      <c r="DF396">
        <f t="shared" si="22"/>
      </c>
      <c r="DG396">
        <f t="shared" si="23"/>
      </c>
      <c r="DH396">
        <f t="shared" si="24"/>
      </c>
      <c r="DI396">
        <f t="shared" si="1"/>
      </c>
    </row>
    <row r="397" ht="15" customHeight="1">
      <c r="B397">
        <f t="shared" si="2"/>
      </c>
      <c r="R397">
        <f t="shared" si="3"/>
        <v>0</v>
      </c>
      <c r="S397">
        <f t="shared" si="4"/>
        <v>0</v>
      </c>
      <c r="T397">
        <f t="shared" si="5"/>
        <v>0</v>
      </c>
      <c r="U397">
        <f t="shared" si="6"/>
        <v>0</v>
      </c>
      <c r="V397">
        <f t="shared" si="7"/>
        <v>0</v>
      </c>
      <c r="W397">
        <f t="shared" si="8"/>
        <v>0</v>
      </c>
      <c r="X397">
        <f t="shared" si="9"/>
        <v>0</v>
      </c>
      <c r="Y397">
        <f t="shared" si="10"/>
        <v>0</v>
      </c>
      <c r="Z397">
        <f t="shared" si="11"/>
        <v>0</v>
      </c>
      <c r="AA397">
        <f t="shared" si="12"/>
        <v>0</v>
      </c>
      <c r="AB397">
        <f t="shared" si="13"/>
        <v>0</v>
      </c>
      <c r="AC397">
        <f t="shared" si="14"/>
        <v>0</v>
      </c>
      <c r="AE397">
        <f t="shared" si="0"/>
      </c>
      <c r="AV397">
        <f t="shared" si="15"/>
      </c>
      <c r="BM397">
        <f t="shared" si="16"/>
      </c>
      <c r="CD397">
        <f t="shared" si="0"/>
      </c>
      <c r="CZ397">
        <f t="shared" si="17"/>
      </c>
      <c r="DA397">
        <f t="shared" si="1"/>
      </c>
      <c r="DB397">
        <f t="shared" si="18"/>
      </c>
      <c r="DC397">
        <f t="shared" si="19"/>
      </c>
      <c r="DD397">
        <f t="shared" si="20"/>
      </c>
      <c r="DE397">
        <f t="shared" si="21"/>
      </c>
      <c r="DF397">
        <f t="shared" si="22"/>
      </c>
      <c r="DG397">
        <f t="shared" si="23"/>
      </c>
      <c r="DH397">
        <f t="shared" si="24"/>
      </c>
      <c r="DI397">
        <f t="shared" si="1"/>
      </c>
    </row>
    <row r="398" ht="15" customHeight="1">
      <c r="B398">
        <f t="shared" si="2"/>
      </c>
      <c r="R398">
        <f t="shared" si="3"/>
        <v>0</v>
      </c>
      <c r="S398">
        <f t="shared" si="4"/>
        <v>0</v>
      </c>
      <c r="T398">
        <f t="shared" si="5"/>
        <v>0</v>
      </c>
      <c r="U398">
        <f t="shared" si="6"/>
        <v>0</v>
      </c>
      <c r="V398">
        <f t="shared" si="7"/>
        <v>0</v>
      </c>
      <c r="W398">
        <f t="shared" si="8"/>
        <v>0</v>
      </c>
      <c r="X398">
        <f t="shared" si="9"/>
        <v>0</v>
      </c>
      <c r="Y398">
        <f t="shared" si="10"/>
        <v>0</v>
      </c>
      <c r="Z398">
        <f t="shared" si="11"/>
        <v>0</v>
      </c>
      <c r="AA398">
        <f t="shared" si="12"/>
        <v>0</v>
      </c>
      <c r="AB398">
        <f t="shared" si="13"/>
        <v>0</v>
      </c>
      <c r="AC398">
        <f t="shared" si="14"/>
        <v>0</v>
      </c>
      <c r="AE398">
        <f t="shared" si="0"/>
      </c>
      <c r="AV398">
        <f t="shared" si="15"/>
      </c>
      <c r="BM398">
        <f t="shared" si="16"/>
      </c>
      <c r="CD398">
        <f t="shared" si="0"/>
      </c>
      <c r="CZ398">
        <f t="shared" si="17"/>
      </c>
      <c r="DA398">
        <f t="shared" si="1"/>
      </c>
      <c r="DB398">
        <f t="shared" si="18"/>
      </c>
      <c r="DC398">
        <f t="shared" si="19"/>
      </c>
      <c r="DD398">
        <f t="shared" si="20"/>
      </c>
      <c r="DE398">
        <f t="shared" si="21"/>
      </c>
      <c r="DF398">
        <f t="shared" si="22"/>
      </c>
      <c r="DG398">
        <f t="shared" si="23"/>
      </c>
      <c r="DH398">
        <f t="shared" si="24"/>
      </c>
      <c r="DI398">
        <f t="shared" si="1"/>
      </c>
    </row>
    <row r="399" ht="15" customHeight="1">
      <c r="B399">
        <f t="shared" si="2"/>
      </c>
      <c r="R399">
        <f t="shared" si="3"/>
        <v>0</v>
      </c>
      <c r="S399">
        <f t="shared" si="4"/>
        <v>0</v>
      </c>
      <c r="T399">
        <f t="shared" si="5"/>
        <v>0</v>
      </c>
      <c r="U399">
        <f t="shared" si="6"/>
        <v>0</v>
      </c>
      <c r="V399">
        <f t="shared" si="7"/>
        <v>0</v>
      </c>
      <c r="W399">
        <f t="shared" si="8"/>
        <v>0</v>
      </c>
      <c r="X399">
        <f t="shared" si="9"/>
        <v>0</v>
      </c>
      <c r="Y399">
        <f t="shared" si="10"/>
        <v>0</v>
      </c>
      <c r="Z399">
        <f t="shared" si="11"/>
        <v>0</v>
      </c>
      <c r="AA399">
        <f t="shared" si="12"/>
        <v>0</v>
      </c>
      <c r="AB399">
        <f t="shared" si="13"/>
        <v>0</v>
      </c>
      <c r="AC399">
        <f t="shared" si="14"/>
        <v>0</v>
      </c>
      <c r="AE399">
        <f t="shared" si="0"/>
      </c>
      <c r="AV399">
        <f t="shared" si="15"/>
      </c>
      <c r="BM399">
        <f t="shared" si="16"/>
      </c>
      <c r="CD399">
        <f t="shared" si="0"/>
      </c>
      <c r="CZ399">
        <f t="shared" si="17"/>
      </c>
      <c r="DA399">
        <f t="shared" si="1"/>
      </c>
      <c r="DB399">
        <f t="shared" si="18"/>
      </c>
      <c r="DC399">
        <f t="shared" si="19"/>
      </c>
      <c r="DD399">
        <f t="shared" si="20"/>
      </c>
      <c r="DE399">
        <f t="shared" si="21"/>
      </c>
      <c r="DF399">
        <f t="shared" si="22"/>
      </c>
      <c r="DG399">
        <f t="shared" si="23"/>
      </c>
      <c r="DH399">
        <f t="shared" si="24"/>
      </c>
      <c r="DI399">
        <f t="shared" si="1"/>
      </c>
    </row>
    <row r="400" ht="15" customHeight="1">
      <c r="B400">
        <f t="shared" si="2"/>
      </c>
      <c r="R400">
        <f t="shared" si="3"/>
        <v>0</v>
      </c>
      <c r="S400">
        <f t="shared" si="4"/>
        <v>0</v>
      </c>
      <c r="T400">
        <f t="shared" si="5"/>
        <v>0</v>
      </c>
      <c r="U400">
        <f t="shared" si="6"/>
        <v>0</v>
      </c>
      <c r="V400">
        <f t="shared" si="7"/>
        <v>0</v>
      </c>
      <c r="W400">
        <f t="shared" si="8"/>
        <v>0</v>
      </c>
      <c r="X400">
        <f t="shared" si="9"/>
        <v>0</v>
      </c>
      <c r="Y400">
        <f t="shared" si="10"/>
        <v>0</v>
      </c>
      <c r="Z400">
        <f t="shared" si="11"/>
        <v>0</v>
      </c>
      <c r="AA400">
        <f t="shared" si="12"/>
        <v>0</v>
      </c>
      <c r="AB400">
        <f t="shared" si="13"/>
        <v>0</v>
      </c>
      <c r="AC400">
        <f t="shared" si="14"/>
        <v>0</v>
      </c>
      <c r="AE400">
        <f t="shared" si="0"/>
      </c>
      <c r="AV400">
        <f t="shared" si="15"/>
      </c>
      <c r="BM400">
        <f t="shared" si="16"/>
      </c>
      <c r="CD400">
        <f t="shared" si="0"/>
      </c>
      <c r="CZ400">
        <f t="shared" si="17"/>
      </c>
      <c r="DA400">
        <f t="shared" si="1"/>
      </c>
      <c r="DB400">
        <f t="shared" si="18"/>
      </c>
      <c r="DC400">
        <f t="shared" si="19"/>
      </c>
      <c r="DD400">
        <f t="shared" si="20"/>
      </c>
      <c r="DE400">
        <f t="shared" si="21"/>
      </c>
      <c r="DF400">
        <f t="shared" si="22"/>
      </c>
      <c r="DG400">
        <f t="shared" si="23"/>
      </c>
      <c r="DH400">
        <f t="shared" si="24"/>
      </c>
      <c r="DI400">
        <f t="shared" si="1"/>
      </c>
    </row>
    <row r="401" ht="15" customHeight="1">
      <c r="B401">
        <f t="shared" si="2"/>
      </c>
      <c r="R401">
        <f t="shared" si="3"/>
        <v>0</v>
      </c>
      <c r="S401">
        <f t="shared" si="4"/>
        <v>0</v>
      </c>
      <c r="T401">
        <f t="shared" si="5"/>
        <v>0</v>
      </c>
      <c r="U401">
        <f t="shared" si="6"/>
        <v>0</v>
      </c>
      <c r="V401">
        <f t="shared" si="7"/>
        <v>0</v>
      </c>
      <c r="W401">
        <f t="shared" si="8"/>
        <v>0</v>
      </c>
      <c r="X401">
        <f t="shared" si="9"/>
        <v>0</v>
      </c>
      <c r="Y401">
        <f t="shared" si="10"/>
        <v>0</v>
      </c>
      <c r="Z401">
        <f t="shared" si="11"/>
        <v>0</v>
      </c>
      <c r="AA401">
        <f t="shared" si="12"/>
        <v>0</v>
      </c>
      <c r="AB401">
        <f t="shared" si="13"/>
        <v>0</v>
      </c>
      <c r="AC401">
        <f t="shared" si="14"/>
        <v>0</v>
      </c>
      <c r="AE401">
        <f t="shared" si="0"/>
      </c>
      <c r="AV401">
        <f t="shared" si="15"/>
      </c>
      <c r="BM401">
        <f t="shared" si="16"/>
      </c>
      <c r="CD401">
        <f t="shared" si="0"/>
      </c>
      <c r="CZ401">
        <f t="shared" si="17"/>
      </c>
      <c r="DA401">
        <f t="shared" si="1"/>
      </c>
      <c r="DB401">
        <f t="shared" si="18"/>
      </c>
      <c r="DC401">
        <f t="shared" si="19"/>
      </c>
      <c r="DD401">
        <f t="shared" si="20"/>
      </c>
      <c r="DE401">
        <f t="shared" si="21"/>
      </c>
      <c r="DF401">
        <f t="shared" si="22"/>
      </c>
      <c r="DG401">
        <f t="shared" si="23"/>
      </c>
      <c r="DH401">
        <f t="shared" si="24"/>
      </c>
      <c r="DI401">
        <f t="shared" si="1"/>
      </c>
    </row>
    <row r="402" ht="15" customHeight="1">
      <c r="B402">
        <f t="shared" si="2"/>
      </c>
      <c r="R402">
        <f t="shared" si="3"/>
        <v>0</v>
      </c>
      <c r="S402">
        <f t="shared" si="4"/>
        <v>0</v>
      </c>
      <c r="T402">
        <f t="shared" si="5"/>
        <v>0</v>
      </c>
      <c r="U402">
        <f t="shared" si="6"/>
        <v>0</v>
      </c>
      <c r="V402">
        <f t="shared" si="7"/>
        <v>0</v>
      </c>
      <c r="W402">
        <f t="shared" si="8"/>
        <v>0</v>
      </c>
      <c r="X402">
        <f t="shared" si="9"/>
        <v>0</v>
      </c>
      <c r="Y402">
        <f t="shared" si="10"/>
        <v>0</v>
      </c>
      <c r="Z402">
        <f t="shared" si="11"/>
        <v>0</v>
      </c>
      <c r="AA402">
        <f t="shared" si="12"/>
        <v>0</v>
      </c>
      <c r="AB402">
        <f t="shared" si="13"/>
        <v>0</v>
      </c>
      <c r="AC402">
        <f t="shared" si="14"/>
        <v>0</v>
      </c>
      <c r="AE402">
        <f t="shared" si="0"/>
      </c>
      <c r="AV402">
        <f t="shared" si="15"/>
      </c>
      <c r="BM402">
        <f t="shared" si="16"/>
      </c>
      <c r="CD402">
        <f t="shared" si="0"/>
      </c>
      <c r="CZ402">
        <f t="shared" si="17"/>
      </c>
      <c r="DA402">
        <f t="shared" si="1"/>
      </c>
      <c r="DB402">
        <f t="shared" si="18"/>
      </c>
      <c r="DC402">
        <f t="shared" si="19"/>
      </c>
      <c r="DD402">
        <f t="shared" si="20"/>
      </c>
      <c r="DE402">
        <f t="shared" si="21"/>
      </c>
      <c r="DF402">
        <f t="shared" si="22"/>
      </c>
      <c r="DG402">
        <f t="shared" si="23"/>
      </c>
      <c r="DH402">
        <f t="shared" si="24"/>
      </c>
      <c r="DI402">
        <f t="shared" si="1"/>
      </c>
    </row>
    <row r="403" ht="15" customHeight="1">
      <c r="B403">
        <f t="shared" si="2"/>
      </c>
      <c r="R403">
        <f t="shared" si="3"/>
        <v>0</v>
      </c>
      <c r="S403">
        <f t="shared" si="4"/>
        <v>0</v>
      </c>
      <c r="T403">
        <f t="shared" si="5"/>
        <v>0</v>
      </c>
      <c r="U403">
        <f t="shared" si="6"/>
        <v>0</v>
      </c>
      <c r="V403">
        <f t="shared" si="7"/>
        <v>0</v>
      </c>
      <c r="W403">
        <f t="shared" si="8"/>
        <v>0</v>
      </c>
      <c r="X403">
        <f t="shared" si="9"/>
        <v>0</v>
      </c>
      <c r="Y403">
        <f t="shared" si="10"/>
        <v>0</v>
      </c>
      <c r="Z403">
        <f t="shared" si="11"/>
        <v>0</v>
      </c>
      <c r="AA403">
        <f t="shared" si="12"/>
        <v>0</v>
      </c>
      <c r="AB403">
        <f t="shared" si="13"/>
        <v>0</v>
      </c>
      <c r="AC403">
        <f t="shared" si="14"/>
        <v>0</v>
      </c>
      <c r="AE403">
        <f t="shared" si="0"/>
      </c>
      <c r="AV403">
        <f t="shared" si="15"/>
      </c>
      <c r="BM403">
        <f t="shared" si="16"/>
      </c>
      <c r="CD403">
        <f t="shared" si="0"/>
      </c>
      <c r="CZ403">
        <f t="shared" si="17"/>
      </c>
      <c r="DA403">
        <f t="shared" si="1"/>
      </c>
      <c r="DB403">
        <f t="shared" si="18"/>
      </c>
      <c r="DC403">
        <f t="shared" si="19"/>
      </c>
      <c r="DD403">
        <f t="shared" si="20"/>
      </c>
      <c r="DE403">
        <f t="shared" si="21"/>
      </c>
      <c r="DF403">
        <f t="shared" si="22"/>
      </c>
      <c r="DG403">
        <f t="shared" si="23"/>
      </c>
      <c r="DH403">
        <f t="shared" si="24"/>
      </c>
      <c r="DI403">
        <f t="shared" si="1"/>
      </c>
    </row>
    <row r="404" ht="15" customHeight="1">
      <c r="B404">
        <f t="shared" si="2"/>
      </c>
      <c r="R404">
        <f t="shared" si="3"/>
        <v>0</v>
      </c>
      <c r="S404">
        <f t="shared" si="4"/>
        <v>0</v>
      </c>
      <c r="T404">
        <f t="shared" si="5"/>
        <v>0</v>
      </c>
      <c r="U404">
        <f t="shared" si="6"/>
        <v>0</v>
      </c>
      <c r="V404">
        <f t="shared" si="7"/>
        <v>0</v>
      </c>
      <c r="W404">
        <f t="shared" si="8"/>
        <v>0</v>
      </c>
      <c r="X404">
        <f t="shared" si="9"/>
        <v>0</v>
      </c>
      <c r="Y404">
        <f t="shared" si="10"/>
        <v>0</v>
      </c>
      <c r="Z404">
        <f t="shared" si="11"/>
        <v>0</v>
      </c>
      <c r="AA404">
        <f t="shared" si="12"/>
        <v>0</v>
      </c>
      <c r="AB404">
        <f t="shared" si="13"/>
        <v>0</v>
      </c>
      <c r="AC404">
        <f t="shared" si="14"/>
        <v>0</v>
      </c>
      <c r="AE404">
        <f t="shared" si="0"/>
      </c>
      <c r="AV404">
        <f t="shared" si="15"/>
      </c>
      <c r="BM404">
        <f t="shared" si="16"/>
      </c>
      <c r="CD404">
        <f t="shared" si="0"/>
      </c>
      <c r="CZ404">
        <f t="shared" si="17"/>
      </c>
      <c r="DA404">
        <f t="shared" si="1"/>
      </c>
      <c r="DB404">
        <f t="shared" si="18"/>
      </c>
      <c r="DC404">
        <f t="shared" si="19"/>
      </c>
      <c r="DD404">
        <f t="shared" si="20"/>
      </c>
      <c r="DE404">
        <f t="shared" si="21"/>
      </c>
      <c r="DF404">
        <f t="shared" si="22"/>
      </c>
      <c r="DG404">
        <f t="shared" si="23"/>
      </c>
      <c r="DH404">
        <f t="shared" si="24"/>
      </c>
      <c r="DI404">
        <f t="shared" si="1"/>
      </c>
    </row>
    <row r="405" ht="15" customHeight="1">
      <c r="B405">
        <f t="shared" si="2"/>
      </c>
      <c r="R405">
        <f t="shared" si="3"/>
        <v>0</v>
      </c>
      <c r="S405">
        <f t="shared" si="4"/>
        <v>0</v>
      </c>
      <c r="T405">
        <f t="shared" si="5"/>
        <v>0</v>
      </c>
      <c r="U405">
        <f t="shared" si="6"/>
        <v>0</v>
      </c>
      <c r="V405">
        <f t="shared" si="7"/>
        <v>0</v>
      </c>
      <c r="W405">
        <f t="shared" si="8"/>
        <v>0</v>
      </c>
      <c r="X405">
        <f t="shared" si="9"/>
        <v>0</v>
      </c>
      <c r="Y405">
        <f t="shared" si="10"/>
        <v>0</v>
      </c>
      <c r="Z405">
        <f t="shared" si="11"/>
        <v>0</v>
      </c>
      <c r="AA405">
        <f t="shared" si="12"/>
        <v>0</v>
      </c>
      <c r="AB405">
        <f t="shared" si="13"/>
        <v>0</v>
      </c>
      <c r="AC405">
        <f t="shared" si="14"/>
        <v>0</v>
      </c>
      <c r="AE405">
        <f t="shared" si="0"/>
      </c>
      <c r="AV405">
        <f t="shared" si="15"/>
      </c>
      <c r="BM405">
        <f t="shared" si="16"/>
      </c>
      <c r="CD405">
        <f t="shared" si="0"/>
      </c>
      <c r="CZ405">
        <f t="shared" si="17"/>
      </c>
      <c r="DA405">
        <f t="shared" si="1"/>
      </c>
      <c r="DB405">
        <f t="shared" si="18"/>
      </c>
      <c r="DC405">
        <f t="shared" si="19"/>
      </c>
      <c r="DD405">
        <f t="shared" si="20"/>
      </c>
      <c r="DE405">
        <f t="shared" si="21"/>
      </c>
      <c r="DF405">
        <f t="shared" si="22"/>
      </c>
      <c r="DG405">
        <f t="shared" si="23"/>
      </c>
      <c r="DH405">
        <f t="shared" si="24"/>
      </c>
      <c r="DI405">
        <f t="shared" si="1"/>
      </c>
    </row>
    <row r="406" ht="15" customHeight="1">
      <c r="B406">
        <f t="shared" si="2"/>
      </c>
      <c r="R406">
        <f t="shared" si="3"/>
        <v>0</v>
      </c>
      <c r="S406">
        <f t="shared" si="4"/>
        <v>0</v>
      </c>
      <c r="T406">
        <f t="shared" si="5"/>
        <v>0</v>
      </c>
      <c r="U406">
        <f t="shared" si="6"/>
        <v>0</v>
      </c>
      <c r="V406">
        <f t="shared" si="7"/>
        <v>0</v>
      </c>
      <c r="W406">
        <f t="shared" si="8"/>
        <v>0</v>
      </c>
      <c r="X406">
        <f t="shared" si="9"/>
        <v>0</v>
      </c>
      <c r="Y406">
        <f t="shared" si="10"/>
        <v>0</v>
      </c>
      <c r="Z406">
        <f t="shared" si="11"/>
        <v>0</v>
      </c>
      <c r="AA406">
        <f t="shared" si="12"/>
        <v>0</v>
      </c>
      <c r="AB406">
        <f t="shared" si="13"/>
        <v>0</v>
      </c>
      <c r="AC406">
        <f t="shared" si="14"/>
        <v>0</v>
      </c>
      <c r="AE406">
        <f t="shared" si="0"/>
      </c>
      <c r="AV406">
        <f t="shared" si="15"/>
      </c>
      <c r="BM406">
        <f t="shared" si="16"/>
      </c>
      <c r="CD406">
        <f t="shared" si="0"/>
      </c>
      <c r="CZ406">
        <f t="shared" si="17"/>
      </c>
      <c r="DA406">
        <f t="shared" si="1"/>
      </c>
      <c r="DB406">
        <f t="shared" si="18"/>
      </c>
      <c r="DC406">
        <f t="shared" si="19"/>
      </c>
      <c r="DD406">
        <f t="shared" si="20"/>
      </c>
      <c r="DE406">
        <f t="shared" si="21"/>
      </c>
      <c r="DF406">
        <f t="shared" si="22"/>
      </c>
      <c r="DG406">
        <f t="shared" si="23"/>
      </c>
      <c r="DH406">
        <f t="shared" si="24"/>
      </c>
      <c r="DI406">
        <f t="shared" si="1"/>
      </c>
    </row>
    <row r="407" ht="15" customHeight="1">
      <c r="B407">
        <f t="shared" si="2"/>
      </c>
      <c r="R407">
        <f t="shared" si="3"/>
        <v>0</v>
      </c>
      <c r="S407">
        <f t="shared" si="4"/>
        <v>0</v>
      </c>
      <c r="T407">
        <f t="shared" si="5"/>
        <v>0</v>
      </c>
      <c r="U407">
        <f t="shared" si="6"/>
        <v>0</v>
      </c>
      <c r="V407">
        <f t="shared" si="7"/>
        <v>0</v>
      </c>
      <c r="W407">
        <f t="shared" si="8"/>
        <v>0</v>
      </c>
      <c r="X407">
        <f t="shared" si="9"/>
        <v>0</v>
      </c>
      <c r="Y407">
        <f t="shared" si="10"/>
        <v>0</v>
      </c>
      <c r="Z407">
        <f t="shared" si="11"/>
        <v>0</v>
      </c>
      <c r="AA407">
        <f t="shared" si="12"/>
        <v>0</v>
      </c>
      <c r="AB407">
        <f t="shared" si="13"/>
        <v>0</v>
      </c>
      <c r="AC407">
        <f t="shared" si="14"/>
        <v>0</v>
      </c>
      <c r="AE407">
        <f t="shared" si="0"/>
      </c>
      <c r="AV407">
        <f t="shared" si="15"/>
      </c>
      <c r="BM407">
        <f t="shared" si="16"/>
      </c>
      <c r="CD407">
        <f t="shared" si="0"/>
      </c>
      <c r="CZ407">
        <f t="shared" si="17"/>
      </c>
      <c r="DA407">
        <f t="shared" si="1"/>
      </c>
      <c r="DB407">
        <f t="shared" si="18"/>
      </c>
      <c r="DC407">
        <f t="shared" si="19"/>
      </c>
      <c r="DD407">
        <f t="shared" si="20"/>
      </c>
      <c r="DE407">
        <f t="shared" si="21"/>
      </c>
      <c r="DF407">
        <f t="shared" si="22"/>
      </c>
      <c r="DG407">
        <f t="shared" si="23"/>
      </c>
      <c r="DH407">
        <f t="shared" si="24"/>
      </c>
      <c r="DI407">
        <f t="shared" si="1"/>
      </c>
    </row>
    <row r="408" ht="15" customHeight="1">
      <c r="B408">
        <f t="shared" si="2"/>
      </c>
      <c r="R408">
        <f t="shared" si="3"/>
        <v>0</v>
      </c>
      <c r="S408">
        <f t="shared" si="4"/>
        <v>0</v>
      </c>
      <c r="T408">
        <f t="shared" si="5"/>
        <v>0</v>
      </c>
      <c r="U408">
        <f t="shared" si="6"/>
        <v>0</v>
      </c>
      <c r="V408">
        <f t="shared" si="7"/>
        <v>0</v>
      </c>
      <c r="W408">
        <f t="shared" si="8"/>
        <v>0</v>
      </c>
      <c r="X408">
        <f t="shared" si="9"/>
        <v>0</v>
      </c>
      <c r="Y408">
        <f t="shared" si="10"/>
        <v>0</v>
      </c>
      <c r="Z408">
        <f t="shared" si="11"/>
        <v>0</v>
      </c>
      <c r="AA408">
        <f t="shared" si="12"/>
        <v>0</v>
      </c>
      <c r="AB408">
        <f t="shared" si="13"/>
        <v>0</v>
      </c>
      <c r="AC408">
        <f t="shared" si="14"/>
        <v>0</v>
      </c>
      <c r="AE408">
        <f t="shared" si="0"/>
      </c>
      <c r="AV408">
        <f t="shared" si="15"/>
      </c>
      <c r="BM408">
        <f t="shared" si="16"/>
      </c>
      <c r="CD408">
        <f t="shared" si="0"/>
      </c>
      <c r="CZ408">
        <f t="shared" si="17"/>
      </c>
      <c r="DA408">
        <f t="shared" si="1"/>
      </c>
      <c r="DB408">
        <f t="shared" si="18"/>
      </c>
      <c r="DC408">
        <f t="shared" si="19"/>
      </c>
      <c r="DD408">
        <f t="shared" si="20"/>
      </c>
      <c r="DE408">
        <f t="shared" si="21"/>
      </c>
      <c r="DF408">
        <f t="shared" si="22"/>
      </c>
      <c r="DG408">
        <f t="shared" si="23"/>
      </c>
      <c r="DH408">
        <f t="shared" si="24"/>
      </c>
      <c r="DI408">
        <f t="shared" si="1"/>
      </c>
    </row>
    <row r="409" ht="15" customHeight="1">
      <c r="B409">
        <f t="shared" si="2"/>
      </c>
      <c r="R409">
        <f t="shared" si="3"/>
        <v>0</v>
      </c>
      <c r="S409">
        <f t="shared" si="4"/>
        <v>0</v>
      </c>
      <c r="T409">
        <f t="shared" si="5"/>
        <v>0</v>
      </c>
      <c r="U409">
        <f t="shared" si="6"/>
        <v>0</v>
      </c>
      <c r="V409">
        <f t="shared" si="7"/>
        <v>0</v>
      </c>
      <c r="W409">
        <f t="shared" si="8"/>
        <v>0</v>
      </c>
      <c r="X409">
        <f t="shared" si="9"/>
        <v>0</v>
      </c>
      <c r="Y409">
        <f t="shared" si="10"/>
        <v>0</v>
      </c>
      <c r="Z409">
        <f t="shared" si="11"/>
        <v>0</v>
      </c>
      <c r="AA409">
        <f t="shared" si="12"/>
        <v>0</v>
      </c>
      <c r="AB409">
        <f t="shared" si="13"/>
        <v>0</v>
      </c>
      <c r="AC409">
        <f t="shared" si="14"/>
        <v>0</v>
      </c>
      <c r="AE409">
        <f t="shared" si="0"/>
      </c>
      <c r="AV409">
        <f t="shared" si="15"/>
      </c>
      <c r="BM409">
        <f t="shared" si="16"/>
      </c>
      <c r="CD409">
        <f t="shared" si="0"/>
      </c>
      <c r="CZ409">
        <f t="shared" si="17"/>
      </c>
      <c r="DA409">
        <f t="shared" si="1"/>
      </c>
      <c r="DB409">
        <f t="shared" si="18"/>
      </c>
      <c r="DC409">
        <f t="shared" si="19"/>
      </c>
      <c r="DD409">
        <f t="shared" si="20"/>
      </c>
      <c r="DE409">
        <f t="shared" si="21"/>
      </c>
      <c r="DF409">
        <f t="shared" si="22"/>
      </c>
      <c r="DG409">
        <f t="shared" si="23"/>
      </c>
      <c r="DH409">
        <f t="shared" si="24"/>
      </c>
      <c r="DI409">
        <f t="shared" si="1"/>
      </c>
    </row>
    <row r="410" ht="15" customHeight="1">
      <c r="B410">
        <f t="shared" si="2"/>
      </c>
      <c r="R410">
        <f t="shared" si="3"/>
        <v>0</v>
      </c>
      <c r="S410">
        <f t="shared" si="4"/>
        <v>0</v>
      </c>
      <c r="T410">
        <f t="shared" si="5"/>
        <v>0</v>
      </c>
      <c r="U410">
        <f t="shared" si="6"/>
        <v>0</v>
      </c>
      <c r="V410">
        <f t="shared" si="7"/>
        <v>0</v>
      </c>
      <c r="W410">
        <f t="shared" si="8"/>
        <v>0</v>
      </c>
      <c r="X410">
        <f t="shared" si="9"/>
        <v>0</v>
      </c>
      <c r="Y410">
        <f t="shared" si="10"/>
        <v>0</v>
      </c>
      <c r="Z410">
        <f t="shared" si="11"/>
        <v>0</v>
      </c>
      <c r="AA410">
        <f t="shared" si="12"/>
        <v>0</v>
      </c>
      <c r="AB410">
        <f t="shared" si="13"/>
        <v>0</v>
      </c>
      <c r="AC410">
        <f t="shared" si="14"/>
        <v>0</v>
      </c>
      <c r="AE410">
        <f t="shared" si="0"/>
      </c>
      <c r="AV410">
        <f t="shared" si="15"/>
      </c>
      <c r="BM410">
        <f t="shared" si="16"/>
      </c>
      <c r="CD410">
        <f t="shared" si="0"/>
      </c>
      <c r="CZ410">
        <f t="shared" si="17"/>
      </c>
      <c r="DA410">
        <f t="shared" si="1"/>
      </c>
      <c r="DB410">
        <f t="shared" si="18"/>
      </c>
      <c r="DC410">
        <f t="shared" si="19"/>
      </c>
      <c r="DD410">
        <f t="shared" si="20"/>
      </c>
      <c r="DE410">
        <f t="shared" si="21"/>
      </c>
      <c r="DF410">
        <f t="shared" si="22"/>
      </c>
      <c r="DG410">
        <f t="shared" si="23"/>
      </c>
      <c r="DH410">
        <f t="shared" si="24"/>
      </c>
      <c r="DI410">
        <f t="shared" si="1"/>
      </c>
    </row>
    <row r="411" ht="15" customHeight="1">
      <c r="B411">
        <f t="shared" si="2"/>
      </c>
      <c r="R411">
        <f t="shared" si="3"/>
        <v>0</v>
      </c>
      <c r="S411">
        <f t="shared" si="4"/>
        <v>0</v>
      </c>
      <c r="T411">
        <f t="shared" si="5"/>
        <v>0</v>
      </c>
      <c r="U411">
        <f t="shared" si="6"/>
        <v>0</v>
      </c>
      <c r="V411">
        <f t="shared" si="7"/>
        <v>0</v>
      </c>
      <c r="W411">
        <f t="shared" si="8"/>
        <v>0</v>
      </c>
      <c r="X411">
        <f t="shared" si="9"/>
        <v>0</v>
      </c>
      <c r="Y411">
        <f t="shared" si="10"/>
        <v>0</v>
      </c>
      <c r="Z411">
        <f t="shared" si="11"/>
        <v>0</v>
      </c>
      <c r="AA411">
        <f t="shared" si="12"/>
        <v>0</v>
      </c>
      <c r="AB411">
        <f t="shared" si="13"/>
        <v>0</v>
      </c>
      <c r="AC411">
        <f t="shared" si="14"/>
        <v>0</v>
      </c>
      <c r="AE411">
        <f t="shared" si="0"/>
      </c>
      <c r="AV411">
        <f t="shared" si="15"/>
      </c>
      <c r="BM411">
        <f t="shared" si="16"/>
      </c>
      <c r="CD411">
        <f t="shared" si="0"/>
      </c>
      <c r="CZ411">
        <f t="shared" si="17"/>
      </c>
      <c r="DA411">
        <f t="shared" si="1"/>
      </c>
      <c r="DB411">
        <f t="shared" si="18"/>
      </c>
      <c r="DC411">
        <f t="shared" si="19"/>
      </c>
      <c r="DD411">
        <f t="shared" si="20"/>
      </c>
      <c r="DE411">
        <f t="shared" si="21"/>
      </c>
      <c r="DF411">
        <f t="shared" si="22"/>
      </c>
      <c r="DG411">
        <f t="shared" si="23"/>
      </c>
      <c r="DH411">
        <f t="shared" si="24"/>
      </c>
      <c r="DI411">
        <f t="shared" si="1"/>
      </c>
    </row>
    <row r="412" ht="15" customHeight="1">
      <c r="B412">
        <f t="shared" si="2"/>
      </c>
      <c r="R412">
        <f t="shared" si="3"/>
        <v>0</v>
      </c>
      <c r="S412">
        <f t="shared" si="4"/>
        <v>0</v>
      </c>
      <c r="T412">
        <f t="shared" si="5"/>
        <v>0</v>
      </c>
      <c r="U412">
        <f t="shared" si="6"/>
        <v>0</v>
      </c>
      <c r="V412">
        <f t="shared" si="7"/>
        <v>0</v>
      </c>
      <c r="W412">
        <f t="shared" si="8"/>
        <v>0</v>
      </c>
      <c r="X412">
        <f t="shared" si="9"/>
        <v>0</v>
      </c>
      <c r="Y412">
        <f t="shared" si="10"/>
        <v>0</v>
      </c>
      <c r="Z412">
        <f t="shared" si="11"/>
        <v>0</v>
      </c>
      <c r="AA412">
        <f t="shared" si="12"/>
        <v>0</v>
      </c>
      <c r="AB412">
        <f t="shared" si="13"/>
        <v>0</v>
      </c>
      <c r="AC412">
        <f t="shared" si="14"/>
        <v>0</v>
      </c>
      <c r="AE412">
        <f t="shared" si="0"/>
      </c>
      <c r="AV412">
        <f t="shared" si="15"/>
      </c>
      <c r="BM412">
        <f t="shared" si="16"/>
      </c>
      <c r="CD412">
        <f t="shared" si="0"/>
      </c>
      <c r="CZ412">
        <f t="shared" si="17"/>
      </c>
      <c r="DA412">
        <f t="shared" si="1"/>
      </c>
      <c r="DB412">
        <f t="shared" si="18"/>
      </c>
      <c r="DC412">
        <f t="shared" si="19"/>
      </c>
      <c r="DD412">
        <f t="shared" si="20"/>
      </c>
      <c r="DE412">
        <f t="shared" si="21"/>
      </c>
      <c r="DF412">
        <f t="shared" si="22"/>
      </c>
      <c r="DG412">
        <f t="shared" si="23"/>
      </c>
      <c r="DH412">
        <f t="shared" si="24"/>
      </c>
      <c r="DI412">
        <f t="shared" si="1"/>
      </c>
    </row>
    <row r="413" ht="15" customHeight="1">
      <c r="B413">
        <f t="shared" si="2"/>
      </c>
      <c r="R413">
        <f t="shared" si="3"/>
        <v>0</v>
      </c>
      <c r="S413">
        <f t="shared" si="4"/>
        <v>0</v>
      </c>
      <c r="T413">
        <f t="shared" si="5"/>
        <v>0</v>
      </c>
      <c r="U413">
        <f t="shared" si="6"/>
        <v>0</v>
      </c>
      <c r="V413">
        <f t="shared" si="7"/>
        <v>0</v>
      </c>
      <c r="W413">
        <f t="shared" si="8"/>
        <v>0</v>
      </c>
      <c r="X413">
        <f t="shared" si="9"/>
        <v>0</v>
      </c>
      <c r="Y413">
        <f t="shared" si="10"/>
        <v>0</v>
      </c>
      <c r="Z413">
        <f t="shared" si="11"/>
        <v>0</v>
      </c>
      <c r="AA413">
        <f t="shared" si="12"/>
        <v>0</v>
      </c>
      <c r="AB413">
        <f t="shared" si="13"/>
        <v>0</v>
      </c>
      <c r="AC413">
        <f t="shared" si="14"/>
        <v>0</v>
      </c>
      <c r="AE413">
        <f t="shared" si="0"/>
      </c>
      <c r="AV413">
        <f t="shared" si="15"/>
      </c>
      <c r="BM413">
        <f t="shared" si="16"/>
      </c>
      <c r="CD413">
        <f t="shared" si="0"/>
      </c>
      <c r="CZ413">
        <f t="shared" si="17"/>
      </c>
      <c r="DA413">
        <f t="shared" si="1"/>
      </c>
      <c r="DB413">
        <f t="shared" si="18"/>
      </c>
      <c r="DC413">
        <f t="shared" si="19"/>
      </c>
      <c r="DD413">
        <f t="shared" si="20"/>
      </c>
      <c r="DE413">
        <f t="shared" si="21"/>
      </c>
      <c r="DF413">
        <f t="shared" si="22"/>
      </c>
      <c r="DG413">
        <f t="shared" si="23"/>
      </c>
      <c r="DH413">
        <f t="shared" si="24"/>
      </c>
      <c r="DI413">
        <f t="shared" si="1"/>
      </c>
    </row>
    <row r="414" ht="15" customHeight="1">
      <c r="B414">
        <f t="shared" si="2"/>
      </c>
      <c r="R414">
        <f t="shared" si="3"/>
        <v>0</v>
      </c>
      <c r="S414">
        <f t="shared" si="4"/>
        <v>0</v>
      </c>
      <c r="T414">
        <f t="shared" si="5"/>
        <v>0</v>
      </c>
      <c r="U414">
        <f t="shared" si="6"/>
        <v>0</v>
      </c>
      <c r="V414">
        <f t="shared" si="7"/>
        <v>0</v>
      </c>
      <c r="W414">
        <f t="shared" si="8"/>
        <v>0</v>
      </c>
      <c r="X414">
        <f t="shared" si="9"/>
        <v>0</v>
      </c>
      <c r="Y414">
        <f t="shared" si="10"/>
        <v>0</v>
      </c>
      <c r="Z414">
        <f t="shared" si="11"/>
        <v>0</v>
      </c>
      <c r="AA414">
        <f t="shared" si="12"/>
        <v>0</v>
      </c>
      <c r="AB414">
        <f t="shared" si="13"/>
        <v>0</v>
      </c>
      <c r="AC414">
        <f t="shared" si="14"/>
        <v>0</v>
      </c>
      <c r="AE414">
        <f t="shared" si="0"/>
      </c>
      <c r="AV414">
        <f t="shared" si="15"/>
      </c>
      <c r="BM414">
        <f t="shared" si="16"/>
      </c>
      <c r="CD414">
        <f t="shared" si="0"/>
      </c>
      <c r="CZ414">
        <f t="shared" si="17"/>
      </c>
      <c r="DA414">
        <f t="shared" si="1"/>
      </c>
      <c r="DB414">
        <f t="shared" si="18"/>
      </c>
      <c r="DC414">
        <f t="shared" si="19"/>
      </c>
      <c r="DD414">
        <f t="shared" si="20"/>
      </c>
      <c r="DE414">
        <f t="shared" si="21"/>
      </c>
      <c r="DF414">
        <f t="shared" si="22"/>
      </c>
      <c r="DG414">
        <f t="shared" si="23"/>
      </c>
      <c r="DH414">
        <f t="shared" si="24"/>
      </c>
      <c r="DI414">
        <f t="shared" si="1"/>
      </c>
    </row>
    <row r="415" ht="15" customHeight="1">
      <c r="B415">
        <f t="shared" si="2"/>
      </c>
      <c r="R415">
        <f t="shared" si="3"/>
        <v>0</v>
      </c>
      <c r="S415">
        <f t="shared" si="4"/>
        <v>0</v>
      </c>
      <c r="T415">
        <f t="shared" si="5"/>
        <v>0</v>
      </c>
      <c r="U415">
        <f t="shared" si="6"/>
        <v>0</v>
      </c>
      <c r="V415">
        <f t="shared" si="7"/>
        <v>0</v>
      </c>
      <c r="W415">
        <f t="shared" si="8"/>
        <v>0</v>
      </c>
      <c r="X415">
        <f t="shared" si="9"/>
        <v>0</v>
      </c>
      <c r="Y415">
        <f t="shared" si="10"/>
        <v>0</v>
      </c>
      <c r="Z415">
        <f t="shared" si="11"/>
        <v>0</v>
      </c>
      <c r="AA415">
        <f t="shared" si="12"/>
        <v>0</v>
      </c>
      <c r="AB415">
        <f t="shared" si="13"/>
        <v>0</v>
      </c>
      <c r="AC415">
        <f t="shared" si="14"/>
        <v>0</v>
      </c>
      <c r="AE415">
        <f t="shared" si="0"/>
      </c>
      <c r="AV415">
        <f t="shared" si="15"/>
      </c>
      <c r="BM415">
        <f t="shared" si="16"/>
      </c>
      <c r="CD415">
        <f t="shared" si="0"/>
      </c>
      <c r="CZ415">
        <f t="shared" si="17"/>
      </c>
      <c r="DA415">
        <f t="shared" si="1"/>
      </c>
      <c r="DB415">
        <f t="shared" si="18"/>
      </c>
      <c r="DC415">
        <f t="shared" si="19"/>
      </c>
      <c r="DD415">
        <f t="shared" si="20"/>
      </c>
      <c r="DE415">
        <f t="shared" si="21"/>
      </c>
      <c r="DF415">
        <f t="shared" si="22"/>
      </c>
      <c r="DG415">
        <f t="shared" si="23"/>
      </c>
      <c r="DH415">
        <f t="shared" si="24"/>
      </c>
      <c r="DI415">
        <f t="shared" si="1"/>
      </c>
    </row>
    <row r="416" ht="15" customHeight="1">
      <c r="B416">
        <f t="shared" si="2"/>
      </c>
      <c r="R416">
        <f t="shared" si="3"/>
        <v>0</v>
      </c>
      <c r="S416">
        <f t="shared" si="4"/>
        <v>0</v>
      </c>
      <c r="T416">
        <f t="shared" si="5"/>
        <v>0</v>
      </c>
      <c r="U416">
        <f t="shared" si="6"/>
        <v>0</v>
      </c>
      <c r="V416">
        <f t="shared" si="7"/>
        <v>0</v>
      </c>
      <c r="W416">
        <f t="shared" si="8"/>
        <v>0</v>
      </c>
      <c r="X416">
        <f t="shared" si="9"/>
        <v>0</v>
      </c>
      <c r="Y416">
        <f t="shared" si="10"/>
        <v>0</v>
      </c>
      <c r="Z416">
        <f t="shared" si="11"/>
        <v>0</v>
      </c>
      <c r="AA416">
        <f t="shared" si="12"/>
        <v>0</v>
      </c>
      <c r="AB416">
        <f t="shared" si="13"/>
        <v>0</v>
      </c>
      <c r="AC416">
        <f t="shared" si="14"/>
        <v>0</v>
      </c>
      <c r="AE416">
        <f t="shared" si="0"/>
      </c>
      <c r="AV416">
        <f t="shared" si="15"/>
      </c>
      <c r="BM416">
        <f t="shared" si="16"/>
      </c>
      <c r="CD416">
        <f t="shared" si="0"/>
      </c>
      <c r="CZ416">
        <f t="shared" si="17"/>
      </c>
      <c r="DA416">
        <f t="shared" si="1"/>
      </c>
      <c r="DB416">
        <f t="shared" si="18"/>
      </c>
      <c r="DC416">
        <f t="shared" si="19"/>
      </c>
      <c r="DD416">
        <f t="shared" si="20"/>
      </c>
      <c r="DE416">
        <f t="shared" si="21"/>
      </c>
      <c r="DF416">
        <f t="shared" si="22"/>
      </c>
      <c r="DG416">
        <f t="shared" si="23"/>
      </c>
      <c r="DH416">
        <f t="shared" si="24"/>
      </c>
      <c r="DI416">
        <f t="shared" si="1"/>
      </c>
    </row>
    <row r="417" ht="15" customHeight="1">
      <c r="B417">
        <f t="shared" si="2"/>
      </c>
      <c r="R417">
        <f t="shared" si="3"/>
        <v>0</v>
      </c>
      <c r="S417">
        <f t="shared" si="4"/>
        <v>0</v>
      </c>
      <c r="T417">
        <f t="shared" si="5"/>
        <v>0</v>
      </c>
      <c r="U417">
        <f t="shared" si="6"/>
        <v>0</v>
      </c>
      <c r="V417">
        <f t="shared" si="7"/>
        <v>0</v>
      </c>
      <c r="W417">
        <f t="shared" si="8"/>
        <v>0</v>
      </c>
      <c r="X417">
        <f t="shared" si="9"/>
        <v>0</v>
      </c>
      <c r="Y417">
        <f t="shared" si="10"/>
        <v>0</v>
      </c>
      <c r="Z417">
        <f t="shared" si="11"/>
        <v>0</v>
      </c>
      <c r="AA417">
        <f t="shared" si="12"/>
        <v>0</v>
      </c>
      <c r="AB417">
        <f t="shared" si="13"/>
        <v>0</v>
      </c>
      <c r="AC417">
        <f t="shared" si="14"/>
        <v>0</v>
      </c>
      <c r="AE417">
        <f t="shared" si="0"/>
      </c>
      <c r="AV417">
        <f t="shared" si="15"/>
      </c>
      <c r="BM417">
        <f t="shared" si="16"/>
      </c>
      <c r="CD417">
        <f t="shared" si="0"/>
      </c>
      <c r="CZ417">
        <f t="shared" si="17"/>
      </c>
      <c r="DA417">
        <f t="shared" si="1"/>
      </c>
      <c r="DB417">
        <f t="shared" si="18"/>
      </c>
      <c r="DC417">
        <f t="shared" si="19"/>
      </c>
      <c r="DD417">
        <f t="shared" si="20"/>
      </c>
      <c r="DE417">
        <f t="shared" si="21"/>
      </c>
      <c r="DF417">
        <f t="shared" si="22"/>
      </c>
      <c r="DG417">
        <f t="shared" si="23"/>
      </c>
      <c r="DH417">
        <f t="shared" si="24"/>
      </c>
      <c r="DI417">
        <f t="shared" si="1"/>
      </c>
    </row>
    <row r="418" ht="15" customHeight="1">
      <c r="B418">
        <f t="shared" si="2"/>
      </c>
      <c r="R418">
        <f t="shared" si="3"/>
        <v>0</v>
      </c>
      <c r="S418">
        <f t="shared" si="4"/>
        <v>0</v>
      </c>
      <c r="T418">
        <f t="shared" si="5"/>
        <v>0</v>
      </c>
      <c r="U418">
        <f t="shared" si="6"/>
        <v>0</v>
      </c>
      <c r="V418">
        <f t="shared" si="7"/>
        <v>0</v>
      </c>
      <c r="W418">
        <f t="shared" si="8"/>
        <v>0</v>
      </c>
      <c r="X418">
        <f t="shared" si="9"/>
        <v>0</v>
      </c>
      <c r="Y418">
        <f t="shared" si="10"/>
        <v>0</v>
      </c>
      <c r="Z418">
        <f t="shared" si="11"/>
        <v>0</v>
      </c>
      <c r="AA418">
        <f t="shared" si="12"/>
        <v>0</v>
      </c>
      <c r="AB418">
        <f t="shared" si="13"/>
        <v>0</v>
      </c>
      <c r="AC418">
        <f t="shared" si="14"/>
        <v>0</v>
      </c>
      <c r="AE418">
        <f t="shared" si="0"/>
      </c>
      <c r="AV418">
        <f t="shared" si="15"/>
      </c>
      <c r="BM418">
        <f t="shared" si="16"/>
      </c>
      <c r="CD418">
        <f t="shared" si="0"/>
      </c>
      <c r="CZ418">
        <f t="shared" si="17"/>
      </c>
      <c r="DA418">
        <f t="shared" si="1"/>
      </c>
      <c r="DB418">
        <f t="shared" si="18"/>
      </c>
      <c r="DC418">
        <f t="shared" si="19"/>
      </c>
      <c r="DD418">
        <f t="shared" si="20"/>
      </c>
      <c r="DE418">
        <f t="shared" si="21"/>
      </c>
      <c r="DF418">
        <f t="shared" si="22"/>
      </c>
      <c r="DG418">
        <f t="shared" si="23"/>
      </c>
      <c r="DH418">
        <f t="shared" si="24"/>
      </c>
      <c r="DI418">
        <f t="shared" si="1"/>
      </c>
    </row>
    <row r="419" ht="15" customHeight="1">
      <c r="B419">
        <f t="shared" si="2"/>
      </c>
      <c r="R419">
        <f t="shared" si="3"/>
        <v>0</v>
      </c>
      <c r="S419">
        <f t="shared" si="4"/>
        <v>0</v>
      </c>
      <c r="T419">
        <f t="shared" si="5"/>
        <v>0</v>
      </c>
      <c r="U419">
        <f t="shared" si="6"/>
        <v>0</v>
      </c>
      <c r="V419">
        <f t="shared" si="7"/>
        <v>0</v>
      </c>
      <c r="W419">
        <f t="shared" si="8"/>
        <v>0</v>
      </c>
      <c r="X419">
        <f t="shared" si="9"/>
        <v>0</v>
      </c>
      <c r="Y419">
        <f t="shared" si="10"/>
        <v>0</v>
      </c>
      <c r="Z419">
        <f t="shared" si="11"/>
        <v>0</v>
      </c>
      <c r="AA419">
        <f t="shared" si="12"/>
        <v>0</v>
      </c>
      <c r="AB419">
        <f t="shared" si="13"/>
        <v>0</v>
      </c>
      <c r="AC419">
        <f t="shared" si="14"/>
        <v>0</v>
      </c>
      <c r="AE419">
        <f t="shared" si="0"/>
      </c>
      <c r="AV419">
        <f t="shared" si="15"/>
      </c>
      <c r="BM419">
        <f t="shared" si="16"/>
      </c>
      <c r="CD419">
        <f t="shared" si="0"/>
      </c>
      <c r="CZ419">
        <f t="shared" si="17"/>
      </c>
      <c r="DA419">
        <f t="shared" si="1"/>
      </c>
      <c r="DB419">
        <f t="shared" si="18"/>
      </c>
      <c r="DC419">
        <f t="shared" si="19"/>
      </c>
      <c r="DD419">
        <f t="shared" si="20"/>
      </c>
      <c r="DE419">
        <f t="shared" si="21"/>
      </c>
      <c r="DF419">
        <f t="shared" si="22"/>
      </c>
      <c r="DG419">
        <f t="shared" si="23"/>
      </c>
      <c r="DH419">
        <f t="shared" si="24"/>
      </c>
      <c r="DI419">
        <f t="shared" si="1"/>
      </c>
    </row>
    <row r="420" ht="15" customHeight="1">
      <c r="B420">
        <f t="shared" si="2"/>
      </c>
      <c r="R420">
        <f t="shared" si="3"/>
        <v>0</v>
      </c>
      <c r="S420">
        <f t="shared" si="4"/>
        <v>0</v>
      </c>
      <c r="T420">
        <f t="shared" si="5"/>
        <v>0</v>
      </c>
      <c r="U420">
        <f t="shared" si="6"/>
        <v>0</v>
      </c>
      <c r="V420">
        <f t="shared" si="7"/>
        <v>0</v>
      </c>
      <c r="W420">
        <f t="shared" si="8"/>
        <v>0</v>
      </c>
      <c r="X420">
        <f t="shared" si="9"/>
        <v>0</v>
      </c>
      <c r="Y420">
        <f t="shared" si="10"/>
        <v>0</v>
      </c>
      <c r="Z420">
        <f t="shared" si="11"/>
        <v>0</v>
      </c>
      <c r="AA420">
        <f t="shared" si="12"/>
        <v>0</v>
      </c>
      <c r="AB420">
        <f t="shared" si="13"/>
        <v>0</v>
      </c>
      <c r="AC420">
        <f t="shared" si="14"/>
        <v>0</v>
      </c>
      <c r="AE420">
        <f t="shared" si="0"/>
      </c>
      <c r="AV420">
        <f t="shared" si="15"/>
      </c>
      <c r="BM420">
        <f t="shared" si="16"/>
      </c>
      <c r="CD420">
        <f t="shared" si="0"/>
      </c>
      <c r="CZ420">
        <f t="shared" si="17"/>
      </c>
      <c r="DA420">
        <f t="shared" si="1"/>
      </c>
      <c r="DB420">
        <f t="shared" si="18"/>
      </c>
      <c r="DC420">
        <f t="shared" si="19"/>
      </c>
      <c r="DD420">
        <f t="shared" si="20"/>
      </c>
      <c r="DE420">
        <f t="shared" si="21"/>
      </c>
      <c r="DF420">
        <f t="shared" si="22"/>
      </c>
      <c r="DG420">
        <f t="shared" si="23"/>
      </c>
      <c r="DH420">
        <f t="shared" si="24"/>
      </c>
      <c r="DI420">
        <f t="shared" si="1"/>
      </c>
    </row>
    <row r="421" ht="15" customHeight="1">
      <c r="B421">
        <f t="shared" si="2"/>
      </c>
      <c r="R421">
        <f t="shared" si="3"/>
        <v>0</v>
      </c>
      <c r="S421">
        <f t="shared" si="4"/>
        <v>0</v>
      </c>
      <c r="T421">
        <f t="shared" si="5"/>
        <v>0</v>
      </c>
      <c r="U421">
        <f t="shared" si="6"/>
        <v>0</v>
      </c>
      <c r="V421">
        <f t="shared" si="7"/>
        <v>0</v>
      </c>
      <c r="W421">
        <f t="shared" si="8"/>
        <v>0</v>
      </c>
      <c r="X421">
        <f t="shared" si="9"/>
        <v>0</v>
      </c>
      <c r="Y421">
        <f t="shared" si="10"/>
        <v>0</v>
      </c>
      <c r="Z421">
        <f t="shared" si="11"/>
        <v>0</v>
      </c>
      <c r="AA421">
        <f t="shared" si="12"/>
        <v>0</v>
      </c>
      <c r="AB421">
        <f t="shared" si="13"/>
        <v>0</v>
      </c>
      <c r="AC421">
        <f t="shared" si="14"/>
        <v>0</v>
      </c>
      <c r="AE421">
        <f t="shared" si="0"/>
      </c>
      <c r="AV421">
        <f t="shared" si="15"/>
      </c>
      <c r="BM421">
        <f t="shared" si="16"/>
      </c>
      <c r="CD421">
        <f t="shared" si="0"/>
      </c>
      <c r="CZ421">
        <f t="shared" si="17"/>
      </c>
      <c r="DA421">
        <f t="shared" si="1"/>
      </c>
      <c r="DB421">
        <f t="shared" si="18"/>
      </c>
      <c r="DC421">
        <f t="shared" si="19"/>
      </c>
      <c r="DD421">
        <f t="shared" si="20"/>
      </c>
      <c r="DE421">
        <f t="shared" si="21"/>
      </c>
      <c r="DF421">
        <f t="shared" si="22"/>
      </c>
      <c r="DG421">
        <f t="shared" si="23"/>
      </c>
      <c r="DH421">
        <f t="shared" si="24"/>
      </c>
      <c r="DI421">
        <f t="shared" si="1"/>
      </c>
    </row>
    <row r="422" ht="15" customHeight="1">
      <c r="B422">
        <f t="shared" si="2"/>
      </c>
      <c r="R422">
        <f t="shared" si="3"/>
        <v>0</v>
      </c>
      <c r="S422">
        <f t="shared" si="4"/>
        <v>0</v>
      </c>
      <c r="T422">
        <f t="shared" si="5"/>
        <v>0</v>
      </c>
      <c r="U422">
        <f t="shared" si="6"/>
        <v>0</v>
      </c>
      <c r="V422">
        <f t="shared" si="7"/>
        <v>0</v>
      </c>
      <c r="W422">
        <f t="shared" si="8"/>
        <v>0</v>
      </c>
      <c r="X422">
        <f t="shared" si="9"/>
        <v>0</v>
      </c>
      <c r="Y422">
        <f t="shared" si="10"/>
        <v>0</v>
      </c>
      <c r="Z422">
        <f t="shared" si="11"/>
        <v>0</v>
      </c>
      <c r="AA422">
        <f t="shared" si="12"/>
        <v>0</v>
      </c>
      <c r="AB422">
        <f t="shared" si="13"/>
        <v>0</v>
      </c>
      <c r="AC422">
        <f t="shared" si="14"/>
        <v>0</v>
      </c>
      <c r="AE422">
        <f t="shared" si="0"/>
      </c>
      <c r="AV422">
        <f t="shared" si="15"/>
      </c>
      <c r="BM422">
        <f t="shared" si="16"/>
      </c>
      <c r="CD422">
        <f t="shared" si="0"/>
      </c>
      <c r="CZ422">
        <f t="shared" si="17"/>
      </c>
      <c r="DA422">
        <f t="shared" si="1"/>
      </c>
      <c r="DB422">
        <f t="shared" si="18"/>
      </c>
      <c r="DC422">
        <f t="shared" si="19"/>
      </c>
      <c r="DD422">
        <f t="shared" si="20"/>
      </c>
      <c r="DE422">
        <f t="shared" si="21"/>
      </c>
      <c r="DF422">
        <f t="shared" si="22"/>
      </c>
      <c r="DG422">
        <f t="shared" si="23"/>
      </c>
      <c r="DH422">
        <f t="shared" si="24"/>
      </c>
      <c r="DI422">
        <f t="shared" si="1"/>
      </c>
    </row>
    <row r="423" ht="15" customHeight="1">
      <c r="B423">
        <f t="shared" si="2"/>
      </c>
      <c r="R423">
        <f t="shared" si="3"/>
        <v>0</v>
      </c>
      <c r="S423">
        <f t="shared" si="4"/>
        <v>0</v>
      </c>
      <c r="T423">
        <f t="shared" si="5"/>
        <v>0</v>
      </c>
      <c r="U423">
        <f t="shared" si="6"/>
        <v>0</v>
      </c>
      <c r="V423">
        <f t="shared" si="7"/>
        <v>0</v>
      </c>
      <c r="W423">
        <f t="shared" si="8"/>
        <v>0</v>
      </c>
      <c r="X423">
        <f t="shared" si="9"/>
        <v>0</v>
      </c>
      <c r="Y423">
        <f t="shared" si="10"/>
        <v>0</v>
      </c>
      <c r="Z423">
        <f t="shared" si="11"/>
        <v>0</v>
      </c>
      <c r="AA423">
        <f t="shared" si="12"/>
        <v>0</v>
      </c>
      <c r="AB423">
        <f t="shared" si="13"/>
        <v>0</v>
      </c>
      <c r="AC423">
        <f t="shared" si="14"/>
        <v>0</v>
      </c>
      <c r="AE423">
        <f t="shared" si="0"/>
      </c>
      <c r="AV423">
        <f t="shared" si="15"/>
      </c>
      <c r="BM423">
        <f t="shared" si="16"/>
      </c>
      <c r="CD423">
        <f t="shared" si="0"/>
      </c>
      <c r="CZ423">
        <f t="shared" si="17"/>
      </c>
      <c r="DA423">
        <f t="shared" si="1"/>
      </c>
      <c r="DB423">
        <f t="shared" si="18"/>
      </c>
      <c r="DC423">
        <f t="shared" si="19"/>
      </c>
      <c r="DD423">
        <f t="shared" si="20"/>
      </c>
      <c r="DE423">
        <f t="shared" si="21"/>
      </c>
      <c r="DF423">
        <f t="shared" si="22"/>
      </c>
      <c r="DG423">
        <f t="shared" si="23"/>
      </c>
      <c r="DH423">
        <f t="shared" si="24"/>
      </c>
      <c r="DI423">
        <f t="shared" si="1"/>
      </c>
    </row>
    <row r="424" ht="15" customHeight="1">
      <c r="B424">
        <f t="shared" si="2"/>
      </c>
      <c r="R424">
        <f t="shared" si="3"/>
        <v>0</v>
      </c>
      <c r="S424">
        <f t="shared" si="4"/>
        <v>0</v>
      </c>
      <c r="T424">
        <f t="shared" si="5"/>
        <v>0</v>
      </c>
      <c r="U424">
        <f t="shared" si="6"/>
        <v>0</v>
      </c>
      <c r="V424">
        <f t="shared" si="7"/>
        <v>0</v>
      </c>
      <c r="W424">
        <f t="shared" si="8"/>
        <v>0</v>
      </c>
      <c r="X424">
        <f t="shared" si="9"/>
        <v>0</v>
      </c>
      <c r="Y424">
        <f t="shared" si="10"/>
        <v>0</v>
      </c>
      <c r="Z424">
        <f t="shared" si="11"/>
        <v>0</v>
      </c>
      <c r="AA424">
        <f t="shared" si="12"/>
        <v>0</v>
      </c>
      <c r="AB424">
        <f t="shared" si="13"/>
        <v>0</v>
      </c>
      <c r="AC424">
        <f t="shared" si="14"/>
        <v>0</v>
      </c>
      <c r="AE424">
        <f t="shared" si="0"/>
      </c>
      <c r="AV424">
        <f t="shared" si="15"/>
      </c>
      <c r="BM424">
        <f t="shared" si="16"/>
      </c>
      <c r="CD424">
        <f t="shared" si="0"/>
      </c>
      <c r="CZ424">
        <f t="shared" si="17"/>
      </c>
      <c r="DA424">
        <f t="shared" si="1"/>
      </c>
      <c r="DB424">
        <f t="shared" si="18"/>
      </c>
      <c r="DC424">
        <f t="shared" si="19"/>
      </c>
      <c r="DD424">
        <f t="shared" si="20"/>
      </c>
      <c r="DE424">
        <f t="shared" si="21"/>
      </c>
      <c r="DF424">
        <f t="shared" si="22"/>
      </c>
      <c r="DG424">
        <f t="shared" si="23"/>
      </c>
      <c r="DH424">
        <f t="shared" si="24"/>
      </c>
      <c r="DI424">
        <f t="shared" si="1"/>
      </c>
    </row>
    <row r="425" ht="15" customHeight="1">
      <c r="B425">
        <f t="shared" si="2"/>
      </c>
      <c r="R425">
        <f t="shared" si="3"/>
        <v>0</v>
      </c>
      <c r="S425">
        <f t="shared" si="4"/>
        <v>0</v>
      </c>
      <c r="T425">
        <f t="shared" si="5"/>
        <v>0</v>
      </c>
      <c r="U425">
        <f t="shared" si="6"/>
        <v>0</v>
      </c>
      <c r="V425">
        <f t="shared" si="7"/>
        <v>0</v>
      </c>
      <c r="W425">
        <f t="shared" si="8"/>
        <v>0</v>
      </c>
      <c r="X425">
        <f t="shared" si="9"/>
        <v>0</v>
      </c>
      <c r="Y425">
        <f t="shared" si="10"/>
        <v>0</v>
      </c>
      <c r="Z425">
        <f t="shared" si="11"/>
        <v>0</v>
      </c>
      <c r="AA425">
        <f t="shared" si="12"/>
        <v>0</v>
      </c>
      <c r="AB425">
        <f t="shared" si="13"/>
        <v>0</v>
      </c>
      <c r="AC425">
        <f t="shared" si="14"/>
        <v>0</v>
      </c>
      <c r="AE425">
        <f t="shared" si="0"/>
      </c>
      <c r="AV425">
        <f t="shared" si="15"/>
      </c>
      <c r="BM425">
        <f t="shared" si="16"/>
      </c>
      <c r="CD425">
        <f t="shared" si="0"/>
      </c>
      <c r="CZ425">
        <f t="shared" si="17"/>
      </c>
      <c r="DA425">
        <f t="shared" si="1"/>
      </c>
      <c r="DB425">
        <f t="shared" si="18"/>
      </c>
      <c r="DC425">
        <f t="shared" si="19"/>
      </c>
      <c r="DD425">
        <f t="shared" si="20"/>
      </c>
      <c r="DE425">
        <f t="shared" si="21"/>
      </c>
      <c r="DF425">
        <f t="shared" si="22"/>
      </c>
      <c r="DG425">
        <f t="shared" si="23"/>
      </c>
      <c r="DH425">
        <f t="shared" si="24"/>
      </c>
      <c r="DI425">
        <f t="shared" si="1"/>
      </c>
    </row>
    <row r="426" ht="15" customHeight="1">
      <c r="B426">
        <f t="shared" si="2"/>
      </c>
      <c r="R426">
        <f t="shared" si="3"/>
        <v>0</v>
      </c>
      <c r="S426">
        <f t="shared" si="4"/>
        <v>0</v>
      </c>
      <c r="T426">
        <f t="shared" si="5"/>
        <v>0</v>
      </c>
      <c r="U426">
        <f t="shared" si="6"/>
        <v>0</v>
      </c>
      <c r="V426">
        <f t="shared" si="7"/>
        <v>0</v>
      </c>
      <c r="W426">
        <f t="shared" si="8"/>
        <v>0</v>
      </c>
      <c r="X426">
        <f t="shared" si="9"/>
        <v>0</v>
      </c>
      <c r="Y426">
        <f t="shared" si="10"/>
        <v>0</v>
      </c>
      <c r="Z426">
        <f t="shared" si="11"/>
        <v>0</v>
      </c>
      <c r="AA426">
        <f t="shared" si="12"/>
        <v>0</v>
      </c>
      <c r="AB426">
        <f t="shared" si="13"/>
        <v>0</v>
      </c>
      <c r="AC426">
        <f t="shared" si="14"/>
        <v>0</v>
      </c>
      <c r="AE426">
        <f t="shared" si="0"/>
      </c>
      <c r="AV426">
        <f t="shared" si="15"/>
      </c>
      <c r="BM426">
        <f t="shared" si="16"/>
      </c>
      <c r="CD426">
        <f t="shared" si="0"/>
      </c>
      <c r="CZ426">
        <f t="shared" si="17"/>
      </c>
      <c r="DA426">
        <f t="shared" si="1"/>
      </c>
      <c r="DB426">
        <f t="shared" si="18"/>
      </c>
      <c r="DC426">
        <f t="shared" si="19"/>
      </c>
      <c r="DD426">
        <f t="shared" si="20"/>
      </c>
      <c r="DE426">
        <f t="shared" si="21"/>
      </c>
      <c r="DF426">
        <f t="shared" si="22"/>
      </c>
      <c r="DG426">
        <f t="shared" si="23"/>
      </c>
      <c r="DH426">
        <f t="shared" si="24"/>
      </c>
      <c r="DI426">
        <f t="shared" si="1"/>
      </c>
    </row>
    <row r="427" ht="15" customHeight="1">
      <c r="B427">
        <f t="shared" si="2"/>
      </c>
      <c r="R427">
        <f t="shared" si="3"/>
        <v>0</v>
      </c>
      <c r="S427">
        <f t="shared" si="4"/>
        <v>0</v>
      </c>
      <c r="T427">
        <f t="shared" si="5"/>
        <v>0</v>
      </c>
      <c r="U427">
        <f t="shared" si="6"/>
        <v>0</v>
      </c>
      <c r="V427">
        <f t="shared" si="7"/>
        <v>0</v>
      </c>
      <c r="W427">
        <f t="shared" si="8"/>
        <v>0</v>
      </c>
      <c r="X427">
        <f t="shared" si="9"/>
        <v>0</v>
      </c>
      <c r="Y427">
        <f t="shared" si="10"/>
        <v>0</v>
      </c>
      <c r="Z427">
        <f t="shared" si="11"/>
        <v>0</v>
      </c>
      <c r="AA427">
        <f t="shared" si="12"/>
        <v>0</v>
      </c>
      <c r="AB427">
        <f t="shared" si="13"/>
        <v>0</v>
      </c>
      <c r="AC427">
        <f t="shared" si="14"/>
        <v>0</v>
      </c>
      <c r="AE427">
        <f t="shared" si="0"/>
      </c>
      <c r="AV427">
        <f t="shared" si="15"/>
      </c>
      <c r="BM427">
        <f t="shared" si="16"/>
      </c>
      <c r="CD427">
        <f t="shared" si="0"/>
      </c>
      <c r="CZ427">
        <f t="shared" si="17"/>
      </c>
      <c r="DA427">
        <f t="shared" si="1"/>
      </c>
      <c r="DB427">
        <f t="shared" si="18"/>
      </c>
      <c r="DC427">
        <f t="shared" si="19"/>
      </c>
      <c r="DD427">
        <f t="shared" si="20"/>
      </c>
      <c r="DE427">
        <f t="shared" si="21"/>
      </c>
      <c r="DF427">
        <f t="shared" si="22"/>
      </c>
      <c r="DG427">
        <f t="shared" si="23"/>
      </c>
      <c r="DH427">
        <f t="shared" si="24"/>
      </c>
      <c r="DI427">
        <f t="shared" si="1"/>
      </c>
    </row>
    <row r="428" ht="15" customHeight="1">
      <c r="B428">
        <f t="shared" si="2"/>
      </c>
      <c r="R428">
        <f t="shared" si="3"/>
        <v>0</v>
      </c>
      <c r="S428">
        <f t="shared" si="4"/>
        <v>0</v>
      </c>
      <c r="T428">
        <f t="shared" si="5"/>
        <v>0</v>
      </c>
      <c r="U428">
        <f t="shared" si="6"/>
        <v>0</v>
      </c>
      <c r="V428">
        <f t="shared" si="7"/>
        <v>0</v>
      </c>
      <c r="W428">
        <f t="shared" si="8"/>
        <v>0</v>
      </c>
      <c r="X428">
        <f t="shared" si="9"/>
        <v>0</v>
      </c>
      <c r="Y428">
        <f t="shared" si="10"/>
        <v>0</v>
      </c>
      <c r="Z428">
        <f t="shared" si="11"/>
        <v>0</v>
      </c>
      <c r="AA428">
        <f t="shared" si="12"/>
        <v>0</v>
      </c>
      <c r="AB428">
        <f t="shared" si="13"/>
        <v>0</v>
      </c>
      <c r="AC428">
        <f t="shared" si="14"/>
        <v>0</v>
      </c>
      <c r="AE428">
        <f t="shared" si="0"/>
      </c>
      <c r="AV428">
        <f t="shared" si="15"/>
      </c>
      <c r="BM428">
        <f t="shared" si="16"/>
      </c>
      <c r="CD428">
        <f t="shared" si="0"/>
      </c>
      <c r="CZ428">
        <f t="shared" si="17"/>
      </c>
      <c r="DA428">
        <f t="shared" si="1"/>
      </c>
      <c r="DB428">
        <f t="shared" si="18"/>
      </c>
      <c r="DC428">
        <f t="shared" si="19"/>
      </c>
      <c r="DD428">
        <f t="shared" si="20"/>
      </c>
      <c r="DE428">
        <f t="shared" si="21"/>
      </c>
      <c r="DF428">
        <f t="shared" si="22"/>
      </c>
      <c r="DG428">
        <f t="shared" si="23"/>
      </c>
      <c r="DH428">
        <f t="shared" si="24"/>
      </c>
      <c r="DI428">
        <f t="shared" si="1"/>
      </c>
    </row>
    <row r="429" ht="15" customHeight="1">
      <c r="B429">
        <f t="shared" si="2"/>
      </c>
      <c r="R429">
        <f t="shared" si="3"/>
        <v>0</v>
      </c>
      <c r="S429">
        <f t="shared" si="4"/>
        <v>0</v>
      </c>
      <c r="T429">
        <f t="shared" si="5"/>
        <v>0</v>
      </c>
      <c r="U429">
        <f t="shared" si="6"/>
        <v>0</v>
      </c>
      <c r="V429">
        <f t="shared" si="7"/>
        <v>0</v>
      </c>
      <c r="W429">
        <f t="shared" si="8"/>
        <v>0</v>
      </c>
      <c r="X429">
        <f t="shared" si="9"/>
        <v>0</v>
      </c>
      <c r="Y429">
        <f t="shared" si="10"/>
        <v>0</v>
      </c>
      <c r="Z429">
        <f t="shared" si="11"/>
        <v>0</v>
      </c>
      <c r="AA429">
        <f t="shared" si="12"/>
        <v>0</v>
      </c>
      <c r="AB429">
        <f t="shared" si="13"/>
        <v>0</v>
      </c>
      <c r="AC429">
        <f t="shared" si="14"/>
        <v>0</v>
      </c>
      <c r="AE429">
        <f t="shared" si="0"/>
      </c>
      <c r="AV429">
        <f t="shared" si="15"/>
      </c>
      <c r="BM429">
        <f t="shared" si="16"/>
      </c>
      <c r="CD429">
        <f t="shared" si="0"/>
      </c>
      <c r="CZ429">
        <f t="shared" si="17"/>
      </c>
      <c r="DA429">
        <f t="shared" si="1"/>
      </c>
      <c r="DB429">
        <f t="shared" si="18"/>
      </c>
      <c r="DC429">
        <f t="shared" si="19"/>
      </c>
      <c r="DD429">
        <f t="shared" si="20"/>
      </c>
      <c r="DE429">
        <f t="shared" si="21"/>
      </c>
      <c r="DF429">
        <f t="shared" si="22"/>
      </c>
      <c r="DG429">
        <f t="shared" si="23"/>
      </c>
      <c r="DH429">
        <f t="shared" si="24"/>
      </c>
      <c r="DI429">
        <f t="shared" si="1"/>
      </c>
    </row>
    <row r="430" ht="15" customHeight="1">
      <c r="B430">
        <f t="shared" si="2"/>
      </c>
      <c r="R430">
        <f t="shared" si="3"/>
        <v>0</v>
      </c>
      <c r="S430">
        <f t="shared" si="4"/>
        <v>0</v>
      </c>
      <c r="T430">
        <f t="shared" si="5"/>
        <v>0</v>
      </c>
      <c r="U430">
        <f t="shared" si="6"/>
        <v>0</v>
      </c>
      <c r="V430">
        <f t="shared" si="7"/>
        <v>0</v>
      </c>
      <c r="W430">
        <f t="shared" si="8"/>
        <v>0</v>
      </c>
      <c r="X430">
        <f t="shared" si="9"/>
        <v>0</v>
      </c>
      <c r="Y430">
        <f t="shared" si="10"/>
        <v>0</v>
      </c>
      <c r="Z430">
        <f t="shared" si="11"/>
        <v>0</v>
      </c>
      <c r="AA430">
        <f t="shared" si="12"/>
        <v>0</v>
      </c>
      <c r="AB430">
        <f t="shared" si="13"/>
        <v>0</v>
      </c>
      <c r="AC430">
        <f t="shared" si="14"/>
        <v>0</v>
      </c>
      <c r="AE430">
        <f t="shared" si="0"/>
      </c>
      <c r="AV430">
        <f t="shared" si="15"/>
      </c>
      <c r="BM430">
        <f t="shared" si="16"/>
      </c>
      <c r="CD430">
        <f t="shared" si="0"/>
      </c>
      <c r="CZ430">
        <f t="shared" si="17"/>
      </c>
      <c r="DA430">
        <f t="shared" si="1"/>
      </c>
      <c r="DB430">
        <f t="shared" si="18"/>
      </c>
      <c r="DC430">
        <f t="shared" si="19"/>
      </c>
      <c r="DD430">
        <f t="shared" si="20"/>
      </c>
      <c r="DE430">
        <f t="shared" si="21"/>
      </c>
      <c r="DF430">
        <f t="shared" si="22"/>
      </c>
      <c r="DG430">
        <f t="shared" si="23"/>
      </c>
      <c r="DH430">
        <f t="shared" si="24"/>
      </c>
      <c r="DI430">
        <f t="shared" si="1"/>
      </c>
    </row>
    <row r="431" ht="15" customHeight="1">
      <c r="B431">
        <f t="shared" si="2"/>
      </c>
      <c r="R431">
        <f t="shared" si="3"/>
        <v>0</v>
      </c>
      <c r="S431">
        <f t="shared" si="4"/>
        <v>0</v>
      </c>
      <c r="T431">
        <f t="shared" si="5"/>
        <v>0</v>
      </c>
      <c r="U431">
        <f t="shared" si="6"/>
        <v>0</v>
      </c>
      <c r="V431">
        <f t="shared" si="7"/>
        <v>0</v>
      </c>
      <c r="W431">
        <f t="shared" si="8"/>
        <v>0</v>
      </c>
      <c r="X431">
        <f t="shared" si="9"/>
        <v>0</v>
      </c>
      <c r="Y431">
        <f t="shared" si="10"/>
        <v>0</v>
      </c>
      <c r="Z431">
        <f t="shared" si="11"/>
        <v>0</v>
      </c>
      <c r="AA431">
        <f t="shared" si="12"/>
        <v>0</v>
      </c>
      <c r="AB431">
        <f t="shared" si="13"/>
        <v>0</v>
      </c>
      <c r="AC431">
        <f t="shared" si="14"/>
        <v>0</v>
      </c>
      <c r="AE431">
        <f t="shared" si="0"/>
      </c>
      <c r="AV431">
        <f t="shared" si="15"/>
      </c>
      <c r="BM431">
        <f t="shared" si="16"/>
      </c>
      <c r="CD431">
        <f t="shared" si="0"/>
      </c>
      <c r="CZ431">
        <f t="shared" si="17"/>
      </c>
      <c r="DA431">
        <f t="shared" si="1"/>
      </c>
      <c r="DB431">
        <f t="shared" si="18"/>
      </c>
      <c r="DC431">
        <f t="shared" si="19"/>
      </c>
      <c r="DD431">
        <f t="shared" si="20"/>
      </c>
      <c r="DE431">
        <f t="shared" si="21"/>
      </c>
      <c r="DF431">
        <f t="shared" si="22"/>
      </c>
      <c r="DG431">
        <f t="shared" si="23"/>
      </c>
      <c r="DH431">
        <f t="shared" si="24"/>
      </c>
      <c r="DI431">
        <f t="shared" si="1"/>
      </c>
    </row>
    <row r="432" ht="15" customHeight="1">
      <c r="B432">
        <f t="shared" si="2"/>
      </c>
      <c r="R432">
        <f t="shared" si="3"/>
        <v>0</v>
      </c>
      <c r="S432">
        <f t="shared" si="4"/>
        <v>0</v>
      </c>
      <c r="T432">
        <f t="shared" si="5"/>
        <v>0</v>
      </c>
      <c r="U432">
        <f t="shared" si="6"/>
        <v>0</v>
      </c>
      <c r="V432">
        <f t="shared" si="7"/>
        <v>0</v>
      </c>
      <c r="W432">
        <f t="shared" si="8"/>
        <v>0</v>
      </c>
      <c r="X432">
        <f t="shared" si="9"/>
        <v>0</v>
      </c>
      <c r="Y432">
        <f t="shared" si="10"/>
        <v>0</v>
      </c>
      <c r="Z432">
        <f t="shared" si="11"/>
        <v>0</v>
      </c>
      <c r="AA432">
        <f t="shared" si="12"/>
        <v>0</v>
      </c>
      <c r="AB432">
        <f t="shared" si="13"/>
        <v>0</v>
      </c>
      <c r="AC432">
        <f t="shared" si="14"/>
        <v>0</v>
      </c>
      <c r="AE432">
        <f t="shared" si="0"/>
      </c>
      <c r="AV432">
        <f t="shared" si="15"/>
      </c>
      <c r="BM432">
        <f t="shared" si="16"/>
      </c>
      <c r="CD432">
        <f t="shared" si="0"/>
      </c>
      <c r="CZ432">
        <f t="shared" si="17"/>
      </c>
      <c r="DA432">
        <f t="shared" si="1"/>
      </c>
      <c r="DB432">
        <f t="shared" si="18"/>
      </c>
      <c r="DC432">
        <f t="shared" si="19"/>
      </c>
      <c r="DD432">
        <f t="shared" si="20"/>
      </c>
      <c r="DE432">
        <f t="shared" si="21"/>
      </c>
      <c r="DF432">
        <f t="shared" si="22"/>
      </c>
      <c r="DG432">
        <f t="shared" si="23"/>
      </c>
      <c r="DH432">
        <f t="shared" si="24"/>
      </c>
      <c r="DI432">
        <f t="shared" si="1"/>
      </c>
    </row>
    <row r="433" ht="15" customHeight="1">
      <c r="B433">
        <f t="shared" si="2"/>
      </c>
      <c r="R433">
        <f t="shared" si="3"/>
        <v>0</v>
      </c>
      <c r="S433">
        <f t="shared" si="4"/>
        <v>0</v>
      </c>
      <c r="T433">
        <f t="shared" si="5"/>
        <v>0</v>
      </c>
      <c r="U433">
        <f t="shared" si="6"/>
        <v>0</v>
      </c>
      <c r="V433">
        <f t="shared" si="7"/>
        <v>0</v>
      </c>
      <c r="W433">
        <f t="shared" si="8"/>
        <v>0</v>
      </c>
      <c r="X433">
        <f t="shared" si="9"/>
        <v>0</v>
      </c>
      <c r="Y433">
        <f t="shared" si="10"/>
        <v>0</v>
      </c>
      <c r="Z433">
        <f t="shared" si="11"/>
        <v>0</v>
      </c>
      <c r="AA433">
        <f t="shared" si="12"/>
        <v>0</v>
      </c>
      <c r="AB433">
        <f t="shared" si="13"/>
        <v>0</v>
      </c>
      <c r="AC433">
        <f t="shared" si="14"/>
        <v>0</v>
      </c>
      <c r="AE433">
        <f t="shared" si="0"/>
      </c>
      <c r="AV433">
        <f t="shared" si="15"/>
      </c>
      <c r="BM433">
        <f t="shared" si="16"/>
      </c>
      <c r="CD433">
        <f t="shared" si="0"/>
      </c>
      <c r="CZ433">
        <f t="shared" si="17"/>
      </c>
      <c r="DA433">
        <f t="shared" si="1"/>
      </c>
      <c r="DB433">
        <f t="shared" si="18"/>
      </c>
      <c r="DC433">
        <f t="shared" si="19"/>
      </c>
      <c r="DD433">
        <f t="shared" si="20"/>
      </c>
      <c r="DE433">
        <f t="shared" si="21"/>
      </c>
      <c r="DF433">
        <f t="shared" si="22"/>
      </c>
      <c r="DG433">
        <f t="shared" si="23"/>
      </c>
      <c r="DH433">
        <f t="shared" si="24"/>
      </c>
      <c r="DI433">
        <f t="shared" si="1"/>
      </c>
    </row>
    <row r="434" ht="15" customHeight="1">
      <c r="B434">
        <f t="shared" si="2"/>
      </c>
      <c r="R434">
        <f t="shared" si="3"/>
        <v>0</v>
      </c>
      <c r="S434">
        <f t="shared" si="4"/>
        <v>0</v>
      </c>
      <c r="T434">
        <f t="shared" si="5"/>
        <v>0</v>
      </c>
      <c r="U434">
        <f t="shared" si="6"/>
        <v>0</v>
      </c>
      <c r="V434">
        <f t="shared" si="7"/>
        <v>0</v>
      </c>
      <c r="W434">
        <f t="shared" si="8"/>
        <v>0</v>
      </c>
      <c r="X434">
        <f t="shared" si="9"/>
        <v>0</v>
      </c>
      <c r="Y434">
        <f t="shared" si="10"/>
        <v>0</v>
      </c>
      <c r="Z434">
        <f t="shared" si="11"/>
        <v>0</v>
      </c>
      <c r="AA434">
        <f t="shared" si="12"/>
        <v>0</v>
      </c>
      <c r="AB434">
        <f t="shared" si="13"/>
        <v>0</v>
      </c>
      <c r="AC434">
        <f t="shared" si="14"/>
        <v>0</v>
      </c>
      <c r="AE434">
        <f t="shared" si="0"/>
      </c>
      <c r="AV434">
        <f t="shared" si="15"/>
      </c>
      <c r="BM434">
        <f t="shared" si="16"/>
      </c>
      <c r="CD434">
        <f t="shared" si="0"/>
      </c>
      <c r="CZ434">
        <f t="shared" si="17"/>
      </c>
      <c r="DA434">
        <f t="shared" si="1"/>
      </c>
      <c r="DB434">
        <f t="shared" si="18"/>
      </c>
      <c r="DC434">
        <f t="shared" si="19"/>
      </c>
      <c r="DD434">
        <f t="shared" si="20"/>
      </c>
      <c r="DE434">
        <f t="shared" si="21"/>
      </c>
      <c r="DF434">
        <f t="shared" si="22"/>
      </c>
      <c r="DG434">
        <f t="shared" si="23"/>
      </c>
      <c r="DH434">
        <f t="shared" si="24"/>
      </c>
      <c r="DI434">
        <f t="shared" si="1"/>
      </c>
    </row>
    <row r="435" ht="15" customHeight="1">
      <c r="B435">
        <f t="shared" si="2"/>
      </c>
      <c r="R435">
        <f t="shared" si="3"/>
        <v>0</v>
      </c>
      <c r="S435">
        <f t="shared" si="4"/>
        <v>0</v>
      </c>
      <c r="T435">
        <f t="shared" si="5"/>
        <v>0</v>
      </c>
      <c r="U435">
        <f t="shared" si="6"/>
        <v>0</v>
      </c>
      <c r="V435">
        <f t="shared" si="7"/>
        <v>0</v>
      </c>
      <c r="W435">
        <f t="shared" si="8"/>
        <v>0</v>
      </c>
      <c r="X435">
        <f t="shared" si="9"/>
        <v>0</v>
      </c>
      <c r="Y435">
        <f t="shared" si="10"/>
        <v>0</v>
      </c>
      <c r="Z435">
        <f t="shared" si="11"/>
        <v>0</v>
      </c>
      <c r="AA435">
        <f t="shared" si="12"/>
        <v>0</v>
      </c>
      <c r="AB435">
        <f t="shared" si="13"/>
        <v>0</v>
      </c>
      <c r="AC435">
        <f t="shared" si="14"/>
        <v>0</v>
      </c>
      <c r="AE435">
        <f t="shared" si="0"/>
      </c>
      <c r="AV435">
        <f t="shared" si="15"/>
      </c>
      <c r="BM435">
        <f t="shared" si="16"/>
      </c>
      <c r="CD435">
        <f t="shared" si="0"/>
      </c>
      <c r="CZ435">
        <f t="shared" si="17"/>
      </c>
      <c r="DA435">
        <f t="shared" si="1"/>
      </c>
      <c r="DB435">
        <f t="shared" si="18"/>
      </c>
      <c r="DC435">
        <f t="shared" si="19"/>
      </c>
      <c r="DD435">
        <f t="shared" si="20"/>
      </c>
      <c r="DE435">
        <f t="shared" si="21"/>
      </c>
      <c r="DF435">
        <f t="shared" si="22"/>
      </c>
      <c r="DG435">
        <f t="shared" si="23"/>
      </c>
      <c r="DH435">
        <f t="shared" si="24"/>
      </c>
      <c r="DI435">
        <f t="shared" si="1"/>
      </c>
    </row>
    <row r="436" ht="15" customHeight="1">
      <c r="B436">
        <f t="shared" si="2"/>
      </c>
      <c r="R436">
        <f t="shared" si="3"/>
        <v>0</v>
      </c>
      <c r="S436">
        <f t="shared" si="4"/>
        <v>0</v>
      </c>
      <c r="T436">
        <f t="shared" si="5"/>
        <v>0</v>
      </c>
      <c r="U436">
        <f t="shared" si="6"/>
        <v>0</v>
      </c>
      <c r="V436">
        <f t="shared" si="7"/>
        <v>0</v>
      </c>
      <c r="W436">
        <f t="shared" si="8"/>
        <v>0</v>
      </c>
      <c r="X436">
        <f t="shared" si="9"/>
        <v>0</v>
      </c>
      <c r="Y436">
        <f t="shared" si="10"/>
        <v>0</v>
      </c>
      <c r="Z436">
        <f t="shared" si="11"/>
        <v>0</v>
      </c>
      <c r="AA436">
        <f t="shared" si="12"/>
        <v>0</v>
      </c>
      <c r="AB436">
        <f t="shared" si="13"/>
        <v>0</v>
      </c>
      <c r="AC436">
        <f t="shared" si="14"/>
        <v>0</v>
      </c>
      <c r="AE436">
        <f t="shared" si="0"/>
      </c>
      <c r="AV436">
        <f t="shared" si="15"/>
      </c>
      <c r="BM436">
        <f t="shared" si="16"/>
      </c>
      <c r="CD436">
        <f t="shared" si="0"/>
      </c>
      <c r="CZ436">
        <f t="shared" si="17"/>
      </c>
      <c r="DA436">
        <f t="shared" si="1"/>
      </c>
      <c r="DB436">
        <f t="shared" si="18"/>
      </c>
      <c r="DC436">
        <f t="shared" si="19"/>
      </c>
      <c r="DD436">
        <f t="shared" si="20"/>
      </c>
      <c r="DE436">
        <f t="shared" si="21"/>
      </c>
      <c r="DF436">
        <f t="shared" si="22"/>
      </c>
      <c r="DG436">
        <f t="shared" si="23"/>
      </c>
      <c r="DH436">
        <f t="shared" si="24"/>
      </c>
      <c r="DI436">
        <f t="shared" si="1"/>
      </c>
    </row>
    <row r="437" ht="15" customHeight="1">
      <c r="B437">
        <f t="shared" si="2"/>
      </c>
      <c r="R437">
        <f t="shared" si="3"/>
        <v>0</v>
      </c>
      <c r="S437">
        <f t="shared" si="4"/>
        <v>0</v>
      </c>
      <c r="T437">
        <f t="shared" si="5"/>
        <v>0</v>
      </c>
      <c r="U437">
        <f t="shared" si="6"/>
        <v>0</v>
      </c>
      <c r="V437">
        <f t="shared" si="7"/>
        <v>0</v>
      </c>
      <c r="W437">
        <f t="shared" si="8"/>
        <v>0</v>
      </c>
      <c r="X437">
        <f t="shared" si="9"/>
        <v>0</v>
      </c>
      <c r="Y437">
        <f t="shared" si="10"/>
        <v>0</v>
      </c>
      <c r="Z437">
        <f t="shared" si="11"/>
        <v>0</v>
      </c>
      <c r="AA437">
        <f t="shared" si="12"/>
        <v>0</v>
      </c>
      <c r="AB437">
        <f t="shared" si="13"/>
        <v>0</v>
      </c>
      <c r="AC437">
        <f t="shared" si="14"/>
        <v>0</v>
      </c>
      <c r="AE437">
        <f t="shared" si="0"/>
      </c>
      <c r="AV437">
        <f t="shared" si="15"/>
      </c>
      <c r="BM437">
        <f t="shared" si="16"/>
      </c>
      <c r="CD437">
        <f t="shared" si="0"/>
      </c>
      <c r="CZ437">
        <f t="shared" si="17"/>
      </c>
      <c r="DA437">
        <f t="shared" si="1"/>
      </c>
      <c r="DB437">
        <f t="shared" si="18"/>
      </c>
      <c r="DC437">
        <f t="shared" si="19"/>
      </c>
      <c r="DD437">
        <f t="shared" si="20"/>
      </c>
      <c r="DE437">
        <f t="shared" si="21"/>
      </c>
      <c r="DF437">
        <f t="shared" si="22"/>
      </c>
      <c r="DG437">
        <f t="shared" si="23"/>
      </c>
      <c r="DH437">
        <f t="shared" si="24"/>
      </c>
      <c r="DI437">
        <f t="shared" si="1"/>
      </c>
    </row>
    <row r="438" ht="15" customHeight="1">
      <c r="B438">
        <f t="shared" si="2"/>
      </c>
      <c r="R438">
        <f t="shared" si="3"/>
        <v>0</v>
      </c>
      <c r="S438">
        <f t="shared" si="4"/>
        <v>0</v>
      </c>
      <c r="T438">
        <f t="shared" si="5"/>
        <v>0</v>
      </c>
      <c r="U438">
        <f t="shared" si="6"/>
        <v>0</v>
      </c>
      <c r="V438">
        <f t="shared" si="7"/>
        <v>0</v>
      </c>
      <c r="W438">
        <f t="shared" si="8"/>
        <v>0</v>
      </c>
      <c r="X438">
        <f t="shared" si="9"/>
        <v>0</v>
      </c>
      <c r="Y438">
        <f t="shared" si="10"/>
        <v>0</v>
      </c>
      <c r="Z438">
        <f t="shared" si="11"/>
        <v>0</v>
      </c>
      <c r="AA438">
        <f t="shared" si="12"/>
        <v>0</v>
      </c>
      <c r="AB438">
        <f t="shared" si="13"/>
        <v>0</v>
      </c>
      <c r="AC438">
        <f t="shared" si="14"/>
        <v>0</v>
      </c>
      <c r="AE438">
        <f t="shared" si="0"/>
      </c>
      <c r="AV438">
        <f t="shared" si="15"/>
      </c>
      <c r="BM438">
        <f t="shared" si="16"/>
      </c>
      <c r="CD438">
        <f t="shared" si="0"/>
      </c>
      <c r="CZ438">
        <f t="shared" si="17"/>
      </c>
      <c r="DA438">
        <f t="shared" si="1"/>
      </c>
      <c r="DB438">
        <f t="shared" si="18"/>
      </c>
      <c r="DC438">
        <f t="shared" si="19"/>
      </c>
      <c r="DD438">
        <f t="shared" si="20"/>
      </c>
      <c r="DE438">
        <f t="shared" si="21"/>
      </c>
      <c r="DF438">
        <f t="shared" si="22"/>
      </c>
      <c r="DG438">
        <f t="shared" si="23"/>
      </c>
      <c r="DH438">
        <f t="shared" si="24"/>
      </c>
      <c r="DI438">
        <f t="shared" si="1"/>
      </c>
    </row>
    <row r="439" ht="15" customHeight="1">
      <c r="B439">
        <f t="shared" si="2"/>
      </c>
      <c r="R439">
        <f t="shared" si="3"/>
        <v>0</v>
      </c>
      <c r="S439">
        <f t="shared" si="4"/>
        <v>0</v>
      </c>
      <c r="T439">
        <f t="shared" si="5"/>
        <v>0</v>
      </c>
      <c r="U439">
        <f t="shared" si="6"/>
        <v>0</v>
      </c>
      <c r="V439">
        <f t="shared" si="7"/>
        <v>0</v>
      </c>
      <c r="W439">
        <f t="shared" si="8"/>
        <v>0</v>
      </c>
      <c r="X439">
        <f t="shared" si="9"/>
        <v>0</v>
      </c>
      <c r="Y439">
        <f t="shared" si="10"/>
        <v>0</v>
      </c>
      <c r="Z439">
        <f t="shared" si="11"/>
        <v>0</v>
      </c>
      <c r="AA439">
        <f t="shared" si="12"/>
        <v>0</v>
      </c>
      <c r="AB439">
        <f t="shared" si="13"/>
        <v>0</v>
      </c>
      <c r="AC439">
        <f t="shared" si="14"/>
        <v>0</v>
      </c>
      <c r="AE439">
        <f t="shared" si="0"/>
      </c>
      <c r="AV439">
        <f t="shared" si="15"/>
      </c>
      <c r="BM439">
        <f t="shared" si="16"/>
      </c>
      <c r="CD439">
        <f t="shared" si="0"/>
      </c>
      <c r="CZ439">
        <f t="shared" si="17"/>
      </c>
      <c r="DA439">
        <f t="shared" si="1"/>
      </c>
      <c r="DB439">
        <f t="shared" si="18"/>
      </c>
      <c r="DC439">
        <f t="shared" si="19"/>
      </c>
      <c r="DD439">
        <f t="shared" si="20"/>
      </c>
      <c r="DE439">
        <f t="shared" si="21"/>
      </c>
      <c r="DF439">
        <f t="shared" si="22"/>
      </c>
      <c r="DG439">
        <f t="shared" si="23"/>
      </c>
      <c r="DH439">
        <f t="shared" si="24"/>
      </c>
      <c r="DI439">
        <f t="shared" si="1"/>
      </c>
    </row>
    <row r="440" ht="15" customHeight="1">
      <c r="B440">
        <f t="shared" si="2"/>
      </c>
      <c r="R440">
        <f t="shared" si="3"/>
        <v>0</v>
      </c>
      <c r="S440">
        <f t="shared" si="4"/>
        <v>0</v>
      </c>
      <c r="T440">
        <f t="shared" si="5"/>
        <v>0</v>
      </c>
      <c r="U440">
        <f t="shared" si="6"/>
        <v>0</v>
      </c>
      <c r="V440">
        <f t="shared" si="7"/>
        <v>0</v>
      </c>
      <c r="W440">
        <f t="shared" si="8"/>
        <v>0</v>
      </c>
      <c r="X440">
        <f t="shared" si="9"/>
        <v>0</v>
      </c>
      <c r="Y440">
        <f t="shared" si="10"/>
        <v>0</v>
      </c>
      <c r="Z440">
        <f t="shared" si="11"/>
        <v>0</v>
      </c>
      <c r="AA440">
        <f t="shared" si="12"/>
        <v>0</v>
      </c>
      <c r="AB440">
        <f t="shared" si="13"/>
        <v>0</v>
      </c>
      <c r="AC440">
        <f t="shared" si="14"/>
        <v>0</v>
      </c>
      <c r="AE440">
        <f t="shared" si="0"/>
      </c>
      <c r="AV440">
        <f t="shared" si="15"/>
      </c>
      <c r="BM440">
        <f t="shared" si="16"/>
      </c>
      <c r="CD440">
        <f t="shared" si="0"/>
      </c>
      <c r="CZ440">
        <f t="shared" si="17"/>
      </c>
      <c r="DA440">
        <f t="shared" si="1"/>
      </c>
      <c r="DB440">
        <f t="shared" si="18"/>
      </c>
      <c r="DC440">
        <f t="shared" si="19"/>
      </c>
      <c r="DD440">
        <f t="shared" si="20"/>
      </c>
      <c r="DE440">
        <f t="shared" si="21"/>
      </c>
      <c r="DF440">
        <f t="shared" si="22"/>
      </c>
      <c r="DG440">
        <f t="shared" si="23"/>
      </c>
      <c r="DH440">
        <f t="shared" si="24"/>
      </c>
      <c r="DI440">
        <f t="shared" si="1"/>
      </c>
    </row>
    <row r="441" ht="15" customHeight="1">
      <c r="B441">
        <f t="shared" si="2"/>
      </c>
      <c r="R441">
        <f t="shared" si="3"/>
        <v>0</v>
      </c>
      <c r="S441">
        <f t="shared" si="4"/>
        <v>0</v>
      </c>
      <c r="T441">
        <f t="shared" si="5"/>
        <v>0</v>
      </c>
      <c r="U441">
        <f t="shared" si="6"/>
        <v>0</v>
      </c>
      <c r="V441">
        <f t="shared" si="7"/>
        <v>0</v>
      </c>
      <c r="W441">
        <f t="shared" si="8"/>
        <v>0</v>
      </c>
      <c r="X441">
        <f t="shared" si="9"/>
        <v>0</v>
      </c>
      <c r="Y441">
        <f t="shared" si="10"/>
        <v>0</v>
      </c>
      <c r="Z441">
        <f t="shared" si="11"/>
        <v>0</v>
      </c>
      <c r="AA441">
        <f t="shared" si="12"/>
        <v>0</v>
      </c>
      <c r="AB441">
        <f t="shared" si="13"/>
        <v>0</v>
      </c>
      <c r="AC441">
        <f t="shared" si="14"/>
        <v>0</v>
      </c>
      <c r="AE441">
        <f t="shared" si="0"/>
      </c>
      <c r="AV441">
        <f t="shared" si="15"/>
      </c>
      <c r="BM441">
        <f t="shared" si="16"/>
      </c>
      <c r="CD441">
        <f t="shared" si="0"/>
      </c>
      <c r="CZ441">
        <f t="shared" si="17"/>
      </c>
      <c r="DA441">
        <f t="shared" si="1"/>
      </c>
      <c r="DB441">
        <f t="shared" si="18"/>
      </c>
      <c r="DC441">
        <f t="shared" si="19"/>
      </c>
      <c r="DD441">
        <f t="shared" si="20"/>
      </c>
      <c r="DE441">
        <f t="shared" si="21"/>
      </c>
      <c r="DF441">
        <f t="shared" si="22"/>
      </c>
      <c r="DG441">
        <f t="shared" si="23"/>
      </c>
      <c r="DH441">
        <f t="shared" si="24"/>
      </c>
      <c r="DI441">
        <f t="shared" si="1"/>
      </c>
    </row>
    <row r="442" ht="15" customHeight="1">
      <c r="B442">
        <f t="shared" si="2"/>
      </c>
      <c r="R442">
        <f t="shared" si="3"/>
        <v>0</v>
      </c>
      <c r="S442">
        <f t="shared" si="4"/>
        <v>0</v>
      </c>
      <c r="T442">
        <f t="shared" si="5"/>
        <v>0</v>
      </c>
      <c r="U442">
        <f t="shared" si="6"/>
        <v>0</v>
      </c>
      <c r="V442">
        <f t="shared" si="7"/>
        <v>0</v>
      </c>
      <c r="W442">
        <f t="shared" si="8"/>
        <v>0</v>
      </c>
      <c r="X442">
        <f t="shared" si="9"/>
        <v>0</v>
      </c>
      <c r="Y442">
        <f t="shared" si="10"/>
        <v>0</v>
      </c>
      <c r="Z442">
        <f t="shared" si="11"/>
        <v>0</v>
      </c>
      <c r="AA442">
        <f t="shared" si="12"/>
        <v>0</v>
      </c>
      <c r="AB442">
        <f t="shared" si="13"/>
        <v>0</v>
      </c>
      <c r="AC442">
        <f t="shared" si="14"/>
        <v>0</v>
      </c>
      <c r="AE442">
        <f t="shared" si="0"/>
      </c>
      <c r="AV442">
        <f t="shared" si="15"/>
      </c>
      <c r="BM442">
        <f t="shared" si="16"/>
      </c>
      <c r="CD442">
        <f t="shared" si="0"/>
      </c>
      <c r="CZ442">
        <f t="shared" si="17"/>
      </c>
      <c r="DA442">
        <f t="shared" si="1"/>
      </c>
      <c r="DB442">
        <f t="shared" si="18"/>
      </c>
      <c r="DC442">
        <f t="shared" si="19"/>
      </c>
      <c r="DD442">
        <f t="shared" si="20"/>
      </c>
      <c r="DE442">
        <f t="shared" si="21"/>
      </c>
      <c r="DF442">
        <f t="shared" si="22"/>
      </c>
      <c r="DG442">
        <f t="shared" si="23"/>
      </c>
      <c r="DH442">
        <f t="shared" si="24"/>
      </c>
      <c r="DI442">
        <f t="shared" si="1"/>
      </c>
    </row>
    <row r="443" ht="15" customHeight="1">
      <c r="B443">
        <f t="shared" si="2"/>
      </c>
      <c r="R443">
        <f t="shared" si="3"/>
        <v>0</v>
      </c>
      <c r="S443">
        <f t="shared" si="4"/>
        <v>0</v>
      </c>
      <c r="T443">
        <f t="shared" si="5"/>
        <v>0</v>
      </c>
      <c r="U443">
        <f t="shared" si="6"/>
        <v>0</v>
      </c>
      <c r="V443">
        <f t="shared" si="7"/>
        <v>0</v>
      </c>
      <c r="W443">
        <f t="shared" si="8"/>
        <v>0</v>
      </c>
      <c r="X443">
        <f t="shared" si="9"/>
        <v>0</v>
      </c>
      <c r="Y443">
        <f t="shared" si="10"/>
        <v>0</v>
      </c>
      <c r="Z443">
        <f t="shared" si="11"/>
        <v>0</v>
      </c>
      <c r="AA443">
        <f t="shared" si="12"/>
        <v>0</v>
      </c>
      <c r="AB443">
        <f t="shared" si="13"/>
        <v>0</v>
      </c>
      <c r="AC443">
        <f t="shared" si="14"/>
        <v>0</v>
      </c>
      <c r="AE443">
        <f t="shared" si="0"/>
      </c>
      <c r="AV443">
        <f t="shared" si="15"/>
      </c>
      <c r="BM443">
        <f t="shared" si="16"/>
      </c>
      <c r="CD443">
        <f t="shared" si="0"/>
      </c>
      <c r="CZ443">
        <f t="shared" si="17"/>
      </c>
      <c r="DA443">
        <f t="shared" si="1"/>
      </c>
      <c r="DB443">
        <f t="shared" si="18"/>
      </c>
      <c r="DC443">
        <f t="shared" si="19"/>
      </c>
      <c r="DD443">
        <f t="shared" si="20"/>
      </c>
      <c r="DE443">
        <f t="shared" si="21"/>
      </c>
      <c r="DF443">
        <f t="shared" si="22"/>
      </c>
      <c r="DG443">
        <f t="shared" si="23"/>
      </c>
      <c r="DH443">
        <f t="shared" si="24"/>
      </c>
      <c r="DI443">
        <f t="shared" si="1"/>
      </c>
    </row>
    <row r="444" ht="15" customHeight="1">
      <c r="B444">
        <f t="shared" si="2"/>
      </c>
      <c r="R444">
        <f t="shared" si="3"/>
        <v>0</v>
      </c>
      <c r="S444">
        <f t="shared" si="4"/>
        <v>0</v>
      </c>
      <c r="T444">
        <f t="shared" si="5"/>
        <v>0</v>
      </c>
      <c r="U444">
        <f t="shared" si="6"/>
        <v>0</v>
      </c>
      <c r="V444">
        <f t="shared" si="7"/>
        <v>0</v>
      </c>
      <c r="W444">
        <f t="shared" si="8"/>
        <v>0</v>
      </c>
      <c r="X444">
        <f t="shared" si="9"/>
        <v>0</v>
      </c>
      <c r="Y444">
        <f t="shared" si="10"/>
        <v>0</v>
      </c>
      <c r="Z444">
        <f t="shared" si="11"/>
        <v>0</v>
      </c>
      <c r="AA444">
        <f t="shared" si="12"/>
        <v>0</v>
      </c>
      <c r="AB444">
        <f t="shared" si="13"/>
        <v>0</v>
      </c>
      <c r="AC444">
        <f t="shared" si="14"/>
        <v>0</v>
      </c>
      <c r="AE444">
        <f t="shared" si="0"/>
      </c>
      <c r="AV444">
        <f t="shared" si="15"/>
      </c>
      <c r="BM444">
        <f t="shared" si="16"/>
      </c>
      <c r="CD444">
        <f t="shared" si="0"/>
      </c>
      <c r="CZ444">
        <f t="shared" si="17"/>
      </c>
      <c r="DA444">
        <f t="shared" si="1"/>
      </c>
      <c r="DB444">
        <f t="shared" si="18"/>
      </c>
      <c r="DC444">
        <f t="shared" si="19"/>
      </c>
      <c r="DD444">
        <f t="shared" si="20"/>
      </c>
      <c r="DE444">
        <f t="shared" si="21"/>
      </c>
      <c r="DF444">
        <f t="shared" si="22"/>
      </c>
      <c r="DG444">
        <f t="shared" si="23"/>
      </c>
      <c r="DH444">
        <f t="shared" si="24"/>
      </c>
      <c r="DI444">
        <f t="shared" si="1"/>
      </c>
    </row>
    <row r="445" ht="15" customHeight="1">
      <c r="B445">
        <f t="shared" si="2"/>
      </c>
      <c r="R445">
        <f t="shared" si="3"/>
        <v>0</v>
      </c>
      <c r="S445">
        <f t="shared" si="4"/>
        <v>0</v>
      </c>
      <c r="T445">
        <f t="shared" si="5"/>
        <v>0</v>
      </c>
      <c r="U445">
        <f t="shared" si="6"/>
        <v>0</v>
      </c>
      <c r="V445">
        <f t="shared" si="7"/>
        <v>0</v>
      </c>
      <c r="W445">
        <f t="shared" si="8"/>
        <v>0</v>
      </c>
      <c r="X445">
        <f t="shared" si="9"/>
        <v>0</v>
      </c>
      <c r="Y445">
        <f t="shared" si="10"/>
        <v>0</v>
      </c>
      <c r="Z445">
        <f t="shared" si="11"/>
        <v>0</v>
      </c>
      <c r="AA445">
        <f t="shared" si="12"/>
        <v>0</v>
      </c>
      <c r="AB445">
        <f t="shared" si="13"/>
        <v>0</v>
      </c>
      <c r="AC445">
        <f t="shared" si="14"/>
        <v>0</v>
      </c>
      <c r="AE445">
        <f t="shared" si="0"/>
      </c>
      <c r="AV445">
        <f t="shared" si="15"/>
      </c>
      <c r="BM445">
        <f t="shared" si="16"/>
      </c>
      <c r="CD445">
        <f t="shared" si="0"/>
      </c>
      <c r="CZ445">
        <f t="shared" si="17"/>
      </c>
      <c r="DA445">
        <f t="shared" si="1"/>
      </c>
      <c r="DB445">
        <f t="shared" si="18"/>
      </c>
      <c r="DC445">
        <f t="shared" si="19"/>
      </c>
      <c r="DD445">
        <f t="shared" si="20"/>
      </c>
      <c r="DE445">
        <f t="shared" si="21"/>
      </c>
      <c r="DF445">
        <f t="shared" si="22"/>
      </c>
      <c r="DG445">
        <f t="shared" si="23"/>
      </c>
      <c r="DH445">
        <f t="shared" si="24"/>
      </c>
      <c r="DI445">
        <f t="shared" si="1"/>
      </c>
    </row>
    <row r="446" ht="15" customHeight="1">
      <c r="B446">
        <f t="shared" si="2"/>
      </c>
      <c r="R446">
        <f t="shared" si="3"/>
        <v>0</v>
      </c>
      <c r="S446">
        <f t="shared" si="4"/>
        <v>0</v>
      </c>
      <c r="T446">
        <f t="shared" si="5"/>
        <v>0</v>
      </c>
      <c r="U446">
        <f t="shared" si="6"/>
        <v>0</v>
      </c>
      <c r="V446">
        <f t="shared" si="7"/>
        <v>0</v>
      </c>
      <c r="W446">
        <f t="shared" si="8"/>
        <v>0</v>
      </c>
      <c r="X446">
        <f t="shared" si="9"/>
        <v>0</v>
      </c>
      <c r="Y446">
        <f t="shared" si="10"/>
        <v>0</v>
      </c>
      <c r="Z446">
        <f t="shared" si="11"/>
        <v>0</v>
      </c>
      <c r="AA446">
        <f t="shared" si="12"/>
        <v>0</v>
      </c>
      <c r="AB446">
        <f t="shared" si="13"/>
        <v>0</v>
      </c>
      <c r="AC446">
        <f t="shared" si="14"/>
        <v>0</v>
      </c>
      <c r="AE446">
        <f t="shared" si="0"/>
      </c>
      <c r="AV446">
        <f t="shared" si="15"/>
      </c>
      <c r="BM446">
        <f t="shared" si="16"/>
      </c>
      <c r="CD446">
        <f t="shared" si="0"/>
      </c>
      <c r="CZ446">
        <f t="shared" si="17"/>
      </c>
      <c r="DA446">
        <f t="shared" si="1"/>
      </c>
      <c r="DB446">
        <f t="shared" si="18"/>
      </c>
      <c r="DC446">
        <f t="shared" si="19"/>
      </c>
      <c r="DD446">
        <f t="shared" si="20"/>
      </c>
      <c r="DE446">
        <f t="shared" si="21"/>
      </c>
      <c r="DF446">
        <f t="shared" si="22"/>
      </c>
      <c r="DG446">
        <f t="shared" si="23"/>
      </c>
      <c r="DH446">
        <f t="shared" si="24"/>
      </c>
      <c r="DI446">
        <f t="shared" si="1"/>
      </c>
    </row>
    <row r="447" ht="15" customHeight="1">
      <c r="B447">
        <f t="shared" si="2"/>
      </c>
      <c r="R447">
        <f t="shared" si="3"/>
        <v>0</v>
      </c>
      <c r="S447">
        <f t="shared" si="4"/>
        <v>0</v>
      </c>
      <c r="T447">
        <f t="shared" si="5"/>
        <v>0</v>
      </c>
      <c r="U447">
        <f t="shared" si="6"/>
        <v>0</v>
      </c>
      <c r="V447">
        <f t="shared" si="7"/>
        <v>0</v>
      </c>
      <c r="W447">
        <f t="shared" si="8"/>
        <v>0</v>
      </c>
      <c r="X447">
        <f t="shared" si="9"/>
        <v>0</v>
      </c>
      <c r="Y447">
        <f t="shared" si="10"/>
        <v>0</v>
      </c>
      <c r="Z447">
        <f t="shared" si="11"/>
        <v>0</v>
      </c>
      <c r="AA447">
        <f t="shared" si="12"/>
        <v>0</v>
      </c>
      <c r="AB447">
        <f t="shared" si="13"/>
        <v>0</v>
      </c>
      <c r="AC447">
        <f t="shared" si="14"/>
        <v>0</v>
      </c>
      <c r="AE447">
        <f t="shared" si="0"/>
      </c>
      <c r="AV447">
        <f t="shared" si="15"/>
      </c>
      <c r="BM447">
        <f t="shared" si="16"/>
      </c>
      <c r="CD447">
        <f t="shared" si="0"/>
      </c>
      <c r="CZ447">
        <f t="shared" si="17"/>
      </c>
      <c r="DA447">
        <f t="shared" si="1"/>
      </c>
      <c r="DB447">
        <f t="shared" si="18"/>
      </c>
      <c r="DC447">
        <f t="shared" si="19"/>
      </c>
      <c r="DD447">
        <f t="shared" si="20"/>
      </c>
      <c r="DE447">
        <f t="shared" si="21"/>
      </c>
      <c r="DF447">
        <f t="shared" si="22"/>
      </c>
      <c r="DG447">
        <f t="shared" si="23"/>
      </c>
      <c r="DH447">
        <f t="shared" si="24"/>
      </c>
      <c r="DI447">
        <f t="shared" si="1"/>
      </c>
    </row>
    <row r="448" ht="15" customHeight="1">
      <c r="B448">
        <f t="shared" si="2"/>
      </c>
      <c r="R448">
        <f t="shared" si="3"/>
        <v>0</v>
      </c>
      <c r="S448">
        <f t="shared" si="4"/>
        <v>0</v>
      </c>
      <c r="T448">
        <f t="shared" si="5"/>
        <v>0</v>
      </c>
      <c r="U448">
        <f t="shared" si="6"/>
        <v>0</v>
      </c>
      <c r="V448">
        <f t="shared" si="7"/>
        <v>0</v>
      </c>
      <c r="W448">
        <f t="shared" si="8"/>
        <v>0</v>
      </c>
      <c r="X448">
        <f t="shared" si="9"/>
        <v>0</v>
      </c>
      <c r="Y448">
        <f t="shared" si="10"/>
        <v>0</v>
      </c>
      <c r="Z448">
        <f t="shared" si="11"/>
        <v>0</v>
      </c>
      <c r="AA448">
        <f t="shared" si="12"/>
        <v>0</v>
      </c>
      <c r="AB448">
        <f t="shared" si="13"/>
        <v>0</v>
      </c>
      <c r="AC448">
        <f t="shared" si="14"/>
        <v>0</v>
      </c>
      <c r="AE448">
        <f t="shared" si="0"/>
      </c>
      <c r="AV448">
        <f t="shared" si="15"/>
      </c>
      <c r="BM448">
        <f t="shared" si="16"/>
      </c>
      <c r="CD448">
        <f t="shared" si="0"/>
      </c>
      <c r="CZ448">
        <f t="shared" si="17"/>
      </c>
      <c r="DA448">
        <f t="shared" si="1"/>
      </c>
      <c r="DB448">
        <f t="shared" si="18"/>
      </c>
      <c r="DC448">
        <f t="shared" si="19"/>
      </c>
      <c r="DD448">
        <f t="shared" si="20"/>
      </c>
      <c r="DE448">
        <f t="shared" si="21"/>
      </c>
      <c r="DF448">
        <f t="shared" si="22"/>
      </c>
      <c r="DG448">
        <f t="shared" si="23"/>
      </c>
      <c r="DH448">
        <f t="shared" si="24"/>
      </c>
      <c r="DI448">
        <f t="shared" si="1"/>
      </c>
    </row>
    <row r="449" ht="15" customHeight="1">
      <c r="B449">
        <f t="shared" si="2"/>
      </c>
      <c r="R449">
        <f t="shared" si="3"/>
        <v>0</v>
      </c>
      <c r="S449">
        <f t="shared" si="4"/>
        <v>0</v>
      </c>
      <c r="T449">
        <f t="shared" si="5"/>
        <v>0</v>
      </c>
      <c r="U449">
        <f t="shared" si="6"/>
        <v>0</v>
      </c>
      <c r="V449">
        <f t="shared" si="7"/>
        <v>0</v>
      </c>
      <c r="W449">
        <f t="shared" si="8"/>
        <v>0</v>
      </c>
      <c r="X449">
        <f t="shared" si="9"/>
        <v>0</v>
      </c>
      <c r="Y449">
        <f t="shared" si="10"/>
        <v>0</v>
      </c>
      <c r="Z449">
        <f t="shared" si="11"/>
        <v>0</v>
      </c>
      <c r="AA449">
        <f t="shared" si="12"/>
        <v>0</v>
      </c>
      <c r="AB449">
        <f t="shared" si="13"/>
        <v>0</v>
      </c>
      <c r="AC449">
        <f t="shared" si="14"/>
        <v>0</v>
      </c>
      <c r="AE449">
        <f t="shared" si="0"/>
      </c>
      <c r="AV449">
        <f t="shared" si="15"/>
      </c>
      <c r="BM449">
        <f t="shared" si="16"/>
      </c>
      <c r="CD449">
        <f t="shared" si="0"/>
      </c>
      <c r="CZ449">
        <f t="shared" si="17"/>
      </c>
      <c r="DA449">
        <f t="shared" si="1"/>
      </c>
      <c r="DB449">
        <f t="shared" si="18"/>
      </c>
      <c r="DC449">
        <f t="shared" si="19"/>
      </c>
      <c r="DD449">
        <f t="shared" si="20"/>
      </c>
      <c r="DE449">
        <f t="shared" si="21"/>
      </c>
      <c r="DF449">
        <f t="shared" si="22"/>
      </c>
      <c r="DG449">
        <f t="shared" si="23"/>
      </c>
      <c r="DH449">
        <f t="shared" si="24"/>
      </c>
      <c r="DI449">
        <f t="shared" si="1"/>
      </c>
    </row>
    <row r="450" ht="15" customHeight="1">
      <c r="B450">
        <f t="shared" si="2"/>
      </c>
      <c r="R450">
        <f t="shared" si="3"/>
        <v>0</v>
      </c>
      <c r="S450">
        <f t="shared" si="4"/>
        <v>0</v>
      </c>
      <c r="T450">
        <f t="shared" si="5"/>
        <v>0</v>
      </c>
      <c r="U450">
        <f t="shared" si="6"/>
        <v>0</v>
      </c>
      <c r="V450">
        <f t="shared" si="7"/>
        <v>0</v>
      </c>
      <c r="W450">
        <f t="shared" si="8"/>
        <v>0</v>
      </c>
      <c r="X450">
        <f t="shared" si="9"/>
        <v>0</v>
      </c>
      <c r="Y450">
        <f t="shared" si="10"/>
        <v>0</v>
      </c>
      <c r="Z450">
        <f t="shared" si="11"/>
        <v>0</v>
      </c>
      <c r="AA450">
        <f t="shared" si="12"/>
        <v>0</v>
      </c>
      <c r="AB450">
        <f t="shared" si="13"/>
        <v>0</v>
      </c>
      <c r="AC450">
        <f t="shared" si="14"/>
        <v>0</v>
      </c>
      <c r="AE450">
        <f t="shared" si="0"/>
      </c>
      <c r="AV450">
        <f t="shared" si="15"/>
      </c>
      <c r="BM450">
        <f t="shared" si="16"/>
      </c>
      <c r="CD450">
        <f t="shared" si="0"/>
      </c>
      <c r="CZ450">
        <f t="shared" si="17"/>
      </c>
      <c r="DA450">
        <f t="shared" si="1"/>
      </c>
      <c r="DB450">
        <f t="shared" si="18"/>
      </c>
      <c r="DC450">
        <f t="shared" si="19"/>
      </c>
      <c r="DD450">
        <f t="shared" si="20"/>
      </c>
      <c r="DE450">
        <f t="shared" si="21"/>
      </c>
      <c r="DF450">
        <f t="shared" si="22"/>
      </c>
      <c r="DG450">
        <f t="shared" si="23"/>
      </c>
      <c r="DH450">
        <f t="shared" si="24"/>
      </c>
      <c r="DI450">
        <f t="shared" si="1"/>
      </c>
    </row>
    <row r="451" ht="15" customHeight="1">
      <c r="B451">
        <f t="shared" si="2"/>
      </c>
      <c r="R451">
        <f t="shared" si="3"/>
        <v>0</v>
      </c>
      <c r="S451">
        <f t="shared" si="4"/>
        <v>0</v>
      </c>
      <c r="T451">
        <f t="shared" si="5"/>
        <v>0</v>
      </c>
      <c r="U451">
        <f t="shared" si="6"/>
        <v>0</v>
      </c>
      <c r="V451">
        <f t="shared" si="7"/>
        <v>0</v>
      </c>
      <c r="W451">
        <f t="shared" si="8"/>
        <v>0</v>
      </c>
      <c r="X451">
        <f t="shared" si="9"/>
        <v>0</v>
      </c>
      <c r="Y451">
        <f t="shared" si="10"/>
        <v>0</v>
      </c>
      <c r="Z451">
        <f t="shared" si="11"/>
        <v>0</v>
      </c>
      <c r="AA451">
        <f t="shared" si="12"/>
        <v>0</v>
      </c>
      <c r="AB451">
        <f t="shared" si="13"/>
        <v>0</v>
      </c>
      <c r="AC451">
        <f t="shared" si="14"/>
        <v>0</v>
      </c>
      <c r="AE451">
        <f t="shared" si="0"/>
      </c>
      <c r="AV451">
        <f t="shared" si="15"/>
      </c>
      <c r="BM451">
        <f t="shared" si="16"/>
      </c>
      <c r="CD451">
        <f t="shared" si="0"/>
      </c>
      <c r="CZ451">
        <f t="shared" si="17"/>
      </c>
      <c r="DA451">
        <f t="shared" si="1"/>
      </c>
      <c r="DB451">
        <f t="shared" si="18"/>
      </c>
      <c r="DC451">
        <f t="shared" si="19"/>
      </c>
      <c r="DD451">
        <f t="shared" si="20"/>
      </c>
      <c r="DE451">
        <f t="shared" si="21"/>
      </c>
      <c r="DF451">
        <f t="shared" si="22"/>
      </c>
      <c r="DG451">
        <f t="shared" si="23"/>
      </c>
      <c r="DH451">
        <f t="shared" si="24"/>
      </c>
      <c r="DI451">
        <f t="shared" si="1"/>
      </c>
    </row>
    <row r="452" ht="15" customHeight="1">
      <c r="B452">
        <f t="shared" si="2"/>
      </c>
      <c r="R452">
        <f t="shared" si="3"/>
        <v>0</v>
      </c>
      <c r="S452">
        <f t="shared" si="4"/>
        <v>0</v>
      </c>
      <c r="T452">
        <f t="shared" si="5"/>
        <v>0</v>
      </c>
      <c r="U452">
        <f t="shared" si="6"/>
        <v>0</v>
      </c>
      <c r="V452">
        <f t="shared" si="7"/>
        <v>0</v>
      </c>
      <c r="W452">
        <f t="shared" si="8"/>
        <v>0</v>
      </c>
      <c r="X452">
        <f t="shared" si="9"/>
        <v>0</v>
      </c>
      <c r="Y452">
        <f t="shared" si="10"/>
        <v>0</v>
      </c>
      <c r="Z452">
        <f t="shared" si="11"/>
        <v>0</v>
      </c>
      <c r="AA452">
        <f t="shared" si="12"/>
        <v>0</v>
      </c>
      <c r="AB452">
        <f t="shared" si="13"/>
        <v>0</v>
      </c>
      <c r="AC452">
        <f t="shared" si="14"/>
        <v>0</v>
      </c>
      <c r="AE452">
        <f t="shared" si="0"/>
      </c>
      <c r="AV452">
        <f t="shared" si="15"/>
      </c>
      <c r="BM452">
        <f t="shared" si="16"/>
      </c>
      <c r="CD452">
        <f t="shared" si="0"/>
      </c>
      <c r="CZ452">
        <f t="shared" si="17"/>
      </c>
      <c r="DA452">
        <f t="shared" si="1"/>
      </c>
      <c r="DB452">
        <f t="shared" si="18"/>
      </c>
      <c r="DC452">
        <f t="shared" si="19"/>
      </c>
      <c r="DD452">
        <f t="shared" si="20"/>
      </c>
      <c r="DE452">
        <f t="shared" si="21"/>
      </c>
      <c r="DF452">
        <f t="shared" si="22"/>
      </c>
      <c r="DG452">
        <f t="shared" si="23"/>
      </c>
      <c r="DH452">
        <f t="shared" si="24"/>
      </c>
      <c r="DI452">
        <f t="shared" si="1"/>
      </c>
    </row>
    <row r="453" ht="15" customHeight="1">
      <c r="B453">
        <f t="shared" si="2"/>
      </c>
      <c r="R453">
        <f t="shared" si="3"/>
        <v>0</v>
      </c>
      <c r="S453">
        <f t="shared" si="4"/>
        <v>0</v>
      </c>
      <c r="T453">
        <f t="shared" si="5"/>
        <v>0</v>
      </c>
      <c r="U453">
        <f t="shared" si="6"/>
        <v>0</v>
      </c>
      <c r="V453">
        <f t="shared" si="7"/>
        <v>0</v>
      </c>
      <c r="W453">
        <f t="shared" si="8"/>
        <v>0</v>
      </c>
      <c r="X453">
        <f t="shared" si="9"/>
        <v>0</v>
      </c>
      <c r="Y453">
        <f t="shared" si="10"/>
        <v>0</v>
      </c>
      <c r="Z453">
        <f t="shared" si="11"/>
        <v>0</v>
      </c>
      <c r="AA453">
        <f t="shared" si="12"/>
        <v>0</v>
      </c>
      <c r="AB453">
        <f t="shared" si="13"/>
        <v>0</v>
      </c>
      <c r="AC453">
        <f t="shared" si="14"/>
        <v>0</v>
      </c>
      <c r="AE453">
        <f t="shared" si="0"/>
      </c>
      <c r="AV453">
        <f t="shared" si="15"/>
      </c>
      <c r="BM453">
        <f t="shared" si="16"/>
      </c>
      <c r="CD453">
        <f t="shared" si="0"/>
      </c>
      <c r="CZ453">
        <f t="shared" si="17"/>
      </c>
      <c r="DA453">
        <f t="shared" si="1"/>
      </c>
      <c r="DB453">
        <f t="shared" si="18"/>
      </c>
      <c r="DC453">
        <f t="shared" si="19"/>
      </c>
      <c r="DD453">
        <f t="shared" si="20"/>
      </c>
      <c r="DE453">
        <f t="shared" si="21"/>
      </c>
      <c r="DF453">
        <f t="shared" si="22"/>
      </c>
      <c r="DG453">
        <f t="shared" si="23"/>
      </c>
      <c r="DH453">
        <f t="shared" si="24"/>
      </c>
      <c r="DI453">
        <f t="shared" si="1"/>
      </c>
    </row>
    <row r="454" ht="15" customHeight="1">
      <c r="B454">
        <f t="shared" si="2"/>
      </c>
      <c r="R454">
        <f t="shared" si="3"/>
        <v>0</v>
      </c>
      <c r="S454">
        <f t="shared" si="4"/>
        <v>0</v>
      </c>
      <c r="T454">
        <f t="shared" si="5"/>
        <v>0</v>
      </c>
      <c r="U454">
        <f t="shared" si="6"/>
        <v>0</v>
      </c>
      <c r="V454">
        <f t="shared" si="7"/>
        <v>0</v>
      </c>
      <c r="W454">
        <f t="shared" si="8"/>
        <v>0</v>
      </c>
      <c r="X454">
        <f t="shared" si="9"/>
        <v>0</v>
      </c>
      <c r="Y454">
        <f t="shared" si="10"/>
        <v>0</v>
      </c>
      <c r="Z454">
        <f t="shared" si="11"/>
        <v>0</v>
      </c>
      <c r="AA454">
        <f t="shared" si="12"/>
        <v>0</v>
      </c>
      <c r="AB454">
        <f t="shared" si="13"/>
        <v>0</v>
      </c>
      <c r="AC454">
        <f t="shared" si="14"/>
        <v>0</v>
      </c>
      <c r="AE454">
        <f t="shared" si="0"/>
      </c>
      <c r="AV454">
        <f t="shared" si="15"/>
      </c>
      <c r="BM454">
        <f t="shared" si="16"/>
      </c>
      <c r="CD454">
        <f t="shared" si="0"/>
      </c>
      <c r="CZ454">
        <f t="shared" si="17"/>
      </c>
      <c r="DA454">
        <f t="shared" si="1"/>
      </c>
      <c r="DB454">
        <f t="shared" si="18"/>
      </c>
      <c r="DC454">
        <f t="shared" si="19"/>
      </c>
      <c r="DD454">
        <f t="shared" si="20"/>
      </c>
      <c r="DE454">
        <f t="shared" si="21"/>
      </c>
      <c r="DF454">
        <f t="shared" si="22"/>
      </c>
      <c r="DG454">
        <f t="shared" si="23"/>
      </c>
      <c r="DH454">
        <f t="shared" si="24"/>
      </c>
      <c r="DI454">
        <f t="shared" si="1"/>
      </c>
    </row>
    <row r="455" ht="15" customHeight="1">
      <c r="B455">
        <f t="shared" si="2"/>
      </c>
      <c r="R455">
        <f t="shared" si="3"/>
        <v>0</v>
      </c>
      <c r="S455">
        <f t="shared" si="4"/>
        <v>0</v>
      </c>
      <c r="T455">
        <f t="shared" si="5"/>
        <v>0</v>
      </c>
      <c r="U455">
        <f t="shared" si="6"/>
        <v>0</v>
      </c>
      <c r="V455">
        <f t="shared" si="7"/>
        <v>0</v>
      </c>
      <c r="W455">
        <f t="shared" si="8"/>
        <v>0</v>
      </c>
      <c r="X455">
        <f t="shared" si="9"/>
        <v>0</v>
      </c>
      <c r="Y455">
        <f t="shared" si="10"/>
        <v>0</v>
      </c>
      <c r="Z455">
        <f t="shared" si="11"/>
        <v>0</v>
      </c>
      <c r="AA455">
        <f t="shared" si="12"/>
        <v>0</v>
      </c>
      <c r="AB455">
        <f t="shared" si="13"/>
        <v>0</v>
      </c>
      <c r="AC455">
        <f t="shared" si="14"/>
        <v>0</v>
      </c>
      <c r="AE455">
        <f t="shared" si="0"/>
      </c>
      <c r="AV455">
        <f t="shared" si="15"/>
      </c>
      <c r="BM455">
        <f t="shared" si="16"/>
      </c>
      <c r="CD455">
        <f t="shared" si="0"/>
      </c>
      <c r="CZ455">
        <f t="shared" si="17"/>
      </c>
      <c r="DA455">
        <f t="shared" si="1"/>
      </c>
      <c r="DB455">
        <f t="shared" si="18"/>
      </c>
      <c r="DC455">
        <f t="shared" si="19"/>
      </c>
      <c r="DD455">
        <f t="shared" si="20"/>
      </c>
      <c r="DE455">
        <f t="shared" si="21"/>
      </c>
      <c r="DF455">
        <f t="shared" si="22"/>
      </c>
      <c r="DG455">
        <f t="shared" si="23"/>
      </c>
      <c r="DH455">
        <f t="shared" si="24"/>
      </c>
      <c r="DI455">
        <f t="shared" si="1"/>
      </c>
    </row>
    <row r="456" ht="15" customHeight="1">
      <c r="B456">
        <f t="shared" si="2"/>
      </c>
      <c r="R456">
        <f t="shared" si="3"/>
        <v>0</v>
      </c>
      <c r="S456">
        <f t="shared" si="4"/>
        <v>0</v>
      </c>
      <c r="T456">
        <f t="shared" si="5"/>
        <v>0</v>
      </c>
      <c r="U456">
        <f t="shared" si="6"/>
        <v>0</v>
      </c>
      <c r="V456">
        <f t="shared" si="7"/>
        <v>0</v>
      </c>
      <c r="W456">
        <f t="shared" si="8"/>
        <v>0</v>
      </c>
      <c r="X456">
        <f t="shared" si="9"/>
        <v>0</v>
      </c>
      <c r="Y456">
        <f t="shared" si="10"/>
        <v>0</v>
      </c>
      <c r="Z456">
        <f t="shared" si="11"/>
        <v>0</v>
      </c>
      <c r="AA456">
        <f t="shared" si="12"/>
        <v>0</v>
      </c>
      <c r="AB456">
        <f t="shared" si="13"/>
        <v>0</v>
      </c>
      <c r="AC456">
        <f t="shared" si="14"/>
        <v>0</v>
      </c>
      <c r="AE456">
        <f t="shared" si="0"/>
      </c>
      <c r="AV456">
        <f t="shared" si="15"/>
      </c>
      <c r="BM456">
        <f t="shared" si="16"/>
      </c>
      <c r="CD456">
        <f t="shared" si="0"/>
      </c>
      <c r="CZ456">
        <f t="shared" si="17"/>
      </c>
      <c r="DA456">
        <f t="shared" si="1"/>
      </c>
      <c r="DB456">
        <f t="shared" si="18"/>
      </c>
      <c r="DC456">
        <f t="shared" si="19"/>
      </c>
      <c r="DD456">
        <f t="shared" si="20"/>
      </c>
      <c r="DE456">
        <f t="shared" si="21"/>
      </c>
      <c r="DF456">
        <f t="shared" si="22"/>
      </c>
      <c r="DG456">
        <f t="shared" si="23"/>
      </c>
      <c r="DH456">
        <f t="shared" si="24"/>
      </c>
      <c r="DI456">
        <f t="shared" si="1"/>
      </c>
    </row>
    <row r="457" ht="15" customHeight="1">
      <c r="B457">
        <f t="shared" si="2"/>
      </c>
      <c r="R457">
        <f t="shared" si="3"/>
        <v>0</v>
      </c>
      <c r="S457">
        <f t="shared" si="4"/>
        <v>0</v>
      </c>
      <c r="T457">
        <f t="shared" si="5"/>
        <v>0</v>
      </c>
      <c r="U457">
        <f t="shared" si="6"/>
        <v>0</v>
      </c>
      <c r="V457">
        <f t="shared" si="7"/>
        <v>0</v>
      </c>
      <c r="W457">
        <f t="shared" si="8"/>
        <v>0</v>
      </c>
      <c r="X457">
        <f t="shared" si="9"/>
        <v>0</v>
      </c>
      <c r="Y457">
        <f t="shared" si="10"/>
        <v>0</v>
      </c>
      <c r="Z457">
        <f t="shared" si="11"/>
        <v>0</v>
      </c>
      <c r="AA457">
        <f t="shared" si="12"/>
        <v>0</v>
      </c>
      <c r="AB457">
        <f t="shared" si="13"/>
        <v>0</v>
      </c>
      <c r="AC457">
        <f t="shared" si="14"/>
        <v>0</v>
      </c>
      <c r="AE457">
        <f t="shared" si="0"/>
      </c>
      <c r="AV457">
        <f t="shared" si="15"/>
      </c>
      <c r="BM457">
        <f t="shared" si="16"/>
      </c>
      <c r="CD457">
        <f t="shared" si="0"/>
      </c>
      <c r="CZ457">
        <f t="shared" si="17"/>
      </c>
      <c r="DA457">
        <f t="shared" si="1"/>
      </c>
      <c r="DB457">
        <f t="shared" si="18"/>
      </c>
      <c r="DC457">
        <f t="shared" si="19"/>
      </c>
      <c r="DD457">
        <f t="shared" si="20"/>
      </c>
      <c r="DE457">
        <f t="shared" si="21"/>
      </c>
      <c r="DF457">
        <f t="shared" si="22"/>
      </c>
      <c r="DG457">
        <f t="shared" si="23"/>
      </c>
      <c r="DH457">
        <f t="shared" si="24"/>
      </c>
      <c r="DI457">
        <f t="shared" si="1"/>
      </c>
    </row>
    <row r="458" ht="15" customHeight="1">
      <c r="B458">
        <f t="shared" si="2"/>
      </c>
      <c r="R458">
        <f t="shared" si="3"/>
        <v>0</v>
      </c>
      <c r="S458">
        <f t="shared" si="4"/>
        <v>0</v>
      </c>
      <c r="T458">
        <f t="shared" si="5"/>
        <v>0</v>
      </c>
      <c r="U458">
        <f t="shared" si="6"/>
        <v>0</v>
      </c>
      <c r="V458">
        <f t="shared" si="7"/>
        <v>0</v>
      </c>
      <c r="W458">
        <f t="shared" si="8"/>
        <v>0</v>
      </c>
      <c r="X458">
        <f t="shared" si="9"/>
        <v>0</v>
      </c>
      <c r="Y458">
        <f t="shared" si="10"/>
        <v>0</v>
      </c>
      <c r="Z458">
        <f t="shared" si="11"/>
        <v>0</v>
      </c>
      <c r="AA458">
        <f t="shared" si="12"/>
        <v>0</v>
      </c>
      <c r="AB458">
        <f t="shared" si="13"/>
        <v>0</v>
      </c>
      <c r="AC458">
        <f t="shared" si="14"/>
        <v>0</v>
      </c>
      <c r="AE458">
        <f t="shared" si="0"/>
      </c>
      <c r="AV458">
        <f t="shared" si="15"/>
      </c>
      <c r="BM458">
        <f t="shared" si="16"/>
      </c>
      <c r="CD458">
        <f t="shared" si="0"/>
      </c>
      <c r="CZ458">
        <f t="shared" si="17"/>
      </c>
      <c r="DA458">
        <f t="shared" si="1"/>
      </c>
      <c r="DB458">
        <f t="shared" si="18"/>
      </c>
      <c r="DC458">
        <f t="shared" si="19"/>
      </c>
      <c r="DD458">
        <f t="shared" si="20"/>
      </c>
      <c r="DE458">
        <f t="shared" si="21"/>
      </c>
      <c r="DF458">
        <f t="shared" si="22"/>
      </c>
      <c r="DG458">
        <f t="shared" si="23"/>
      </c>
      <c r="DH458">
        <f t="shared" si="24"/>
      </c>
      <c r="DI458">
        <f t="shared" si="1"/>
      </c>
    </row>
    <row r="459" ht="15" customHeight="1">
      <c r="B459">
        <f t="shared" si="2"/>
      </c>
      <c r="R459">
        <f t="shared" si="3"/>
        <v>0</v>
      </c>
      <c r="S459">
        <f t="shared" si="4"/>
        <v>0</v>
      </c>
      <c r="T459">
        <f t="shared" si="5"/>
        <v>0</v>
      </c>
      <c r="U459">
        <f t="shared" si="6"/>
        <v>0</v>
      </c>
      <c r="V459">
        <f t="shared" si="7"/>
        <v>0</v>
      </c>
      <c r="W459">
        <f t="shared" si="8"/>
        <v>0</v>
      </c>
      <c r="X459">
        <f t="shared" si="9"/>
        <v>0</v>
      </c>
      <c r="Y459">
        <f t="shared" si="10"/>
        <v>0</v>
      </c>
      <c r="Z459">
        <f t="shared" si="11"/>
        <v>0</v>
      </c>
      <c r="AA459">
        <f t="shared" si="12"/>
        <v>0</v>
      </c>
      <c r="AB459">
        <f t="shared" si="13"/>
        <v>0</v>
      </c>
      <c r="AC459">
        <f t="shared" si="14"/>
        <v>0</v>
      </c>
      <c r="AE459">
        <f t="shared" si="0"/>
      </c>
      <c r="AV459">
        <f t="shared" si="15"/>
      </c>
      <c r="BM459">
        <f t="shared" si="16"/>
      </c>
      <c r="CD459">
        <f t="shared" si="0"/>
      </c>
      <c r="CZ459">
        <f t="shared" si="17"/>
      </c>
      <c r="DA459">
        <f t="shared" si="1"/>
      </c>
      <c r="DB459">
        <f t="shared" si="18"/>
      </c>
      <c r="DC459">
        <f t="shared" si="19"/>
      </c>
      <c r="DD459">
        <f t="shared" si="20"/>
      </c>
      <c r="DE459">
        <f t="shared" si="21"/>
      </c>
      <c r="DF459">
        <f t="shared" si="22"/>
      </c>
      <c r="DG459">
        <f t="shared" si="23"/>
      </c>
      <c r="DH459">
        <f t="shared" si="24"/>
      </c>
      <c r="DI459">
        <f t="shared" si="1"/>
      </c>
    </row>
    <row r="460" ht="15" customHeight="1">
      <c r="B460">
        <f t="shared" si="2"/>
      </c>
      <c r="R460">
        <f t="shared" si="3"/>
        <v>0</v>
      </c>
      <c r="S460">
        <f t="shared" si="4"/>
        <v>0</v>
      </c>
      <c r="T460">
        <f t="shared" si="5"/>
        <v>0</v>
      </c>
      <c r="U460">
        <f t="shared" si="6"/>
        <v>0</v>
      </c>
      <c r="V460">
        <f t="shared" si="7"/>
        <v>0</v>
      </c>
      <c r="W460">
        <f t="shared" si="8"/>
        <v>0</v>
      </c>
      <c r="X460">
        <f t="shared" si="9"/>
        <v>0</v>
      </c>
      <c r="Y460">
        <f t="shared" si="10"/>
        <v>0</v>
      </c>
      <c r="Z460">
        <f t="shared" si="11"/>
        <v>0</v>
      </c>
      <c r="AA460">
        <f t="shared" si="12"/>
        <v>0</v>
      </c>
      <c r="AB460">
        <f t="shared" si="13"/>
        <v>0</v>
      </c>
      <c r="AC460">
        <f t="shared" si="14"/>
        <v>0</v>
      </c>
      <c r="AE460">
        <f t="shared" si="0"/>
      </c>
      <c r="AV460">
        <f t="shared" si="15"/>
      </c>
      <c r="BM460">
        <f t="shared" si="16"/>
      </c>
      <c r="CD460">
        <f t="shared" si="0"/>
      </c>
      <c r="CZ460">
        <f t="shared" si="17"/>
      </c>
      <c r="DA460">
        <f t="shared" si="1"/>
      </c>
      <c r="DB460">
        <f t="shared" si="18"/>
      </c>
      <c r="DC460">
        <f t="shared" si="19"/>
      </c>
      <c r="DD460">
        <f t="shared" si="20"/>
      </c>
      <c r="DE460">
        <f t="shared" si="21"/>
      </c>
      <c r="DF460">
        <f t="shared" si="22"/>
      </c>
      <c r="DG460">
        <f t="shared" si="23"/>
      </c>
      <c r="DH460">
        <f t="shared" si="24"/>
      </c>
      <c r="DI460">
        <f t="shared" si="1"/>
      </c>
    </row>
    <row r="461" ht="15" customHeight="1">
      <c r="B461">
        <f t="shared" si="2"/>
      </c>
      <c r="R461">
        <f t="shared" si="3"/>
        <v>0</v>
      </c>
      <c r="S461">
        <f t="shared" si="4"/>
        <v>0</v>
      </c>
      <c r="T461">
        <f t="shared" si="5"/>
        <v>0</v>
      </c>
      <c r="U461">
        <f t="shared" si="6"/>
        <v>0</v>
      </c>
      <c r="V461">
        <f t="shared" si="7"/>
        <v>0</v>
      </c>
      <c r="W461">
        <f t="shared" si="8"/>
        <v>0</v>
      </c>
      <c r="X461">
        <f t="shared" si="9"/>
        <v>0</v>
      </c>
      <c r="Y461">
        <f t="shared" si="10"/>
        <v>0</v>
      </c>
      <c r="Z461">
        <f t="shared" si="11"/>
        <v>0</v>
      </c>
      <c r="AA461">
        <f t="shared" si="12"/>
        <v>0</v>
      </c>
      <c r="AB461">
        <f t="shared" si="13"/>
        <v>0</v>
      </c>
      <c r="AC461">
        <f t="shared" si="14"/>
        <v>0</v>
      </c>
      <c r="AE461">
        <f t="shared" si="0"/>
      </c>
      <c r="AV461">
        <f t="shared" si="15"/>
      </c>
      <c r="BM461">
        <f t="shared" si="16"/>
      </c>
      <c r="CD461">
        <f t="shared" si="0"/>
      </c>
      <c r="CZ461">
        <f t="shared" si="17"/>
      </c>
      <c r="DA461">
        <f t="shared" si="1"/>
      </c>
      <c r="DB461">
        <f t="shared" si="18"/>
      </c>
      <c r="DC461">
        <f t="shared" si="19"/>
      </c>
      <c r="DD461">
        <f t="shared" si="20"/>
      </c>
      <c r="DE461">
        <f t="shared" si="21"/>
      </c>
      <c r="DF461">
        <f t="shared" si="22"/>
      </c>
      <c r="DG461">
        <f t="shared" si="23"/>
      </c>
      <c r="DH461">
        <f t="shared" si="24"/>
      </c>
      <c r="DI461">
        <f t="shared" si="1"/>
      </c>
    </row>
    <row r="462" ht="15" customHeight="1">
      <c r="B462">
        <f t="shared" si="2"/>
      </c>
      <c r="R462">
        <f t="shared" si="3"/>
        <v>0</v>
      </c>
      <c r="S462">
        <f t="shared" si="4"/>
        <v>0</v>
      </c>
      <c r="T462">
        <f t="shared" si="5"/>
        <v>0</v>
      </c>
      <c r="U462">
        <f t="shared" si="6"/>
        <v>0</v>
      </c>
      <c r="V462">
        <f t="shared" si="7"/>
        <v>0</v>
      </c>
      <c r="W462">
        <f t="shared" si="8"/>
        <v>0</v>
      </c>
      <c r="X462">
        <f t="shared" si="9"/>
        <v>0</v>
      </c>
      <c r="Y462">
        <f t="shared" si="10"/>
        <v>0</v>
      </c>
      <c r="Z462">
        <f t="shared" si="11"/>
        <v>0</v>
      </c>
      <c r="AA462">
        <f t="shared" si="12"/>
        <v>0</v>
      </c>
      <c r="AB462">
        <f t="shared" si="13"/>
        <v>0</v>
      </c>
      <c r="AC462">
        <f t="shared" si="14"/>
        <v>0</v>
      </c>
      <c r="AE462">
        <f t="shared" si="0"/>
      </c>
      <c r="AV462">
        <f t="shared" si="15"/>
      </c>
      <c r="BM462">
        <f t="shared" si="16"/>
      </c>
      <c r="CD462">
        <f t="shared" si="0"/>
      </c>
      <c r="CZ462">
        <f t="shared" si="17"/>
      </c>
      <c r="DA462">
        <f t="shared" si="1"/>
      </c>
      <c r="DB462">
        <f t="shared" si="18"/>
      </c>
      <c r="DC462">
        <f t="shared" si="19"/>
      </c>
      <c r="DD462">
        <f t="shared" si="20"/>
      </c>
      <c r="DE462">
        <f t="shared" si="21"/>
      </c>
      <c r="DF462">
        <f t="shared" si="22"/>
      </c>
      <c r="DG462">
        <f t="shared" si="23"/>
      </c>
      <c r="DH462">
        <f t="shared" si="24"/>
      </c>
      <c r="DI462">
        <f t="shared" si="1"/>
      </c>
    </row>
    <row r="463" ht="15" customHeight="1">
      <c r="B463">
        <f t="shared" si="2"/>
      </c>
      <c r="R463">
        <f t="shared" si="3"/>
        <v>0</v>
      </c>
      <c r="S463">
        <f t="shared" si="4"/>
        <v>0</v>
      </c>
      <c r="T463">
        <f t="shared" si="5"/>
        <v>0</v>
      </c>
      <c r="U463">
        <f t="shared" si="6"/>
        <v>0</v>
      </c>
      <c r="V463">
        <f t="shared" si="7"/>
        <v>0</v>
      </c>
      <c r="W463">
        <f t="shared" si="8"/>
        <v>0</v>
      </c>
      <c r="X463">
        <f t="shared" si="9"/>
        <v>0</v>
      </c>
      <c r="Y463">
        <f t="shared" si="10"/>
        <v>0</v>
      </c>
      <c r="Z463">
        <f t="shared" si="11"/>
        <v>0</v>
      </c>
      <c r="AA463">
        <f t="shared" si="12"/>
        <v>0</v>
      </c>
      <c r="AB463">
        <f t="shared" si="13"/>
        <v>0</v>
      </c>
      <c r="AC463">
        <f t="shared" si="14"/>
        <v>0</v>
      </c>
      <c r="AE463">
        <f t="shared" si="0"/>
      </c>
      <c r="AV463">
        <f t="shared" si="15"/>
      </c>
      <c r="BM463">
        <f t="shared" si="16"/>
      </c>
      <c r="CD463">
        <f t="shared" si="0"/>
      </c>
      <c r="CZ463">
        <f t="shared" si="17"/>
      </c>
      <c r="DA463">
        <f t="shared" si="1"/>
      </c>
      <c r="DB463">
        <f t="shared" si="18"/>
      </c>
      <c r="DC463">
        <f t="shared" si="19"/>
      </c>
      <c r="DD463">
        <f t="shared" si="20"/>
      </c>
      <c r="DE463">
        <f t="shared" si="21"/>
      </c>
      <c r="DF463">
        <f t="shared" si="22"/>
      </c>
      <c r="DG463">
        <f t="shared" si="23"/>
      </c>
      <c r="DH463">
        <f t="shared" si="24"/>
      </c>
      <c r="DI463">
        <f t="shared" si="1"/>
      </c>
    </row>
    <row r="464" ht="15" customHeight="1">
      <c r="B464">
        <f t="shared" si="2"/>
      </c>
      <c r="R464">
        <f t="shared" si="3"/>
        <v>0</v>
      </c>
      <c r="S464">
        <f t="shared" si="4"/>
        <v>0</v>
      </c>
      <c r="T464">
        <f t="shared" si="5"/>
        <v>0</v>
      </c>
      <c r="U464">
        <f t="shared" si="6"/>
        <v>0</v>
      </c>
      <c r="V464">
        <f t="shared" si="7"/>
        <v>0</v>
      </c>
      <c r="W464">
        <f t="shared" si="8"/>
        <v>0</v>
      </c>
      <c r="X464">
        <f t="shared" si="9"/>
        <v>0</v>
      </c>
      <c r="Y464">
        <f t="shared" si="10"/>
        <v>0</v>
      </c>
      <c r="Z464">
        <f t="shared" si="11"/>
        <v>0</v>
      </c>
      <c r="AA464">
        <f t="shared" si="12"/>
        <v>0</v>
      </c>
      <c r="AB464">
        <f t="shared" si="13"/>
        <v>0</v>
      </c>
      <c r="AC464">
        <f t="shared" si="14"/>
        <v>0</v>
      </c>
      <c r="AE464">
        <f t="shared" si="0"/>
      </c>
      <c r="AV464">
        <f t="shared" si="15"/>
      </c>
      <c r="BM464">
        <f t="shared" si="16"/>
      </c>
      <c r="CD464">
        <f t="shared" si="0"/>
      </c>
      <c r="CZ464">
        <f t="shared" si="17"/>
      </c>
      <c r="DA464">
        <f t="shared" si="1"/>
      </c>
      <c r="DB464">
        <f t="shared" si="18"/>
      </c>
      <c r="DC464">
        <f t="shared" si="19"/>
      </c>
      <c r="DD464">
        <f t="shared" si="20"/>
      </c>
      <c r="DE464">
        <f t="shared" si="21"/>
      </c>
      <c r="DF464">
        <f t="shared" si="22"/>
      </c>
      <c r="DG464">
        <f t="shared" si="23"/>
      </c>
      <c r="DH464">
        <f t="shared" si="24"/>
      </c>
      <c r="DI464">
        <f t="shared" si="1"/>
      </c>
    </row>
    <row r="465" ht="15" customHeight="1">
      <c r="B465">
        <f t="shared" si="2"/>
      </c>
      <c r="R465">
        <f t="shared" si="3"/>
        <v>0</v>
      </c>
      <c r="S465">
        <f t="shared" si="4"/>
        <v>0</v>
      </c>
      <c r="T465">
        <f t="shared" si="5"/>
        <v>0</v>
      </c>
      <c r="U465">
        <f t="shared" si="6"/>
        <v>0</v>
      </c>
      <c r="V465">
        <f t="shared" si="7"/>
        <v>0</v>
      </c>
      <c r="W465">
        <f t="shared" si="8"/>
        <v>0</v>
      </c>
      <c r="X465">
        <f t="shared" si="9"/>
        <v>0</v>
      </c>
      <c r="Y465">
        <f t="shared" si="10"/>
        <v>0</v>
      </c>
      <c r="Z465">
        <f t="shared" si="11"/>
        <v>0</v>
      </c>
      <c r="AA465">
        <f t="shared" si="12"/>
        <v>0</v>
      </c>
      <c r="AB465">
        <f t="shared" si="13"/>
        <v>0</v>
      </c>
      <c r="AC465">
        <f t="shared" si="14"/>
        <v>0</v>
      </c>
      <c r="AE465">
        <f t="shared" si="0"/>
      </c>
      <c r="AV465">
        <f t="shared" si="15"/>
      </c>
      <c r="BM465">
        <f t="shared" si="16"/>
      </c>
      <c r="CD465">
        <f t="shared" si="0"/>
      </c>
      <c r="CZ465">
        <f t="shared" si="17"/>
      </c>
      <c r="DA465">
        <f t="shared" si="1"/>
      </c>
      <c r="DB465">
        <f t="shared" si="18"/>
      </c>
      <c r="DC465">
        <f t="shared" si="19"/>
      </c>
      <c r="DD465">
        <f t="shared" si="20"/>
      </c>
      <c r="DE465">
        <f t="shared" si="21"/>
      </c>
      <c r="DF465">
        <f t="shared" si="22"/>
      </c>
      <c r="DG465">
        <f t="shared" si="23"/>
      </c>
      <c r="DH465">
        <f t="shared" si="24"/>
      </c>
      <c r="DI465">
        <f t="shared" si="1"/>
      </c>
    </row>
    <row r="466" ht="15" customHeight="1">
      <c r="B466">
        <f t="shared" si="2"/>
      </c>
      <c r="R466">
        <f t="shared" si="3"/>
        <v>0</v>
      </c>
      <c r="S466">
        <f t="shared" si="4"/>
        <v>0</v>
      </c>
      <c r="T466">
        <f t="shared" si="5"/>
        <v>0</v>
      </c>
      <c r="U466">
        <f t="shared" si="6"/>
        <v>0</v>
      </c>
      <c r="V466">
        <f t="shared" si="7"/>
        <v>0</v>
      </c>
      <c r="W466">
        <f t="shared" si="8"/>
        <v>0</v>
      </c>
      <c r="X466">
        <f t="shared" si="9"/>
        <v>0</v>
      </c>
      <c r="Y466">
        <f t="shared" si="10"/>
        <v>0</v>
      </c>
      <c r="Z466">
        <f t="shared" si="11"/>
        <v>0</v>
      </c>
      <c r="AA466">
        <f t="shared" si="12"/>
        <v>0</v>
      </c>
      <c r="AB466">
        <f t="shared" si="13"/>
        <v>0</v>
      </c>
      <c r="AC466">
        <f t="shared" si="14"/>
        <v>0</v>
      </c>
      <c r="AE466">
        <f t="shared" si="0"/>
      </c>
      <c r="AV466">
        <f t="shared" si="15"/>
      </c>
      <c r="BM466">
        <f t="shared" si="16"/>
      </c>
      <c r="CD466">
        <f t="shared" si="0"/>
      </c>
      <c r="CZ466">
        <f t="shared" si="17"/>
      </c>
      <c r="DA466">
        <f t="shared" si="1"/>
      </c>
      <c r="DB466">
        <f t="shared" si="18"/>
      </c>
      <c r="DC466">
        <f t="shared" si="19"/>
      </c>
      <c r="DD466">
        <f t="shared" si="20"/>
      </c>
      <c r="DE466">
        <f t="shared" si="21"/>
      </c>
      <c r="DF466">
        <f t="shared" si="22"/>
      </c>
      <c r="DG466">
        <f t="shared" si="23"/>
      </c>
      <c r="DH466">
        <f t="shared" si="24"/>
      </c>
      <c r="DI466">
        <f t="shared" si="1"/>
      </c>
    </row>
    <row r="467" ht="15" customHeight="1">
      <c r="B467">
        <f t="shared" si="2"/>
      </c>
      <c r="R467">
        <f t="shared" si="3"/>
        <v>0</v>
      </c>
      <c r="S467">
        <f t="shared" si="4"/>
        <v>0</v>
      </c>
      <c r="T467">
        <f t="shared" si="5"/>
        <v>0</v>
      </c>
      <c r="U467">
        <f t="shared" si="6"/>
        <v>0</v>
      </c>
      <c r="V467">
        <f t="shared" si="7"/>
        <v>0</v>
      </c>
      <c r="W467">
        <f t="shared" si="8"/>
        <v>0</v>
      </c>
      <c r="X467">
        <f t="shared" si="9"/>
        <v>0</v>
      </c>
      <c r="Y467">
        <f t="shared" si="10"/>
        <v>0</v>
      </c>
      <c r="Z467">
        <f t="shared" si="11"/>
        <v>0</v>
      </c>
      <c r="AA467">
        <f t="shared" si="12"/>
        <v>0</v>
      </c>
      <c r="AB467">
        <f t="shared" si="13"/>
        <v>0</v>
      </c>
      <c r="AC467">
        <f t="shared" si="14"/>
        <v>0</v>
      </c>
      <c r="AE467">
        <f t="shared" si="0"/>
      </c>
      <c r="AV467">
        <f t="shared" si="15"/>
      </c>
      <c r="BM467">
        <f t="shared" si="16"/>
      </c>
      <c r="CD467">
        <f t="shared" si="0"/>
      </c>
      <c r="CZ467">
        <f t="shared" si="17"/>
      </c>
      <c r="DA467">
        <f t="shared" si="1"/>
      </c>
      <c r="DB467">
        <f t="shared" si="18"/>
      </c>
      <c r="DC467">
        <f t="shared" si="19"/>
      </c>
      <c r="DD467">
        <f t="shared" si="20"/>
      </c>
      <c r="DE467">
        <f t="shared" si="21"/>
      </c>
      <c r="DF467">
        <f t="shared" si="22"/>
      </c>
      <c r="DG467">
        <f t="shared" si="23"/>
      </c>
      <c r="DH467">
        <f t="shared" si="24"/>
      </c>
      <c r="DI467">
        <f t="shared" si="1"/>
      </c>
    </row>
    <row r="468" ht="15" customHeight="1">
      <c r="B468">
        <f t="shared" si="2"/>
      </c>
      <c r="R468">
        <f t="shared" si="3"/>
        <v>0</v>
      </c>
      <c r="S468">
        <f t="shared" si="4"/>
        <v>0</v>
      </c>
      <c r="T468">
        <f t="shared" si="5"/>
        <v>0</v>
      </c>
      <c r="U468">
        <f t="shared" si="6"/>
        <v>0</v>
      </c>
      <c r="V468">
        <f t="shared" si="7"/>
        <v>0</v>
      </c>
      <c r="W468">
        <f t="shared" si="8"/>
        <v>0</v>
      </c>
      <c r="X468">
        <f t="shared" si="9"/>
        <v>0</v>
      </c>
      <c r="Y468">
        <f t="shared" si="10"/>
        <v>0</v>
      </c>
      <c r="Z468">
        <f t="shared" si="11"/>
        <v>0</v>
      </c>
      <c r="AA468">
        <f t="shared" si="12"/>
        <v>0</v>
      </c>
      <c r="AB468">
        <f t="shared" si="13"/>
        <v>0</v>
      </c>
      <c r="AC468">
        <f t="shared" si="14"/>
        <v>0</v>
      </c>
      <c r="AE468">
        <f t="shared" si="0"/>
      </c>
      <c r="AV468">
        <f t="shared" si="15"/>
      </c>
      <c r="BM468">
        <f t="shared" si="16"/>
      </c>
      <c r="CD468">
        <f t="shared" si="0"/>
      </c>
      <c r="CZ468">
        <f t="shared" si="17"/>
      </c>
      <c r="DA468">
        <f t="shared" si="1"/>
      </c>
      <c r="DB468">
        <f t="shared" si="18"/>
      </c>
      <c r="DC468">
        <f t="shared" si="19"/>
      </c>
      <c r="DD468">
        <f t="shared" si="20"/>
      </c>
      <c r="DE468">
        <f t="shared" si="21"/>
      </c>
      <c r="DF468">
        <f t="shared" si="22"/>
      </c>
      <c r="DG468">
        <f t="shared" si="23"/>
      </c>
      <c r="DH468">
        <f t="shared" si="24"/>
      </c>
      <c r="DI468">
        <f t="shared" si="1"/>
      </c>
    </row>
    <row r="469" ht="15" customHeight="1">
      <c r="B469">
        <f t="shared" si="2"/>
      </c>
      <c r="R469">
        <f t="shared" si="3"/>
        <v>0</v>
      </c>
      <c r="S469">
        <f t="shared" si="4"/>
        <v>0</v>
      </c>
      <c r="T469">
        <f t="shared" si="5"/>
        <v>0</v>
      </c>
      <c r="U469">
        <f t="shared" si="6"/>
        <v>0</v>
      </c>
      <c r="V469">
        <f t="shared" si="7"/>
        <v>0</v>
      </c>
      <c r="W469">
        <f t="shared" si="8"/>
        <v>0</v>
      </c>
      <c r="X469">
        <f t="shared" si="9"/>
        <v>0</v>
      </c>
      <c r="Y469">
        <f t="shared" si="10"/>
        <v>0</v>
      </c>
      <c r="Z469">
        <f t="shared" si="11"/>
        <v>0</v>
      </c>
      <c r="AA469">
        <f t="shared" si="12"/>
        <v>0</v>
      </c>
      <c r="AB469">
        <f t="shared" si="13"/>
        <v>0</v>
      </c>
      <c r="AC469">
        <f t="shared" si="14"/>
        <v>0</v>
      </c>
      <c r="AE469">
        <f t="shared" si="0"/>
      </c>
      <c r="AV469">
        <f t="shared" si="15"/>
      </c>
      <c r="BM469">
        <f t="shared" si="16"/>
      </c>
      <c r="CD469">
        <f t="shared" si="0"/>
      </c>
      <c r="CZ469">
        <f t="shared" si="17"/>
      </c>
      <c r="DA469">
        <f t="shared" si="1"/>
      </c>
      <c r="DB469">
        <f t="shared" si="18"/>
      </c>
      <c r="DC469">
        <f t="shared" si="19"/>
      </c>
      <c r="DD469">
        <f t="shared" si="20"/>
      </c>
      <c r="DE469">
        <f t="shared" si="21"/>
      </c>
      <c r="DF469">
        <f t="shared" si="22"/>
      </c>
      <c r="DG469">
        <f t="shared" si="23"/>
      </c>
      <c r="DH469">
        <f t="shared" si="24"/>
      </c>
      <c r="DI469">
        <f t="shared" si="1"/>
      </c>
    </row>
    <row r="470" ht="15" customHeight="1">
      <c r="B470">
        <f t="shared" si="2"/>
      </c>
      <c r="R470">
        <f t="shared" si="3"/>
        <v>0</v>
      </c>
      <c r="S470">
        <f t="shared" si="4"/>
        <v>0</v>
      </c>
      <c r="T470">
        <f t="shared" si="5"/>
        <v>0</v>
      </c>
      <c r="U470">
        <f t="shared" si="6"/>
        <v>0</v>
      </c>
      <c r="V470">
        <f t="shared" si="7"/>
        <v>0</v>
      </c>
      <c r="W470">
        <f t="shared" si="8"/>
        <v>0</v>
      </c>
      <c r="X470">
        <f t="shared" si="9"/>
        <v>0</v>
      </c>
      <c r="Y470">
        <f t="shared" si="10"/>
        <v>0</v>
      </c>
      <c r="Z470">
        <f t="shared" si="11"/>
        <v>0</v>
      </c>
      <c r="AA470">
        <f t="shared" si="12"/>
        <v>0</v>
      </c>
      <c r="AB470">
        <f t="shared" si="13"/>
        <v>0</v>
      </c>
      <c r="AC470">
        <f t="shared" si="14"/>
        <v>0</v>
      </c>
      <c r="AE470">
        <f t="shared" si="0"/>
      </c>
      <c r="AV470">
        <f t="shared" si="15"/>
      </c>
      <c r="BM470">
        <f t="shared" si="16"/>
      </c>
      <c r="CD470">
        <f t="shared" si="0"/>
      </c>
      <c r="CZ470">
        <f t="shared" si="17"/>
      </c>
      <c r="DA470">
        <f t="shared" si="1"/>
      </c>
      <c r="DB470">
        <f t="shared" si="18"/>
      </c>
      <c r="DC470">
        <f t="shared" si="19"/>
      </c>
      <c r="DD470">
        <f t="shared" si="20"/>
      </c>
      <c r="DE470">
        <f t="shared" si="21"/>
      </c>
      <c r="DF470">
        <f t="shared" si="22"/>
      </c>
      <c r="DG470">
        <f t="shared" si="23"/>
      </c>
      <c r="DH470">
        <f t="shared" si="24"/>
      </c>
      <c r="DI470">
        <f t="shared" si="1"/>
      </c>
    </row>
    <row r="471" ht="15" customHeight="1">
      <c r="B471">
        <f t="shared" si="2"/>
      </c>
      <c r="R471">
        <f t="shared" si="3"/>
        <v>0</v>
      </c>
      <c r="S471">
        <f t="shared" si="4"/>
        <v>0</v>
      </c>
      <c r="T471">
        <f t="shared" si="5"/>
        <v>0</v>
      </c>
      <c r="U471">
        <f t="shared" si="6"/>
        <v>0</v>
      </c>
      <c r="V471">
        <f t="shared" si="7"/>
        <v>0</v>
      </c>
      <c r="W471">
        <f t="shared" si="8"/>
        <v>0</v>
      </c>
      <c r="X471">
        <f t="shared" si="9"/>
        <v>0</v>
      </c>
      <c r="Y471">
        <f t="shared" si="10"/>
        <v>0</v>
      </c>
      <c r="Z471">
        <f t="shared" si="11"/>
        <v>0</v>
      </c>
      <c r="AA471">
        <f t="shared" si="12"/>
        <v>0</v>
      </c>
      <c r="AB471">
        <f t="shared" si="13"/>
        <v>0</v>
      </c>
      <c r="AC471">
        <f t="shared" si="14"/>
        <v>0</v>
      </c>
      <c r="AE471">
        <f t="shared" si="0"/>
      </c>
      <c r="AV471">
        <f t="shared" si="15"/>
      </c>
      <c r="BM471">
        <f t="shared" si="16"/>
      </c>
      <c r="CD471">
        <f t="shared" si="0"/>
      </c>
      <c r="CZ471">
        <f t="shared" si="17"/>
      </c>
      <c r="DA471">
        <f t="shared" si="1"/>
      </c>
      <c r="DB471">
        <f t="shared" si="18"/>
      </c>
      <c r="DC471">
        <f t="shared" si="19"/>
      </c>
      <c r="DD471">
        <f t="shared" si="20"/>
      </c>
      <c r="DE471">
        <f t="shared" si="21"/>
      </c>
      <c r="DF471">
        <f t="shared" si="22"/>
      </c>
      <c r="DG471">
        <f t="shared" si="23"/>
      </c>
      <c r="DH471">
        <f t="shared" si="24"/>
      </c>
      <c r="DI471">
        <f t="shared" si="1"/>
      </c>
    </row>
    <row r="472" ht="15" customHeight="1">
      <c r="B472">
        <f t="shared" si="2"/>
      </c>
      <c r="R472">
        <f t="shared" si="3"/>
        <v>0</v>
      </c>
      <c r="S472">
        <f t="shared" si="4"/>
        <v>0</v>
      </c>
      <c r="T472">
        <f t="shared" si="5"/>
        <v>0</v>
      </c>
      <c r="U472">
        <f t="shared" si="6"/>
        <v>0</v>
      </c>
      <c r="V472">
        <f t="shared" si="7"/>
        <v>0</v>
      </c>
      <c r="W472">
        <f t="shared" si="8"/>
        <v>0</v>
      </c>
      <c r="X472">
        <f t="shared" si="9"/>
        <v>0</v>
      </c>
      <c r="Y472">
        <f t="shared" si="10"/>
        <v>0</v>
      </c>
      <c r="Z472">
        <f t="shared" si="11"/>
        <v>0</v>
      </c>
      <c r="AA472">
        <f t="shared" si="12"/>
        <v>0</v>
      </c>
      <c r="AB472">
        <f t="shared" si="13"/>
        <v>0</v>
      </c>
      <c r="AC472">
        <f t="shared" si="14"/>
        <v>0</v>
      </c>
      <c r="AE472">
        <f t="shared" si="0"/>
      </c>
      <c r="AV472">
        <f t="shared" si="15"/>
      </c>
      <c r="BM472">
        <f t="shared" si="16"/>
      </c>
      <c r="CD472">
        <f t="shared" si="0"/>
      </c>
      <c r="CZ472">
        <f t="shared" si="17"/>
      </c>
      <c r="DA472">
        <f t="shared" si="1"/>
      </c>
      <c r="DB472">
        <f t="shared" si="18"/>
      </c>
      <c r="DC472">
        <f t="shared" si="19"/>
      </c>
      <c r="DD472">
        <f t="shared" si="20"/>
      </c>
      <c r="DE472">
        <f t="shared" si="21"/>
      </c>
      <c r="DF472">
        <f t="shared" si="22"/>
      </c>
      <c r="DG472">
        <f t="shared" si="23"/>
      </c>
      <c r="DH472">
        <f t="shared" si="24"/>
      </c>
      <c r="DI472">
        <f t="shared" si="1"/>
      </c>
    </row>
    <row r="473" ht="15" customHeight="1">
      <c r="B473">
        <f t="shared" si="2"/>
      </c>
      <c r="R473">
        <f t="shared" si="3"/>
        <v>0</v>
      </c>
      <c r="S473">
        <f t="shared" si="4"/>
        <v>0</v>
      </c>
      <c r="T473">
        <f t="shared" si="5"/>
        <v>0</v>
      </c>
      <c r="U473">
        <f t="shared" si="6"/>
        <v>0</v>
      </c>
      <c r="V473">
        <f t="shared" si="7"/>
        <v>0</v>
      </c>
      <c r="W473">
        <f t="shared" si="8"/>
        <v>0</v>
      </c>
      <c r="X473">
        <f t="shared" si="9"/>
        <v>0</v>
      </c>
      <c r="Y473">
        <f t="shared" si="10"/>
        <v>0</v>
      </c>
      <c r="Z473">
        <f t="shared" si="11"/>
        <v>0</v>
      </c>
      <c r="AA473">
        <f t="shared" si="12"/>
        <v>0</v>
      </c>
      <c r="AB473">
        <f t="shared" si="13"/>
        <v>0</v>
      </c>
      <c r="AC473">
        <f t="shared" si="14"/>
        <v>0</v>
      </c>
      <c r="AE473">
        <f t="shared" si="0"/>
      </c>
      <c r="AV473">
        <f t="shared" si="15"/>
      </c>
      <c r="BM473">
        <f t="shared" si="16"/>
      </c>
      <c r="CD473">
        <f t="shared" si="0"/>
      </c>
      <c r="CZ473">
        <f t="shared" si="17"/>
      </c>
      <c r="DA473">
        <f t="shared" si="1"/>
      </c>
      <c r="DB473">
        <f t="shared" si="18"/>
      </c>
      <c r="DC473">
        <f t="shared" si="19"/>
      </c>
      <c r="DD473">
        <f t="shared" si="20"/>
      </c>
      <c r="DE473">
        <f t="shared" si="21"/>
      </c>
      <c r="DF473">
        <f t="shared" si="22"/>
      </c>
      <c r="DG473">
        <f t="shared" si="23"/>
      </c>
      <c r="DH473">
        <f t="shared" si="24"/>
      </c>
      <c r="DI473">
        <f t="shared" si="1"/>
      </c>
    </row>
    <row r="474" ht="15" customHeight="1">
      <c r="B474">
        <f t="shared" si="2"/>
      </c>
      <c r="R474">
        <f t="shared" si="3"/>
        <v>0</v>
      </c>
      <c r="S474">
        <f t="shared" si="4"/>
        <v>0</v>
      </c>
      <c r="T474">
        <f t="shared" si="5"/>
        <v>0</v>
      </c>
      <c r="U474">
        <f t="shared" si="6"/>
        <v>0</v>
      </c>
      <c r="V474">
        <f t="shared" si="7"/>
        <v>0</v>
      </c>
      <c r="W474">
        <f t="shared" si="8"/>
        <v>0</v>
      </c>
      <c r="X474">
        <f t="shared" si="9"/>
        <v>0</v>
      </c>
      <c r="Y474">
        <f t="shared" si="10"/>
        <v>0</v>
      </c>
      <c r="Z474">
        <f t="shared" si="11"/>
        <v>0</v>
      </c>
      <c r="AA474">
        <f t="shared" si="12"/>
        <v>0</v>
      </c>
      <c r="AB474">
        <f t="shared" si="13"/>
        <v>0</v>
      </c>
      <c r="AC474">
        <f t="shared" si="14"/>
        <v>0</v>
      </c>
      <c r="AE474">
        <f t="shared" si="0"/>
      </c>
      <c r="AV474">
        <f t="shared" si="15"/>
      </c>
      <c r="BM474">
        <f t="shared" si="16"/>
      </c>
      <c r="CD474">
        <f t="shared" si="0"/>
      </c>
      <c r="CZ474">
        <f t="shared" si="17"/>
      </c>
      <c r="DA474">
        <f t="shared" si="1"/>
      </c>
      <c r="DB474">
        <f t="shared" si="18"/>
      </c>
      <c r="DC474">
        <f t="shared" si="19"/>
      </c>
      <c r="DD474">
        <f t="shared" si="20"/>
      </c>
      <c r="DE474">
        <f t="shared" si="21"/>
      </c>
      <c r="DF474">
        <f t="shared" si="22"/>
      </c>
      <c r="DG474">
        <f t="shared" si="23"/>
      </c>
      <c r="DH474">
        <f t="shared" si="24"/>
      </c>
      <c r="DI474">
        <f t="shared" si="1"/>
      </c>
    </row>
    <row r="475" ht="15" customHeight="1">
      <c r="B475">
        <f t="shared" si="2"/>
      </c>
      <c r="R475">
        <f t="shared" si="3"/>
        <v>0</v>
      </c>
      <c r="S475">
        <f t="shared" si="4"/>
        <v>0</v>
      </c>
      <c r="T475">
        <f t="shared" si="5"/>
        <v>0</v>
      </c>
      <c r="U475">
        <f t="shared" si="6"/>
        <v>0</v>
      </c>
      <c r="V475">
        <f t="shared" si="7"/>
        <v>0</v>
      </c>
      <c r="W475">
        <f t="shared" si="8"/>
        <v>0</v>
      </c>
      <c r="X475">
        <f t="shared" si="9"/>
        <v>0</v>
      </c>
      <c r="Y475">
        <f t="shared" si="10"/>
        <v>0</v>
      </c>
      <c r="Z475">
        <f t="shared" si="11"/>
        <v>0</v>
      </c>
      <c r="AA475">
        <f t="shared" si="12"/>
        <v>0</v>
      </c>
      <c r="AB475">
        <f t="shared" si="13"/>
        <v>0</v>
      </c>
      <c r="AC475">
        <f t="shared" si="14"/>
        <v>0</v>
      </c>
      <c r="AE475">
        <f t="shared" si="0"/>
      </c>
      <c r="AV475">
        <f t="shared" si="15"/>
      </c>
      <c r="BM475">
        <f t="shared" si="16"/>
      </c>
      <c r="CD475">
        <f t="shared" si="0"/>
      </c>
      <c r="CZ475">
        <f t="shared" si="17"/>
      </c>
      <c r="DA475">
        <f t="shared" si="1"/>
      </c>
      <c r="DB475">
        <f t="shared" si="18"/>
      </c>
      <c r="DC475">
        <f t="shared" si="19"/>
      </c>
      <c r="DD475">
        <f t="shared" si="20"/>
      </c>
      <c r="DE475">
        <f t="shared" si="21"/>
      </c>
      <c r="DF475">
        <f t="shared" si="22"/>
      </c>
      <c r="DG475">
        <f t="shared" si="23"/>
      </c>
      <c r="DH475">
        <f t="shared" si="24"/>
      </c>
      <c r="DI475">
        <f t="shared" si="1"/>
      </c>
    </row>
    <row r="476" ht="15" customHeight="1">
      <c r="B476">
        <f t="shared" si="2"/>
      </c>
      <c r="R476">
        <f t="shared" si="3"/>
        <v>0</v>
      </c>
      <c r="S476">
        <f t="shared" si="4"/>
        <v>0</v>
      </c>
      <c r="T476">
        <f t="shared" si="5"/>
        <v>0</v>
      </c>
      <c r="U476">
        <f t="shared" si="6"/>
        <v>0</v>
      </c>
      <c r="V476">
        <f t="shared" si="7"/>
        <v>0</v>
      </c>
      <c r="W476">
        <f t="shared" si="8"/>
        <v>0</v>
      </c>
      <c r="X476">
        <f t="shared" si="9"/>
        <v>0</v>
      </c>
      <c r="Y476">
        <f t="shared" si="10"/>
        <v>0</v>
      </c>
      <c r="Z476">
        <f t="shared" si="11"/>
        <v>0</v>
      </c>
      <c r="AA476">
        <f t="shared" si="12"/>
        <v>0</v>
      </c>
      <c r="AB476">
        <f t="shared" si="13"/>
        <v>0</v>
      </c>
      <c r="AC476">
        <f t="shared" si="14"/>
        <v>0</v>
      </c>
      <c r="AE476">
        <f t="shared" si="0"/>
      </c>
      <c r="AV476">
        <f t="shared" si="15"/>
      </c>
      <c r="BM476">
        <f t="shared" si="16"/>
      </c>
      <c r="CD476">
        <f t="shared" si="0"/>
      </c>
      <c r="CZ476">
        <f t="shared" si="17"/>
      </c>
      <c r="DA476">
        <f t="shared" si="1"/>
      </c>
      <c r="DB476">
        <f t="shared" si="18"/>
      </c>
      <c r="DC476">
        <f t="shared" si="19"/>
      </c>
      <c r="DD476">
        <f t="shared" si="20"/>
      </c>
      <c r="DE476">
        <f t="shared" si="21"/>
      </c>
      <c r="DF476">
        <f t="shared" si="22"/>
      </c>
      <c r="DG476">
        <f t="shared" si="23"/>
      </c>
      <c r="DH476">
        <f t="shared" si="24"/>
      </c>
      <c r="DI476">
        <f t="shared" si="1"/>
      </c>
    </row>
    <row r="477" ht="15" customHeight="1">
      <c r="B477">
        <f t="shared" si="2"/>
      </c>
      <c r="R477">
        <f t="shared" si="3"/>
        <v>0</v>
      </c>
      <c r="S477">
        <f t="shared" si="4"/>
        <v>0</v>
      </c>
      <c r="T477">
        <f t="shared" si="5"/>
        <v>0</v>
      </c>
      <c r="U477">
        <f t="shared" si="6"/>
        <v>0</v>
      </c>
      <c r="V477">
        <f t="shared" si="7"/>
        <v>0</v>
      </c>
      <c r="W477">
        <f t="shared" si="8"/>
        <v>0</v>
      </c>
      <c r="X477">
        <f t="shared" si="9"/>
        <v>0</v>
      </c>
      <c r="Y477">
        <f t="shared" si="10"/>
        <v>0</v>
      </c>
      <c r="Z477">
        <f t="shared" si="11"/>
        <v>0</v>
      </c>
      <c r="AA477">
        <f t="shared" si="12"/>
        <v>0</v>
      </c>
      <c r="AB477">
        <f t="shared" si="13"/>
        <v>0</v>
      </c>
      <c r="AC477">
        <f t="shared" si="14"/>
        <v>0</v>
      </c>
      <c r="AE477">
        <f t="shared" si="0"/>
      </c>
      <c r="AV477">
        <f t="shared" si="15"/>
      </c>
      <c r="BM477">
        <f t="shared" si="16"/>
      </c>
      <c r="CD477">
        <f t="shared" si="0"/>
      </c>
      <c r="CZ477">
        <f t="shared" si="17"/>
      </c>
      <c r="DA477">
        <f t="shared" si="1"/>
      </c>
      <c r="DB477">
        <f t="shared" si="18"/>
      </c>
      <c r="DC477">
        <f t="shared" si="19"/>
      </c>
      <c r="DD477">
        <f t="shared" si="20"/>
      </c>
      <c r="DE477">
        <f t="shared" si="21"/>
      </c>
      <c r="DF477">
        <f t="shared" si="22"/>
      </c>
      <c r="DG477">
        <f t="shared" si="23"/>
      </c>
      <c r="DH477">
        <f t="shared" si="24"/>
      </c>
      <c r="DI477">
        <f t="shared" si="1"/>
      </c>
    </row>
    <row r="478" ht="15" customHeight="1">
      <c r="B478">
        <f t="shared" si="2"/>
      </c>
      <c r="R478">
        <f t="shared" si="3"/>
        <v>0</v>
      </c>
      <c r="S478">
        <f t="shared" si="4"/>
        <v>0</v>
      </c>
      <c r="T478">
        <f t="shared" si="5"/>
        <v>0</v>
      </c>
      <c r="U478">
        <f t="shared" si="6"/>
        <v>0</v>
      </c>
      <c r="V478">
        <f t="shared" si="7"/>
        <v>0</v>
      </c>
      <c r="W478">
        <f t="shared" si="8"/>
        <v>0</v>
      </c>
      <c r="X478">
        <f t="shared" si="9"/>
        <v>0</v>
      </c>
      <c r="Y478">
        <f t="shared" si="10"/>
        <v>0</v>
      </c>
      <c r="Z478">
        <f t="shared" si="11"/>
        <v>0</v>
      </c>
      <c r="AA478">
        <f t="shared" si="12"/>
        <v>0</v>
      </c>
      <c r="AB478">
        <f t="shared" si="13"/>
        <v>0</v>
      </c>
      <c r="AC478">
        <f t="shared" si="14"/>
        <v>0</v>
      </c>
      <c r="AE478">
        <f t="shared" si="0"/>
      </c>
      <c r="AV478">
        <f t="shared" si="15"/>
      </c>
      <c r="BM478">
        <f t="shared" si="16"/>
      </c>
      <c r="CD478">
        <f t="shared" si="0"/>
      </c>
      <c r="CZ478">
        <f t="shared" si="17"/>
      </c>
      <c r="DA478">
        <f t="shared" si="1"/>
      </c>
      <c r="DB478">
        <f t="shared" si="18"/>
      </c>
      <c r="DC478">
        <f t="shared" si="19"/>
      </c>
      <c r="DD478">
        <f t="shared" si="20"/>
      </c>
      <c r="DE478">
        <f t="shared" si="21"/>
      </c>
      <c r="DF478">
        <f t="shared" si="22"/>
      </c>
      <c r="DG478">
        <f t="shared" si="23"/>
      </c>
      <c r="DH478">
        <f t="shared" si="24"/>
      </c>
      <c r="DI478">
        <f t="shared" si="1"/>
      </c>
    </row>
    <row r="479" ht="15" customHeight="1">
      <c r="B479">
        <f t="shared" si="2"/>
      </c>
      <c r="R479">
        <f t="shared" si="3"/>
        <v>0</v>
      </c>
      <c r="S479">
        <f t="shared" si="4"/>
        <v>0</v>
      </c>
      <c r="T479">
        <f t="shared" si="5"/>
        <v>0</v>
      </c>
      <c r="U479">
        <f t="shared" si="6"/>
        <v>0</v>
      </c>
      <c r="V479">
        <f t="shared" si="7"/>
        <v>0</v>
      </c>
      <c r="W479">
        <f t="shared" si="8"/>
        <v>0</v>
      </c>
      <c r="X479">
        <f t="shared" si="9"/>
        <v>0</v>
      </c>
      <c r="Y479">
        <f t="shared" si="10"/>
        <v>0</v>
      </c>
      <c r="Z479">
        <f t="shared" si="11"/>
        <v>0</v>
      </c>
      <c r="AA479">
        <f t="shared" si="12"/>
        <v>0</v>
      </c>
      <c r="AB479">
        <f t="shared" si="13"/>
        <v>0</v>
      </c>
      <c r="AC479">
        <f t="shared" si="14"/>
        <v>0</v>
      </c>
      <c r="AE479">
        <f t="shared" si="0"/>
      </c>
      <c r="AV479">
        <f t="shared" si="15"/>
      </c>
      <c r="BM479">
        <f t="shared" si="16"/>
      </c>
      <c r="CD479">
        <f t="shared" si="0"/>
      </c>
      <c r="CZ479">
        <f t="shared" si="17"/>
      </c>
      <c r="DA479">
        <f t="shared" si="1"/>
      </c>
      <c r="DB479">
        <f t="shared" si="18"/>
      </c>
      <c r="DC479">
        <f t="shared" si="19"/>
      </c>
      <c r="DD479">
        <f t="shared" si="20"/>
      </c>
      <c r="DE479">
        <f t="shared" si="21"/>
      </c>
      <c r="DF479">
        <f t="shared" si="22"/>
      </c>
      <c r="DG479">
        <f t="shared" si="23"/>
      </c>
      <c r="DH479">
        <f t="shared" si="24"/>
      </c>
      <c r="DI479">
        <f t="shared" si="1"/>
      </c>
    </row>
    <row r="480" ht="15" customHeight="1">
      <c r="B480">
        <f t="shared" si="2"/>
      </c>
      <c r="R480">
        <f t="shared" si="3"/>
        <v>0</v>
      </c>
      <c r="S480">
        <f t="shared" si="4"/>
        <v>0</v>
      </c>
      <c r="T480">
        <f t="shared" si="5"/>
        <v>0</v>
      </c>
      <c r="U480">
        <f t="shared" si="6"/>
        <v>0</v>
      </c>
      <c r="V480">
        <f t="shared" si="7"/>
        <v>0</v>
      </c>
      <c r="W480">
        <f t="shared" si="8"/>
        <v>0</v>
      </c>
      <c r="X480">
        <f t="shared" si="9"/>
        <v>0</v>
      </c>
      <c r="Y480">
        <f t="shared" si="10"/>
        <v>0</v>
      </c>
      <c r="Z480">
        <f t="shared" si="11"/>
        <v>0</v>
      </c>
      <c r="AA480">
        <f t="shared" si="12"/>
        <v>0</v>
      </c>
      <c r="AB480">
        <f t="shared" si="13"/>
        <v>0</v>
      </c>
      <c r="AC480">
        <f t="shared" si="14"/>
        <v>0</v>
      </c>
      <c r="AE480">
        <f t="shared" si="0"/>
      </c>
      <c r="AV480">
        <f t="shared" si="15"/>
      </c>
      <c r="BM480">
        <f t="shared" si="16"/>
      </c>
      <c r="CD480">
        <f t="shared" si="0"/>
      </c>
      <c r="CZ480">
        <f t="shared" si="17"/>
      </c>
      <c r="DA480">
        <f t="shared" si="1"/>
      </c>
      <c r="DB480">
        <f t="shared" si="18"/>
      </c>
      <c r="DC480">
        <f t="shared" si="19"/>
      </c>
      <c r="DD480">
        <f t="shared" si="20"/>
      </c>
      <c r="DE480">
        <f t="shared" si="21"/>
      </c>
      <c r="DF480">
        <f t="shared" si="22"/>
      </c>
      <c r="DG480">
        <f t="shared" si="23"/>
      </c>
      <c r="DH480">
        <f t="shared" si="24"/>
      </c>
      <c r="DI480">
        <f t="shared" si="1"/>
      </c>
    </row>
    <row r="481" ht="15" customHeight="1">
      <c r="B481">
        <f t="shared" si="2"/>
      </c>
      <c r="R481">
        <f t="shared" si="3"/>
        <v>0</v>
      </c>
      <c r="S481">
        <f t="shared" si="4"/>
        <v>0</v>
      </c>
      <c r="T481">
        <f t="shared" si="5"/>
        <v>0</v>
      </c>
      <c r="U481">
        <f t="shared" si="6"/>
        <v>0</v>
      </c>
      <c r="V481">
        <f t="shared" si="7"/>
        <v>0</v>
      </c>
      <c r="W481">
        <f t="shared" si="8"/>
        <v>0</v>
      </c>
      <c r="X481">
        <f t="shared" si="9"/>
        <v>0</v>
      </c>
      <c r="Y481">
        <f t="shared" si="10"/>
        <v>0</v>
      </c>
      <c r="Z481">
        <f t="shared" si="11"/>
        <v>0</v>
      </c>
      <c r="AA481">
        <f t="shared" si="12"/>
        <v>0</v>
      </c>
      <c r="AB481">
        <f t="shared" si="13"/>
        <v>0</v>
      </c>
      <c r="AC481">
        <f t="shared" si="14"/>
        <v>0</v>
      </c>
      <c r="AE481">
        <f t="shared" si="0"/>
      </c>
      <c r="AV481">
        <f t="shared" si="15"/>
      </c>
      <c r="BM481">
        <f t="shared" si="16"/>
      </c>
      <c r="CD481">
        <f t="shared" si="0"/>
      </c>
      <c r="CZ481">
        <f t="shared" si="17"/>
      </c>
      <c r="DA481">
        <f t="shared" si="1"/>
      </c>
      <c r="DB481">
        <f t="shared" si="18"/>
      </c>
      <c r="DC481">
        <f t="shared" si="19"/>
      </c>
      <c r="DD481">
        <f t="shared" si="20"/>
      </c>
      <c r="DE481">
        <f t="shared" si="21"/>
      </c>
      <c r="DF481">
        <f t="shared" si="22"/>
      </c>
      <c r="DG481">
        <f t="shared" si="23"/>
      </c>
      <c r="DH481">
        <f t="shared" si="24"/>
      </c>
      <c r="DI481">
        <f t="shared" si="1"/>
      </c>
    </row>
    <row r="482" ht="15" customHeight="1">
      <c r="B482">
        <f t="shared" si="2"/>
      </c>
      <c r="R482">
        <f t="shared" si="3"/>
        <v>0</v>
      </c>
      <c r="S482">
        <f t="shared" si="4"/>
        <v>0</v>
      </c>
      <c r="T482">
        <f t="shared" si="5"/>
        <v>0</v>
      </c>
      <c r="U482">
        <f t="shared" si="6"/>
        <v>0</v>
      </c>
      <c r="V482">
        <f t="shared" si="7"/>
        <v>0</v>
      </c>
      <c r="W482">
        <f t="shared" si="8"/>
        <v>0</v>
      </c>
      <c r="X482">
        <f t="shared" si="9"/>
        <v>0</v>
      </c>
      <c r="Y482">
        <f t="shared" si="10"/>
        <v>0</v>
      </c>
      <c r="Z482">
        <f t="shared" si="11"/>
        <v>0</v>
      </c>
      <c r="AA482">
        <f t="shared" si="12"/>
        <v>0</v>
      </c>
      <c r="AB482">
        <f t="shared" si="13"/>
        <v>0</v>
      </c>
      <c r="AC482">
        <f t="shared" si="14"/>
        <v>0</v>
      </c>
      <c r="AE482">
        <f t="shared" si="0"/>
      </c>
      <c r="AV482">
        <f t="shared" si="15"/>
      </c>
      <c r="BM482">
        <f t="shared" si="16"/>
      </c>
      <c r="CD482">
        <f t="shared" si="0"/>
      </c>
      <c r="CZ482">
        <f t="shared" si="17"/>
      </c>
      <c r="DA482">
        <f t="shared" si="1"/>
      </c>
      <c r="DB482">
        <f t="shared" si="18"/>
      </c>
      <c r="DC482">
        <f t="shared" si="19"/>
      </c>
      <c r="DD482">
        <f t="shared" si="20"/>
      </c>
      <c r="DE482">
        <f t="shared" si="21"/>
      </c>
      <c r="DF482">
        <f t="shared" si="22"/>
      </c>
      <c r="DG482">
        <f t="shared" si="23"/>
      </c>
      <c r="DH482">
        <f t="shared" si="24"/>
      </c>
      <c r="DI482">
        <f t="shared" si="1"/>
      </c>
    </row>
    <row r="483" ht="15" customHeight="1">
      <c r="B483">
        <f t="shared" si="2"/>
      </c>
      <c r="R483">
        <f t="shared" si="3"/>
        <v>0</v>
      </c>
      <c r="S483">
        <f t="shared" si="4"/>
        <v>0</v>
      </c>
      <c r="T483">
        <f t="shared" si="5"/>
        <v>0</v>
      </c>
      <c r="U483">
        <f t="shared" si="6"/>
        <v>0</v>
      </c>
      <c r="V483">
        <f t="shared" si="7"/>
        <v>0</v>
      </c>
      <c r="W483">
        <f t="shared" si="8"/>
        <v>0</v>
      </c>
      <c r="X483">
        <f t="shared" si="9"/>
        <v>0</v>
      </c>
      <c r="Y483">
        <f t="shared" si="10"/>
        <v>0</v>
      </c>
      <c r="Z483">
        <f t="shared" si="11"/>
        <v>0</v>
      </c>
      <c r="AA483">
        <f t="shared" si="12"/>
        <v>0</v>
      </c>
      <c r="AB483">
        <f t="shared" si="13"/>
        <v>0</v>
      </c>
      <c r="AC483">
        <f t="shared" si="14"/>
        <v>0</v>
      </c>
      <c r="AE483">
        <f t="shared" si="0"/>
      </c>
      <c r="AV483">
        <f t="shared" si="15"/>
      </c>
      <c r="BM483">
        <f t="shared" si="16"/>
      </c>
      <c r="CD483">
        <f t="shared" si="0"/>
      </c>
      <c r="CZ483">
        <f t="shared" si="17"/>
      </c>
      <c r="DA483">
        <f t="shared" si="1"/>
      </c>
      <c r="DB483">
        <f t="shared" si="18"/>
      </c>
      <c r="DC483">
        <f t="shared" si="19"/>
      </c>
      <c r="DD483">
        <f t="shared" si="20"/>
      </c>
      <c r="DE483">
        <f t="shared" si="21"/>
      </c>
      <c r="DF483">
        <f t="shared" si="22"/>
      </c>
      <c r="DG483">
        <f t="shared" si="23"/>
      </c>
      <c r="DH483">
        <f t="shared" si="24"/>
      </c>
      <c r="DI483">
        <f t="shared" si="1"/>
      </c>
    </row>
    <row r="484" ht="15" customHeight="1">
      <c r="B484">
        <f t="shared" si="2"/>
      </c>
      <c r="R484">
        <f t="shared" si="3"/>
        <v>0</v>
      </c>
      <c r="S484">
        <f t="shared" si="4"/>
        <v>0</v>
      </c>
      <c r="T484">
        <f t="shared" si="5"/>
        <v>0</v>
      </c>
      <c r="U484">
        <f t="shared" si="6"/>
        <v>0</v>
      </c>
      <c r="V484">
        <f t="shared" si="7"/>
        <v>0</v>
      </c>
      <c r="W484">
        <f t="shared" si="8"/>
        <v>0</v>
      </c>
      <c r="X484">
        <f t="shared" si="9"/>
        <v>0</v>
      </c>
      <c r="Y484">
        <f t="shared" si="10"/>
        <v>0</v>
      </c>
      <c r="Z484">
        <f t="shared" si="11"/>
        <v>0</v>
      </c>
      <c r="AA484">
        <f t="shared" si="12"/>
        <v>0</v>
      </c>
      <c r="AB484">
        <f t="shared" si="13"/>
        <v>0</v>
      </c>
      <c r="AC484">
        <f t="shared" si="14"/>
        <v>0</v>
      </c>
      <c r="AE484">
        <f t="shared" si="0"/>
      </c>
      <c r="AV484">
        <f t="shared" si="15"/>
      </c>
      <c r="BM484">
        <f t="shared" si="16"/>
      </c>
      <c r="CD484">
        <f t="shared" si="0"/>
      </c>
      <c r="CZ484">
        <f t="shared" si="17"/>
      </c>
      <c r="DA484">
        <f t="shared" si="1"/>
      </c>
      <c r="DB484">
        <f t="shared" si="18"/>
      </c>
      <c r="DC484">
        <f t="shared" si="19"/>
      </c>
      <c r="DD484">
        <f t="shared" si="20"/>
      </c>
      <c r="DE484">
        <f t="shared" si="21"/>
      </c>
      <c r="DF484">
        <f t="shared" si="22"/>
      </c>
      <c r="DG484">
        <f t="shared" si="23"/>
      </c>
      <c r="DH484">
        <f t="shared" si="24"/>
      </c>
      <c r="DI484">
        <f t="shared" si="1"/>
      </c>
    </row>
    <row r="485" ht="15" customHeight="1">
      <c r="B485">
        <f t="shared" si="2"/>
      </c>
      <c r="R485">
        <f t="shared" si="3"/>
        <v>0</v>
      </c>
      <c r="S485">
        <f t="shared" si="4"/>
        <v>0</v>
      </c>
      <c r="T485">
        <f t="shared" si="5"/>
        <v>0</v>
      </c>
      <c r="U485">
        <f t="shared" si="6"/>
        <v>0</v>
      </c>
      <c r="V485">
        <f t="shared" si="7"/>
        <v>0</v>
      </c>
      <c r="W485">
        <f t="shared" si="8"/>
        <v>0</v>
      </c>
      <c r="X485">
        <f t="shared" si="9"/>
        <v>0</v>
      </c>
      <c r="Y485">
        <f t="shared" si="10"/>
        <v>0</v>
      </c>
      <c r="Z485">
        <f t="shared" si="11"/>
        <v>0</v>
      </c>
      <c r="AA485">
        <f t="shared" si="12"/>
        <v>0</v>
      </c>
      <c r="AB485">
        <f t="shared" si="13"/>
        <v>0</v>
      </c>
      <c r="AC485">
        <f t="shared" si="14"/>
        <v>0</v>
      </c>
      <c r="AE485">
        <f t="shared" si="0"/>
      </c>
      <c r="AV485">
        <f t="shared" si="15"/>
      </c>
      <c r="BM485">
        <f t="shared" si="16"/>
      </c>
      <c r="CD485">
        <f t="shared" si="0"/>
      </c>
      <c r="CZ485">
        <f t="shared" si="17"/>
      </c>
      <c r="DA485">
        <f t="shared" si="1"/>
      </c>
      <c r="DB485">
        <f t="shared" si="18"/>
      </c>
      <c r="DC485">
        <f t="shared" si="19"/>
      </c>
      <c r="DD485">
        <f t="shared" si="20"/>
      </c>
      <c r="DE485">
        <f t="shared" si="21"/>
      </c>
      <c r="DF485">
        <f t="shared" si="22"/>
      </c>
      <c r="DG485">
        <f t="shared" si="23"/>
      </c>
      <c r="DH485">
        <f t="shared" si="24"/>
      </c>
      <c r="DI485">
        <f t="shared" si="1"/>
      </c>
    </row>
    <row r="486" ht="15" customHeight="1">
      <c r="B486">
        <f t="shared" si="2"/>
      </c>
      <c r="R486">
        <f t="shared" si="3"/>
        <v>0</v>
      </c>
      <c r="S486">
        <f t="shared" si="4"/>
        <v>0</v>
      </c>
      <c r="T486">
        <f t="shared" si="5"/>
        <v>0</v>
      </c>
      <c r="U486">
        <f t="shared" si="6"/>
        <v>0</v>
      </c>
      <c r="V486">
        <f t="shared" si="7"/>
        <v>0</v>
      </c>
      <c r="W486">
        <f t="shared" si="8"/>
        <v>0</v>
      </c>
      <c r="X486">
        <f t="shared" si="9"/>
        <v>0</v>
      </c>
      <c r="Y486">
        <f t="shared" si="10"/>
        <v>0</v>
      </c>
      <c r="Z486">
        <f t="shared" si="11"/>
        <v>0</v>
      </c>
      <c r="AA486">
        <f t="shared" si="12"/>
        <v>0</v>
      </c>
      <c r="AB486">
        <f t="shared" si="13"/>
        <v>0</v>
      </c>
      <c r="AC486">
        <f t="shared" si="14"/>
        <v>0</v>
      </c>
      <c r="AE486">
        <f t="shared" si="0"/>
      </c>
      <c r="AV486">
        <f t="shared" si="15"/>
      </c>
      <c r="BM486">
        <f t="shared" si="16"/>
      </c>
      <c r="CD486">
        <f t="shared" si="0"/>
      </c>
      <c r="CZ486">
        <f t="shared" si="17"/>
      </c>
      <c r="DA486">
        <f t="shared" si="1"/>
      </c>
      <c r="DB486">
        <f t="shared" si="18"/>
      </c>
      <c r="DC486">
        <f t="shared" si="19"/>
      </c>
      <c r="DD486">
        <f t="shared" si="20"/>
      </c>
      <c r="DE486">
        <f t="shared" si="21"/>
      </c>
      <c r="DF486">
        <f t="shared" si="22"/>
      </c>
      <c r="DG486">
        <f t="shared" si="23"/>
      </c>
      <c r="DH486">
        <f t="shared" si="24"/>
      </c>
      <c r="DI486">
        <f t="shared" si="1"/>
      </c>
    </row>
    <row r="487" ht="15" customHeight="1">
      <c r="B487">
        <f t="shared" si="2"/>
      </c>
      <c r="R487">
        <f t="shared" si="3"/>
        <v>0</v>
      </c>
      <c r="S487">
        <f t="shared" si="4"/>
        <v>0</v>
      </c>
      <c r="T487">
        <f t="shared" si="5"/>
        <v>0</v>
      </c>
      <c r="U487">
        <f t="shared" si="6"/>
        <v>0</v>
      </c>
      <c r="V487">
        <f t="shared" si="7"/>
        <v>0</v>
      </c>
      <c r="W487">
        <f t="shared" si="8"/>
        <v>0</v>
      </c>
      <c r="X487">
        <f t="shared" si="9"/>
        <v>0</v>
      </c>
      <c r="Y487">
        <f t="shared" si="10"/>
        <v>0</v>
      </c>
      <c r="Z487">
        <f t="shared" si="11"/>
        <v>0</v>
      </c>
      <c r="AA487">
        <f t="shared" si="12"/>
        <v>0</v>
      </c>
      <c r="AB487">
        <f t="shared" si="13"/>
        <v>0</v>
      </c>
      <c r="AC487">
        <f t="shared" si="14"/>
        <v>0</v>
      </c>
      <c r="AE487">
        <f t="shared" si="0"/>
      </c>
      <c r="AV487">
        <f t="shared" si="15"/>
      </c>
      <c r="BM487">
        <f t="shared" si="16"/>
      </c>
      <c r="CD487">
        <f t="shared" si="0"/>
      </c>
      <c r="CZ487">
        <f t="shared" si="17"/>
      </c>
      <c r="DA487">
        <f t="shared" si="1"/>
      </c>
      <c r="DB487">
        <f t="shared" si="18"/>
      </c>
      <c r="DC487">
        <f t="shared" si="19"/>
      </c>
      <c r="DD487">
        <f t="shared" si="20"/>
      </c>
      <c r="DE487">
        <f t="shared" si="21"/>
      </c>
      <c r="DF487">
        <f t="shared" si="22"/>
      </c>
      <c r="DG487">
        <f t="shared" si="23"/>
      </c>
      <c r="DH487">
        <f t="shared" si="24"/>
      </c>
      <c r="DI487">
        <f t="shared" si="1"/>
      </c>
    </row>
    <row r="488" ht="15" customHeight="1">
      <c r="B488">
        <f t="shared" si="2"/>
      </c>
      <c r="R488">
        <f t="shared" si="3"/>
        <v>0</v>
      </c>
      <c r="S488">
        <f t="shared" si="4"/>
        <v>0</v>
      </c>
      <c r="T488">
        <f t="shared" si="5"/>
        <v>0</v>
      </c>
      <c r="U488">
        <f t="shared" si="6"/>
        <v>0</v>
      </c>
      <c r="V488">
        <f t="shared" si="7"/>
        <v>0</v>
      </c>
      <c r="W488">
        <f t="shared" si="8"/>
        <v>0</v>
      </c>
      <c r="X488">
        <f t="shared" si="9"/>
        <v>0</v>
      </c>
      <c r="Y488">
        <f t="shared" si="10"/>
        <v>0</v>
      </c>
      <c r="Z488">
        <f t="shared" si="11"/>
        <v>0</v>
      </c>
      <c r="AA488">
        <f t="shared" si="12"/>
        <v>0</v>
      </c>
      <c r="AB488">
        <f t="shared" si="13"/>
        <v>0</v>
      </c>
      <c r="AC488">
        <f t="shared" si="14"/>
        <v>0</v>
      </c>
      <c r="AE488">
        <f t="shared" si="0"/>
      </c>
      <c r="AV488">
        <f t="shared" si="15"/>
      </c>
      <c r="BM488">
        <f t="shared" si="16"/>
      </c>
      <c r="CD488">
        <f t="shared" si="0"/>
      </c>
      <c r="CZ488">
        <f t="shared" si="17"/>
      </c>
      <c r="DA488">
        <f t="shared" si="1"/>
      </c>
      <c r="DB488">
        <f t="shared" si="18"/>
      </c>
      <c r="DC488">
        <f t="shared" si="19"/>
      </c>
      <c r="DD488">
        <f t="shared" si="20"/>
      </c>
      <c r="DE488">
        <f t="shared" si="21"/>
      </c>
      <c r="DF488">
        <f t="shared" si="22"/>
      </c>
      <c r="DG488">
        <f t="shared" si="23"/>
      </c>
      <c r="DH488">
        <f t="shared" si="24"/>
      </c>
      <c r="DI488">
        <f t="shared" si="1"/>
      </c>
    </row>
    <row r="489" ht="15" customHeight="1">
      <c r="B489">
        <f t="shared" si="2"/>
      </c>
      <c r="R489">
        <f t="shared" si="3"/>
        <v>0</v>
      </c>
      <c r="S489">
        <f t="shared" si="4"/>
        <v>0</v>
      </c>
      <c r="T489">
        <f t="shared" si="5"/>
        <v>0</v>
      </c>
      <c r="U489">
        <f t="shared" si="6"/>
        <v>0</v>
      </c>
      <c r="V489">
        <f t="shared" si="7"/>
        <v>0</v>
      </c>
      <c r="W489">
        <f t="shared" si="8"/>
        <v>0</v>
      </c>
      <c r="X489">
        <f t="shared" si="9"/>
        <v>0</v>
      </c>
      <c r="Y489">
        <f t="shared" si="10"/>
        <v>0</v>
      </c>
      <c r="Z489">
        <f t="shared" si="11"/>
        <v>0</v>
      </c>
      <c r="AA489">
        <f t="shared" si="12"/>
        <v>0</v>
      </c>
      <c r="AB489">
        <f t="shared" si="13"/>
        <v>0</v>
      </c>
      <c r="AC489">
        <f t="shared" si="14"/>
        <v>0</v>
      </c>
      <c r="AE489">
        <f t="shared" si="0"/>
      </c>
      <c r="AV489">
        <f t="shared" si="15"/>
      </c>
      <c r="BM489">
        <f t="shared" si="16"/>
      </c>
      <c r="CD489">
        <f t="shared" si="0"/>
      </c>
      <c r="CZ489">
        <f t="shared" si="17"/>
      </c>
      <c r="DA489">
        <f t="shared" si="1"/>
      </c>
      <c r="DB489">
        <f t="shared" si="18"/>
      </c>
      <c r="DC489">
        <f t="shared" si="19"/>
      </c>
      <c r="DD489">
        <f t="shared" si="20"/>
      </c>
      <c r="DE489">
        <f t="shared" si="21"/>
      </c>
      <c r="DF489">
        <f t="shared" si="22"/>
      </c>
      <c r="DG489">
        <f t="shared" si="23"/>
      </c>
      <c r="DH489">
        <f t="shared" si="24"/>
      </c>
      <c r="DI489">
        <f t="shared" si="1"/>
      </c>
    </row>
    <row r="490" ht="15" customHeight="1">
      <c r="B490">
        <f t="shared" si="2"/>
      </c>
      <c r="R490">
        <f t="shared" si="3"/>
        <v>0</v>
      </c>
      <c r="S490">
        <f t="shared" si="4"/>
        <v>0</v>
      </c>
      <c r="T490">
        <f t="shared" si="5"/>
        <v>0</v>
      </c>
      <c r="U490">
        <f t="shared" si="6"/>
        <v>0</v>
      </c>
      <c r="V490">
        <f t="shared" si="7"/>
        <v>0</v>
      </c>
      <c r="W490">
        <f t="shared" si="8"/>
        <v>0</v>
      </c>
      <c r="X490">
        <f t="shared" si="9"/>
        <v>0</v>
      </c>
      <c r="Y490">
        <f t="shared" si="10"/>
        <v>0</v>
      </c>
      <c r="Z490">
        <f t="shared" si="11"/>
        <v>0</v>
      </c>
      <c r="AA490">
        <f t="shared" si="12"/>
        <v>0</v>
      </c>
      <c r="AB490">
        <f t="shared" si="13"/>
        <v>0</v>
      </c>
      <c r="AC490">
        <f t="shared" si="14"/>
        <v>0</v>
      </c>
      <c r="AE490">
        <f t="shared" si="0"/>
      </c>
      <c r="AV490">
        <f t="shared" si="15"/>
      </c>
      <c r="BM490">
        <f t="shared" si="16"/>
      </c>
      <c r="CD490">
        <f t="shared" si="0"/>
      </c>
      <c r="CZ490">
        <f t="shared" si="17"/>
      </c>
      <c r="DA490">
        <f t="shared" si="1"/>
      </c>
      <c r="DB490">
        <f t="shared" si="18"/>
      </c>
      <c r="DC490">
        <f t="shared" si="19"/>
      </c>
      <c r="DD490">
        <f t="shared" si="20"/>
      </c>
      <c r="DE490">
        <f t="shared" si="21"/>
      </c>
      <c r="DF490">
        <f t="shared" si="22"/>
      </c>
      <c r="DG490">
        <f t="shared" si="23"/>
      </c>
      <c r="DH490">
        <f t="shared" si="24"/>
      </c>
      <c r="DI490">
        <f t="shared" si="1"/>
      </c>
    </row>
    <row r="491" ht="15" customHeight="1">
      <c r="B491">
        <f t="shared" si="2"/>
      </c>
      <c r="R491">
        <f t="shared" si="3"/>
        <v>0</v>
      </c>
      <c r="S491">
        <f t="shared" si="4"/>
        <v>0</v>
      </c>
      <c r="T491">
        <f t="shared" si="5"/>
        <v>0</v>
      </c>
      <c r="U491">
        <f t="shared" si="6"/>
        <v>0</v>
      </c>
      <c r="V491">
        <f t="shared" si="7"/>
        <v>0</v>
      </c>
      <c r="W491">
        <f t="shared" si="8"/>
        <v>0</v>
      </c>
      <c r="X491">
        <f t="shared" si="9"/>
        <v>0</v>
      </c>
      <c r="Y491">
        <f t="shared" si="10"/>
        <v>0</v>
      </c>
      <c r="Z491">
        <f t="shared" si="11"/>
        <v>0</v>
      </c>
      <c r="AA491">
        <f t="shared" si="12"/>
        <v>0</v>
      </c>
      <c r="AB491">
        <f t="shared" si="13"/>
        <v>0</v>
      </c>
      <c r="AC491">
        <f t="shared" si="14"/>
        <v>0</v>
      </c>
      <c r="AE491">
        <f t="shared" si="0"/>
      </c>
      <c r="AV491">
        <f t="shared" si="15"/>
      </c>
      <c r="BM491">
        <f t="shared" si="16"/>
      </c>
      <c r="CD491">
        <f t="shared" si="0"/>
      </c>
      <c r="CZ491">
        <f t="shared" si="17"/>
      </c>
      <c r="DA491">
        <f t="shared" si="1"/>
      </c>
      <c r="DB491">
        <f t="shared" si="18"/>
      </c>
      <c r="DC491">
        <f t="shared" si="19"/>
      </c>
      <c r="DD491">
        <f t="shared" si="20"/>
      </c>
      <c r="DE491">
        <f t="shared" si="21"/>
      </c>
      <c r="DF491">
        <f t="shared" si="22"/>
      </c>
      <c r="DG491">
        <f t="shared" si="23"/>
      </c>
      <c r="DH491">
        <f t="shared" si="24"/>
      </c>
      <c r="DI491">
        <f t="shared" si="1"/>
      </c>
    </row>
    <row r="492" ht="15" customHeight="1">
      <c r="B492">
        <f t="shared" si="2"/>
      </c>
      <c r="R492">
        <f t="shared" si="3"/>
        <v>0</v>
      </c>
      <c r="S492">
        <f t="shared" si="4"/>
        <v>0</v>
      </c>
      <c r="T492">
        <f t="shared" si="5"/>
        <v>0</v>
      </c>
      <c r="U492">
        <f t="shared" si="6"/>
        <v>0</v>
      </c>
      <c r="V492">
        <f t="shared" si="7"/>
        <v>0</v>
      </c>
      <c r="W492">
        <f t="shared" si="8"/>
        <v>0</v>
      </c>
      <c r="X492">
        <f t="shared" si="9"/>
        <v>0</v>
      </c>
      <c r="Y492">
        <f t="shared" si="10"/>
        <v>0</v>
      </c>
      <c r="Z492">
        <f t="shared" si="11"/>
        <v>0</v>
      </c>
      <c r="AA492">
        <f t="shared" si="12"/>
        <v>0</v>
      </c>
      <c r="AB492">
        <f t="shared" si="13"/>
        <v>0</v>
      </c>
      <c r="AC492">
        <f t="shared" si="14"/>
        <v>0</v>
      </c>
      <c r="AE492">
        <f t="shared" si="0"/>
      </c>
      <c r="AV492">
        <f t="shared" si="15"/>
      </c>
      <c r="BM492">
        <f t="shared" si="16"/>
      </c>
      <c r="CD492">
        <f t="shared" si="0"/>
      </c>
      <c r="CZ492">
        <f t="shared" si="17"/>
      </c>
      <c r="DA492">
        <f t="shared" si="1"/>
      </c>
      <c r="DB492">
        <f t="shared" si="18"/>
      </c>
      <c r="DC492">
        <f t="shared" si="19"/>
      </c>
      <c r="DD492">
        <f t="shared" si="20"/>
      </c>
      <c r="DE492">
        <f t="shared" si="21"/>
      </c>
      <c r="DF492">
        <f t="shared" si="22"/>
      </c>
      <c r="DG492">
        <f t="shared" si="23"/>
      </c>
      <c r="DH492">
        <f t="shared" si="24"/>
      </c>
      <c r="DI492">
        <f t="shared" si="1"/>
      </c>
    </row>
    <row r="493" ht="15" customHeight="1">
      <c r="B493">
        <f t="shared" si="2"/>
      </c>
      <c r="R493">
        <f t="shared" si="3"/>
        <v>0</v>
      </c>
      <c r="S493">
        <f t="shared" si="4"/>
        <v>0</v>
      </c>
      <c r="T493">
        <f t="shared" si="5"/>
        <v>0</v>
      </c>
      <c r="U493">
        <f t="shared" si="6"/>
        <v>0</v>
      </c>
      <c r="V493">
        <f t="shared" si="7"/>
        <v>0</v>
      </c>
      <c r="W493">
        <f t="shared" si="8"/>
        <v>0</v>
      </c>
      <c r="X493">
        <f t="shared" si="9"/>
        <v>0</v>
      </c>
      <c r="Y493">
        <f t="shared" si="10"/>
        <v>0</v>
      </c>
      <c r="Z493">
        <f t="shared" si="11"/>
        <v>0</v>
      </c>
      <c r="AA493">
        <f t="shared" si="12"/>
        <v>0</v>
      </c>
      <c r="AB493">
        <f t="shared" si="13"/>
        <v>0</v>
      </c>
      <c r="AC493">
        <f t="shared" si="14"/>
        <v>0</v>
      </c>
      <c r="AE493">
        <f t="shared" si="0"/>
      </c>
      <c r="AV493">
        <f t="shared" si="15"/>
      </c>
      <c r="BM493">
        <f t="shared" si="16"/>
      </c>
      <c r="CD493">
        <f t="shared" si="0"/>
      </c>
      <c r="CZ493">
        <f t="shared" si="17"/>
      </c>
      <c r="DA493">
        <f t="shared" si="1"/>
      </c>
      <c r="DB493">
        <f t="shared" si="18"/>
      </c>
      <c r="DC493">
        <f t="shared" si="19"/>
      </c>
      <c r="DD493">
        <f t="shared" si="20"/>
      </c>
      <c r="DE493">
        <f t="shared" si="21"/>
      </c>
      <c r="DF493">
        <f t="shared" si="22"/>
      </c>
      <c r="DG493">
        <f t="shared" si="23"/>
      </c>
      <c r="DH493">
        <f t="shared" si="24"/>
      </c>
      <c r="DI493">
        <f t="shared" si="1"/>
      </c>
    </row>
    <row r="494" ht="15" customHeight="1">
      <c r="B494">
        <f t="shared" si="2"/>
      </c>
      <c r="R494">
        <f t="shared" si="3"/>
        <v>0</v>
      </c>
      <c r="S494">
        <f t="shared" si="4"/>
        <v>0</v>
      </c>
      <c r="T494">
        <f t="shared" si="5"/>
        <v>0</v>
      </c>
      <c r="U494">
        <f t="shared" si="6"/>
        <v>0</v>
      </c>
      <c r="V494">
        <f t="shared" si="7"/>
        <v>0</v>
      </c>
      <c r="W494">
        <f t="shared" si="8"/>
        <v>0</v>
      </c>
      <c r="X494">
        <f t="shared" si="9"/>
        <v>0</v>
      </c>
      <c r="Y494">
        <f t="shared" si="10"/>
        <v>0</v>
      </c>
      <c r="Z494">
        <f t="shared" si="11"/>
        <v>0</v>
      </c>
      <c r="AA494">
        <f t="shared" si="12"/>
        <v>0</v>
      </c>
      <c r="AB494">
        <f t="shared" si="13"/>
        <v>0</v>
      </c>
      <c r="AC494">
        <f t="shared" si="14"/>
        <v>0</v>
      </c>
      <c r="AE494">
        <f t="shared" si="0"/>
      </c>
      <c r="AV494">
        <f t="shared" si="15"/>
      </c>
      <c r="BM494">
        <f t="shared" si="16"/>
      </c>
      <c r="CD494">
        <f t="shared" si="0"/>
      </c>
      <c r="CZ494">
        <f t="shared" si="17"/>
      </c>
      <c r="DA494">
        <f t="shared" si="1"/>
      </c>
      <c r="DB494">
        <f t="shared" si="18"/>
      </c>
      <c r="DC494">
        <f t="shared" si="19"/>
      </c>
      <c r="DD494">
        <f t="shared" si="20"/>
      </c>
      <c r="DE494">
        <f t="shared" si="21"/>
      </c>
      <c r="DF494">
        <f t="shared" si="22"/>
      </c>
      <c r="DG494">
        <f t="shared" si="23"/>
      </c>
      <c r="DH494">
        <f t="shared" si="24"/>
      </c>
      <c r="DI494">
        <f t="shared" si="1"/>
      </c>
    </row>
    <row r="495" ht="15" customHeight="1">
      <c r="B495">
        <f t="shared" si="2"/>
      </c>
      <c r="R495">
        <f t="shared" si="3"/>
        <v>0</v>
      </c>
      <c r="S495">
        <f t="shared" si="4"/>
        <v>0</v>
      </c>
      <c r="T495">
        <f t="shared" si="5"/>
        <v>0</v>
      </c>
      <c r="U495">
        <f t="shared" si="6"/>
        <v>0</v>
      </c>
      <c r="V495">
        <f t="shared" si="7"/>
        <v>0</v>
      </c>
      <c r="W495">
        <f t="shared" si="8"/>
        <v>0</v>
      </c>
      <c r="X495">
        <f t="shared" si="9"/>
        <v>0</v>
      </c>
      <c r="Y495">
        <f t="shared" si="10"/>
        <v>0</v>
      </c>
      <c r="Z495">
        <f t="shared" si="11"/>
        <v>0</v>
      </c>
      <c r="AA495">
        <f t="shared" si="12"/>
        <v>0</v>
      </c>
      <c r="AB495">
        <f t="shared" si="13"/>
        <v>0</v>
      </c>
      <c r="AC495">
        <f t="shared" si="14"/>
        <v>0</v>
      </c>
      <c r="AE495">
        <f t="shared" si="0"/>
      </c>
      <c r="AV495">
        <f t="shared" si="15"/>
      </c>
      <c r="BM495">
        <f t="shared" si="16"/>
      </c>
      <c r="CD495">
        <f t="shared" si="0"/>
      </c>
      <c r="CZ495">
        <f t="shared" si="17"/>
      </c>
      <c r="DA495">
        <f t="shared" si="1"/>
      </c>
      <c r="DB495">
        <f t="shared" si="18"/>
      </c>
      <c r="DC495">
        <f t="shared" si="19"/>
      </c>
      <c r="DD495">
        <f t="shared" si="20"/>
      </c>
      <c r="DE495">
        <f t="shared" si="21"/>
      </c>
      <c r="DF495">
        <f t="shared" si="22"/>
      </c>
      <c r="DG495">
        <f t="shared" si="23"/>
      </c>
      <c r="DH495">
        <f t="shared" si="24"/>
      </c>
      <c r="DI495">
        <f t="shared" si="1"/>
      </c>
    </row>
    <row r="496" ht="15" customHeight="1">
      <c r="B496">
        <f t="shared" si="2"/>
      </c>
      <c r="R496">
        <f t="shared" si="3"/>
        <v>0</v>
      </c>
      <c r="S496">
        <f t="shared" si="4"/>
        <v>0</v>
      </c>
      <c r="T496">
        <f t="shared" si="5"/>
        <v>0</v>
      </c>
      <c r="U496">
        <f t="shared" si="6"/>
        <v>0</v>
      </c>
      <c r="V496">
        <f t="shared" si="7"/>
        <v>0</v>
      </c>
      <c r="W496">
        <f t="shared" si="8"/>
        <v>0</v>
      </c>
      <c r="X496">
        <f t="shared" si="9"/>
        <v>0</v>
      </c>
      <c r="Y496">
        <f t="shared" si="10"/>
        <v>0</v>
      </c>
      <c r="Z496">
        <f t="shared" si="11"/>
        <v>0</v>
      </c>
      <c r="AA496">
        <f t="shared" si="12"/>
        <v>0</v>
      </c>
      <c r="AB496">
        <f t="shared" si="13"/>
        <v>0</v>
      </c>
      <c r="AC496">
        <f t="shared" si="14"/>
        <v>0</v>
      </c>
      <c r="AE496">
        <f t="shared" si="0"/>
      </c>
      <c r="AV496">
        <f t="shared" si="15"/>
      </c>
      <c r="BM496">
        <f t="shared" si="16"/>
      </c>
      <c r="CD496">
        <f t="shared" si="0"/>
      </c>
      <c r="CZ496">
        <f t="shared" si="17"/>
      </c>
      <c r="DA496">
        <f t="shared" si="1"/>
      </c>
      <c r="DB496">
        <f t="shared" si="18"/>
      </c>
      <c r="DC496">
        <f t="shared" si="19"/>
      </c>
      <c r="DD496">
        <f t="shared" si="20"/>
      </c>
      <c r="DE496">
        <f t="shared" si="21"/>
      </c>
      <c r="DF496">
        <f t="shared" si="22"/>
      </c>
      <c r="DG496">
        <f t="shared" si="23"/>
      </c>
      <c r="DH496">
        <f t="shared" si="24"/>
      </c>
      <c r="DI496">
        <f t="shared" si="1"/>
      </c>
    </row>
    <row r="497" ht="15" customHeight="1">
      <c r="B497">
        <f t="shared" si="2"/>
      </c>
      <c r="R497">
        <f t="shared" si="3"/>
        <v>0</v>
      </c>
      <c r="S497">
        <f t="shared" si="4"/>
        <v>0</v>
      </c>
      <c r="T497">
        <f t="shared" si="5"/>
        <v>0</v>
      </c>
      <c r="U497">
        <f t="shared" si="6"/>
        <v>0</v>
      </c>
      <c r="V497">
        <f t="shared" si="7"/>
        <v>0</v>
      </c>
      <c r="W497">
        <f t="shared" si="8"/>
        <v>0</v>
      </c>
      <c r="X497">
        <f t="shared" si="9"/>
        <v>0</v>
      </c>
      <c r="Y497">
        <f t="shared" si="10"/>
        <v>0</v>
      </c>
      <c r="Z497">
        <f t="shared" si="11"/>
        <v>0</v>
      </c>
      <c r="AA497">
        <f t="shared" si="12"/>
        <v>0</v>
      </c>
      <c r="AB497">
        <f t="shared" si="13"/>
        <v>0</v>
      </c>
      <c r="AC497">
        <f t="shared" si="14"/>
        <v>0</v>
      </c>
      <c r="AE497">
        <f t="shared" si="0"/>
      </c>
      <c r="AV497">
        <f t="shared" si="15"/>
      </c>
      <c r="BM497">
        <f t="shared" si="16"/>
      </c>
      <c r="CD497">
        <f t="shared" si="0"/>
      </c>
      <c r="CZ497">
        <f t="shared" si="17"/>
      </c>
      <c r="DA497">
        <f t="shared" si="1"/>
      </c>
      <c r="DB497">
        <f t="shared" si="18"/>
      </c>
      <c r="DC497">
        <f t="shared" si="19"/>
      </c>
      <c r="DD497">
        <f t="shared" si="20"/>
      </c>
      <c r="DE497">
        <f t="shared" si="21"/>
      </c>
      <c r="DF497">
        <f t="shared" si="22"/>
      </c>
      <c r="DG497">
        <f t="shared" si="23"/>
      </c>
      <c r="DH497">
        <f t="shared" si="24"/>
      </c>
      <c r="DI497">
        <f t="shared" si="1"/>
      </c>
    </row>
    <row r="498" ht="15" customHeight="1">
      <c r="B498">
        <f t="shared" si="2"/>
      </c>
      <c r="R498">
        <f t="shared" si="3"/>
        <v>0</v>
      </c>
      <c r="S498">
        <f t="shared" si="4"/>
        <v>0</v>
      </c>
      <c r="T498">
        <f t="shared" si="5"/>
        <v>0</v>
      </c>
      <c r="U498">
        <f t="shared" si="6"/>
        <v>0</v>
      </c>
      <c r="V498">
        <f t="shared" si="7"/>
        <v>0</v>
      </c>
      <c r="W498">
        <f t="shared" si="8"/>
        <v>0</v>
      </c>
      <c r="X498">
        <f t="shared" si="9"/>
        <v>0</v>
      </c>
      <c r="Y498">
        <f t="shared" si="10"/>
        <v>0</v>
      </c>
      <c r="Z498">
        <f t="shared" si="11"/>
        <v>0</v>
      </c>
      <c r="AA498">
        <f t="shared" si="12"/>
        <v>0</v>
      </c>
      <c r="AB498">
        <f t="shared" si="13"/>
        <v>0</v>
      </c>
      <c r="AC498">
        <f t="shared" si="14"/>
        <v>0</v>
      </c>
      <c r="AE498">
        <f t="shared" si="0"/>
      </c>
      <c r="AV498">
        <f t="shared" si="15"/>
      </c>
      <c r="BM498">
        <f t="shared" si="16"/>
      </c>
      <c r="CD498">
        <f t="shared" si="0"/>
      </c>
      <c r="CZ498">
        <f t="shared" si="17"/>
      </c>
      <c r="DA498">
        <f t="shared" si="1"/>
      </c>
      <c r="DB498">
        <f t="shared" si="18"/>
      </c>
      <c r="DC498">
        <f t="shared" si="19"/>
      </c>
      <c r="DD498">
        <f t="shared" si="20"/>
      </c>
      <c r="DE498">
        <f t="shared" si="21"/>
      </c>
      <c r="DF498">
        <f t="shared" si="22"/>
      </c>
      <c r="DG498">
        <f t="shared" si="23"/>
      </c>
      <c r="DH498">
        <f t="shared" si="24"/>
      </c>
      <c r="DI498">
        <f t="shared" si="1"/>
      </c>
    </row>
    <row r="499" ht="15" customHeight="1">
      <c r="B499">
        <f t="shared" si="2"/>
      </c>
      <c r="R499">
        <f t="shared" si="3"/>
        <v>0</v>
      </c>
      <c r="S499">
        <f t="shared" si="4"/>
        <v>0</v>
      </c>
      <c r="T499">
        <f t="shared" si="5"/>
        <v>0</v>
      </c>
      <c r="U499">
        <f t="shared" si="6"/>
        <v>0</v>
      </c>
      <c r="V499">
        <f t="shared" si="7"/>
        <v>0</v>
      </c>
      <c r="W499">
        <f t="shared" si="8"/>
        <v>0</v>
      </c>
      <c r="X499">
        <f t="shared" si="9"/>
        <v>0</v>
      </c>
      <c r="Y499">
        <f t="shared" si="10"/>
        <v>0</v>
      </c>
      <c r="Z499">
        <f t="shared" si="11"/>
        <v>0</v>
      </c>
      <c r="AA499">
        <f t="shared" si="12"/>
        <v>0</v>
      </c>
      <c r="AB499">
        <f t="shared" si="13"/>
        <v>0</v>
      </c>
      <c r="AC499">
        <f t="shared" si="14"/>
        <v>0</v>
      </c>
      <c r="AE499">
        <f t="shared" si="0"/>
      </c>
      <c r="AV499">
        <f t="shared" si="15"/>
      </c>
      <c r="BM499">
        <f t="shared" si="16"/>
      </c>
      <c r="CD499">
        <f t="shared" si="0"/>
      </c>
      <c r="CZ499">
        <f t="shared" si="17"/>
      </c>
      <c r="DA499">
        <f t="shared" si="1"/>
      </c>
      <c r="DB499">
        <f t="shared" si="18"/>
      </c>
      <c r="DC499">
        <f t="shared" si="19"/>
      </c>
      <c r="DD499">
        <f t="shared" si="20"/>
      </c>
      <c r="DE499">
        <f t="shared" si="21"/>
      </c>
      <c r="DF499">
        <f t="shared" si="22"/>
      </c>
      <c r="DG499">
        <f t="shared" si="23"/>
      </c>
      <c r="DH499">
        <f t="shared" si="24"/>
      </c>
      <c r="DI499">
        <f t="shared" si="1"/>
      </c>
    </row>
    <row r="500" ht="15" customHeight="1">
      <c r="B500">
        <f t="shared" si="2"/>
      </c>
      <c r="R500">
        <f t="shared" si="3"/>
        <v>0</v>
      </c>
      <c r="S500">
        <f t="shared" si="4"/>
        <v>0</v>
      </c>
      <c r="T500">
        <f t="shared" si="5"/>
        <v>0</v>
      </c>
      <c r="U500">
        <f t="shared" si="6"/>
        <v>0</v>
      </c>
      <c r="V500">
        <f t="shared" si="7"/>
        <v>0</v>
      </c>
      <c r="W500">
        <f t="shared" si="8"/>
        <v>0</v>
      </c>
      <c r="X500">
        <f t="shared" si="9"/>
        <v>0</v>
      </c>
      <c r="Y500">
        <f t="shared" si="10"/>
        <v>0</v>
      </c>
      <c r="Z500">
        <f t="shared" si="11"/>
        <v>0</v>
      </c>
      <c r="AA500">
        <f t="shared" si="12"/>
        <v>0</v>
      </c>
      <c r="AB500">
        <f t="shared" si="13"/>
        <v>0</v>
      </c>
      <c r="AC500">
        <f t="shared" si="14"/>
        <v>0</v>
      </c>
      <c r="AE500">
        <f t="shared" si="0"/>
      </c>
      <c r="AV500">
        <f t="shared" si="15"/>
      </c>
      <c r="BM500">
        <f t="shared" si="16"/>
      </c>
      <c r="CD500">
        <f t="shared" si="0"/>
      </c>
      <c r="CZ500">
        <f t="shared" si="17"/>
      </c>
      <c r="DA500">
        <f t="shared" si="1"/>
      </c>
      <c r="DB500">
        <f t="shared" si="18"/>
      </c>
      <c r="DC500">
        <f t="shared" si="19"/>
      </c>
      <c r="DD500">
        <f t="shared" si="20"/>
      </c>
      <c r="DE500">
        <f t="shared" si="21"/>
      </c>
      <c r="DF500">
        <f t="shared" si="22"/>
      </c>
      <c r="DG500">
        <f t="shared" si="23"/>
      </c>
      <c r="DH500">
        <f t="shared" si="24"/>
      </c>
      <c r="DI500">
        <f t="shared" si="1"/>
      </c>
    </row>
    <row r="501" ht="15" customHeight="1">
      <c r="B501">
        <f t="shared" si="2"/>
      </c>
      <c r="R501">
        <f t="shared" si="3"/>
        <v>0</v>
      </c>
      <c r="S501">
        <f t="shared" si="4"/>
        <v>0</v>
      </c>
      <c r="T501">
        <f t="shared" si="5"/>
        <v>0</v>
      </c>
      <c r="U501">
        <f t="shared" si="6"/>
        <v>0</v>
      </c>
      <c r="V501">
        <f t="shared" si="7"/>
        <v>0</v>
      </c>
      <c r="W501">
        <f t="shared" si="8"/>
        <v>0</v>
      </c>
      <c r="X501">
        <f t="shared" si="9"/>
        <v>0</v>
      </c>
      <c r="Y501">
        <f t="shared" si="10"/>
        <v>0</v>
      </c>
      <c r="Z501">
        <f t="shared" si="11"/>
        <v>0</v>
      </c>
      <c r="AA501">
        <f t="shared" si="12"/>
        <v>0</v>
      </c>
      <c r="AB501">
        <f t="shared" si="13"/>
        <v>0</v>
      </c>
      <c r="AC501">
        <f t="shared" si="14"/>
        <v>0</v>
      </c>
      <c r="AE501">
        <f t="shared" si="0"/>
      </c>
      <c r="AV501">
        <f t="shared" si="15"/>
      </c>
      <c r="BM501">
        <f t="shared" si="16"/>
      </c>
      <c r="CD501">
        <f t="shared" si="0"/>
      </c>
      <c r="CZ501">
        <f t="shared" si="17"/>
      </c>
      <c r="DA501">
        <f t="shared" si="1"/>
      </c>
      <c r="DB501">
        <f t="shared" si="18"/>
      </c>
      <c r="DC501">
        <f t="shared" si="19"/>
      </c>
      <c r="DD501">
        <f t="shared" si="20"/>
      </c>
      <c r="DE501">
        <f t="shared" si="21"/>
      </c>
      <c r="DF501">
        <f t="shared" si="22"/>
      </c>
      <c r="DG501">
        <f t="shared" si="23"/>
      </c>
      <c r="DH501">
        <f t="shared" si="24"/>
      </c>
      <c r="DI501">
        <f t="shared" si="1"/>
      </c>
    </row>
    <row r="502" ht="15" customHeight="1">
      <c r="B502">
        <f t="shared" si="2"/>
      </c>
      <c r="R502">
        <f t="shared" si="3"/>
        <v>0</v>
      </c>
      <c r="S502">
        <f t="shared" si="4"/>
        <v>0</v>
      </c>
      <c r="T502">
        <f t="shared" si="5"/>
        <v>0</v>
      </c>
      <c r="U502">
        <f t="shared" si="6"/>
        <v>0</v>
      </c>
      <c r="V502">
        <f t="shared" si="7"/>
        <v>0</v>
      </c>
      <c r="W502">
        <f t="shared" si="8"/>
        <v>0</v>
      </c>
      <c r="X502">
        <f t="shared" si="9"/>
        <v>0</v>
      </c>
      <c r="Y502">
        <f t="shared" si="10"/>
        <v>0</v>
      </c>
      <c r="Z502">
        <f t="shared" si="11"/>
        <v>0</v>
      </c>
      <c r="AA502">
        <f t="shared" si="12"/>
        <v>0</v>
      </c>
      <c r="AB502">
        <f t="shared" si="13"/>
        <v>0</v>
      </c>
      <c r="AC502">
        <f t="shared" si="14"/>
        <v>0</v>
      </c>
      <c r="AE502">
        <f t="shared" si="0"/>
      </c>
      <c r="AV502">
        <f t="shared" si="15"/>
      </c>
      <c r="BM502">
        <f t="shared" si="16"/>
      </c>
      <c r="CD502">
        <f t="shared" si="0"/>
      </c>
      <c r="CZ502">
        <f t="shared" si="17"/>
      </c>
      <c r="DA502">
        <f t="shared" si="1"/>
      </c>
      <c r="DB502">
        <f t="shared" si="18"/>
      </c>
      <c r="DC502">
        <f t="shared" si="19"/>
      </c>
      <c r="DD502">
        <f t="shared" si="20"/>
      </c>
      <c r="DE502">
        <f t="shared" si="21"/>
      </c>
      <c r="DF502">
        <f t="shared" si="22"/>
      </c>
      <c r="DG502">
        <f t="shared" si="23"/>
      </c>
      <c r="DH502">
        <f t="shared" si="24"/>
      </c>
      <c r="DI502">
        <f t="shared" si="1"/>
      </c>
    </row>
    <row r="503" ht="15" customHeight="1">
      <c r="B503">
        <f t="shared" si="2"/>
      </c>
      <c r="R503">
        <f t="shared" si="3"/>
        <v>0</v>
      </c>
      <c r="S503">
        <f t="shared" si="4"/>
        <v>0</v>
      </c>
      <c r="T503">
        <f t="shared" si="5"/>
        <v>0</v>
      </c>
      <c r="U503">
        <f t="shared" si="6"/>
        <v>0</v>
      </c>
      <c r="V503">
        <f t="shared" si="7"/>
        <v>0</v>
      </c>
      <c r="W503">
        <f t="shared" si="8"/>
        <v>0</v>
      </c>
      <c r="X503">
        <f t="shared" si="9"/>
        <v>0</v>
      </c>
      <c r="Y503">
        <f t="shared" si="10"/>
        <v>0</v>
      </c>
      <c r="Z503">
        <f t="shared" si="11"/>
        <v>0</v>
      </c>
      <c r="AA503">
        <f t="shared" si="12"/>
        <v>0</v>
      </c>
      <c r="AB503">
        <f t="shared" si="13"/>
        <v>0</v>
      </c>
      <c r="AC503">
        <f t="shared" si="14"/>
        <v>0</v>
      </c>
      <c r="AE503">
        <f t="shared" si="0"/>
      </c>
      <c r="AV503">
        <f t="shared" si="15"/>
      </c>
      <c r="BM503">
        <f t="shared" si="16"/>
      </c>
      <c r="CD503">
        <f t="shared" si="0"/>
      </c>
      <c r="CZ503">
        <f t="shared" si="17"/>
      </c>
      <c r="DA503">
        <f t="shared" si="1"/>
      </c>
      <c r="DB503">
        <f t="shared" si="18"/>
      </c>
      <c r="DC503">
        <f t="shared" si="19"/>
      </c>
      <c r="DD503">
        <f t="shared" si="20"/>
      </c>
      <c r="DE503">
        <f t="shared" si="21"/>
      </c>
      <c r="DF503">
        <f t="shared" si="22"/>
      </c>
      <c r="DG503">
        <f t="shared" si="23"/>
      </c>
      <c r="DH503">
        <f t="shared" si="24"/>
      </c>
      <c r="DI503">
        <f t="shared" si="1"/>
      </c>
    </row>
    <row r="504" ht="15" customHeight="1">
      <c r="B504">
        <f t="shared" si="2"/>
      </c>
      <c r="R504">
        <f t="shared" si="3"/>
        <v>0</v>
      </c>
      <c r="S504">
        <f t="shared" si="4"/>
        <v>0</v>
      </c>
      <c r="T504">
        <f t="shared" si="5"/>
        <v>0</v>
      </c>
      <c r="U504">
        <f t="shared" si="6"/>
        <v>0</v>
      </c>
      <c r="V504">
        <f t="shared" si="7"/>
        <v>0</v>
      </c>
      <c r="W504">
        <f t="shared" si="8"/>
        <v>0</v>
      </c>
      <c r="X504">
        <f t="shared" si="9"/>
        <v>0</v>
      </c>
      <c r="Y504">
        <f t="shared" si="10"/>
        <v>0</v>
      </c>
      <c r="Z504">
        <f t="shared" si="11"/>
        <v>0</v>
      </c>
      <c r="AA504">
        <f t="shared" si="12"/>
        <v>0</v>
      </c>
      <c r="AB504">
        <f t="shared" si="13"/>
        <v>0</v>
      </c>
      <c r="AC504">
        <f t="shared" si="14"/>
        <v>0</v>
      </c>
      <c r="AE504">
        <f t="shared" si="0"/>
      </c>
      <c r="AV504">
        <f t="shared" si="15"/>
      </c>
      <c r="BM504">
        <f t="shared" si="16"/>
      </c>
      <c r="CD504">
        <f t="shared" si="0"/>
      </c>
      <c r="CZ504">
        <f t="shared" si="17"/>
      </c>
      <c r="DA504">
        <f t="shared" si="1"/>
      </c>
      <c r="DB504">
        <f t="shared" si="18"/>
      </c>
      <c r="DC504">
        <f t="shared" si="19"/>
      </c>
      <c r="DD504">
        <f t="shared" si="20"/>
      </c>
      <c r="DE504">
        <f t="shared" si="21"/>
      </c>
      <c r="DF504">
        <f t="shared" si="22"/>
      </c>
      <c r="DG504">
        <f t="shared" si="23"/>
      </c>
      <c r="DH504">
        <f t="shared" si="24"/>
      </c>
      <c r="DI504">
        <f t="shared" si="1"/>
      </c>
    </row>
    <row r="505" ht="15" customHeight="1">
      <c r="B505">
        <f t="shared" si="2"/>
      </c>
      <c r="R505">
        <f t="shared" si="3"/>
        <v>0</v>
      </c>
      <c r="S505">
        <f t="shared" si="4"/>
        <v>0</v>
      </c>
      <c r="T505">
        <f t="shared" si="5"/>
        <v>0</v>
      </c>
      <c r="U505">
        <f t="shared" si="6"/>
        <v>0</v>
      </c>
      <c r="V505">
        <f t="shared" si="7"/>
        <v>0</v>
      </c>
      <c r="W505">
        <f t="shared" si="8"/>
        <v>0</v>
      </c>
      <c r="X505">
        <f t="shared" si="9"/>
        <v>0</v>
      </c>
      <c r="Y505">
        <f t="shared" si="10"/>
        <v>0</v>
      </c>
      <c r="Z505">
        <f t="shared" si="11"/>
        <v>0</v>
      </c>
      <c r="AA505">
        <f t="shared" si="12"/>
        <v>0</v>
      </c>
      <c r="AB505">
        <f t="shared" si="13"/>
        <v>0</v>
      </c>
      <c r="AC505">
        <f t="shared" si="14"/>
        <v>0</v>
      </c>
      <c r="AE505">
        <f t="shared" si="0"/>
      </c>
      <c r="AV505">
        <f t="shared" si="15"/>
      </c>
      <c r="BM505">
        <f t="shared" si="16"/>
      </c>
      <c r="CD505">
        <f t="shared" si="0"/>
      </c>
      <c r="CZ505">
        <f t="shared" si="17"/>
      </c>
      <c r="DA505">
        <f t="shared" si="1"/>
      </c>
      <c r="DB505">
        <f t="shared" si="18"/>
      </c>
      <c r="DC505">
        <f t="shared" si="19"/>
      </c>
      <c r="DD505">
        <f t="shared" si="20"/>
      </c>
      <c r="DE505">
        <f t="shared" si="21"/>
      </c>
      <c r="DF505">
        <f t="shared" si="22"/>
      </c>
      <c r="DG505">
        <f t="shared" si="23"/>
      </c>
      <c r="DH505">
        <f t="shared" si="24"/>
      </c>
      <c r="DI505">
        <f t="shared" si="1"/>
      </c>
    </row>
    <row r="506" ht="15" customHeight="1">
      <c r="B506">
        <f t="shared" si="2"/>
      </c>
      <c r="R506">
        <f t="shared" si="3"/>
        <v>0</v>
      </c>
      <c r="S506">
        <f t="shared" si="4"/>
        <v>0</v>
      </c>
      <c r="T506">
        <f t="shared" si="5"/>
        <v>0</v>
      </c>
      <c r="U506">
        <f t="shared" si="6"/>
        <v>0</v>
      </c>
      <c r="V506">
        <f t="shared" si="7"/>
        <v>0</v>
      </c>
      <c r="W506">
        <f t="shared" si="8"/>
        <v>0</v>
      </c>
      <c r="X506">
        <f t="shared" si="9"/>
        <v>0</v>
      </c>
      <c r="Y506">
        <f t="shared" si="10"/>
        <v>0</v>
      </c>
      <c r="Z506">
        <f t="shared" si="11"/>
        <v>0</v>
      </c>
      <c r="AA506">
        <f t="shared" si="12"/>
        <v>0</v>
      </c>
      <c r="AB506">
        <f t="shared" si="13"/>
        <v>0</v>
      </c>
      <c r="AC506">
        <f t="shared" si="14"/>
        <v>0</v>
      </c>
      <c r="AE506">
        <f t="shared" si="0"/>
      </c>
      <c r="AV506">
        <f t="shared" si="15"/>
      </c>
      <c r="BM506">
        <f t="shared" si="16"/>
      </c>
      <c r="CD506">
        <f t="shared" si="0"/>
      </c>
      <c r="CZ506">
        <f t="shared" si="17"/>
      </c>
      <c r="DA506">
        <f t="shared" si="1"/>
      </c>
      <c r="DB506">
        <f t="shared" si="18"/>
      </c>
      <c r="DC506">
        <f t="shared" si="19"/>
      </c>
      <c r="DD506">
        <f t="shared" si="20"/>
      </c>
      <c r="DE506">
        <f t="shared" si="21"/>
      </c>
      <c r="DF506">
        <f t="shared" si="22"/>
      </c>
      <c r="DG506">
        <f t="shared" si="23"/>
      </c>
      <c r="DH506">
        <f t="shared" si="24"/>
      </c>
      <c r="DI506">
        <f t="shared" si="1"/>
      </c>
    </row>
    <row r="507" ht="15" customHeight="1">
      <c r="B507">
        <f t="shared" si="2"/>
      </c>
      <c r="R507">
        <f t="shared" si="3"/>
        <v>0</v>
      </c>
      <c r="S507">
        <f t="shared" si="4"/>
        <v>0</v>
      </c>
      <c r="T507">
        <f t="shared" si="5"/>
        <v>0</v>
      </c>
      <c r="U507">
        <f t="shared" si="6"/>
        <v>0</v>
      </c>
      <c r="V507">
        <f t="shared" si="7"/>
        <v>0</v>
      </c>
      <c r="W507">
        <f t="shared" si="8"/>
        <v>0</v>
      </c>
      <c r="X507">
        <f t="shared" si="9"/>
        <v>0</v>
      </c>
      <c r="Y507">
        <f t="shared" si="10"/>
        <v>0</v>
      </c>
      <c r="Z507">
        <f t="shared" si="11"/>
        <v>0</v>
      </c>
      <c r="AA507">
        <f t="shared" si="12"/>
        <v>0</v>
      </c>
      <c r="AB507">
        <f t="shared" si="13"/>
        <v>0</v>
      </c>
      <c r="AC507">
        <f t="shared" si="14"/>
        <v>0</v>
      </c>
      <c r="AE507">
        <f t="shared" si="0"/>
      </c>
      <c r="AV507">
        <f t="shared" si="15"/>
      </c>
      <c r="BM507">
        <f t="shared" si="16"/>
      </c>
      <c r="CD507">
        <f t="shared" si="0"/>
      </c>
      <c r="CZ507">
        <f t="shared" si="17"/>
      </c>
      <c r="DA507">
        <f t="shared" si="1"/>
      </c>
      <c r="DB507">
        <f t="shared" si="18"/>
      </c>
      <c r="DC507">
        <f t="shared" si="19"/>
      </c>
      <c r="DD507">
        <f t="shared" si="20"/>
      </c>
      <c r="DE507">
        <f t="shared" si="21"/>
      </c>
      <c r="DF507">
        <f t="shared" si="22"/>
      </c>
      <c r="DG507">
        <f t="shared" si="23"/>
      </c>
      <c r="DH507">
        <f t="shared" si="24"/>
      </c>
      <c r="DI507">
        <f t="shared" si="1"/>
      </c>
    </row>
    <row r="508" ht="15" customHeight="1">
      <c r="B508">
        <f t="shared" si="2"/>
      </c>
      <c r="R508">
        <f t="shared" si="3"/>
        <v>0</v>
      </c>
      <c r="S508">
        <f t="shared" si="4"/>
        <v>0</v>
      </c>
      <c r="T508">
        <f t="shared" si="5"/>
        <v>0</v>
      </c>
      <c r="U508">
        <f t="shared" si="6"/>
        <v>0</v>
      </c>
      <c r="V508">
        <f t="shared" si="7"/>
        <v>0</v>
      </c>
      <c r="W508">
        <f t="shared" si="8"/>
        <v>0</v>
      </c>
      <c r="X508">
        <f t="shared" si="9"/>
        <v>0</v>
      </c>
      <c r="Y508">
        <f t="shared" si="10"/>
        <v>0</v>
      </c>
      <c r="Z508">
        <f t="shared" si="11"/>
        <v>0</v>
      </c>
      <c r="AA508">
        <f t="shared" si="12"/>
        <v>0</v>
      </c>
      <c r="AB508">
        <f t="shared" si="13"/>
        <v>0</v>
      </c>
      <c r="AC508">
        <f t="shared" si="14"/>
        <v>0</v>
      </c>
      <c r="AE508">
        <f t="shared" si="0"/>
      </c>
      <c r="AV508">
        <f t="shared" si="15"/>
      </c>
      <c r="BM508">
        <f t="shared" si="16"/>
      </c>
      <c r="CD508">
        <f t="shared" si="0"/>
      </c>
      <c r="CZ508">
        <f t="shared" si="17"/>
      </c>
      <c r="DA508">
        <f t="shared" si="1"/>
      </c>
      <c r="DB508">
        <f t="shared" si="18"/>
      </c>
      <c r="DC508">
        <f t="shared" si="19"/>
      </c>
      <c r="DD508">
        <f t="shared" si="20"/>
      </c>
      <c r="DE508">
        <f t="shared" si="21"/>
      </c>
      <c r="DF508">
        <f t="shared" si="22"/>
      </c>
      <c r="DG508">
        <f t="shared" si="23"/>
      </c>
      <c r="DH508">
        <f t="shared" si="24"/>
      </c>
      <c r="DI508">
        <f t="shared" si="1"/>
      </c>
    </row>
    <row r="509" ht="15" customHeight="1">
      <c r="B509">
        <f t="shared" si="2"/>
      </c>
      <c r="R509">
        <f t="shared" si="3"/>
        <v>0</v>
      </c>
      <c r="S509">
        <f t="shared" si="4"/>
        <v>0</v>
      </c>
      <c r="T509">
        <f t="shared" si="5"/>
        <v>0</v>
      </c>
      <c r="U509">
        <f t="shared" si="6"/>
        <v>0</v>
      </c>
      <c r="V509">
        <f t="shared" si="7"/>
        <v>0</v>
      </c>
      <c r="W509">
        <f t="shared" si="8"/>
        <v>0</v>
      </c>
      <c r="X509">
        <f t="shared" si="9"/>
        <v>0</v>
      </c>
      <c r="Y509">
        <f t="shared" si="10"/>
        <v>0</v>
      </c>
      <c r="Z509">
        <f t="shared" si="11"/>
        <v>0</v>
      </c>
      <c r="AA509">
        <f t="shared" si="12"/>
        <v>0</v>
      </c>
      <c r="AB509">
        <f t="shared" si="13"/>
        <v>0</v>
      </c>
      <c r="AC509">
        <f t="shared" si="14"/>
        <v>0</v>
      </c>
      <c r="AE509">
        <f t="shared" si="0"/>
      </c>
      <c r="AV509">
        <f t="shared" si="15"/>
      </c>
      <c r="BM509">
        <f t="shared" si="16"/>
      </c>
      <c r="CD509">
        <f t="shared" si="0"/>
      </c>
      <c r="CZ509">
        <f t="shared" si="17"/>
      </c>
      <c r="DA509">
        <f t="shared" si="1"/>
      </c>
      <c r="DB509">
        <f t="shared" si="18"/>
      </c>
      <c r="DC509">
        <f t="shared" si="19"/>
      </c>
      <c r="DD509">
        <f t="shared" si="20"/>
      </c>
      <c r="DE509">
        <f t="shared" si="21"/>
      </c>
      <c r="DF509">
        <f t="shared" si="22"/>
      </c>
      <c r="DG509">
        <f t="shared" si="23"/>
      </c>
      <c r="DH509">
        <f t="shared" si="24"/>
      </c>
      <c r="DI509">
        <f t="shared" si="1"/>
      </c>
    </row>
    <row r="510" ht="15" customHeight="1">
      <c r="B510">
        <f t="shared" si="2"/>
      </c>
      <c r="R510">
        <f t="shared" si="3"/>
        <v>0</v>
      </c>
      <c r="S510">
        <f t="shared" si="4"/>
        <v>0</v>
      </c>
      <c r="T510">
        <f t="shared" si="5"/>
        <v>0</v>
      </c>
      <c r="U510">
        <f t="shared" si="6"/>
        <v>0</v>
      </c>
      <c r="V510">
        <f t="shared" si="7"/>
        <v>0</v>
      </c>
      <c r="W510">
        <f t="shared" si="8"/>
        <v>0</v>
      </c>
      <c r="X510">
        <f t="shared" si="9"/>
        <v>0</v>
      </c>
      <c r="Y510">
        <f t="shared" si="10"/>
        <v>0</v>
      </c>
      <c r="Z510">
        <f t="shared" si="11"/>
        <v>0</v>
      </c>
      <c r="AA510">
        <f t="shared" si="12"/>
        <v>0</v>
      </c>
      <c r="AB510">
        <f t="shared" si="13"/>
        <v>0</v>
      </c>
      <c r="AC510">
        <f t="shared" si="14"/>
        <v>0</v>
      </c>
      <c r="AE510">
        <f t="shared" si="0"/>
      </c>
      <c r="AV510">
        <f t="shared" si="15"/>
      </c>
      <c r="BM510">
        <f t="shared" si="16"/>
      </c>
      <c r="CD510">
        <f t="shared" si="0"/>
      </c>
      <c r="CZ510">
        <f t="shared" si="17"/>
      </c>
      <c r="DA510">
        <f t="shared" si="1"/>
      </c>
      <c r="DB510">
        <f t="shared" si="18"/>
      </c>
      <c r="DC510">
        <f t="shared" si="19"/>
      </c>
      <c r="DD510">
        <f t="shared" si="20"/>
      </c>
      <c r="DE510">
        <f t="shared" si="21"/>
      </c>
      <c r="DF510">
        <f t="shared" si="22"/>
      </c>
      <c r="DG510">
        <f t="shared" si="23"/>
      </c>
      <c r="DH510">
        <f t="shared" si="24"/>
      </c>
      <c r="DI510">
        <f t="shared" si="1"/>
      </c>
    </row>
    <row r="511" ht="15" customHeight="1">
      <c r="B511">
        <f t="shared" si="2"/>
      </c>
      <c r="R511">
        <f t="shared" si="3"/>
        <v>0</v>
      </c>
      <c r="S511">
        <f t="shared" si="4"/>
        <v>0</v>
      </c>
      <c r="T511">
        <f t="shared" si="5"/>
        <v>0</v>
      </c>
      <c r="U511">
        <f t="shared" si="6"/>
        <v>0</v>
      </c>
      <c r="V511">
        <f t="shared" si="7"/>
        <v>0</v>
      </c>
      <c r="W511">
        <f t="shared" si="8"/>
        <v>0</v>
      </c>
      <c r="X511">
        <f t="shared" si="9"/>
        <v>0</v>
      </c>
      <c r="Y511">
        <f t="shared" si="10"/>
        <v>0</v>
      </c>
      <c r="Z511">
        <f t="shared" si="11"/>
        <v>0</v>
      </c>
      <c r="AA511">
        <f t="shared" si="12"/>
        <v>0</v>
      </c>
      <c r="AB511">
        <f t="shared" si="13"/>
        <v>0</v>
      </c>
      <c r="AC511">
        <f t="shared" si="14"/>
        <v>0</v>
      </c>
      <c r="AE511">
        <f t="shared" si="0"/>
      </c>
      <c r="AV511">
        <f t="shared" si="15"/>
      </c>
      <c r="BM511">
        <f t="shared" si="16"/>
      </c>
      <c r="CD511">
        <f t="shared" si="0"/>
      </c>
      <c r="CZ511">
        <f t="shared" si="17"/>
      </c>
      <c r="DA511">
        <f t="shared" si="1"/>
      </c>
      <c r="DB511">
        <f t="shared" si="18"/>
      </c>
      <c r="DC511">
        <f t="shared" si="19"/>
      </c>
      <c r="DD511">
        <f t="shared" si="20"/>
      </c>
      <c r="DE511">
        <f t="shared" si="21"/>
      </c>
      <c r="DF511">
        <f t="shared" si="22"/>
      </c>
      <c r="DG511">
        <f t="shared" si="23"/>
      </c>
      <c r="DH511">
        <f t="shared" si="24"/>
      </c>
      <c r="DI511">
        <f t="shared" si="1"/>
      </c>
    </row>
    <row r="512" ht="15" customHeight="1">
      <c r="B512">
        <f t="shared" si="2"/>
      </c>
      <c r="R512">
        <f t="shared" si="3"/>
        <v>0</v>
      </c>
      <c r="S512">
        <f t="shared" si="4"/>
        <v>0</v>
      </c>
      <c r="T512">
        <f t="shared" si="5"/>
        <v>0</v>
      </c>
      <c r="U512">
        <f t="shared" si="6"/>
        <v>0</v>
      </c>
      <c r="V512">
        <f t="shared" si="7"/>
        <v>0</v>
      </c>
      <c r="W512">
        <f t="shared" si="8"/>
        <v>0</v>
      </c>
      <c r="X512">
        <f t="shared" si="9"/>
        <v>0</v>
      </c>
      <c r="Y512">
        <f t="shared" si="10"/>
        <v>0</v>
      </c>
      <c r="Z512">
        <f t="shared" si="11"/>
        <v>0</v>
      </c>
      <c r="AA512">
        <f t="shared" si="12"/>
        <v>0</v>
      </c>
      <c r="AB512">
        <f t="shared" si="13"/>
        <v>0</v>
      </c>
      <c r="AC512">
        <f t="shared" si="14"/>
        <v>0</v>
      </c>
      <c r="AE512">
        <f t="shared" si="0"/>
      </c>
      <c r="AV512">
        <f t="shared" si="15"/>
      </c>
      <c r="BM512">
        <f t="shared" si="16"/>
      </c>
      <c r="CD512">
        <f t="shared" si="0"/>
      </c>
      <c r="CZ512">
        <f t="shared" si="17"/>
      </c>
      <c r="DA512">
        <f t="shared" si="1"/>
      </c>
      <c r="DB512">
        <f t="shared" si="18"/>
      </c>
      <c r="DC512">
        <f t="shared" si="19"/>
      </c>
      <c r="DD512">
        <f t="shared" si="20"/>
      </c>
      <c r="DE512">
        <f t="shared" si="21"/>
      </c>
      <c r="DF512">
        <f t="shared" si="22"/>
      </c>
      <c r="DG512">
        <f t="shared" si="23"/>
      </c>
      <c r="DH512">
        <f t="shared" si="24"/>
      </c>
      <c r="DI512">
        <f t="shared" si="1"/>
      </c>
    </row>
    <row r="513" ht="15" customHeight="1">
      <c r="B513">
        <f t="shared" si="2"/>
      </c>
      <c r="R513">
        <f t="shared" si="3"/>
        <v>0</v>
      </c>
      <c r="S513">
        <f t="shared" si="4"/>
        <v>0</v>
      </c>
      <c r="T513">
        <f t="shared" si="5"/>
        <v>0</v>
      </c>
      <c r="U513">
        <f t="shared" si="6"/>
        <v>0</v>
      </c>
      <c r="V513">
        <f t="shared" si="7"/>
        <v>0</v>
      </c>
      <c r="W513">
        <f t="shared" si="8"/>
        <v>0</v>
      </c>
      <c r="X513">
        <f t="shared" si="9"/>
        <v>0</v>
      </c>
      <c r="Y513">
        <f t="shared" si="10"/>
        <v>0</v>
      </c>
      <c r="Z513">
        <f t="shared" si="11"/>
        <v>0</v>
      </c>
      <c r="AA513">
        <f t="shared" si="12"/>
        <v>0</v>
      </c>
      <c r="AB513">
        <f t="shared" si="13"/>
        <v>0</v>
      </c>
      <c r="AC513">
        <f t="shared" si="14"/>
        <v>0</v>
      </c>
      <c r="AE513">
        <f t="shared" si="0"/>
      </c>
      <c r="AV513">
        <f t="shared" si="15"/>
      </c>
      <c r="BM513">
        <f t="shared" si="16"/>
      </c>
      <c r="CD513">
        <f t="shared" si="0"/>
      </c>
      <c r="CZ513">
        <f t="shared" si="17"/>
      </c>
      <c r="DA513">
        <f t="shared" si="1"/>
      </c>
      <c r="DB513">
        <f t="shared" si="18"/>
      </c>
      <c r="DC513">
        <f t="shared" si="19"/>
      </c>
      <c r="DD513">
        <f t="shared" si="20"/>
      </c>
      <c r="DE513">
        <f t="shared" si="21"/>
      </c>
      <c r="DF513">
        <f t="shared" si="22"/>
      </c>
      <c r="DG513">
        <f t="shared" si="23"/>
      </c>
      <c r="DH513">
        <f t="shared" si="24"/>
      </c>
      <c r="DI513">
        <f t="shared" si="1"/>
      </c>
    </row>
    <row r="514" ht="15" customHeight="1">
      <c r="B514">
        <f t="shared" si="2"/>
      </c>
      <c r="R514">
        <f t="shared" si="3"/>
        <v>0</v>
      </c>
      <c r="S514">
        <f t="shared" si="4"/>
        <v>0</v>
      </c>
      <c r="T514">
        <f t="shared" si="5"/>
        <v>0</v>
      </c>
      <c r="U514">
        <f t="shared" si="6"/>
        <v>0</v>
      </c>
      <c r="V514">
        <f t="shared" si="7"/>
        <v>0</v>
      </c>
      <c r="W514">
        <f t="shared" si="8"/>
        <v>0</v>
      </c>
      <c r="X514">
        <f t="shared" si="9"/>
        <v>0</v>
      </c>
      <c r="Y514">
        <f t="shared" si="10"/>
        <v>0</v>
      </c>
      <c r="Z514">
        <f t="shared" si="11"/>
        <v>0</v>
      </c>
      <c r="AA514">
        <f t="shared" si="12"/>
        <v>0</v>
      </c>
      <c r="AB514">
        <f t="shared" si="13"/>
        <v>0</v>
      </c>
      <c r="AC514">
        <f t="shared" si="14"/>
        <v>0</v>
      </c>
      <c r="AE514">
        <f t="shared" si="0"/>
      </c>
      <c r="AV514">
        <f t="shared" si="15"/>
      </c>
      <c r="BM514">
        <f t="shared" si="16"/>
      </c>
      <c r="CD514">
        <f t="shared" si="0"/>
      </c>
      <c r="CZ514">
        <f t="shared" si="17"/>
      </c>
      <c r="DA514">
        <f t="shared" si="1"/>
      </c>
      <c r="DB514">
        <f t="shared" si="18"/>
      </c>
      <c r="DC514">
        <f t="shared" si="19"/>
      </c>
      <c r="DD514">
        <f t="shared" si="20"/>
      </c>
      <c r="DE514">
        <f t="shared" si="21"/>
      </c>
      <c r="DF514">
        <f t="shared" si="22"/>
      </c>
      <c r="DG514">
        <f t="shared" si="23"/>
      </c>
      <c r="DH514">
        <f t="shared" si="24"/>
      </c>
      <c r="DI514">
        <f t="shared" si="1"/>
      </c>
    </row>
    <row r="515" ht="15" customHeight="1">
      <c r="B515">
        <f t="shared" si="2"/>
      </c>
      <c r="R515">
        <f t="shared" si="3"/>
        <v>0</v>
      </c>
      <c r="S515">
        <f t="shared" si="4"/>
        <v>0</v>
      </c>
      <c r="T515">
        <f t="shared" si="5"/>
        <v>0</v>
      </c>
      <c r="U515">
        <f t="shared" si="6"/>
        <v>0</v>
      </c>
      <c r="V515">
        <f t="shared" si="7"/>
        <v>0</v>
      </c>
      <c r="W515">
        <f t="shared" si="8"/>
        <v>0</v>
      </c>
      <c r="X515">
        <f t="shared" si="9"/>
        <v>0</v>
      </c>
      <c r="Y515">
        <f t="shared" si="10"/>
        <v>0</v>
      </c>
      <c r="Z515">
        <f t="shared" si="11"/>
        <v>0</v>
      </c>
      <c r="AA515">
        <f t="shared" si="12"/>
        <v>0</v>
      </c>
      <c r="AB515">
        <f t="shared" si="13"/>
        <v>0</v>
      </c>
      <c r="AC515">
        <f t="shared" si="14"/>
        <v>0</v>
      </c>
      <c r="AE515">
        <f t="shared" si="0"/>
      </c>
      <c r="AV515">
        <f t="shared" si="15"/>
      </c>
      <c r="BM515">
        <f t="shared" si="16"/>
      </c>
      <c r="CD515">
        <f t="shared" si="0"/>
      </c>
      <c r="CZ515">
        <f t="shared" si="17"/>
      </c>
      <c r="DA515">
        <f t="shared" si="1"/>
      </c>
      <c r="DB515">
        <f t="shared" si="18"/>
      </c>
      <c r="DC515">
        <f t="shared" si="19"/>
      </c>
      <c r="DD515">
        <f t="shared" si="20"/>
      </c>
      <c r="DE515">
        <f t="shared" si="21"/>
      </c>
      <c r="DF515">
        <f t="shared" si="22"/>
      </c>
      <c r="DG515">
        <f t="shared" si="23"/>
      </c>
      <c r="DH515">
        <f t="shared" si="24"/>
      </c>
      <c r="DI515">
        <f t="shared" si="1"/>
      </c>
    </row>
    <row r="516" ht="15" customHeight="1">
      <c r="B516">
        <f t="shared" si="2"/>
      </c>
      <c r="R516">
        <f t="shared" si="3"/>
        <v>0</v>
      </c>
      <c r="S516">
        <f t="shared" si="4"/>
        <v>0</v>
      </c>
      <c r="T516">
        <f t="shared" si="5"/>
        <v>0</v>
      </c>
      <c r="U516">
        <f t="shared" si="6"/>
        <v>0</v>
      </c>
      <c r="V516">
        <f t="shared" si="7"/>
        <v>0</v>
      </c>
      <c r="W516">
        <f t="shared" si="8"/>
        <v>0</v>
      </c>
      <c r="X516">
        <f t="shared" si="9"/>
        <v>0</v>
      </c>
      <c r="Y516">
        <f t="shared" si="10"/>
        <v>0</v>
      </c>
      <c r="Z516">
        <f t="shared" si="11"/>
        <v>0</v>
      </c>
      <c r="AA516">
        <f t="shared" si="12"/>
        <v>0</v>
      </c>
      <c r="AB516">
        <f t="shared" si="13"/>
        <v>0</v>
      </c>
      <c r="AC516">
        <f t="shared" si="14"/>
        <v>0</v>
      </c>
      <c r="AE516">
        <f t="shared" si="0"/>
      </c>
      <c r="AV516">
        <f t="shared" si="15"/>
      </c>
      <c r="BM516">
        <f t="shared" si="16"/>
      </c>
      <c r="CD516">
        <f t="shared" si="0"/>
      </c>
      <c r="CZ516">
        <f t="shared" si="17"/>
      </c>
      <c r="DA516">
        <f t="shared" si="1"/>
      </c>
      <c r="DB516">
        <f t="shared" si="18"/>
      </c>
      <c r="DC516">
        <f t="shared" si="19"/>
      </c>
      <c r="DD516">
        <f t="shared" si="20"/>
      </c>
      <c r="DE516">
        <f t="shared" si="21"/>
      </c>
      <c r="DF516">
        <f t="shared" si="22"/>
      </c>
      <c r="DG516">
        <f t="shared" si="23"/>
      </c>
      <c r="DH516">
        <f t="shared" si="24"/>
      </c>
      <c r="DI516">
        <f t="shared" si="1"/>
      </c>
    </row>
    <row r="517" ht="15" customHeight="1">
      <c r="B517">
        <f t="shared" si="2"/>
      </c>
      <c r="R517">
        <f t="shared" si="3"/>
        <v>0</v>
      </c>
      <c r="S517">
        <f t="shared" si="4"/>
        <v>0</v>
      </c>
      <c r="T517">
        <f t="shared" si="5"/>
        <v>0</v>
      </c>
      <c r="U517">
        <f t="shared" si="6"/>
        <v>0</v>
      </c>
      <c r="V517">
        <f t="shared" si="7"/>
        <v>0</v>
      </c>
      <c r="W517">
        <f t="shared" si="8"/>
        <v>0</v>
      </c>
      <c r="X517">
        <f t="shared" si="9"/>
        <v>0</v>
      </c>
      <c r="Y517">
        <f t="shared" si="10"/>
        <v>0</v>
      </c>
      <c r="Z517">
        <f t="shared" si="11"/>
        <v>0</v>
      </c>
      <c r="AA517">
        <f t="shared" si="12"/>
        <v>0</v>
      </c>
      <c r="AB517">
        <f t="shared" si="13"/>
        <v>0</v>
      </c>
      <c r="AC517">
        <f t="shared" si="14"/>
        <v>0</v>
      </c>
      <c r="AE517">
        <f t="shared" si="0"/>
      </c>
      <c r="AV517">
        <f t="shared" si="15"/>
      </c>
      <c r="BM517">
        <f t="shared" si="16"/>
      </c>
      <c r="CD517">
        <f t="shared" si="0"/>
      </c>
      <c r="CZ517">
        <f t="shared" si="17"/>
      </c>
      <c r="DA517">
        <f t="shared" si="1"/>
      </c>
      <c r="DB517">
        <f t="shared" si="18"/>
      </c>
      <c r="DC517">
        <f t="shared" si="19"/>
      </c>
      <c r="DD517">
        <f t="shared" si="20"/>
      </c>
      <c r="DE517">
        <f t="shared" si="21"/>
      </c>
      <c r="DF517">
        <f t="shared" si="22"/>
      </c>
      <c r="DG517">
        <f t="shared" si="23"/>
      </c>
      <c r="DH517">
        <f t="shared" si="24"/>
      </c>
      <c r="DI517">
        <f t="shared" si="1"/>
      </c>
    </row>
    <row r="518" ht="15" customHeight="1">
      <c r="B518">
        <f t="shared" si="2"/>
      </c>
      <c r="R518">
        <f t="shared" si="3"/>
        <v>0</v>
      </c>
      <c r="S518">
        <f t="shared" si="4"/>
        <v>0</v>
      </c>
      <c r="T518">
        <f t="shared" si="5"/>
        <v>0</v>
      </c>
      <c r="U518">
        <f t="shared" si="6"/>
        <v>0</v>
      </c>
      <c r="V518">
        <f t="shared" si="7"/>
        <v>0</v>
      </c>
      <c r="W518">
        <f t="shared" si="8"/>
        <v>0</v>
      </c>
      <c r="X518">
        <f t="shared" si="9"/>
        <v>0</v>
      </c>
      <c r="Y518">
        <f t="shared" si="10"/>
        <v>0</v>
      </c>
      <c r="Z518">
        <f t="shared" si="11"/>
        <v>0</v>
      </c>
      <c r="AA518">
        <f t="shared" si="12"/>
        <v>0</v>
      </c>
      <c r="AB518">
        <f t="shared" si="13"/>
        <v>0</v>
      </c>
      <c r="AC518">
        <f t="shared" si="14"/>
        <v>0</v>
      </c>
      <c r="AE518">
        <f t="shared" si="0"/>
      </c>
      <c r="AV518">
        <f t="shared" si="15"/>
      </c>
      <c r="BM518">
        <f t="shared" si="16"/>
      </c>
      <c r="CD518">
        <f t="shared" si="0"/>
      </c>
      <c r="CZ518">
        <f t="shared" si="17"/>
      </c>
      <c r="DA518">
        <f t="shared" si="1"/>
      </c>
      <c r="DB518">
        <f t="shared" si="18"/>
      </c>
      <c r="DC518">
        <f t="shared" si="19"/>
      </c>
      <c r="DD518">
        <f t="shared" si="20"/>
      </c>
      <c r="DE518">
        <f t="shared" si="21"/>
      </c>
      <c r="DF518">
        <f t="shared" si="22"/>
      </c>
      <c r="DG518">
        <f t="shared" si="23"/>
      </c>
      <c r="DH518">
        <f t="shared" si="24"/>
      </c>
      <c r="DI518">
        <f t="shared" si="1"/>
      </c>
    </row>
    <row r="519" ht="15" customHeight="1">
      <c r="B519">
        <f t="shared" si="2"/>
      </c>
      <c r="R519">
        <f t="shared" si="3"/>
        <v>0</v>
      </c>
      <c r="S519">
        <f t="shared" si="4"/>
        <v>0</v>
      </c>
      <c r="T519">
        <f t="shared" si="5"/>
        <v>0</v>
      </c>
      <c r="U519">
        <f t="shared" si="6"/>
        <v>0</v>
      </c>
      <c r="V519">
        <f t="shared" si="7"/>
        <v>0</v>
      </c>
      <c r="W519">
        <f t="shared" si="8"/>
        <v>0</v>
      </c>
      <c r="X519">
        <f t="shared" si="9"/>
        <v>0</v>
      </c>
      <c r="Y519">
        <f t="shared" si="10"/>
        <v>0</v>
      </c>
      <c r="Z519">
        <f t="shared" si="11"/>
        <v>0</v>
      </c>
      <c r="AA519">
        <f t="shared" si="12"/>
        <v>0</v>
      </c>
      <c r="AB519">
        <f t="shared" si="13"/>
        <v>0</v>
      </c>
      <c r="AC519">
        <f t="shared" si="14"/>
        <v>0</v>
      </c>
      <c r="AE519">
        <f t="shared" si="0"/>
      </c>
      <c r="AV519">
        <f t="shared" si="15"/>
      </c>
      <c r="BM519">
        <f t="shared" si="16"/>
      </c>
      <c r="CD519">
        <f t="shared" si="0"/>
      </c>
      <c r="CZ519">
        <f t="shared" si="17"/>
      </c>
      <c r="DA519">
        <f t="shared" si="1"/>
      </c>
      <c r="DB519">
        <f t="shared" si="18"/>
      </c>
      <c r="DC519">
        <f t="shared" si="19"/>
      </c>
      <c r="DD519">
        <f t="shared" si="20"/>
      </c>
      <c r="DE519">
        <f t="shared" si="21"/>
      </c>
      <c r="DF519">
        <f t="shared" si="22"/>
      </c>
      <c r="DG519">
        <f t="shared" si="23"/>
      </c>
      <c r="DH519">
        <f t="shared" si="24"/>
      </c>
      <c r="DI519">
        <f t="shared" si="1"/>
      </c>
    </row>
    <row r="520" ht="15" customHeight="1">
      <c r="B520">
        <f t="shared" si="2"/>
      </c>
      <c r="R520">
        <f t="shared" si="3"/>
        <v>0</v>
      </c>
      <c r="S520">
        <f t="shared" si="4"/>
        <v>0</v>
      </c>
      <c r="T520">
        <f t="shared" si="5"/>
        <v>0</v>
      </c>
      <c r="U520">
        <f t="shared" si="6"/>
        <v>0</v>
      </c>
      <c r="V520">
        <f t="shared" si="7"/>
        <v>0</v>
      </c>
      <c r="W520">
        <f t="shared" si="8"/>
        <v>0</v>
      </c>
      <c r="X520">
        <f t="shared" si="9"/>
        <v>0</v>
      </c>
      <c r="Y520">
        <f t="shared" si="10"/>
        <v>0</v>
      </c>
      <c r="Z520">
        <f t="shared" si="11"/>
        <v>0</v>
      </c>
      <c r="AA520">
        <f t="shared" si="12"/>
        <v>0</v>
      </c>
      <c r="AB520">
        <f t="shared" si="13"/>
        <v>0</v>
      </c>
      <c r="AC520">
        <f t="shared" si="14"/>
        <v>0</v>
      </c>
      <c r="AE520">
        <f t="shared" si="0"/>
      </c>
      <c r="AV520">
        <f t="shared" si="15"/>
      </c>
      <c r="BM520">
        <f t="shared" si="16"/>
      </c>
      <c r="CD520">
        <f t="shared" si="0"/>
      </c>
      <c r="CZ520">
        <f t="shared" si="17"/>
      </c>
      <c r="DA520">
        <f t="shared" si="1"/>
      </c>
      <c r="DB520">
        <f t="shared" si="18"/>
      </c>
      <c r="DC520">
        <f t="shared" si="19"/>
      </c>
      <c r="DD520">
        <f t="shared" si="20"/>
      </c>
      <c r="DE520">
        <f t="shared" si="21"/>
      </c>
      <c r="DF520">
        <f t="shared" si="22"/>
      </c>
      <c r="DG520">
        <f t="shared" si="23"/>
      </c>
      <c r="DH520">
        <f t="shared" si="24"/>
      </c>
      <c r="DI520">
        <f t="shared" si="1"/>
      </c>
    </row>
    <row r="521" ht="15" customHeight="1">
      <c r="B521">
        <f t="shared" si="2"/>
      </c>
      <c r="R521">
        <f t="shared" si="3"/>
        <v>0</v>
      </c>
      <c r="S521">
        <f t="shared" si="4"/>
        <v>0</v>
      </c>
      <c r="T521">
        <f t="shared" si="5"/>
        <v>0</v>
      </c>
      <c r="U521">
        <f t="shared" si="6"/>
        <v>0</v>
      </c>
      <c r="V521">
        <f t="shared" si="7"/>
        <v>0</v>
      </c>
      <c r="W521">
        <f t="shared" si="8"/>
        <v>0</v>
      </c>
      <c r="X521">
        <f t="shared" si="9"/>
        <v>0</v>
      </c>
      <c r="Y521">
        <f t="shared" si="10"/>
        <v>0</v>
      </c>
      <c r="Z521">
        <f t="shared" si="11"/>
        <v>0</v>
      </c>
      <c r="AA521">
        <f t="shared" si="12"/>
        <v>0</v>
      </c>
      <c r="AB521">
        <f t="shared" si="13"/>
        <v>0</v>
      </c>
      <c r="AC521">
        <f t="shared" si="14"/>
        <v>0</v>
      </c>
      <c r="AE521">
        <f t="shared" si="0"/>
      </c>
      <c r="AV521">
        <f t="shared" si="15"/>
      </c>
      <c r="BM521">
        <f t="shared" si="16"/>
      </c>
      <c r="CD521">
        <f t="shared" si="0"/>
      </c>
      <c r="CZ521">
        <f t="shared" si="17"/>
      </c>
      <c r="DA521">
        <f t="shared" si="1"/>
      </c>
      <c r="DB521">
        <f t="shared" si="18"/>
      </c>
      <c r="DC521">
        <f t="shared" si="19"/>
      </c>
      <c r="DD521">
        <f t="shared" si="20"/>
      </c>
      <c r="DE521">
        <f t="shared" si="21"/>
      </c>
      <c r="DF521">
        <f t="shared" si="22"/>
      </c>
      <c r="DG521">
        <f t="shared" si="23"/>
      </c>
      <c r="DH521">
        <f t="shared" si="24"/>
      </c>
      <c r="DI521">
        <f t="shared" si="1"/>
      </c>
    </row>
    <row r="522" ht="15" customHeight="1">
      <c r="B522">
        <f t="shared" si="2"/>
      </c>
      <c r="R522">
        <f t="shared" si="3"/>
        <v>0</v>
      </c>
      <c r="S522">
        <f t="shared" si="4"/>
        <v>0</v>
      </c>
      <c r="T522">
        <f t="shared" si="5"/>
        <v>0</v>
      </c>
      <c r="U522">
        <f t="shared" si="6"/>
        <v>0</v>
      </c>
      <c r="V522">
        <f t="shared" si="7"/>
        <v>0</v>
      </c>
      <c r="W522">
        <f t="shared" si="8"/>
        <v>0</v>
      </c>
      <c r="X522">
        <f t="shared" si="9"/>
        <v>0</v>
      </c>
      <c r="Y522">
        <f t="shared" si="10"/>
        <v>0</v>
      </c>
      <c r="Z522">
        <f t="shared" si="11"/>
        <v>0</v>
      </c>
      <c r="AA522">
        <f t="shared" si="12"/>
        <v>0</v>
      </c>
      <c r="AB522">
        <f t="shared" si="13"/>
        <v>0</v>
      </c>
      <c r="AC522">
        <f t="shared" si="14"/>
        <v>0</v>
      </c>
      <c r="AE522">
        <f t="shared" si="0"/>
      </c>
      <c r="AV522">
        <f t="shared" si="15"/>
      </c>
      <c r="BM522">
        <f t="shared" si="16"/>
      </c>
      <c r="CD522">
        <f t="shared" si="0"/>
      </c>
      <c r="CZ522">
        <f t="shared" si="17"/>
      </c>
      <c r="DA522">
        <f t="shared" si="1"/>
      </c>
      <c r="DB522">
        <f t="shared" si="18"/>
      </c>
      <c r="DC522">
        <f t="shared" si="19"/>
      </c>
      <c r="DD522">
        <f t="shared" si="20"/>
      </c>
      <c r="DE522">
        <f t="shared" si="21"/>
      </c>
      <c r="DF522">
        <f t="shared" si="22"/>
      </c>
      <c r="DG522">
        <f t="shared" si="23"/>
      </c>
      <c r="DH522">
        <f t="shared" si="24"/>
      </c>
      <c r="DI522">
        <f t="shared" si="1"/>
      </c>
    </row>
    <row r="523" ht="15" customHeight="1">
      <c r="B523">
        <f t="shared" si="2"/>
      </c>
      <c r="R523">
        <f t="shared" si="3"/>
        <v>0</v>
      </c>
      <c r="S523">
        <f t="shared" si="4"/>
        <v>0</v>
      </c>
      <c r="T523">
        <f t="shared" si="5"/>
        <v>0</v>
      </c>
      <c r="U523">
        <f t="shared" si="6"/>
        <v>0</v>
      </c>
      <c r="V523">
        <f t="shared" si="7"/>
        <v>0</v>
      </c>
      <c r="W523">
        <f t="shared" si="8"/>
        <v>0</v>
      </c>
      <c r="X523">
        <f t="shared" si="9"/>
        <v>0</v>
      </c>
      <c r="Y523">
        <f t="shared" si="10"/>
        <v>0</v>
      </c>
      <c r="Z523">
        <f t="shared" si="11"/>
        <v>0</v>
      </c>
      <c r="AA523">
        <f t="shared" si="12"/>
        <v>0</v>
      </c>
      <c r="AB523">
        <f t="shared" si="13"/>
        <v>0</v>
      </c>
      <c r="AC523">
        <f t="shared" si="14"/>
        <v>0</v>
      </c>
      <c r="AE523">
        <f t="shared" si="0"/>
      </c>
      <c r="AV523">
        <f t="shared" si="15"/>
      </c>
      <c r="BM523">
        <f t="shared" si="16"/>
      </c>
      <c r="CD523">
        <f t="shared" si="0"/>
      </c>
      <c r="CZ523">
        <f t="shared" si="17"/>
      </c>
      <c r="DA523">
        <f t="shared" si="1"/>
      </c>
      <c r="DB523">
        <f t="shared" si="18"/>
      </c>
      <c r="DC523">
        <f t="shared" si="19"/>
      </c>
      <c r="DD523">
        <f t="shared" si="20"/>
      </c>
      <c r="DE523">
        <f t="shared" si="21"/>
      </c>
      <c r="DF523">
        <f t="shared" si="22"/>
      </c>
      <c r="DG523">
        <f t="shared" si="23"/>
      </c>
      <c r="DH523">
        <f t="shared" si="24"/>
      </c>
      <c r="DI523">
        <f t="shared" si="1"/>
      </c>
    </row>
    <row r="524" ht="15" customHeight="1">
      <c r="B524">
        <f t="shared" si="2"/>
      </c>
      <c r="R524">
        <f t="shared" si="3"/>
        <v>0</v>
      </c>
      <c r="S524">
        <f t="shared" si="4"/>
        <v>0</v>
      </c>
      <c r="T524">
        <f t="shared" si="5"/>
        <v>0</v>
      </c>
      <c r="U524">
        <f t="shared" si="6"/>
        <v>0</v>
      </c>
      <c r="V524">
        <f t="shared" si="7"/>
        <v>0</v>
      </c>
      <c r="W524">
        <f t="shared" si="8"/>
        <v>0</v>
      </c>
      <c r="X524">
        <f t="shared" si="9"/>
        <v>0</v>
      </c>
      <c r="Y524">
        <f t="shared" si="10"/>
        <v>0</v>
      </c>
      <c r="Z524">
        <f t="shared" si="11"/>
        <v>0</v>
      </c>
      <c r="AA524">
        <f t="shared" si="12"/>
        <v>0</v>
      </c>
      <c r="AB524">
        <f t="shared" si="13"/>
        <v>0</v>
      </c>
      <c r="AC524">
        <f t="shared" si="14"/>
        <v>0</v>
      </c>
      <c r="AE524">
        <f t="shared" si="0"/>
      </c>
      <c r="AV524">
        <f t="shared" si="15"/>
      </c>
      <c r="BM524">
        <f t="shared" si="16"/>
      </c>
      <c r="CD524">
        <f t="shared" si="0"/>
      </c>
      <c r="CZ524">
        <f t="shared" si="17"/>
      </c>
      <c r="DA524">
        <f t="shared" si="1"/>
      </c>
      <c r="DB524">
        <f t="shared" si="18"/>
      </c>
      <c r="DC524">
        <f t="shared" si="19"/>
      </c>
      <c r="DD524">
        <f t="shared" si="20"/>
      </c>
      <c r="DE524">
        <f t="shared" si="21"/>
      </c>
      <c r="DF524">
        <f t="shared" si="22"/>
      </c>
      <c r="DG524">
        <f t="shared" si="23"/>
      </c>
      <c r="DH524">
        <f t="shared" si="24"/>
      </c>
      <c r="DI524">
        <f t="shared" si="1"/>
      </c>
    </row>
    <row r="525" ht="15" customHeight="1">
      <c r="B525">
        <f t="shared" si="2"/>
      </c>
      <c r="R525">
        <f t="shared" si="3"/>
        <v>0</v>
      </c>
      <c r="S525">
        <f t="shared" si="4"/>
        <v>0</v>
      </c>
      <c r="T525">
        <f t="shared" si="5"/>
        <v>0</v>
      </c>
      <c r="U525">
        <f t="shared" si="6"/>
        <v>0</v>
      </c>
      <c r="V525">
        <f t="shared" si="7"/>
        <v>0</v>
      </c>
      <c r="W525">
        <f t="shared" si="8"/>
        <v>0</v>
      </c>
      <c r="X525">
        <f t="shared" si="9"/>
        <v>0</v>
      </c>
      <c r="Y525">
        <f t="shared" si="10"/>
        <v>0</v>
      </c>
      <c r="Z525">
        <f t="shared" si="11"/>
        <v>0</v>
      </c>
      <c r="AA525">
        <f t="shared" si="12"/>
        <v>0</v>
      </c>
      <c r="AB525">
        <f t="shared" si="13"/>
        <v>0</v>
      </c>
      <c r="AC525">
        <f t="shared" si="14"/>
        <v>0</v>
      </c>
      <c r="AE525">
        <f t="shared" si="0"/>
      </c>
      <c r="AV525">
        <f t="shared" si="15"/>
      </c>
      <c r="BM525">
        <f t="shared" si="16"/>
      </c>
      <c r="CD525">
        <f t="shared" si="0"/>
      </c>
      <c r="CZ525">
        <f t="shared" si="17"/>
      </c>
      <c r="DA525">
        <f t="shared" si="1"/>
      </c>
      <c r="DB525">
        <f t="shared" si="18"/>
      </c>
      <c r="DC525">
        <f t="shared" si="19"/>
      </c>
      <c r="DD525">
        <f t="shared" si="20"/>
      </c>
      <c r="DE525">
        <f t="shared" si="21"/>
      </c>
      <c r="DF525">
        <f t="shared" si="22"/>
      </c>
      <c r="DG525">
        <f t="shared" si="23"/>
      </c>
      <c r="DH525">
        <f t="shared" si="24"/>
      </c>
      <c r="DI525">
        <f t="shared" si="1"/>
      </c>
    </row>
    <row r="526" ht="15" customHeight="1">
      <c r="B526">
        <f t="shared" si="2"/>
      </c>
      <c r="R526">
        <f t="shared" si="3"/>
        <v>0</v>
      </c>
      <c r="S526">
        <f t="shared" si="4"/>
        <v>0</v>
      </c>
      <c r="T526">
        <f t="shared" si="5"/>
        <v>0</v>
      </c>
      <c r="U526">
        <f t="shared" si="6"/>
        <v>0</v>
      </c>
      <c r="V526">
        <f t="shared" si="7"/>
        <v>0</v>
      </c>
      <c r="W526">
        <f t="shared" si="8"/>
        <v>0</v>
      </c>
      <c r="X526">
        <f t="shared" si="9"/>
        <v>0</v>
      </c>
      <c r="Y526">
        <f t="shared" si="10"/>
        <v>0</v>
      </c>
      <c r="Z526">
        <f t="shared" si="11"/>
        <v>0</v>
      </c>
      <c r="AA526">
        <f t="shared" si="12"/>
        <v>0</v>
      </c>
      <c r="AB526">
        <f t="shared" si="13"/>
        <v>0</v>
      </c>
      <c r="AC526">
        <f t="shared" si="14"/>
        <v>0</v>
      </c>
      <c r="AE526">
        <f t="shared" si="0"/>
      </c>
      <c r="AV526">
        <f t="shared" si="15"/>
      </c>
      <c r="BM526">
        <f t="shared" si="16"/>
      </c>
      <c r="CD526">
        <f t="shared" si="0"/>
      </c>
      <c r="CZ526">
        <f t="shared" si="17"/>
      </c>
      <c r="DA526">
        <f t="shared" si="1"/>
      </c>
      <c r="DB526">
        <f t="shared" si="18"/>
      </c>
      <c r="DC526">
        <f t="shared" si="19"/>
      </c>
      <c r="DD526">
        <f t="shared" si="20"/>
      </c>
      <c r="DE526">
        <f t="shared" si="21"/>
      </c>
      <c r="DF526">
        <f t="shared" si="22"/>
      </c>
      <c r="DG526">
        <f t="shared" si="23"/>
      </c>
      <c r="DH526">
        <f t="shared" si="24"/>
      </c>
      <c r="DI526">
        <f t="shared" si="1"/>
      </c>
    </row>
    <row r="527" ht="15" customHeight="1">
      <c r="B527">
        <f t="shared" si="2"/>
      </c>
      <c r="R527">
        <f t="shared" si="3"/>
        <v>0</v>
      </c>
      <c r="S527">
        <f t="shared" si="4"/>
        <v>0</v>
      </c>
      <c r="T527">
        <f t="shared" si="5"/>
        <v>0</v>
      </c>
      <c r="U527">
        <f t="shared" si="6"/>
        <v>0</v>
      </c>
      <c r="V527">
        <f t="shared" si="7"/>
        <v>0</v>
      </c>
      <c r="W527">
        <f t="shared" si="8"/>
        <v>0</v>
      </c>
      <c r="X527">
        <f t="shared" si="9"/>
        <v>0</v>
      </c>
      <c r="Y527">
        <f t="shared" si="10"/>
        <v>0</v>
      </c>
      <c r="Z527">
        <f t="shared" si="11"/>
        <v>0</v>
      </c>
      <c r="AA527">
        <f t="shared" si="12"/>
        <v>0</v>
      </c>
      <c r="AB527">
        <f t="shared" si="13"/>
        <v>0</v>
      </c>
      <c r="AC527">
        <f t="shared" si="14"/>
        <v>0</v>
      </c>
      <c r="AE527">
        <f t="shared" si="0"/>
      </c>
      <c r="AV527">
        <f t="shared" si="15"/>
      </c>
      <c r="BM527">
        <f t="shared" si="16"/>
      </c>
      <c r="CD527">
        <f t="shared" si="0"/>
      </c>
      <c r="CZ527">
        <f t="shared" si="17"/>
      </c>
      <c r="DA527">
        <f t="shared" si="1"/>
      </c>
      <c r="DB527">
        <f t="shared" si="18"/>
      </c>
      <c r="DC527">
        <f t="shared" si="19"/>
      </c>
      <c r="DD527">
        <f t="shared" si="20"/>
      </c>
      <c r="DE527">
        <f t="shared" si="21"/>
      </c>
      <c r="DF527">
        <f t="shared" si="22"/>
      </c>
      <c r="DG527">
        <f t="shared" si="23"/>
      </c>
      <c r="DH527">
        <f t="shared" si="24"/>
      </c>
      <c r="DI527">
        <f t="shared" si="1"/>
      </c>
    </row>
    <row r="528" ht="15" customHeight="1">
      <c r="B528">
        <f t="shared" si="2"/>
      </c>
      <c r="R528">
        <f t="shared" si="3"/>
        <v>0</v>
      </c>
      <c r="S528">
        <f t="shared" si="4"/>
        <v>0</v>
      </c>
      <c r="T528">
        <f t="shared" si="5"/>
        <v>0</v>
      </c>
      <c r="U528">
        <f t="shared" si="6"/>
        <v>0</v>
      </c>
      <c r="V528">
        <f t="shared" si="7"/>
        <v>0</v>
      </c>
      <c r="W528">
        <f t="shared" si="8"/>
        <v>0</v>
      </c>
      <c r="X528">
        <f t="shared" si="9"/>
        <v>0</v>
      </c>
      <c r="Y528">
        <f t="shared" si="10"/>
        <v>0</v>
      </c>
      <c r="Z528">
        <f t="shared" si="11"/>
        <v>0</v>
      </c>
      <c r="AA528">
        <f t="shared" si="12"/>
        <v>0</v>
      </c>
      <c r="AB528">
        <f t="shared" si="13"/>
        <v>0</v>
      </c>
      <c r="AC528">
        <f t="shared" si="14"/>
        <v>0</v>
      </c>
      <c r="AE528">
        <f t="shared" si="0"/>
      </c>
      <c r="AV528">
        <f t="shared" si="15"/>
      </c>
      <c r="BM528">
        <f t="shared" si="16"/>
      </c>
      <c r="CD528">
        <f t="shared" si="0"/>
      </c>
      <c r="CZ528">
        <f t="shared" si="17"/>
      </c>
      <c r="DA528">
        <f t="shared" si="1"/>
      </c>
      <c r="DB528">
        <f t="shared" si="18"/>
      </c>
      <c r="DC528">
        <f t="shared" si="19"/>
      </c>
      <c r="DD528">
        <f t="shared" si="20"/>
      </c>
      <c r="DE528">
        <f t="shared" si="21"/>
      </c>
      <c r="DF528">
        <f t="shared" si="22"/>
      </c>
      <c r="DG528">
        <f t="shared" si="23"/>
      </c>
      <c r="DH528">
        <f t="shared" si="24"/>
      </c>
      <c r="DI528">
        <f t="shared" si="1"/>
      </c>
    </row>
    <row r="529" ht="15" customHeight="1">
      <c r="B529">
        <f t="shared" si="2"/>
      </c>
      <c r="R529">
        <f t="shared" si="3"/>
        <v>0</v>
      </c>
      <c r="S529">
        <f t="shared" si="4"/>
        <v>0</v>
      </c>
      <c r="T529">
        <f t="shared" si="5"/>
        <v>0</v>
      </c>
      <c r="U529">
        <f t="shared" si="6"/>
        <v>0</v>
      </c>
      <c r="V529">
        <f t="shared" si="7"/>
        <v>0</v>
      </c>
      <c r="W529">
        <f t="shared" si="8"/>
        <v>0</v>
      </c>
      <c r="X529">
        <f t="shared" si="9"/>
        <v>0</v>
      </c>
      <c r="Y529">
        <f t="shared" si="10"/>
        <v>0</v>
      </c>
      <c r="Z529">
        <f t="shared" si="11"/>
        <v>0</v>
      </c>
      <c r="AA529">
        <f t="shared" si="12"/>
        <v>0</v>
      </c>
      <c r="AB529">
        <f t="shared" si="13"/>
        <v>0</v>
      </c>
      <c r="AC529">
        <f t="shared" si="14"/>
        <v>0</v>
      </c>
      <c r="AE529">
        <f t="shared" si="0"/>
      </c>
      <c r="AV529">
        <f t="shared" si="15"/>
      </c>
      <c r="BM529">
        <f t="shared" si="16"/>
      </c>
      <c r="CD529">
        <f t="shared" si="0"/>
      </c>
      <c r="CZ529">
        <f t="shared" si="17"/>
      </c>
      <c r="DA529">
        <f t="shared" si="1"/>
      </c>
      <c r="DB529">
        <f t="shared" si="18"/>
      </c>
      <c r="DC529">
        <f t="shared" si="19"/>
      </c>
      <c r="DD529">
        <f t="shared" si="20"/>
      </c>
      <c r="DE529">
        <f t="shared" si="21"/>
      </c>
      <c r="DF529">
        <f t="shared" si="22"/>
      </c>
      <c r="DG529">
        <f t="shared" si="23"/>
      </c>
      <c r="DH529">
        <f t="shared" si="24"/>
      </c>
      <c r="DI529">
        <f t="shared" si="1"/>
      </c>
    </row>
    <row r="530" ht="15" customHeight="1">
      <c r="B530">
        <f t="shared" si="2"/>
      </c>
      <c r="R530">
        <f t="shared" si="3"/>
        <v>0</v>
      </c>
      <c r="S530">
        <f t="shared" si="4"/>
        <v>0</v>
      </c>
      <c r="T530">
        <f t="shared" si="5"/>
        <v>0</v>
      </c>
      <c r="U530">
        <f t="shared" si="6"/>
        <v>0</v>
      </c>
      <c r="V530">
        <f t="shared" si="7"/>
        <v>0</v>
      </c>
      <c r="W530">
        <f t="shared" si="8"/>
        <v>0</v>
      </c>
      <c r="X530">
        <f t="shared" si="9"/>
        <v>0</v>
      </c>
      <c r="Y530">
        <f t="shared" si="10"/>
        <v>0</v>
      </c>
      <c r="Z530">
        <f t="shared" si="11"/>
        <v>0</v>
      </c>
      <c r="AA530">
        <f t="shared" si="12"/>
        <v>0</v>
      </c>
      <c r="AB530">
        <f t="shared" si="13"/>
        <v>0</v>
      </c>
      <c r="AC530">
        <f t="shared" si="14"/>
        <v>0</v>
      </c>
      <c r="AE530">
        <f t="shared" si="0"/>
      </c>
      <c r="AV530">
        <f t="shared" si="15"/>
      </c>
      <c r="BM530">
        <f t="shared" si="16"/>
      </c>
      <c r="CD530">
        <f t="shared" si="0"/>
      </c>
      <c r="CZ530">
        <f t="shared" si="17"/>
      </c>
      <c r="DA530">
        <f t="shared" si="1"/>
      </c>
      <c r="DB530">
        <f t="shared" si="18"/>
      </c>
      <c r="DC530">
        <f t="shared" si="19"/>
      </c>
      <c r="DD530">
        <f t="shared" si="20"/>
      </c>
      <c r="DE530">
        <f t="shared" si="21"/>
      </c>
      <c r="DF530">
        <f t="shared" si="22"/>
      </c>
      <c r="DG530">
        <f t="shared" si="23"/>
      </c>
      <c r="DH530">
        <f t="shared" si="24"/>
      </c>
      <c r="DI530">
        <f t="shared" si="1"/>
      </c>
    </row>
    <row r="531" ht="15" customHeight="1">
      <c r="B531">
        <f t="shared" si="2"/>
      </c>
      <c r="R531">
        <f t="shared" si="3"/>
        <v>0</v>
      </c>
      <c r="S531">
        <f t="shared" si="4"/>
        <v>0</v>
      </c>
      <c r="T531">
        <f t="shared" si="5"/>
        <v>0</v>
      </c>
      <c r="U531">
        <f t="shared" si="6"/>
        <v>0</v>
      </c>
      <c r="V531">
        <f t="shared" si="7"/>
        <v>0</v>
      </c>
      <c r="W531">
        <f t="shared" si="8"/>
        <v>0</v>
      </c>
      <c r="X531">
        <f t="shared" si="9"/>
        <v>0</v>
      </c>
      <c r="Y531">
        <f t="shared" si="10"/>
        <v>0</v>
      </c>
      <c r="Z531">
        <f t="shared" si="11"/>
        <v>0</v>
      </c>
      <c r="AA531">
        <f t="shared" si="12"/>
        <v>0</v>
      </c>
      <c r="AB531">
        <f t="shared" si="13"/>
        <v>0</v>
      </c>
      <c r="AC531">
        <f t="shared" si="14"/>
        <v>0</v>
      </c>
      <c r="AE531">
        <f t="shared" si="0"/>
      </c>
      <c r="AV531">
        <f t="shared" si="15"/>
      </c>
      <c r="BM531">
        <f t="shared" si="16"/>
      </c>
      <c r="CD531">
        <f t="shared" si="0"/>
      </c>
      <c r="CZ531">
        <f t="shared" si="17"/>
      </c>
      <c r="DA531">
        <f t="shared" si="1"/>
      </c>
      <c r="DB531">
        <f t="shared" si="18"/>
      </c>
      <c r="DC531">
        <f t="shared" si="19"/>
      </c>
      <c r="DD531">
        <f t="shared" si="20"/>
      </c>
      <c r="DE531">
        <f t="shared" si="21"/>
      </c>
      <c r="DF531">
        <f t="shared" si="22"/>
      </c>
      <c r="DG531">
        <f t="shared" si="23"/>
      </c>
      <c r="DH531">
        <f t="shared" si="24"/>
      </c>
      <c r="DI531">
        <f t="shared" si="1"/>
      </c>
    </row>
    <row r="532" ht="15" customHeight="1">
      <c r="B532">
        <f t="shared" si="2"/>
      </c>
      <c r="R532">
        <f t="shared" si="3"/>
        <v>0</v>
      </c>
      <c r="S532">
        <f t="shared" si="4"/>
        <v>0</v>
      </c>
      <c r="T532">
        <f t="shared" si="5"/>
        <v>0</v>
      </c>
      <c r="U532">
        <f t="shared" si="6"/>
        <v>0</v>
      </c>
      <c r="V532">
        <f t="shared" si="7"/>
        <v>0</v>
      </c>
      <c r="W532">
        <f t="shared" si="8"/>
        <v>0</v>
      </c>
      <c r="X532">
        <f t="shared" si="9"/>
        <v>0</v>
      </c>
      <c r="Y532">
        <f t="shared" si="10"/>
        <v>0</v>
      </c>
      <c r="Z532">
        <f t="shared" si="11"/>
        <v>0</v>
      </c>
      <c r="AA532">
        <f t="shared" si="12"/>
        <v>0</v>
      </c>
      <c r="AB532">
        <f t="shared" si="13"/>
        <v>0</v>
      </c>
      <c r="AC532">
        <f t="shared" si="14"/>
        <v>0</v>
      </c>
      <c r="AE532">
        <f t="shared" si="0"/>
      </c>
      <c r="AV532">
        <f t="shared" si="15"/>
      </c>
      <c r="BM532">
        <f t="shared" si="16"/>
      </c>
      <c r="CD532">
        <f t="shared" si="0"/>
      </c>
      <c r="CZ532">
        <f t="shared" si="17"/>
      </c>
      <c r="DA532">
        <f t="shared" si="1"/>
      </c>
      <c r="DB532">
        <f t="shared" si="18"/>
      </c>
      <c r="DC532">
        <f t="shared" si="19"/>
      </c>
      <c r="DD532">
        <f t="shared" si="20"/>
      </c>
      <c r="DE532">
        <f t="shared" si="21"/>
      </c>
      <c r="DF532">
        <f t="shared" si="22"/>
      </c>
      <c r="DG532">
        <f t="shared" si="23"/>
      </c>
      <c r="DH532">
        <f t="shared" si="24"/>
      </c>
      <c r="DI532">
        <f t="shared" si="1"/>
      </c>
    </row>
    <row r="533" ht="15" customHeight="1">
      <c r="B533">
        <f t="shared" si="2"/>
      </c>
      <c r="R533">
        <f t="shared" si="3"/>
        <v>0</v>
      </c>
      <c r="S533">
        <f t="shared" si="4"/>
        <v>0</v>
      </c>
      <c r="T533">
        <f t="shared" si="5"/>
        <v>0</v>
      </c>
      <c r="U533">
        <f t="shared" si="6"/>
        <v>0</v>
      </c>
      <c r="V533">
        <f t="shared" si="7"/>
        <v>0</v>
      </c>
      <c r="W533">
        <f t="shared" si="8"/>
        <v>0</v>
      </c>
      <c r="X533">
        <f t="shared" si="9"/>
        <v>0</v>
      </c>
      <c r="Y533">
        <f t="shared" si="10"/>
        <v>0</v>
      </c>
      <c r="Z533">
        <f t="shared" si="11"/>
        <v>0</v>
      </c>
      <c r="AA533">
        <f t="shared" si="12"/>
        <v>0</v>
      </c>
      <c r="AB533">
        <f t="shared" si="13"/>
        <v>0</v>
      </c>
      <c r="AC533">
        <f t="shared" si="14"/>
        <v>0</v>
      </c>
      <c r="AE533">
        <f t="shared" si="0"/>
      </c>
      <c r="AV533">
        <f t="shared" si="15"/>
      </c>
      <c r="BM533">
        <f t="shared" si="16"/>
      </c>
      <c r="CD533">
        <f t="shared" si="0"/>
      </c>
      <c r="CZ533">
        <f t="shared" si="17"/>
      </c>
      <c r="DA533">
        <f t="shared" si="1"/>
      </c>
      <c r="DB533">
        <f t="shared" si="18"/>
      </c>
      <c r="DC533">
        <f t="shared" si="19"/>
      </c>
      <c r="DD533">
        <f t="shared" si="20"/>
      </c>
      <c r="DE533">
        <f t="shared" si="21"/>
      </c>
      <c r="DF533">
        <f t="shared" si="22"/>
      </c>
      <c r="DG533">
        <f t="shared" si="23"/>
      </c>
      <c r="DH533">
        <f t="shared" si="24"/>
      </c>
      <c r="DI533">
        <f t="shared" si="1"/>
      </c>
    </row>
    <row r="534" ht="15" customHeight="1">
      <c r="B534">
        <f t="shared" si="2"/>
      </c>
      <c r="R534">
        <f t="shared" si="3"/>
        <v>0</v>
      </c>
      <c r="S534">
        <f t="shared" si="4"/>
        <v>0</v>
      </c>
      <c r="T534">
        <f t="shared" si="5"/>
        <v>0</v>
      </c>
      <c r="U534">
        <f t="shared" si="6"/>
        <v>0</v>
      </c>
      <c r="V534">
        <f t="shared" si="7"/>
        <v>0</v>
      </c>
      <c r="W534">
        <f t="shared" si="8"/>
        <v>0</v>
      </c>
      <c r="X534">
        <f t="shared" si="9"/>
        <v>0</v>
      </c>
      <c r="Y534">
        <f t="shared" si="10"/>
        <v>0</v>
      </c>
      <c r="Z534">
        <f t="shared" si="11"/>
        <v>0</v>
      </c>
      <c r="AA534">
        <f t="shared" si="12"/>
        <v>0</v>
      </c>
      <c r="AB534">
        <f t="shared" si="13"/>
        <v>0</v>
      </c>
      <c r="AC534">
        <f t="shared" si="14"/>
        <v>0</v>
      </c>
      <c r="AE534">
        <f t="shared" si="0"/>
      </c>
      <c r="AV534">
        <f t="shared" si="15"/>
      </c>
      <c r="BM534">
        <f t="shared" si="16"/>
      </c>
      <c r="CD534">
        <f t="shared" si="0"/>
      </c>
      <c r="CZ534">
        <f t="shared" si="17"/>
      </c>
      <c r="DA534">
        <f t="shared" si="1"/>
      </c>
      <c r="DB534">
        <f t="shared" si="18"/>
      </c>
      <c r="DC534">
        <f t="shared" si="19"/>
      </c>
      <c r="DD534">
        <f t="shared" si="20"/>
      </c>
      <c r="DE534">
        <f t="shared" si="21"/>
      </c>
      <c r="DF534">
        <f t="shared" si="22"/>
      </c>
      <c r="DG534">
        <f t="shared" si="23"/>
      </c>
      <c r="DH534">
        <f t="shared" si="24"/>
      </c>
      <c r="DI534">
        <f t="shared" si="1"/>
      </c>
    </row>
    <row r="535" ht="15" customHeight="1">
      <c r="B535">
        <f t="shared" si="2"/>
      </c>
      <c r="R535">
        <f t="shared" si="3"/>
        <v>0</v>
      </c>
      <c r="S535">
        <f t="shared" si="4"/>
        <v>0</v>
      </c>
      <c r="T535">
        <f t="shared" si="5"/>
        <v>0</v>
      </c>
      <c r="U535">
        <f t="shared" si="6"/>
        <v>0</v>
      </c>
      <c r="V535">
        <f t="shared" si="7"/>
        <v>0</v>
      </c>
      <c r="W535">
        <f t="shared" si="8"/>
        <v>0</v>
      </c>
      <c r="X535">
        <f t="shared" si="9"/>
        <v>0</v>
      </c>
      <c r="Y535">
        <f t="shared" si="10"/>
        <v>0</v>
      </c>
      <c r="Z535">
        <f t="shared" si="11"/>
        <v>0</v>
      </c>
      <c r="AA535">
        <f t="shared" si="12"/>
        <v>0</v>
      </c>
      <c r="AB535">
        <f t="shared" si="13"/>
        <v>0</v>
      </c>
      <c r="AC535">
        <f t="shared" si="14"/>
        <v>0</v>
      </c>
      <c r="AE535">
        <f t="shared" si="0"/>
      </c>
      <c r="AV535">
        <f t="shared" si="15"/>
      </c>
      <c r="BM535">
        <f t="shared" si="16"/>
      </c>
      <c r="CD535">
        <f t="shared" si="0"/>
      </c>
      <c r="CZ535">
        <f t="shared" si="17"/>
      </c>
      <c r="DA535">
        <f t="shared" si="1"/>
      </c>
      <c r="DB535">
        <f t="shared" si="18"/>
      </c>
      <c r="DC535">
        <f t="shared" si="19"/>
      </c>
      <c r="DD535">
        <f t="shared" si="20"/>
      </c>
      <c r="DE535">
        <f t="shared" si="21"/>
      </c>
      <c r="DF535">
        <f t="shared" si="22"/>
      </c>
      <c r="DG535">
        <f t="shared" si="23"/>
      </c>
      <c r="DH535">
        <f t="shared" si="24"/>
      </c>
      <c r="DI535">
        <f t="shared" si="1"/>
      </c>
    </row>
    <row r="536" ht="15" customHeight="1">
      <c r="B536">
        <f t="shared" si="2"/>
      </c>
      <c r="R536">
        <f t="shared" si="3"/>
        <v>0</v>
      </c>
      <c r="S536">
        <f t="shared" si="4"/>
        <v>0</v>
      </c>
      <c r="T536">
        <f t="shared" si="5"/>
        <v>0</v>
      </c>
      <c r="U536">
        <f t="shared" si="6"/>
        <v>0</v>
      </c>
      <c r="V536">
        <f t="shared" si="7"/>
        <v>0</v>
      </c>
      <c r="W536">
        <f t="shared" si="8"/>
        <v>0</v>
      </c>
      <c r="X536">
        <f t="shared" si="9"/>
        <v>0</v>
      </c>
      <c r="Y536">
        <f t="shared" si="10"/>
        <v>0</v>
      </c>
      <c r="Z536">
        <f t="shared" si="11"/>
        <v>0</v>
      </c>
      <c r="AA536">
        <f t="shared" si="12"/>
        <v>0</v>
      </c>
      <c r="AB536">
        <f t="shared" si="13"/>
        <v>0</v>
      </c>
      <c r="AC536">
        <f t="shared" si="14"/>
        <v>0</v>
      </c>
      <c r="AE536">
        <f t="shared" si="0"/>
      </c>
      <c r="AV536">
        <f t="shared" si="15"/>
      </c>
      <c r="BM536">
        <f t="shared" si="16"/>
      </c>
      <c r="CD536">
        <f t="shared" si="0"/>
      </c>
      <c r="CZ536">
        <f t="shared" si="17"/>
      </c>
      <c r="DA536">
        <f t="shared" si="1"/>
      </c>
      <c r="DB536">
        <f t="shared" si="18"/>
      </c>
      <c r="DC536">
        <f t="shared" si="19"/>
      </c>
      <c r="DD536">
        <f t="shared" si="20"/>
      </c>
      <c r="DE536">
        <f t="shared" si="21"/>
      </c>
      <c r="DF536">
        <f t="shared" si="22"/>
      </c>
      <c r="DG536">
        <f t="shared" si="23"/>
      </c>
      <c r="DH536">
        <f t="shared" si="24"/>
      </c>
      <c r="DI536">
        <f t="shared" si="1"/>
      </c>
    </row>
    <row r="537" ht="15" customHeight="1">
      <c r="B537">
        <f t="shared" si="2"/>
      </c>
      <c r="R537">
        <f t="shared" si="3"/>
        <v>0</v>
      </c>
      <c r="S537">
        <f t="shared" si="4"/>
        <v>0</v>
      </c>
      <c r="T537">
        <f t="shared" si="5"/>
        <v>0</v>
      </c>
      <c r="U537">
        <f t="shared" si="6"/>
        <v>0</v>
      </c>
      <c r="V537">
        <f t="shared" si="7"/>
        <v>0</v>
      </c>
      <c r="W537">
        <f t="shared" si="8"/>
        <v>0</v>
      </c>
      <c r="X537">
        <f t="shared" si="9"/>
        <v>0</v>
      </c>
      <c r="Y537">
        <f t="shared" si="10"/>
        <v>0</v>
      </c>
      <c r="Z537">
        <f t="shared" si="11"/>
        <v>0</v>
      </c>
      <c r="AA537">
        <f t="shared" si="12"/>
        <v>0</v>
      </c>
      <c r="AB537">
        <f t="shared" si="13"/>
        <v>0</v>
      </c>
      <c r="AC537">
        <f t="shared" si="14"/>
        <v>0</v>
      </c>
      <c r="AE537">
        <f t="shared" si="0"/>
      </c>
      <c r="AV537">
        <f t="shared" si="15"/>
      </c>
      <c r="BM537">
        <f t="shared" si="16"/>
      </c>
      <c r="CD537">
        <f t="shared" si="0"/>
      </c>
      <c r="CZ537">
        <f t="shared" si="17"/>
      </c>
      <c r="DA537">
        <f t="shared" si="1"/>
      </c>
      <c r="DB537">
        <f t="shared" si="18"/>
      </c>
      <c r="DC537">
        <f t="shared" si="19"/>
      </c>
      <c r="DD537">
        <f t="shared" si="20"/>
      </c>
      <c r="DE537">
        <f t="shared" si="21"/>
      </c>
      <c r="DF537">
        <f t="shared" si="22"/>
      </c>
      <c r="DG537">
        <f t="shared" si="23"/>
      </c>
      <c r="DH537">
        <f t="shared" si="24"/>
      </c>
      <c r="DI537">
        <f t="shared" si="1"/>
      </c>
    </row>
    <row r="538" ht="15" customHeight="1">
      <c r="B538">
        <f t="shared" si="2"/>
      </c>
      <c r="R538">
        <f t="shared" si="3"/>
        <v>0</v>
      </c>
      <c r="S538">
        <f t="shared" si="4"/>
        <v>0</v>
      </c>
      <c r="T538">
        <f t="shared" si="5"/>
        <v>0</v>
      </c>
      <c r="U538">
        <f t="shared" si="6"/>
        <v>0</v>
      </c>
      <c r="V538">
        <f t="shared" si="7"/>
        <v>0</v>
      </c>
      <c r="W538">
        <f t="shared" si="8"/>
        <v>0</v>
      </c>
      <c r="X538">
        <f t="shared" si="9"/>
        <v>0</v>
      </c>
      <c r="Y538">
        <f t="shared" si="10"/>
        <v>0</v>
      </c>
      <c r="Z538">
        <f t="shared" si="11"/>
        <v>0</v>
      </c>
      <c r="AA538">
        <f t="shared" si="12"/>
        <v>0</v>
      </c>
      <c r="AB538">
        <f t="shared" si="13"/>
        <v>0</v>
      </c>
      <c r="AC538">
        <f t="shared" si="14"/>
        <v>0</v>
      </c>
      <c r="AE538">
        <f t="shared" si="0"/>
      </c>
      <c r="AV538">
        <f t="shared" si="15"/>
      </c>
      <c r="BM538">
        <f t="shared" si="16"/>
      </c>
      <c r="CD538">
        <f t="shared" si="0"/>
      </c>
      <c r="CZ538">
        <f t="shared" si="17"/>
      </c>
      <c r="DA538">
        <f t="shared" si="1"/>
      </c>
      <c r="DB538">
        <f t="shared" si="18"/>
      </c>
      <c r="DC538">
        <f t="shared" si="19"/>
      </c>
      <c r="DD538">
        <f t="shared" si="20"/>
      </c>
      <c r="DE538">
        <f t="shared" si="21"/>
      </c>
      <c r="DF538">
        <f t="shared" si="22"/>
      </c>
      <c r="DG538">
        <f t="shared" si="23"/>
      </c>
      <c r="DH538">
        <f t="shared" si="24"/>
      </c>
      <c r="DI538">
        <f t="shared" si="1"/>
      </c>
    </row>
    <row r="539" ht="15" customHeight="1">
      <c r="B539">
        <f t="shared" si="2"/>
      </c>
      <c r="R539">
        <f t="shared" si="3"/>
        <v>0</v>
      </c>
      <c r="S539">
        <f t="shared" si="4"/>
        <v>0</v>
      </c>
      <c r="T539">
        <f t="shared" si="5"/>
        <v>0</v>
      </c>
      <c r="U539">
        <f t="shared" si="6"/>
        <v>0</v>
      </c>
      <c r="V539">
        <f t="shared" si="7"/>
        <v>0</v>
      </c>
      <c r="W539">
        <f t="shared" si="8"/>
        <v>0</v>
      </c>
      <c r="X539">
        <f t="shared" si="9"/>
        <v>0</v>
      </c>
      <c r="Y539">
        <f t="shared" si="10"/>
        <v>0</v>
      </c>
      <c r="Z539">
        <f t="shared" si="11"/>
        <v>0</v>
      </c>
      <c r="AA539">
        <f t="shared" si="12"/>
        <v>0</v>
      </c>
      <c r="AB539">
        <f t="shared" si="13"/>
        <v>0</v>
      </c>
      <c r="AC539">
        <f t="shared" si="14"/>
        <v>0</v>
      </c>
      <c r="AE539">
        <f t="shared" si="0"/>
      </c>
      <c r="AV539">
        <f t="shared" si="15"/>
      </c>
      <c r="BM539">
        <f t="shared" si="16"/>
      </c>
      <c r="CD539">
        <f t="shared" si="0"/>
      </c>
      <c r="CZ539">
        <f t="shared" si="17"/>
      </c>
      <c r="DA539">
        <f t="shared" si="1"/>
      </c>
      <c r="DB539">
        <f t="shared" si="18"/>
      </c>
      <c r="DC539">
        <f t="shared" si="19"/>
      </c>
      <c r="DD539">
        <f t="shared" si="20"/>
      </c>
      <c r="DE539">
        <f t="shared" si="21"/>
      </c>
      <c r="DF539">
        <f t="shared" si="22"/>
      </c>
      <c r="DG539">
        <f t="shared" si="23"/>
      </c>
      <c r="DH539">
        <f t="shared" si="24"/>
      </c>
      <c r="DI539">
        <f t="shared" si="1"/>
      </c>
    </row>
    <row r="540" ht="15" customHeight="1">
      <c r="B540">
        <f t="shared" si="2"/>
      </c>
      <c r="R540">
        <f t="shared" si="3"/>
        <v>0</v>
      </c>
      <c r="S540">
        <f t="shared" si="4"/>
        <v>0</v>
      </c>
      <c r="T540">
        <f t="shared" si="5"/>
        <v>0</v>
      </c>
      <c r="U540">
        <f t="shared" si="6"/>
        <v>0</v>
      </c>
      <c r="V540">
        <f t="shared" si="7"/>
        <v>0</v>
      </c>
      <c r="W540">
        <f t="shared" si="8"/>
        <v>0</v>
      </c>
      <c r="X540">
        <f t="shared" si="9"/>
        <v>0</v>
      </c>
      <c r="Y540">
        <f t="shared" si="10"/>
        <v>0</v>
      </c>
      <c r="Z540">
        <f t="shared" si="11"/>
        <v>0</v>
      </c>
      <c r="AA540">
        <f t="shared" si="12"/>
        <v>0</v>
      </c>
      <c r="AB540">
        <f t="shared" si="13"/>
        <v>0</v>
      </c>
      <c r="AC540">
        <f t="shared" si="14"/>
        <v>0</v>
      </c>
      <c r="AE540">
        <f t="shared" si="0"/>
      </c>
      <c r="AV540">
        <f t="shared" si="15"/>
      </c>
      <c r="BM540">
        <f t="shared" si="16"/>
      </c>
      <c r="CD540">
        <f t="shared" si="0"/>
      </c>
      <c r="CZ540">
        <f t="shared" si="17"/>
      </c>
      <c r="DA540">
        <f t="shared" si="1"/>
      </c>
      <c r="DB540">
        <f t="shared" si="18"/>
      </c>
      <c r="DC540">
        <f t="shared" si="19"/>
      </c>
      <c r="DD540">
        <f t="shared" si="20"/>
      </c>
      <c r="DE540">
        <f t="shared" si="21"/>
      </c>
      <c r="DF540">
        <f t="shared" si="22"/>
      </c>
      <c r="DG540">
        <f t="shared" si="23"/>
      </c>
      <c r="DH540">
        <f t="shared" si="24"/>
      </c>
      <c r="DI540">
        <f t="shared" si="1"/>
      </c>
    </row>
    <row r="541" ht="15" customHeight="1">
      <c r="B541">
        <f t="shared" si="2"/>
      </c>
      <c r="R541">
        <f t="shared" si="3"/>
        <v>0</v>
      </c>
      <c r="S541">
        <f t="shared" si="4"/>
        <v>0</v>
      </c>
      <c r="T541">
        <f t="shared" si="5"/>
        <v>0</v>
      </c>
      <c r="U541">
        <f t="shared" si="6"/>
        <v>0</v>
      </c>
      <c r="V541">
        <f t="shared" si="7"/>
        <v>0</v>
      </c>
      <c r="W541">
        <f t="shared" si="8"/>
        <v>0</v>
      </c>
      <c r="X541">
        <f t="shared" si="9"/>
        <v>0</v>
      </c>
      <c r="Y541">
        <f t="shared" si="10"/>
        <v>0</v>
      </c>
      <c r="Z541">
        <f t="shared" si="11"/>
        <v>0</v>
      </c>
      <c r="AA541">
        <f t="shared" si="12"/>
        <v>0</v>
      </c>
      <c r="AB541">
        <f t="shared" si="13"/>
        <v>0</v>
      </c>
      <c r="AC541">
        <f t="shared" si="14"/>
        <v>0</v>
      </c>
      <c r="AE541">
        <f t="shared" si="0"/>
      </c>
      <c r="AV541">
        <f t="shared" si="15"/>
      </c>
      <c r="BM541">
        <f t="shared" si="16"/>
      </c>
      <c r="CD541">
        <f t="shared" si="0"/>
      </c>
      <c r="CZ541">
        <f t="shared" si="17"/>
      </c>
      <c r="DA541">
        <f t="shared" si="1"/>
      </c>
      <c r="DB541">
        <f t="shared" si="18"/>
      </c>
      <c r="DC541">
        <f t="shared" si="19"/>
      </c>
      <c r="DD541">
        <f t="shared" si="20"/>
      </c>
      <c r="DE541">
        <f t="shared" si="21"/>
      </c>
      <c r="DF541">
        <f t="shared" si="22"/>
      </c>
      <c r="DG541">
        <f t="shared" si="23"/>
      </c>
      <c r="DH541">
        <f t="shared" si="24"/>
      </c>
      <c r="DI541">
        <f t="shared" si="1"/>
      </c>
    </row>
    <row r="542" ht="15" customHeight="1">
      <c r="B542">
        <f t="shared" si="2"/>
      </c>
      <c r="R542">
        <f t="shared" si="3"/>
        <v>0</v>
      </c>
      <c r="S542">
        <f t="shared" si="4"/>
        <v>0</v>
      </c>
      <c r="T542">
        <f t="shared" si="5"/>
        <v>0</v>
      </c>
      <c r="U542">
        <f t="shared" si="6"/>
        <v>0</v>
      </c>
      <c r="V542">
        <f t="shared" si="7"/>
        <v>0</v>
      </c>
      <c r="W542">
        <f t="shared" si="8"/>
        <v>0</v>
      </c>
      <c r="X542">
        <f t="shared" si="9"/>
        <v>0</v>
      </c>
      <c r="Y542">
        <f t="shared" si="10"/>
        <v>0</v>
      </c>
      <c r="Z542">
        <f t="shared" si="11"/>
        <v>0</v>
      </c>
      <c r="AA542">
        <f t="shared" si="12"/>
        <v>0</v>
      </c>
      <c r="AB542">
        <f t="shared" si="13"/>
        <v>0</v>
      </c>
      <c r="AC542">
        <f t="shared" si="14"/>
        <v>0</v>
      </c>
      <c r="AE542">
        <f t="shared" si="0"/>
      </c>
      <c r="AV542">
        <f t="shared" si="15"/>
      </c>
      <c r="BM542">
        <f t="shared" si="16"/>
      </c>
      <c r="CD542">
        <f t="shared" si="0"/>
      </c>
      <c r="CZ542">
        <f t="shared" si="17"/>
      </c>
      <c r="DA542">
        <f t="shared" si="1"/>
      </c>
      <c r="DB542">
        <f t="shared" si="18"/>
      </c>
      <c r="DC542">
        <f t="shared" si="19"/>
      </c>
      <c r="DD542">
        <f t="shared" si="20"/>
      </c>
      <c r="DE542">
        <f t="shared" si="21"/>
      </c>
      <c r="DF542">
        <f t="shared" si="22"/>
      </c>
      <c r="DG542">
        <f t="shared" si="23"/>
      </c>
      <c r="DH542">
        <f t="shared" si="24"/>
      </c>
      <c r="DI542">
        <f t="shared" si="1"/>
      </c>
    </row>
    <row r="543" ht="15" customHeight="1">
      <c r="B543">
        <f t="shared" si="2"/>
      </c>
      <c r="R543">
        <f t="shared" si="3"/>
        <v>0</v>
      </c>
      <c r="S543">
        <f t="shared" si="4"/>
        <v>0</v>
      </c>
      <c r="T543">
        <f t="shared" si="5"/>
        <v>0</v>
      </c>
      <c r="U543">
        <f t="shared" si="6"/>
        <v>0</v>
      </c>
      <c r="V543">
        <f t="shared" si="7"/>
        <v>0</v>
      </c>
      <c r="W543">
        <f t="shared" si="8"/>
        <v>0</v>
      </c>
      <c r="X543">
        <f t="shared" si="9"/>
        <v>0</v>
      </c>
      <c r="Y543">
        <f t="shared" si="10"/>
        <v>0</v>
      </c>
      <c r="Z543">
        <f t="shared" si="11"/>
        <v>0</v>
      </c>
      <c r="AA543">
        <f t="shared" si="12"/>
        <v>0</v>
      </c>
      <c r="AB543">
        <f t="shared" si="13"/>
        <v>0</v>
      </c>
      <c r="AC543">
        <f t="shared" si="14"/>
        <v>0</v>
      </c>
      <c r="AE543">
        <f t="shared" si="0"/>
      </c>
      <c r="AV543">
        <f t="shared" si="15"/>
      </c>
      <c r="BM543">
        <f t="shared" si="16"/>
      </c>
      <c r="CD543">
        <f t="shared" si="0"/>
      </c>
      <c r="CZ543">
        <f t="shared" si="17"/>
      </c>
      <c r="DA543">
        <f t="shared" si="1"/>
      </c>
      <c r="DB543">
        <f t="shared" si="18"/>
      </c>
      <c r="DC543">
        <f t="shared" si="19"/>
      </c>
      <c r="DD543">
        <f t="shared" si="20"/>
      </c>
      <c r="DE543">
        <f t="shared" si="21"/>
      </c>
      <c r="DF543">
        <f t="shared" si="22"/>
      </c>
      <c r="DG543">
        <f t="shared" si="23"/>
      </c>
      <c r="DH543">
        <f t="shared" si="24"/>
      </c>
      <c r="DI543">
        <f t="shared" si="1"/>
      </c>
    </row>
    <row r="544" ht="15" customHeight="1">
      <c r="B544">
        <f t="shared" si="2"/>
      </c>
      <c r="R544">
        <f t="shared" si="3"/>
        <v>0</v>
      </c>
      <c r="S544">
        <f t="shared" si="4"/>
        <v>0</v>
      </c>
      <c r="T544">
        <f t="shared" si="5"/>
        <v>0</v>
      </c>
      <c r="U544">
        <f t="shared" si="6"/>
        <v>0</v>
      </c>
      <c r="V544">
        <f t="shared" si="7"/>
        <v>0</v>
      </c>
      <c r="W544">
        <f t="shared" si="8"/>
        <v>0</v>
      </c>
      <c r="X544">
        <f t="shared" si="9"/>
        <v>0</v>
      </c>
      <c r="Y544">
        <f t="shared" si="10"/>
        <v>0</v>
      </c>
      <c r="Z544">
        <f t="shared" si="11"/>
        <v>0</v>
      </c>
      <c r="AA544">
        <f t="shared" si="12"/>
        <v>0</v>
      </c>
      <c r="AB544">
        <f t="shared" si="13"/>
        <v>0</v>
      </c>
      <c r="AC544">
        <f t="shared" si="14"/>
        <v>0</v>
      </c>
      <c r="AE544">
        <f t="shared" si="0"/>
      </c>
      <c r="AV544">
        <f t="shared" si="15"/>
      </c>
      <c r="BM544">
        <f t="shared" si="16"/>
      </c>
      <c r="CD544">
        <f t="shared" si="0"/>
      </c>
      <c r="CZ544">
        <f t="shared" si="17"/>
      </c>
      <c r="DA544">
        <f t="shared" si="1"/>
      </c>
      <c r="DB544">
        <f t="shared" si="18"/>
      </c>
      <c r="DC544">
        <f t="shared" si="19"/>
      </c>
      <c r="DD544">
        <f t="shared" si="20"/>
      </c>
      <c r="DE544">
        <f t="shared" si="21"/>
      </c>
      <c r="DF544">
        <f t="shared" si="22"/>
      </c>
      <c r="DG544">
        <f t="shared" si="23"/>
      </c>
      <c r="DH544">
        <f t="shared" si="24"/>
      </c>
      <c r="DI544">
        <f t="shared" si="1"/>
      </c>
    </row>
    <row r="545" ht="15" customHeight="1">
      <c r="B545">
        <f t="shared" si="2"/>
      </c>
      <c r="R545">
        <f t="shared" si="3"/>
        <v>0</v>
      </c>
      <c r="S545">
        <f t="shared" si="4"/>
        <v>0</v>
      </c>
      <c r="T545">
        <f t="shared" si="5"/>
        <v>0</v>
      </c>
      <c r="U545">
        <f t="shared" si="6"/>
        <v>0</v>
      </c>
      <c r="V545">
        <f t="shared" si="7"/>
        <v>0</v>
      </c>
      <c r="W545">
        <f t="shared" si="8"/>
        <v>0</v>
      </c>
      <c r="X545">
        <f t="shared" si="9"/>
        <v>0</v>
      </c>
      <c r="Y545">
        <f t="shared" si="10"/>
        <v>0</v>
      </c>
      <c r="Z545">
        <f t="shared" si="11"/>
        <v>0</v>
      </c>
      <c r="AA545">
        <f t="shared" si="12"/>
        <v>0</v>
      </c>
      <c r="AB545">
        <f t="shared" si="13"/>
        <v>0</v>
      </c>
      <c r="AC545">
        <f t="shared" si="14"/>
        <v>0</v>
      </c>
      <c r="AE545">
        <f t="shared" si="0"/>
      </c>
      <c r="AV545">
        <f t="shared" si="15"/>
      </c>
      <c r="BM545">
        <f t="shared" si="16"/>
      </c>
      <c r="CD545">
        <f t="shared" si="0"/>
      </c>
      <c r="CZ545">
        <f t="shared" si="17"/>
      </c>
      <c r="DA545">
        <f t="shared" si="1"/>
      </c>
      <c r="DB545">
        <f t="shared" si="18"/>
      </c>
      <c r="DC545">
        <f t="shared" si="19"/>
      </c>
      <c r="DD545">
        <f t="shared" si="20"/>
      </c>
      <c r="DE545">
        <f t="shared" si="21"/>
      </c>
      <c r="DF545">
        <f t="shared" si="22"/>
      </c>
      <c r="DG545">
        <f t="shared" si="23"/>
      </c>
      <c r="DH545">
        <f t="shared" si="24"/>
      </c>
      <c r="DI545">
        <f t="shared" si="1"/>
      </c>
    </row>
    <row r="546" ht="15" customHeight="1">
      <c r="B546">
        <f t="shared" si="2"/>
      </c>
      <c r="R546">
        <f t="shared" si="3"/>
        <v>0</v>
      </c>
      <c r="S546">
        <f t="shared" si="4"/>
        <v>0</v>
      </c>
      <c r="T546">
        <f t="shared" si="5"/>
        <v>0</v>
      </c>
      <c r="U546">
        <f t="shared" si="6"/>
        <v>0</v>
      </c>
      <c r="V546">
        <f t="shared" si="7"/>
        <v>0</v>
      </c>
      <c r="W546">
        <f t="shared" si="8"/>
        <v>0</v>
      </c>
      <c r="X546">
        <f t="shared" si="9"/>
        <v>0</v>
      </c>
      <c r="Y546">
        <f t="shared" si="10"/>
        <v>0</v>
      </c>
      <c r="Z546">
        <f t="shared" si="11"/>
        <v>0</v>
      </c>
      <c r="AA546">
        <f t="shared" si="12"/>
        <v>0</v>
      </c>
      <c r="AB546">
        <f t="shared" si="13"/>
        <v>0</v>
      </c>
      <c r="AC546">
        <f t="shared" si="14"/>
        <v>0</v>
      </c>
      <c r="AE546">
        <f t="shared" si="0"/>
      </c>
      <c r="AV546">
        <f t="shared" si="15"/>
      </c>
      <c r="BM546">
        <f t="shared" si="16"/>
      </c>
      <c r="CD546">
        <f t="shared" si="0"/>
      </c>
      <c r="CZ546">
        <f t="shared" si="17"/>
      </c>
      <c r="DA546">
        <f t="shared" si="1"/>
      </c>
      <c r="DB546">
        <f t="shared" si="18"/>
      </c>
      <c r="DC546">
        <f t="shared" si="19"/>
      </c>
      <c r="DD546">
        <f t="shared" si="20"/>
      </c>
      <c r="DE546">
        <f t="shared" si="21"/>
      </c>
      <c r="DF546">
        <f t="shared" si="22"/>
      </c>
      <c r="DG546">
        <f t="shared" si="23"/>
      </c>
      <c r="DH546">
        <f t="shared" si="24"/>
      </c>
      <c r="DI546">
        <f t="shared" si="1"/>
      </c>
    </row>
    <row r="547" ht="15" customHeight="1">
      <c r="B547">
        <f t="shared" si="2"/>
      </c>
      <c r="R547">
        <f t="shared" si="3"/>
        <v>0</v>
      </c>
      <c r="S547">
        <f t="shared" si="4"/>
        <v>0</v>
      </c>
      <c r="T547">
        <f t="shared" si="5"/>
        <v>0</v>
      </c>
      <c r="U547">
        <f t="shared" si="6"/>
        <v>0</v>
      </c>
      <c r="V547">
        <f t="shared" si="7"/>
        <v>0</v>
      </c>
      <c r="W547">
        <f t="shared" si="8"/>
        <v>0</v>
      </c>
      <c r="X547">
        <f t="shared" si="9"/>
        <v>0</v>
      </c>
      <c r="Y547">
        <f t="shared" si="10"/>
        <v>0</v>
      </c>
      <c r="Z547">
        <f t="shared" si="11"/>
        <v>0</v>
      </c>
      <c r="AA547">
        <f t="shared" si="12"/>
        <v>0</v>
      </c>
      <c r="AB547">
        <f t="shared" si="13"/>
        <v>0</v>
      </c>
      <c r="AC547">
        <f t="shared" si="14"/>
        <v>0</v>
      </c>
      <c r="AE547">
        <f t="shared" si="0"/>
      </c>
      <c r="AV547">
        <f t="shared" si="15"/>
      </c>
      <c r="BM547">
        <f t="shared" si="16"/>
      </c>
      <c r="CD547">
        <f t="shared" si="0"/>
      </c>
      <c r="CZ547">
        <f t="shared" si="17"/>
      </c>
      <c r="DA547">
        <f t="shared" si="1"/>
      </c>
      <c r="DB547">
        <f t="shared" si="18"/>
      </c>
      <c r="DC547">
        <f t="shared" si="19"/>
      </c>
      <c r="DD547">
        <f t="shared" si="20"/>
      </c>
      <c r="DE547">
        <f t="shared" si="21"/>
      </c>
      <c r="DF547">
        <f t="shared" si="22"/>
      </c>
      <c r="DG547">
        <f t="shared" si="23"/>
      </c>
      <c r="DH547">
        <f t="shared" si="24"/>
      </c>
      <c r="DI547">
        <f t="shared" si="1"/>
      </c>
    </row>
    <row r="548" ht="15" customHeight="1">
      <c r="B548">
        <f t="shared" si="2"/>
      </c>
      <c r="R548">
        <f t="shared" si="3"/>
        <v>0</v>
      </c>
      <c r="S548">
        <f t="shared" si="4"/>
        <v>0</v>
      </c>
      <c r="T548">
        <f t="shared" si="5"/>
        <v>0</v>
      </c>
      <c r="U548">
        <f t="shared" si="6"/>
        <v>0</v>
      </c>
      <c r="V548">
        <f t="shared" si="7"/>
        <v>0</v>
      </c>
      <c r="W548">
        <f t="shared" si="8"/>
        <v>0</v>
      </c>
      <c r="X548">
        <f t="shared" si="9"/>
        <v>0</v>
      </c>
      <c r="Y548">
        <f t="shared" si="10"/>
        <v>0</v>
      </c>
      <c r="Z548">
        <f t="shared" si="11"/>
        <v>0</v>
      </c>
      <c r="AA548">
        <f t="shared" si="12"/>
        <v>0</v>
      </c>
      <c r="AB548">
        <f t="shared" si="13"/>
        <v>0</v>
      </c>
      <c r="AC548">
        <f t="shared" si="14"/>
        <v>0</v>
      </c>
      <c r="AE548">
        <f t="shared" si="0"/>
      </c>
      <c r="AV548">
        <f t="shared" si="15"/>
      </c>
      <c r="BM548">
        <f t="shared" si="16"/>
      </c>
      <c r="CD548">
        <f t="shared" si="0"/>
      </c>
      <c r="CZ548">
        <f t="shared" si="17"/>
      </c>
      <c r="DA548">
        <f t="shared" si="1"/>
      </c>
      <c r="DB548">
        <f t="shared" si="18"/>
      </c>
      <c r="DC548">
        <f t="shared" si="19"/>
      </c>
      <c r="DD548">
        <f t="shared" si="20"/>
      </c>
      <c r="DE548">
        <f t="shared" si="21"/>
      </c>
      <c r="DF548">
        <f t="shared" si="22"/>
      </c>
      <c r="DG548">
        <f t="shared" si="23"/>
      </c>
      <c r="DH548">
        <f t="shared" si="24"/>
      </c>
      <c r="DI548">
        <f t="shared" si="1"/>
      </c>
    </row>
    <row r="549" ht="15" customHeight="1">
      <c r="B549">
        <f t="shared" si="2"/>
      </c>
      <c r="R549">
        <f t="shared" si="3"/>
        <v>0</v>
      </c>
      <c r="S549">
        <f t="shared" si="4"/>
        <v>0</v>
      </c>
      <c r="T549">
        <f t="shared" si="5"/>
        <v>0</v>
      </c>
      <c r="U549">
        <f t="shared" si="6"/>
        <v>0</v>
      </c>
      <c r="V549">
        <f t="shared" si="7"/>
        <v>0</v>
      </c>
      <c r="W549">
        <f t="shared" si="8"/>
        <v>0</v>
      </c>
      <c r="X549">
        <f t="shared" si="9"/>
        <v>0</v>
      </c>
      <c r="Y549">
        <f t="shared" si="10"/>
        <v>0</v>
      </c>
      <c r="Z549">
        <f t="shared" si="11"/>
        <v>0</v>
      </c>
      <c r="AA549">
        <f t="shared" si="12"/>
        <v>0</v>
      </c>
      <c r="AB549">
        <f t="shared" si="13"/>
        <v>0</v>
      </c>
      <c r="AC549">
        <f t="shared" si="14"/>
        <v>0</v>
      </c>
      <c r="AE549">
        <f t="shared" si="0"/>
      </c>
      <c r="AV549">
        <f t="shared" si="15"/>
      </c>
      <c r="BM549">
        <f t="shared" si="16"/>
      </c>
      <c r="CD549">
        <f t="shared" si="0"/>
      </c>
      <c r="CZ549">
        <f t="shared" si="17"/>
      </c>
      <c r="DA549">
        <f t="shared" si="1"/>
      </c>
      <c r="DB549">
        <f t="shared" si="18"/>
      </c>
      <c r="DC549">
        <f t="shared" si="19"/>
      </c>
      <c r="DD549">
        <f t="shared" si="20"/>
      </c>
      <c r="DE549">
        <f t="shared" si="21"/>
      </c>
      <c r="DF549">
        <f t="shared" si="22"/>
      </c>
      <c r="DG549">
        <f t="shared" si="23"/>
      </c>
      <c r="DH549">
        <f t="shared" si="24"/>
      </c>
      <c r="DI549">
        <f t="shared" si="1"/>
      </c>
    </row>
    <row r="550" ht="15" customHeight="1">
      <c r="B550">
        <f t="shared" si="2"/>
      </c>
      <c r="R550">
        <f t="shared" si="3"/>
        <v>0</v>
      </c>
      <c r="S550">
        <f t="shared" si="4"/>
        <v>0</v>
      </c>
      <c r="T550">
        <f t="shared" si="5"/>
        <v>0</v>
      </c>
      <c r="U550">
        <f t="shared" si="6"/>
        <v>0</v>
      </c>
      <c r="V550">
        <f t="shared" si="7"/>
        <v>0</v>
      </c>
      <c r="W550">
        <f t="shared" si="8"/>
        <v>0</v>
      </c>
      <c r="X550">
        <f t="shared" si="9"/>
        <v>0</v>
      </c>
      <c r="Y550">
        <f t="shared" si="10"/>
        <v>0</v>
      </c>
      <c r="Z550">
        <f t="shared" si="11"/>
        <v>0</v>
      </c>
      <c r="AA550">
        <f t="shared" si="12"/>
        <v>0</v>
      </c>
      <c r="AB550">
        <f t="shared" si="13"/>
        <v>0</v>
      </c>
      <c r="AC550">
        <f t="shared" si="14"/>
        <v>0</v>
      </c>
      <c r="AE550">
        <f t="shared" si="0"/>
      </c>
      <c r="AV550">
        <f t="shared" si="15"/>
      </c>
      <c r="BM550">
        <f t="shared" si="16"/>
      </c>
      <c r="CD550">
        <f t="shared" si="0"/>
      </c>
      <c r="CZ550">
        <f t="shared" si="17"/>
      </c>
      <c r="DA550">
        <f t="shared" si="1"/>
      </c>
      <c r="DB550">
        <f t="shared" si="18"/>
      </c>
      <c r="DC550">
        <f t="shared" si="19"/>
      </c>
      <c r="DD550">
        <f t="shared" si="20"/>
      </c>
      <c r="DE550">
        <f t="shared" si="21"/>
      </c>
      <c r="DF550">
        <f t="shared" si="22"/>
      </c>
      <c r="DG550">
        <f t="shared" si="23"/>
      </c>
      <c r="DH550">
        <f t="shared" si="24"/>
      </c>
      <c r="DI550">
        <f t="shared" si="1"/>
      </c>
    </row>
    <row r="551" ht="15" customHeight="1">
      <c r="B551">
        <f t="shared" si="2"/>
      </c>
      <c r="R551">
        <f t="shared" si="3"/>
        <v>0</v>
      </c>
      <c r="S551">
        <f t="shared" si="4"/>
        <v>0</v>
      </c>
      <c r="T551">
        <f t="shared" si="5"/>
        <v>0</v>
      </c>
      <c r="U551">
        <f t="shared" si="6"/>
        <v>0</v>
      </c>
      <c r="V551">
        <f t="shared" si="7"/>
        <v>0</v>
      </c>
      <c r="W551">
        <f t="shared" si="8"/>
        <v>0</v>
      </c>
      <c r="X551">
        <f t="shared" si="9"/>
        <v>0</v>
      </c>
      <c r="Y551">
        <f t="shared" si="10"/>
        <v>0</v>
      </c>
      <c r="Z551">
        <f t="shared" si="11"/>
        <v>0</v>
      </c>
      <c r="AA551">
        <f t="shared" si="12"/>
        <v>0</v>
      </c>
      <c r="AB551">
        <f t="shared" si="13"/>
        <v>0</v>
      </c>
      <c r="AC551">
        <f t="shared" si="14"/>
        <v>0</v>
      </c>
      <c r="AE551">
        <f t="shared" si="0"/>
      </c>
      <c r="AV551">
        <f t="shared" si="15"/>
      </c>
      <c r="BM551">
        <f t="shared" si="16"/>
      </c>
      <c r="CD551">
        <f t="shared" si="0"/>
      </c>
      <c r="CZ551">
        <f t="shared" si="17"/>
      </c>
      <c r="DA551">
        <f t="shared" si="1"/>
      </c>
      <c r="DB551">
        <f t="shared" si="18"/>
      </c>
      <c r="DC551">
        <f t="shared" si="19"/>
      </c>
      <c r="DD551">
        <f t="shared" si="20"/>
      </c>
      <c r="DE551">
        <f t="shared" si="21"/>
      </c>
      <c r="DF551">
        <f t="shared" si="22"/>
      </c>
      <c r="DG551">
        <f t="shared" si="23"/>
      </c>
      <c r="DH551">
        <f t="shared" si="24"/>
      </c>
      <c r="DI551">
        <f t="shared" si="1"/>
      </c>
    </row>
    <row r="552" ht="15" customHeight="1">
      <c r="B552">
        <f t="shared" si="2"/>
      </c>
      <c r="R552">
        <f t="shared" si="3"/>
        <v>0</v>
      </c>
      <c r="S552">
        <f t="shared" si="4"/>
        <v>0</v>
      </c>
      <c r="T552">
        <f t="shared" si="5"/>
        <v>0</v>
      </c>
      <c r="U552">
        <f t="shared" si="6"/>
        <v>0</v>
      </c>
      <c r="V552">
        <f t="shared" si="7"/>
        <v>0</v>
      </c>
      <c r="W552">
        <f t="shared" si="8"/>
        <v>0</v>
      </c>
      <c r="X552">
        <f t="shared" si="9"/>
        <v>0</v>
      </c>
      <c r="Y552">
        <f t="shared" si="10"/>
        <v>0</v>
      </c>
      <c r="Z552">
        <f t="shared" si="11"/>
        <v>0</v>
      </c>
      <c r="AA552">
        <f t="shared" si="12"/>
        <v>0</v>
      </c>
      <c r="AB552">
        <f t="shared" si="13"/>
        <v>0</v>
      </c>
      <c r="AC552">
        <f t="shared" si="14"/>
        <v>0</v>
      </c>
      <c r="AE552">
        <f t="shared" si="0"/>
      </c>
      <c r="AV552">
        <f t="shared" si="15"/>
      </c>
      <c r="BM552">
        <f t="shared" si="16"/>
      </c>
      <c r="CD552">
        <f t="shared" si="0"/>
      </c>
      <c r="CZ552">
        <f t="shared" si="17"/>
      </c>
      <c r="DA552">
        <f t="shared" si="1"/>
      </c>
      <c r="DB552">
        <f t="shared" si="18"/>
      </c>
      <c r="DC552">
        <f t="shared" si="19"/>
      </c>
      <c r="DD552">
        <f t="shared" si="20"/>
      </c>
      <c r="DE552">
        <f t="shared" si="21"/>
      </c>
      <c r="DF552">
        <f t="shared" si="22"/>
      </c>
      <c r="DG552">
        <f t="shared" si="23"/>
      </c>
      <c r="DH552">
        <f t="shared" si="24"/>
      </c>
      <c r="DI552">
        <f t="shared" si="1"/>
      </c>
    </row>
    <row r="553" ht="15" customHeight="1">
      <c r="B553">
        <f t="shared" si="2"/>
      </c>
      <c r="R553">
        <f t="shared" si="3"/>
        <v>0</v>
      </c>
      <c r="S553">
        <f t="shared" si="4"/>
        <v>0</v>
      </c>
      <c r="T553">
        <f t="shared" si="5"/>
        <v>0</v>
      </c>
      <c r="U553">
        <f t="shared" si="6"/>
        <v>0</v>
      </c>
      <c r="V553">
        <f t="shared" si="7"/>
        <v>0</v>
      </c>
      <c r="W553">
        <f t="shared" si="8"/>
        <v>0</v>
      </c>
      <c r="X553">
        <f t="shared" si="9"/>
        <v>0</v>
      </c>
      <c r="Y553">
        <f t="shared" si="10"/>
        <v>0</v>
      </c>
      <c r="Z553">
        <f t="shared" si="11"/>
        <v>0</v>
      </c>
      <c r="AA553">
        <f t="shared" si="12"/>
        <v>0</v>
      </c>
      <c r="AB553">
        <f t="shared" si="13"/>
        <v>0</v>
      </c>
      <c r="AC553">
        <f t="shared" si="14"/>
        <v>0</v>
      </c>
      <c r="AE553">
        <f t="shared" si="0"/>
      </c>
      <c r="AV553">
        <f t="shared" si="15"/>
      </c>
      <c r="BM553">
        <f t="shared" si="16"/>
      </c>
      <c r="CD553">
        <f t="shared" si="0"/>
      </c>
      <c r="CZ553">
        <f t="shared" si="17"/>
      </c>
      <c r="DA553">
        <f t="shared" si="1"/>
      </c>
      <c r="DB553">
        <f t="shared" si="18"/>
      </c>
      <c r="DC553">
        <f t="shared" si="19"/>
      </c>
      <c r="DD553">
        <f t="shared" si="20"/>
      </c>
      <c r="DE553">
        <f t="shared" si="21"/>
      </c>
      <c r="DF553">
        <f t="shared" si="22"/>
      </c>
      <c r="DG553">
        <f t="shared" si="23"/>
      </c>
      <c r="DH553">
        <f t="shared" si="24"/>
      </c>
      <c r="DI553">
        <f t="shared" si="1"/>
      </c>
    </row>
    <row r="554" ht="15" customHeight="1">
      <c r="B554">
        <f t="shared" si="2"/>
      </c>
      <c r="R554">
        <f t="shared" si="3"/>
        <v>0</v>
      </c>
      <c r="S554">
        <f t="shared" si="4"/>
        <v>0</v>
      </c>
      <c r="T554">
        <f t="shared" si="5"/>
        <v>0</v>
      </c>
      <c r="U554">
        <f t="shared" si="6"/>
        <v>0</v>
      </c>
      <c r="V554">
        <f t="shared" si="7"/>
        <v>0</v>
      </c>
      <c r="W554">
        <f t="shared" si="8"/>
        <v>0</v>
      </c>
      <c r="X554">
        <f t="shared" si="9"/>
        <v>0</v>
      </c>
      <c r="Y554">
        <f t="shared" si="10"/>
        <v>0</v>
      </c>
      <c r="Z554">
        <f t="shared" si="11"/>
        <v>0</v>
      </c>
      <c r="AA554">
        <f t="shared" si="12"/>
        <v>0</v>
      </c>
      <c r="AB554">
        <f t="shared" si="13"/>
        <v>0</v>
      </c>
      <c r="AC554">
        <f t="shared" si="14"/>
        <v>0</v>
      </c>
      <c r="AE554">
        <f t="shared" si="0"/>
      </c>
      <c r="AV554">
        <f t="shared" si="15"/>
      </c>
      <c r="BM554">
        <f t="shared" si="16"/>
      </c>
      <c r="CD554">
        <f t="shared" si="0"/>
      </c>
      <c r="CZ554">
        <f t="shared" si="17"/>
      </c>
      <c r="DA554">
        <f t="shared" si="1"/>
      </c>
      <c r="DB554">
        <f t="shared" si="18"/>
      </c>
      <c r="DC554">
        <f t="shared" si="19"/>
      </c>
      <c r="DD554">
        <f t="shared" si="20"/>
      </c>
      <c r="DE554">
        <f t="shared" si="21"/>
      </c>
      <c r="DF554">
        <f t="shared" si="22"/>
      </c>
      <c r="DG554">
        <f t="shared" si="23"/>
      </c>
      <c r="DH554">
        <f t="shared" si="24"/>
      </c>
      <c r="DI554">
        <f t="shared" si="1"/>
      </c>
    </row>
    <row r="555" ht="15" customHeight="1">
      <c r="B555">
        <f t="shared" si="2"/>
      </c>
      <c r="R555">
        <f t="shared" si="3"/>
        <v>0</v>
      </c>
      <c r="S555">
        <f t="shared" si="4"/>
        <v>0</v>
      </c>
      <c r="T555">
        <f t="shared" si="5"/>
        <v>0</v>
      </c>
      <c r="U555">
        <f t="shared" si="6"/>
        <v>0</v>
      </c>
      <c r="V555">
        <f t="shared" si="7"/>
        <v>0</v>
      </c>
      <c r="W555">
        <f t="shared" si="8"/>
        <v>0</v>
      </c>
      <c r="X555">
        <f t="shared" si="9"/>
        <v>0</v>
      </c>
      <c r="Y555">
        <f t="shared" si="10"/>
        <v>0</v>
      </c>
      <c r="Z555">
        <f t="shared" si="11"/>
        <v>0</v>
      </c>
      <c r="AA555">
        <f t="shared" si="12"/>
        <v>0</v>
      </c>
      <c r="AB555">
        <f t="shared" si="13"/>
        <v>0</v>
      </c>
      <c r="AC555">
        <f t="shared" si="14"/>
        <v>0</v>
      </c>
      <c r="AE555">
        <f t="shared" si="0"/>
      </c>
      <c r="AV555">
        <f t="shared" si="15"/>
      </c>
      <c r="BM555">
        <f t="shared" si="16"/>
      </c>
      <c r="CD555">
        <f t="shared" si="0"/>
      </c>
      <c r="CZ555">
        <f t="shared" si="17"/>
      </c>
      <c r="DA555">
        <f t="shared" si="1"/>
      </c>
      <c r="DB555">
        <f t="shared" si="18"/>
      </c>
      <c r="DC555">
        <f t="shared" si="19"/>
      </c>
      <c r="DD555">
        <f t="shared" si="20"/>
      </c>
      <c r="DE555">
        <f t="shared" si="21"/>
      </c>
      <c r="DF555">
        <f t="shared" si="22"/>
      </c>
      <c r="DG555">
        <f t="shared" si="23"/>
      </c>
      <c r="DH555">
        <f t="shared" si="24"/>
      </c>
      <c r="DI555">
        <f t="shared" si="1"/>
      </c>
    </row>
    <row r="556" ht="15" customHeight="1">
      <c r="B556">
        <f t="shared" si="2"/>
      </c>
      <c r="R556">
        <f t="shared" si="3"/>
        <v>0</v>
      </c>
      <c r="S556">
        <f t="shared" si="4"/>
        <v>0</v>
      </c>
      <c r="T556">
        <f t="shared" si="5"/>
        <v>0</v>
      </c>
      <c r="U556">
        <f t="shared" si="6"/>
        <v>0</v>
      </c>
      <c r="V556">
        <f t="shared" si="7"/>
        <v>0</v>
      </c>
      <c r="W556">
        <f t="shared" si="8"/>
        <v>0</v>
      </c>
      <c r="X556">
        <f t="shared" si="9"/>
        <v>0</v>
      </c>
      <c r="Y556">
        <f t="shared" si="10"/>
        <v>0</v>
      </c>
      <c r="Z556">
        <f t="shared" si="11"/>
        <v>0</v>
      </c>
      <c r="AA556">
        <f t="shared" si="12"/>
        <v>0</v>
      </c>
      <c r="AB556">
        <f t="shared" si="13"/>
        <v>0</v>
      </c>
      <c r="AC556">
        <f t="shared" si="14"/>
        <v>0</v>
      </c>
      <c r="AE556">
        <f t="shared" si="0"/>
      </c>
      <c r="AV556">
        <f t="shared" si="15"/>
      </c>
      <c r="BM556">
        <f t="shared" si="16"/>
      </c>
      <c r="CD556">
        <f t="shared" si="0"/>
      </c>
      <c r="CZ556">
        <f t="shared" si="17"/>
      </c>
      <c r="DA556">
        <f t="shared" si="1"/>
      </c>
      <c r="DB556">
        <f t="shared" si="18"/>
      </c>
      <c r="DC556">
        <f t="shared" si="19"/>
      </c>
      <c r="DD556">
        <f t="shared" si="20"/>
      </c>
      <c r="DE556">
        <f t="shared" si="21"/>
      </c>
      <c r="DF556">
        <f t="shared" si="22"/>
      </c>
      <c r="DG556">
        <f t="shared" si="23"/>
      </c>
      <c r="DH556">
        <f t="shared" si="24"/>
      </c>
      <c r="DI556">
        <f t="shared" si="1"/>
      </c>
    </row>
    <row r="557" ht="15" customHeight="1">
      <c r="B557">
        <f t="shared" si="2"/>
      </c>
      <c r="R557">
        <f t="shared" si="3"/>
        <v>0</v>
      </c>
      <c r="S557">
        <f t="shared" si="4"/>
        <v>0</v>
      </c>
      <c r="T557">
        <f t="shared" si="5"/>
        <v>0</v>
      </c>
      <c r="U557">
        <f t="shared" si="6"/>
        <v>0</v>
      </c>
      <c r="V557">
        <f t="shared" si="7"/>
        <v>0</v>
      </c>
      <c r="W557">
        <f t="shared" si="8"/>
        <v>0</v>
      </c>
      <c r="X557">
        <f t="shared" si="9"/>
        <v>0</v>
      </c>
      <c r="Y557">
        <f t="shared" si="10"/>
        <v>0</v>
      </c>
      <c r="Z557">
        <f t="shared" si="11"/>
        <v>0</v>
      </c>
      <c r="AA557">
        <f t="shared" si="12"/>
        <v>0</v>
      </c>
      <c r="AB557">
        <f t="shared" si="13"/>
        <v>0</v>
      </c>
      <c r="AC557">
        <f t="shared" si="14"/>
        <v>0</v>
      </c>
      <c r="AE557">
        <f t="shared" si="0"/>
      </c>
      <c r="AV557">
        <f t="shared" si="15"/>
      </c>
      <c r="BM557">
        <f t="shared" si="16"/>
      </c>
      <c r="CD557">
        <f t="shared" si="0"/>
      </c>
      <c r="CZ557">
        <f t="shared" si="17"/>
      </c>
      <c r="DA557">
        <f t="shared" si="1"/>
      </c>
      <c r="DB557">
        <f t="shared" si="18"/>
      </c>
      <c r="DC557">
        <f t="shared" si="19"/>
      </c>
      <c r="DD557">
        <f t="shared" si="20"/>
      </c>
      <c r="DE557">
        <f t="shared" si="21"/>
      </c>
      <c r="DF557">
        <f t="shared" si="22"/>
      </c>
      <c r="DG557">
        <f t="shared" si="23"/>
      </c>
      <c r="DH557">
        <f t="shared" si="24"/>
      </c>
      <c r="DI557">
        <f t="shared" si="1"/>
      </c>
    </row>
    <row r="558" ht="15" customHeight="1">
      <c r="B558">
        <f t="shared" si="2"/>
      </c>
      <c r="R558">
        <f t="shared" si="3"/>
        <v>0</v>
      </c>
      <c r="S558">
        <f t="shared" si="4"/>
        <v>0</v>
      </c>
      <c r="T558">
        <f t="shared" si="5"/>
        <v>0</v>
      </c>
      <c r="U558">
        <f t="shared" si="6"/>
        <v>0</v>
      </c>
      <c r="V558">
        <f t="shared" si="7"/>
        <v>0</v>
      </c>
      <c r="W558">
        <f t="shared" si="8"/>
        <v>0</v>
      </c>
      <c r="X558">
        <f t="shared" si="9"/>
        <v>0</v>
      </c>
      <c r="Y558">
        <f t="shared" si="10"/>
        <v>0</v>
      </c>
      <c r="Z558">
        <f t="shared" si="11"/>
        <v>0</v>
      </c>
      <c r="AA558">
        <f t="shared" si="12"/>
        <v>0</v>
      </c>
      <c r="AB558">
        <f t="shared" si="13"/>
        <v>0</v>
      </c>
      <c r="AC558">
        <f t="shared" si="14"/>
        <v>0</v>
      </c>
      <c r="AE558">
        <f t="shared" si="0"/>
      </c>
      <c r="AV558">
        <f t="shared" si="15"/>
      </c>
      <c r="BM558">
        <f t="shared" si="16"/>
      </c>
      <c r="CD558">
        <f t="shared" si="0"/>
      </c>
      <c r="CZ558">
        <f t="shared" si="17"/>
      </c>
      <c r="DA558">
        <f t="shared" si="1"/>
      </c>
      <c r="DB558">
        <f t="shared" si="18"/>
      </c>
      <c r="DC558">
        <f t="shared" si="19"/>
      </c>
      <c r="DD558">
        <f t="shared" si="20"/>
      </c>
      <c r="DE558">
        <f t="shared" si="21"/>
      </c>
      <c r="DF558">
        <f t="shared" si="22"/>
      </c>
      <c r="DG558">
        <f t="shared" si="23"/>
      </c>
      <c r="DH558">
        <f t="shared" si="24"/>
      </c>
      <c r="DI558">
        <f t="shared" si="1"/>
      </c>
    </row>
    <row r="559" ht="15" customHeight="1">
      <c r="B559">
        <f t="shared" si="2"/>
      </c>
      <c r="R559">
        <f t="shared" si="3"/>
        <v>0</v>
      </c>
      <c r="S559">
        <f t="shared" si="4"/>
        <v>0</v>
      </c>
      <c r="T559">
        <f t="shared" si="5"/>
        <v>0</v>
      </c>
      <c r="U559">
        <f t="shared" si="6"/>
        <v>0</v>
      </c>
      <c r="V559">
        <f t="shared" si="7"/>
        <v>0</v>
      </c>
      <c r="W559">
        <f t="shared" si="8"/>
        <v>0</v>
      </c>
      <c r="X559">
        <f t="shared" si="9"/>
        <v>0</v>
      </c>
      <c r="Y559">
        <f t="shared" si="10"/>
        <v>0</v>
      </c>
      <c r="Z559">
        <f t="shared" si="11"/>
        <v>0</v>
      </c>
      <c r="AA559">
        <f t="shared" si="12"/>
        <v>0</v>
      </c>
      <c r="AB559">
        <f t="shared" si="13"/>
        <v>0</v>
      </c>
      <c r="AC559">
        <f t="shared" si="14"/>
        <v>0</v>
      </c>
      <c r="AE559">
        <f t="shared" si="0"/>
      </c>
      <c r="AV559">
        <f t="shared" si="15"/>
      </c>
      <c r="BM559">
        <f t="shared" si="16"/>
      </c>
      <c r="CD559">
        <f t="shared" si="0"/>
      </c>
      <c r="CZ559">
        <f t="shared" si="17"/>
      </c>
      <c r="DA559">
        <f t="shared" si="1"/>
      </c>
      <c r="DB559">
        <f t="shared" si="18"/>
      </c>
      <c r="DC559">
        <f t="shared" si="19"/>
      </c>
      <c r="DD559">
        <f t="shared" si="20"/>
      </c>
      <c r="DE559">
        <f t="shared" si="21"/>
      </c>
      <c r="DF559">
        <f t="shared" si="22"/>
      </c>
      <c r="DG559">
        <f t="shared" si="23"/>
      </c>
      <c r="DH559">
        <f t="shared" si="24"/>
      </c>
      <c r="DI559">
        <f t="shared" si="1"/>
      </c>
    </row>
    <row r="560" ht="15" customHeight="1">
      <c r="B560">
        <f t="shared" si="2"/>
      </c>
      <c r="R560">
        <f t="shared" si="3"/>
        <v>0</v>
      </c>
      <c r="S560">
        <f t="shared" si="4"/>
        <v>0</v>
      </c>
      <c r="T560">
        <f t="shared" si="5"/>
        <v>0</v>
      </c>
      <c r="U560">
        <f t="shared" si="6"/>
        <v>0</v>
      </c>
      <c r="V560">
        <f t="shared" si="7"/>
        <v>0</v>
      </c>
      <c r="W560">
        <f t="shared" si="8"/>
        <v>0</v>
      </c>
      <c r="X560">
        <f t="shared" si="9"/>
        <v>0</v>
      </c>
      <c r="Y560">
        <f t="shared" si="10"/>
        <v>0</v>
      </c>
      <c r="Z560">
        <f t="shared" si="11"/>
        <v>0</v>
      </c>
      <c r="AA560">
        <f t="shared" si="12"/>
        <v>0</v>
      </c>
      <c r="AB560">
        <f t="shared" si="13"/>
        <v>0</v>
      </c>
      <c r="AC560">
        <f t="shared" si="14"/>
        <v>0</v>
      </c>
      <c r="AE560">
        <f t="shared" si="0"/>
      </c>
      <c r="AV560">
        <f t="shared" si="15"/>
      </c>
      <c r="BM560">
        <f t="shared" si="16"/>
      </c>
      <c r="CD560">
        <f t="shared" si="0"/>
      </c>
      <c r="CZ560">
        <f t="shared" si="17"/>
      </c>
      <c r="DA560">
        <f t="shared" si="1"/>
      </c>
      <c r="DB560">
        <f t="shared" si="18"/>
      </c>
      <c r="DC560">
        <f t="shared" si="19"/>
      </c>
      <c r="DD560">
        <f t="shared" si="20"/>
      </c>
      <c r="DE560">
        <f t="shared" si="21"/>
      </c>
      <c r="DF560">
        <f t="shared" si="22"/>
      </c>
      <c r="DG560">
        <f t="shared" si="23"/>
      </c>
      <c r="DH560">
        <f t="shared" si="24"/>
      </c>
      <c r="DI560">
        <f t="shared" si="1"/>
      </c>
    </row>
    <row r="561" ht="15" customHeight="1">
      <c r="B561">
        <f t="shared" si="2"/>
      </c>
      <c r="R561">
        <f t="shared" si="3"/>
        <v>0</v>
      </c>
      <c r="S561">
        <f t="shared" si="4"/>
        <v>0</v>
      </c>
      <c r="T561">
        <f t="shared" si="5"/>
        <v>0</v>
      </c>
      <c r="U561">
        <f t="shared" si="6"/>
        <v>0</v>
      </c>
      <c r="V561">
        <f t="shared" si="7"/>
        <v>0</v>
      </c>
      <c r="W561">
        <f t="shared" si="8"/>
        <v>0</v>
      </c>
      <c r="X561">
        <f t="shared" si="9"/>
        <v>0</v>
      </c>
      <c r="Y561">
        <f t="shared" si="10"/>
        <v>0</v>
      </c>
      <c r="Z561">
        <f t="shared" si="11"/>
        <v>0</v>
      </c>
      <c r="AA561">
        <f t="shared" si="12"/>
        <v>0</v>
      </c>
      <c r="AB561">
        <f t="shared" si="13"/>
        <v>0</v>
      </c>
      <c r="AC561">
        <f t="shared" si="14"/>
        <v>0</v>
      </c>
      <c r="AE561">
        <f t="shared" si="0"/>
      </c>
      <c r="AV561">
        <f t="shared" si="15"/>
      </c>
      <c r="BM561">
        <f t="shared" si="16"/>
      </c>
      <c r="CD561">
        <f t="shared" si="0"/>
      </c>
      <c r="CZ561">
        <f t="shared" si="17"/>
      </c>
      <c r="DA561">
        <f t="shared" si="1"/>
      </c>
      <c r="DB561">
        <f t="shared" si="18"/>
      </c>
      <c r="DC561">
        <f t="shared" si="19"/>
      </c>
      <c r="DD561">
        <f t="shared" si="20"/>
      </c>
      <c r="DE561">
        <f t="shared" si="21"/>
      </c>
      <c r="DF561">
        <f t="shared" si="22"/>
      </c>
      <c r="DG561">
        <f t="shared" si="23"/>
      </c>
      <c r="DH561">
        <f t="shared" si="24"/>
      </c>
      <c r="DI561">
        <f t="shared" si="1"/>
      </c>
    </row>
    <row r="562" ht="15" customHeight="1">
      <c r="B562">
        <f t="shared" si="2"/>
      </c>
      <c r="R562">
        <f t="shared" si="3"/>
        <v>0</v>
      </c>
      <c r="S562">
        <f t="shared" si="4"/>
        <v>0</v>
      </c>
      <c r="T562">
        <f t="shared" si="5"/>
        <v>0</v>
      </c>
      <c r="U562">
        <f t="shared" si="6"/>
        <v>0</v>
      </c>
      <c r="V562">
        <f t="shared" si="7"/>
        <v>0</v>
      </c>
      <c r="W562">
        <f t="shared" si="8"/>
        <v>0</v>
      </c>
      <c r="X562">
        <f t="shared" si="9"/>
        <v>0</v>
      </c>
      <c r="Y562">
        <f t="shared" si="10"/>
        <v>0</v>
      </c>
      <c r="Z562">
        <f t="shared" si="11"/>
        <v>0</v>
      </c>
      <c r="AA562">
        <f t="shared" si="12"/>
        <v>0</v>
      </c>
      <c r="AB562">
        <f t="shared" si="13"/>
        <v>0</v>
      </c>
      <c r="AC562">
        <f t="shared" si="14"/>
        <v>0</v>
      </c>
      <c r="AE562">
        <f t="shared" si="0"/>
      </c>
      <c r="AV562">
        <f t="shared" si="15"/>
      </c>
      <c r="BM562">
        <f t="shared" si="16"/>
      </c>
      <c r="CD562">
        <f t="shared" si="0"/>
      </c>
      <c r="CZ562">
        <f t="shared" si="17"/>
      </c>
      <c r="DA562">
        <f t="shared" si="1"/>
      </c>
      <c r="DB562">
        <f t="shared" si="18"/>
      </c>
      <c r="DC562">
        <f t="shared" si="19"/>
      </c>
      <c r="DD562">
        <f t="shared" si="20"/>
      </c>
      <c r="DE562">
        <f t="shared" si="21"/>
      </c>
      <c r="DF562">
        <f t="shared" si="22"/>
      </c>
      <c r="DG562">
        <f t="shared" si="23"/>
      </c>
      <c r="DH562">
        <f t="shared" si="24"/>
      </c>
      <c r="DI562">
        <f t="shared" si="1"/>
      </c>
    </row>
    <row r="563" ht="15" customHeight="1">
      <c r="B563">
        <f t="shared" si="2"/>
      </c>
      <c r="R563">
        <f t="shared" si="3"/>
        <v>0</v>
      </c>
      <c r="S563">
        <f t="shared" si="4"/>
        <v>0</v>
      </c>
      <c r="T563">
        <f t="shared" si="5"/>
        <v>0</v>
      </c>
      <c r="U563">
        <f t="shared" si="6"/>
        <v>0</v>
      </c>
      <c r="V563">
        <f t="shared" si="7"/>
        <v>0</v>
      </c>
      <c r="W563">
        <f t="shared" si="8"/>
        <v>0</v>
      </c>
      <c r="X563">
        <f t="shared" si="9"/>
        <v>0</v>
      </c>
      <c r="Y563">
        <f t="shared" si="10"/>
        <v>0</v>
      </c>
      <c r="Z563">
        <f t="shared" si="11"/>
        <v>0</v>
      </c>
      <c r="AA563">
        <f t="shared" si="12"/>
        <v>0</v>
      </c>
      <c r="AB563">
        <f t="shared" si="13"/>
        <v>0</v>
      </c>
      <c r="AC563">
        <f t="shared" si="14"/>
        <v>0</v>
      </c>
      <c r="AE563">
        <f t="shared" si="0"/>
      </c>
      <c r="AV563">
        <f t="shared" si="15"/>
      </c>
      <c r="BM563">
        <f t="shared" si="16"/>
      </c>
      <c r="CD563">
        <f t="shared" si="0"/>
      </c>
      <c r="CZ563">
        <f t="shared" si="17"/>
      </c>
      <c r="DA563">
        <f t="shared" si="1"/>
      </c>
      <c r="DB563">
        <f t="shared" si="18"/>
      </c>
      <c r="DC563">
        <f t="shared" si="19"/>
      </c>
      <c r="DD563">
        <f t="shared" si="20"/>
      </c>
      <c r="DE563">
        <f t="shared" si="21"/>
      </c>
      <c r="DF563">
        <f t="shared" si="22"/>
      </c>
      <c r="DG563">
        <f t="shared" si="23"/>
      </c>
      <c r="DH563">
        <f t="shared" si="24"/>
      </c>
      <c r="DI563">
        <f t="shared" si="1"/>
      </c>
    </row>
    <row r="564" ht="15" customHeight="1">
      <c r="B564">
        <f t="shared" si="2"/>
      </c>
      <c r="R564">
        <f t="shared" si="3"/>
        <v>0</v>
      </c>
      <c r="S564">
        <f t="shared" si="4"/>
        <v>0</v>
      </c>
      <c r="T564">
        <f t="shared" si="5"/>
        <v>0</v>
      </c>
      <c r="U564">
        <f t="shared" si="6"/>
        <v>0</v>
      </c>
      <c r="V564">
        <f t="shared" si="7"/>
        <v>0</v>
      </c>
      <c r="W564">
        <f t="shared" si="8"/>
        <v>0</v>
      </c>
      <c r="X564">
        <f t="shared" si="9"/>
        <v>0</v>
      </c>
      <c r="Y564">
        <f t="shared" si="10"/>
        <v>0</v>
      </c>
      <c r="Z564">
        <f t="shared" si="11"/>
        <v>0</v>
      </c>
      <c r="AA564">
        <f t="shared" si="12"/>
        <v>0</v>
      </c>
      <c r="AB564">
        <f t="shared" si="13"/>
        <v>0</v>
      </c>
      <c r="AC564">
        <f t="shared" si="14"/>
        <v>0</v>
      </c>
      <c r="AE564">
        <f t="shared" si="0"/>
      </c>
      <c r="AV564">
        <f t="shared" si="15"/>
      </c>
      <c r="BM564">
        <f t="shared" si="16"/>
      </c>
      <c r="CD564">
        <f t="shared" si="0"/>
      </c>
      <c r="CZ564">
        <f t="shared" si="17"/>
      </c>
      <c r="DA564">
        <f t="shared" si="1"/>
      </c>
      <c r="DB564">
        <f t="shared" si="18"/>
      </c>
      <c r="DC564">
        <f t="shared" si="19"/>
      </c>
      <c r="DD564">
        <f t="shared" si="20"/>
      </c>
      <c r="DE564">
        <f t="shared" si="21"/>
      </c>
      <c r="DF564">
        <f t="shared" si="22"/>
      </c>
      <c r="DG564">
        <f t="shared" si="23"/>
      </c>
      <c r="DH564">
        <f t="shared" si="24"/>
      </c>
      <c r="DI564">
        <f t="shared" si="1"/>
      </c>
    </row>
    <row r="565" ht="15" customHeight="1">
      <c r="B565">
        <f t="shared" si="2"/>
      </c>
      <c r="R565">
        <f t="shared" si="3"/>
        <v>0</v>
      </c>
      <c r="S565">
        <f t="shared" si="4"/>
        <v>0</v>
      </c>
      <c r="T565">
        <f t="shared" si="5"/>
        <v>0</v>
      </c>
      <c r="U565">
        <f t="shared" si="6"/>
        <v>0</v>
      </c>
      <c r="V565">
        <f t="shared" si="7"/>
        <v>0</v>
      </c>
      <c r="W565">
        <f t="shared" si="8"/>
        <v>0</v>
      </c>
      <c r="X565">
        <f t="shared" si="9"/>
        <v>0</v>
      </c>
      <c r="Y565">
        <f t="shared" si="10"/>
        <v>0</v>
      </c>
      <c r="Z565">
        <f t="shared" si="11"/>
        <v>0</v>
      </c>
      <c r="AA565">
        <f t="shared" si="12"/>
        <v>0</v>
      </c>
      <c r="AB565">
        <f t="shared" si="13"/>
        <v>0</v>
      </c>
      <c r="AC565">
        <f t="shared" si="14"/>
        <v>0</v>
      </c>
      <c r="AE565">
        <f t="shared" si="0"/>
      </c>
      <c r="AV565">
        <f t="shared" si="15"/>
      </c>
      <c r="BM565">
        <f t="shared" si="16"/>
      </c>
      <c r="CD565">
        <f t="shared" si="0"/>
      </c>
      <c r="CZ565">
        <f t="shared" si="17"/>
      </c>
      <c r="DA565">
        <f t="shared" si="1"/>
      </c>
      <c r="DB565">
        <f t="shared" si="18"/>
      </c>
      <c r="DC565">
        <f t="shared" si="19"/>
      </c>
      <c r="DD565">
        <f t="shared" si="20"/>
      </c>
      <c r="DE565">
        <f t="shared" si="21"/>
      </c>
      <c r="DF565">
        <f t="shared" si="22"/>
      </c>
      <c r="DG565">
        <f t="shared" si="23"/>
      </c>
      <c r="DH565">
        <f t="shared" si="24"/>
      </c>
      <c r="DI565">
        <f t="shared" si="1"/>
      </c>
    </row>
    <row r="566" ht="15" customHeight="1">
      <c r="B566">
        <f t="shared" si="2"/>
      </c>
      <c r="R566">
        <f t="shared" si="3"/>
        <v>0</v>
      </c>
      <c r="S566">
        <f t="shared" si="4"/>
        <v>0</v>
      </c>
      <c r="T566">
        <f t="shared" si="5"/>
        <v>0</v>
      </c>
      <c r="U566">
        <f t="shared" si="6"/>
        <v>0</v>
      </c>
      <c r="V566">
        <f t="shared" si="7"/>
        <v>0</v>
      </c>
      <c r="W566">
        <f t="shared" si="8"/>
        <v>0</v>
      </c>
      <c r="X566">
        <f t="shared" si="9"/>
        <v>0</v>
      </c>
      <c r="Y566">
        <f t="shared" si="10"/>
        <v>0</v>
      </c>
      <c r="Z566">
        <f t="shared" si="11"/>
        <v>0</v>
      </c>
      <c r="AA566">
        <f t="shared" si="12"/>
        <v>0</v>
      </c>
      <c r="AB566">
        <f t="shared" si="13"/>
        <v>0</v>
      </c>
      <c r="AC566">
        <f t="shared" si="14"/>
        <v>0</v>
      </c>
      <c r="AE566">
        <f t="shared" si="0"/>
      </c>
      <c r="AV566">
        <f t="shared" si="15"/>
      </c>
      <c r="BM566">
        <f t="shared" si="16"/>
      </c>
      <c r="CD566">
        <f t="shared" si="0"/>
      </c>
      <c r="CZ566">
        <f t="shared" si="17"/>
      </c>
      <c r="DA566">
        <f t="shared" si="1"/>
      </c>
      <c r="DB566">
        <f t="shared" si="18"/>
      </c>
      <c r="DC566">
        <f t="shared" si="19"/>
      </c>
      <c r="DD566">
        <f t="shared" si="20"/>
      </c>
      <c r="DE566">
        <f t="shared" si="21"/>
      </c>
      <c r="DF566">
        <f t="shared" si="22"/>
      </c>
      <c r="DG566">
        <f t="shared" si="23"/>
      </c>
      <c r="DH566">
        <f t="shared" si="24"/>
      </c>
      <c r="DI566">
        <f t="shared" si="1"/>
      </c>
    </row>
    <row r="567" ht="15" customHeight="1">
      <c r="B567">
        <f t="shared" si="2"/>
      </c>
      <c r="R567">
        <f t="shared" si="3"/>
        <v>0</v>
      </c>
      <c r="S567">
        <f t="shared" si="4"/>
        <v>0</v>
      </c>
      <c r="T567">
        <f t="shared" si="5"/>
        <v>0</v>
      </c>
      <c r="U567">
        <f t="shared" si="6"/>
        <v>0</v>
      </c>
      <c r="V567">
        <f t="shared" si="7"/>
        <v>0</v>
      </c>
      <c r="W567">
        <f t="shared" si="8"/>
        <v>0</v>
      </c>
      <c r="X567">
        <f t="shared" si="9"/>
        <v>0</v>
      </c>
      <c r="Y567">
        <f t="shared" si="10"/>
        <v>0</v>
      </c>
      <c r="Z567">
        <f t="shared" si="11"/>
        <v>0</v>
      </c>
      <c r="AA567">
        <f t="shared" si="12"/>
        <v>0</v>
      </c>
      <c r="AB567">
        <f t="shared" si="13"/>
        <v>0</v>
      </c>
      <c r="AC567">
        <f t="shared" si="14"/>
        <v>0</v>
      </c>
      <c r="AE567">
        <f t="shared" si="0"/>
      </c>
      <c r="AV567">
        <f t="shared" si="15"/>
      </c>
      <c r="BM567">
        <f t="shared" si="16"/>
      </c>
      <c r="CD567">
        <f t="shared" si="0"/>
      </c>
      <c r="CZ567">
        <f t="shared" si="17"/>
      </c>
      <c r="DA567">
        <f t="shared" si="1"/>
      </c>
      <c r="DB567">
        <f t="shared" si="18"/>
      </c>
      <c r="DC567">
        <f t="shared" si="19"/>
      </c>
      <c r="DD567">
        <f t="shared" si="20"/>
      </c>
      <c r="DE567">
        <f t="shared" si="21"/>
      </c>
      <c r="DF567">
        <f t="shared" si="22"/>
      </c>
      <c r="DG567">
        <f t="shared" si="23"/>
      </c>
      <c r="DH567">
        <f t="shared" si="24"/>
      </c>
      <c r="DI567">
        <f t="shared" si="1"/>
      </c>
    </row>
    <row r="568" ht="15" customHeight="1">
      <c r="B568">
        <f t="shared" si="2"/>
      </c>
      <c r="R568">
        <f t="shared" si="3"/>
        <v>0</v>
      </c>
      <c r="S568">
        <f t="shared" si="4"/>
        <v>0</v>
      </c>
      <c r="T568">
        <f t="shared" si="5"/>
        <v>0</v>
      </c>
      <c r="U568">
        <f t="shared" si="6"/>
        <v>0</v>
      </c>
      <c r="V568">
        <f t="shared" si="7"/>
        <v>0</v>
      </c>
      <c r="W568">
        <f t="shared" si="8"/>
        <v>0</v>
      </c>
      <c r="X568">
        <f t="shared" si="9"/>
        <v>0</v>
      </c>
      <c r="Y568">
        <f t="shared" si="10"/>
        <v>0</v>
      </c>
      <c r="Z568">
        <f t="shared" si="11"/>
        <v>0</v>
      </c>
      <c r="AA568">
        <f t="shared" si="12"/>
        <v>0</v>
      </c>
      <c r="AB568">
        <f t="shared" si="13"/>
        <v>0</v>
      </c>
      <c r="AC568">
        <f t="shared" si="14"/>
        <v>0</v>
      </c>
      <c r="AE568">
        <f t="shared" si="0"/>
      </c>
      <c r="AV568">
        <f t="shared" si="15"/>
      </c>
      <c r="BM568">
        <f t="shared" si="16"/>
      </c>
      <c r="CD568">
        <f t="shared" si="0"/>
      </c>
      <c r="CZ568">
        <f t="shared" si="17"/>
      </c>
      <c r="DA568">
        <f t="shared" si="1"/>
      </c>
      <c r="DB568">
        <f t="shared" si="18"/>
      </c>
      <c r="DC568">
        <f t="shared" si="19"/>
      </c>
      <c r="DD568">
        <f t="shared" si="20"/>
      </c>
      <c r="DE568">
        <f t="shared" si="21"/>
      </c>
      <c r="DF568">
        <f t="shared" si="22"/>
      </c>
      <c r="DG568">
        <f t="shared" si="23"/>
      </c>
      <c r="DH568">
        <f t="shared" si="24"/>
      </c>
      <c r="DI568">
        <f t="shared" si="1"/>
      </c>
    </row>
    <row r="569" ht="15" customHeight="1">
      <c r="B569">
        <f t="shared" si="2"/>
      </c>
      <c r="R569">
        <f t="shared" si="3"/>
        <v>0</v>
      </c>
      <c r="S569">
        <f t="shared" si="4"/>
        <v>0</v>
      </c>
      <c r="T569">
        <f t="shared" si="5"/>
        <v>0</v>
      </c>
      <c r="U569">
        <f t="shared" si="6"/>
        <v>0</v>
      </c>
      <c r="V569">
        <f t="shared" si="7"/>
        <v>0</v>
      </c>
      <c r="W569">
        <f t="shared" si="8"/>
        <v>0</v>
      </c>
      <c r="X569">
        <f t="shared" si="9"/>
        <v>0</v>
      </c>
      <c r="Y569">
        <f t="shared" si="10"/>
        <v>0</v>
      </c>
      <c r="Z569">
        <f t="shared" si="11"/>
        <v>0</v>
      </c>
      <c r="AA569">
        <f t="shared" si="12"/>
        <v>0</v>
      </c>
      <c r="AB569">
        <f t="shared" si="13"/>
        <v>0</v>
      </c>
      <c r="AC569">
        <f t="shared" si="14"/>
        <v>0</v>
      </c>
      <c r="AE569">
        <f t="shared" si="0"/>
      </c>
      <c r="AV569">
        <f t="shared" si="15"/>
      </c>
      <c r="BM569">
        <f t="shared" si="16"/>
      </c>
      <c r="CD569">
        <f t="shared" si="0"/>
      </c>
      <c r="CZ569">
        <f t="shared" si="17"/>
      </c>
      <c r="DA569">
        <f t="shared" si="1"/>
      </c>
      <c r="DB569">
        <f t="shared" si="18"/>
      </c>
      <c r="DC569">
        <f t="shared" si="19"/>
      </c>
      <c r="DD569">
        <f t="shared" si="20"/>
      </c>
      <c r="DE569">
        <f t="shared" si="21"/>
      </c>
      <c r="DF569">
        <f t="shared" si="22"/>
      </c>
      <c r="DG569">
        <f t="shared" si="23"/>
      </c>
      <c r="DH569">
        <f t="shared" si="24"/>
      </c>
      <c r="DI569">
        <f t="shared" si="1"/>
      </c>
    </row>
    <row r="570" ht="15" customHeight="1">
      <c r="B570">
        <f t="shared" si="2"/>
      </c>
      <c r="R570">
        <f t="shared" si="3"/>
        <v>0</v>
      </c>
      <c r="S570">
        <f t="shared" si="4"/>
        <v>0</v>
      </c>
      <c r="T570">
        <f t="shared" si="5"/>
        <v>0</v>
      </c>
      <c r="U570">
        <f t="shared" si="6"/>
        <v>0</v>
      </c>
      <c r="V570">
        <f t="shared" si="7"/>
        <v>0</v>
      </c>
      <c r="W570">
        <f t="shared" si="8"/>
        <v>0</v>
      </c>
      <c r="X570">
        <f t="shared" si="9"/>
        <v>0</v>
      </c>
      <c r="Y570">
        <f t="shared" si="10"/>
        <v>0</v>
      </c>
      <c r="Z570">
        <f t="shared" si="11"/>
        <v>0</v>
      </c>
      <c r="AA570">
        <f t="shared" si="12"/>
        <v>0</v>
      </c>
      <c r="AB570">
        <f t="shared" si="13"/>
        <v>0</v>
      </c>
      <c r="AC570">
        <f t="shared" si="14"/>
        <v>0</v>
      </c>
      <c r="AE570">
        <f t="shared" si="0"/>
      </c>
      <c r="AV570">
        <f t="shared" si="15"/>
      </c>
      <c r="BM570">
        <f t="shared" si="16"/>
      </c>
      <c r="CD570">
        <f t="shared" si="0"/>
      </c>
      <c r="CZ570">
        <f t="shared" si="17"/>
      </c>
      <c r="DA570">
        <f t="shared" si="1"/>
      </c>
      <c r="DB570">
        <f t="shared" si="18"/>
      </c>
      <c r="DC570">
        <f t="shared" si="19"/>
      </c>
      <c r="DD570">
        <f t="shared" si="20"/>
      </c>
      <c r="DE570">
        <f t="shared" si="21"/>
      </c>
      <c r="DF570">
        <f t="shared" si="22"/>
      </c>
      <c r="DG570">
        <f t="shared" si="23"/>
      </c>
      <c r="DH570">
        <f t="shared" si="24"/>
      </c>
      <c r="DI570">
        <f t="shared" si="1"/>
      </c>
    </row>
    <row r="571" ht="15" customHeight="1">
      <c r="B571">
        <f t="shared" si="2"/>
      </c>
      <c r="R571">
        <f t="shared" si="3"/>
        <v>0</v>
      </c>
      <c r="S571">
        <f t="shared" si="4"/>
        <v>0</v>
      </c>
      <c r="T571">
        <f t="shared" si="5"/>
        <v>0</v>
      </c>
      <c r="U571">
        <f t="shared" si="6"/>
        <v>0</v>
      </c>
      <c r="V571">
        <f t="shared" si="7"/>
        <v>0</v>
      </c>
      <c r="W571">
        <f t="shared" si="8"/>
        <v>0</v>
      </c>
      <c r="X571">
        <f t="shared" si="9"/>
        <v>0</v>
      </c>
      <c r="Y571">
        <f t="shared" si="10"/>
        <v>0</v>
      </c>
      <c r="Z571">
        <f t="shared" si="11"/>
        <v>0</v>
      </c>
      <c r="AA571">
        <f t="shared" si="12"/>
        <v>0</v>
      </c>
      <c r="AB571">
        <f t="shared" si="13"/>
        <v>0</v>
      </c>
      <c r="AC571">
        <f t="shared" si="14"/>
        <v>0</v>
      </c>
      <c r="AE571">
        <f t="shared" si="0"/>
      </c>
      <c r="AV571">
        <f t="shared" si="15"/>
      </c>
      <c r="BM571">
        <f t="shared" si="16"/>
      </c>
      <c r="CD571">
        <f t="shared" si="0"/>
      </c>
      <c r="CZ571">
        <f t="shared" si="17"/>
      </c>
      <c r="DA571">
        <f t="shared" si="1"/>
      </c>
      <c r="DB571">
        <f t="shared" si="18"/>
      </c>
      <c r="DC571">
        <f t="shared" si="19"/>
      </c>
      <c r="DD571">
        <f t="shared" si="20"/>
      </c>
      <c r="DE571">
        <f t="shared" si="21"/>
      </c>
      <c r="DF571">
        <f t="shared" si="22"/>
      </c>
      <c r="DG571">
        <f t="shared" si="23"/>
      </c>
      <c r="DH571">
        <f t="shared" si="24"/>
      </c>
      <c r="DI571">
        <f t="shared" si="1"/>
      </c>
    </row>
    <row r="572" ht="15" customHeight="1">
      <c r="B572">
        <f t="shared" si="2"/>
      </c>
      <c r="R572">
        <f t="shared" si="3"/>
        <v>0</v>
      </c>
      <c r="S572">
        <f t="shared" si="4"/>
        <v>0</v>
      </c>
      <c r="T572">
        <f t="shared" si="5"/>
        <v>0</v>
      </c>
      <c r="U572">
        <f t="shared" si="6"/>
        <v>0</v>
      </c>
      <c r="V572">
        <f t="shared" si="7"/>
        <v>0</v>
      </c>
      <c r="W572">
        <f t="shared" si="8"/>
        <v>0</v>
      </c>
      <c r="X572">
        <f t="shared" si="9"/>
        <v>0</v>
      </c>
      <c r="Y572">
        <f t="shared" si="10"/>
        <v>0</v>
      </c>
      <c r="Z572">
        <f t="shared" si="11"/>
        <v>0</v>
      </c>
      <c r="AA572">
        <f t="shared" si="12"/>
        <v>0</v>
      </c>
      <c r="AB572">
        <f t="shared" si="13"/>
        <v>0</v>
      </c>
      <c r="AC572">
        <f t="shared" si="14"/>
        <v>0</v>
      </c>
      <c r="AE572">
        <f t="shared" si="0"/>
      </c>
      <c r="AV572">
        <f t="shared" si="15"/>
      </c>
      <c r="BM572">
        <f t="shared" si="16"/>
      </c>
      <c r="CD572">
        <f t="shared" si="0"/>
      </c>
      <c r="CZ572">
        <f t="shared" si="17"/>
      </c>
      <c r="DA572">
        <f t="shared" si="1"/>
      </c>
      <c r="DB572">
        <f t="shared" si="18"/>
      </c>
      <c r="DC572">
        <f t="shared" si="19"/>
      </c>
      <c r="DD572">
        <f t="shared" si="20"/>
      </c>
      <c r="DE572">
        <f t="shared" si="21"/>
      </c>
      <c r="DF572">
        <f t="shared" si="22"/>
      </c>
      <c r="DG572">
        <f t="shared" si="23"/>
      </c>
      <c r="DH572">
        <f t="shared" si="24"/>
      </c>
      <c r="DI572">
        <f t="shared" si="1"/>
      </c>
    </row>
    <row r="573" ht="15" customHeight="1">
      <c r="B573">
        <f t="shared" si="2"/>
      </c>
      <c r="R573">
        <f t="shared" si="3"/>
        <v>0</v>
      </c>
      <c r="S573">
        <f t="shared" si="4"/>
        <v>0</v>
      </c>
      <c r="T573">
        <f t="shared" si="5"/>
        <v>0</v>
      </c>
      <c r="U573">
        <f t="shared" si="6"/>
        <v>0</v>
      </c>
      <c r="V573">
        <f t="shared" si="7"/>
        <v>0</v>
      </c>
      <c r="W573">
        <f t="shared" si="8"/>
        <v>0</v>
      </c>
      <c r="X573">
        <f t="shared" si="9"/>
        <v>0</v>
      </c>
      <c r="Y573">
        <f t="shared" si="10"/>
        <v>0</v>
      </c>
      <c r="Z573">
        <f t="shared" si="11"/>
        <v>0</v>
      </c>
      <c r="AA573">
        <f t="shared" si="12"/>
        <v>0</v>
      </c>
      <c r="AB573">
        <f t="shared" si="13"/>
        <v>0</v>
      </c>
      <c r="AC573">
        <f t="shared" si="14"/>
        <v>0</v>
      </c>
      <c r="AE573">
        <f t="shared" si="0"/>
      </c>
      <c r="AV573">
        <f t="shared" si="15"/>
      </c>
      <c r="BM573">
        <f t="shared" si="16"/>
      </c>
      <c r="CD573">
        <f t="shared" si="0"/>
      </c>
      <c r="CZ573">
        <f t="shared" si="17"/>
      </c>
      <c r="DA573">
        <f t="shared" si="1"/>
      </c>
      <c r="DB573">
        <f t="shared" si="18"/>
      </c>
      <c r="DC573">
        <f t="shared" si="19"/>
      </c>
      <c r="DD573">
        <f t="shared" si="20"/>
      </c>
      <c r="DE573">
        <f t="shared" si="21"/>
      </c>
      <c r="DF573">
        <f t="shared" si="22"/>
      </c>
      <c r="DG573">
        <f t="shared" si="23"/>
      </c>
      <c r="DH573">
        <f t="shared" si="24"/>
      </c>
      <c r="DI573">
        <f t="shared" si="1"/>
      </c>
    </row>
    <row r="574" ht="15" customHeight="1">
      <c r="B574">
        <f t="shared" si="2"/>
      </c>
      <c r="R574">
        <f t="shared" si="3"/>
        <v>0</v>
      </c>
      <c r="S574">
        <f t="shared" si="4"/>
        <v>0</v>
      </c>
      <c r="T574">
        <f t="shared" si="5"/>
        <v>0</v>
      </c>
      <c r="U574">
        <f t="shared" si="6"/>
        <v>0</v>
      </c>
      <c r="V574">
        <f t="shared" si="7"/>
        <v>0</v>
      </c>
      <c r="W574">
        <f t="shared" si="8"/>
        <v>0</v>
      </c>
      <c r="X574">
        <f t="shared" si="9"/>
        <v>0</v>
      </c>
      <c r="Y574">
        <f t="shared" si="10"/>
        <v>0</v>
      </c>
      <c r="Z574">
        <f t="shared" si="11"/>
        <v>0</v>
      </c>
      <c r="AA574">
        <f t="shared" si="12"/>
        <v>0</v>
      </c>
      <c r="AB574">
        <f t="shared" si="13"/>
        <v>0</v>
      </c>
      <c r="AC574">
        <f t="shared" si="14"/>
        <v>0</v>
      </c>
      <c r="AE574">
        <f t="shared" si="0"/>
      </c>
      <c r="AV574">
        <f t="shared" si="15"/>
      </c>
      <c r="BM574">
        <f t="shared" si="16"/>
      </c>
      <c r="CD574">
        <f t="shared" si="0"/>
      </c>
      <c r="CZ574">
        <f t="shared" si="17"/>
      </c>
      <c r="DA574">
        <f t="shared" si="1"/>
      </c>
      <c r="DB574">
        <f t="shared" si="18"/>
      </c>
      <c r="DC574">
        <f t="shared" si="19"/>
      </c>
      <c r="DD574">
        <f t="shared" si="20"/>
      </c>
      <c r="DE574">
        <f t="shared" si="21"/>
      </c>
      <c r="DF574">
        <f t="shared" si="22"/>
      </c>
      <c r="DG574">
        <f t="shared" si="23"/>
      </c>
      <c r="DH574">
        <f t="shared" si="24"/>
      </c>
      <c r="DI574">
        <f t="shared" si="1"/>
      </c>
    </row>
    <row r="575" ht="15" customHeight="1">
      <c r="B575">
        <f t="shared" si="2"/>
      </c>
      <c r="R575">
        <f t="shared" si="3"/>
        <v>0</v>
      </c>
      <c r="S575">
        <f t="shared" si="4"/>
        <v>0</v>
      </c>
      <c r="T575">
        <f t="shared" si="5"/>
        <v>0</v>
      </c>
      <c r="U575">
        <f t="shared" si="6"/>
        <v>0</v>
      </c>
      <c r="V575">
        <f t="shared" si="7"/>
        <v>0</v>
      </c>
      <c r="W575">
        <f t="shared" si="8"/>
        <v>0</v>
      </c>
      <c r="X575">
        <f t="shared" si="9"/>
        <v>0</v>
      </c>
      <c r="Y575">
        <f t="shared" si="10"/>
        <v>0</v>
      </c>
      <c r="Z575">
        <f t="shared" si="11"/>
        <v>0</v>
      </c>
      <c r="AA575">
        <f t="shared" si="12"/>
        <v>0</v>
      </c>
      <c r="AB575">
        <f t="shared" si="13"/>
        <v>0</v>
      </c>
      <c r="AC575">
        <f t="shared" si="14"/>
        <v>0</v>
      </c>
      <c r="AE575">
        <f t="shared" si="0"/>
      </c>
      <c r="AV575">
        <f t="shared" si="15"/>
      </c>
      <c r="BM575">
        <f t="shared" si="16"/>
      </c>
      <c r="CD575">
        <f t="shared" si="0"/>
      </c>
      <c r="CZ575">
        <f t="shared" si="17"/>
      </c>
      <c r="DA575">
        <f t="shared" si="1"/>
      </c>
      <c r="DB575">
        <f t="shared" si="18"/>
      </c>
      <c r="DC575">
        <f t="shared" si="19"/>
      </c>
      <c r="DD575">
        <f t="shared" si="20"/>
      </c>
      <c r="DE575">
        <f t="shared" si="21"/>
      </c>
      <c r="DF575">
        <f t="shared" si="22"/>
      </c>
      <c r="DG575">
        <f t="shared" si="23"/>
      </c>
      <c r="DH575">
        <f t="shared" si="24"/>
      </c>
      <c r="DI575">
        <f t="shared" si="1"/>
      </c>
    </row>
    <row r="576" ht="15" customHeight="1">
      <c r="B576">
        <f t="shared" si="2"/>
      </c>
      <c r="R576">
        <f t="shared" si="3"/>
        <v>0</v>
      </c>
      <c r="S576">
        <f t="shared" si="4"/>
        <v>0</v>
      </c>
      <c r="T576">
        <f t="shared" si="5"/>
        <v>0</v>
      </c>
      <c r="U576">
        <f t="shared" si="6"/>
        <v>0</v>
      </c>
      <c r="V576">
        <f t="shared" si="7"/>
        <v>0</v>
      </c>
      <c r="W576">
        <f t="shared" si="8"/>
        <v>0</v>
      </c>
      <c r="X576">
        <f t="shared" si="9"/>
        <v>0</v>
      </c>
      <c r="Y576">
        <f t="shared" si="10"/>
        <v>0</v>
      </c>
      <c r="Z576">
        <f t="shared" si="11"/>
        <v>0</v>
      </c>
      <c r="AA576">
        <f t="shared" si="12"/>
        <v>0</v>
      </c>
      <c r="AB576">
        <f t="shared" si="13"/>
        <v>0</v>
      </c>
      <c r="AC576">
        <f t="shared" si="14"/>
        <v>0</v>
      </c>
      <c r="AE576">
        <f t="shared" si="0"/>
      </c>
      <c r="AV576">
        <f t="shared" si="15"/>
      </c>
      <c r="BM576">
        <f t="shared" si="16"/>
      </c>
      <c r="CD576">
        <f t="shared" si="0"/>
      </c>
      <c r="CZ576">
        <f t="shared" si="17"/>
      </c>
      <c r="DA576">
        <f t="shared" si="1"/>
      </c>
      <c r="DB576">
        <f t="shared" si="18"/>
      </c>
      <c r="DC576">
        <f t="shared" si="19"/>
      </c>
      <c r="DD576">
        <f t="shared" si="20"/>
      </c>
      <c r="DE576">
        <f t="shared" si="21"/>
      </c>
      <c r="DF576">
        <f t="shared" si="22"/>
      </c>
      <c r="DG576">
        <f t="shared" si="23"/>
      </c>
      <c r="DH576">
        <f t="shared" si="24"/>
      </c>
      <c r="DI576">
        <f t="shared" si="1"/>
      </c>
    </row>
    <row r="577" ht="15" customHeight="1">
      <c r="B577">
        <f t="shared" si="2"/>
      </c>
      <c r="R577">
        <f t="shared" si="3"/>
        <v>0</v>
      </c>
      <c r="S577">
        <f t="shared" si="4"/>
        <v>0</v>
      </c>
      <c r="T577">
        <f t="shared" si="5"/>
        <v>0</v>
      </c>
      <c r="U577">
        <f t="shared" si="6"/>
        <v>0</v>
      </c>
      <c r="V577">
        <f t="shared" si="7"/>
        <v>0</v>
      </c>
      <c r="W577">
        <f t="shared" si="8"/>
        <v>0</v>
      </c>
      <c r="X577">
        <f t="shared" si="9"/>
        <v>0</v>
      </c>
      <c r="Y577">
        <f t="shared" si="10"/>
        <v>0</v>
      </c>
      <c r="Z577">
        <f t="shared" si="11"/>
        <v>0</v>
      </c>
      <c r="AA577">
        <f t="shared" si="12"/>
        <v>0</v>
      </c>
      <c r="AB577">
        <f t="shared" si="13"/>
        <v>0</v>
      </c>
      <c r="AC577">
        <f t="shared" si="14"/>
        <v>0</v>
      </c>
      <c r="AE577">
        <f t="shared" si="0"/>
      </c>
      <c r="AV577">
        <f t="shared" si="15"/>
      </c>
      <c r="BM577">
        <f t="shared" si="16"/>
      </c>
      <c r="CD577">
        <f t="shared" si="0"/>
      </c>
      <c r="CZ577">
        <f t="shared" si="17"/>
      </c>
      <c r="DA577">
        <f t="shared" si="1"/>
      </c>
      <c r="DB577">
        <f t="shared" si="18"/>
      </c>
      <c r="DC577">
        <f t="shared" si="19"/>
      </c>
      <c r="DD577">
        <f t="shared" si="20"/>
      </c>
      <c r="DE577">
        <f t="shared" si="21"/>
      </c>
      <c r="DF577">
        <f t="shared" si="22"/>
      </c>
      <c r="DG577">
        <f t="shared" si="23"/>
      </c>
      <c r="DH577">
        <f t="shared" si="24"/>
      </c>
      <c r="DI577">
        <f t="shared" si="1"/>
      </c>
    </row>
    <row r="578" ht="15" customHeight="1">
      <c r="B578">
        <f t="shared" si="2"/>
      </c>
      <c r="R578">
        <f t="shared" si="3"/>
        <v>0</v>
      </c>
      <c r="S578">
        <f t="shared" si="4"/>
        <v>0</v>
      </c>
      <c r="T578">
        <f t="shared" si="5"/>
        <v>0</v>
      </c>
      <c r="U578">
        <f t="shared" si="6"/>
        <v>0</v>
      </c>
      <c r="V578">
        <f t="shared" si="7"/>
        <v>0</v>
      </c>
      <c r="W578">
        <f t="shared" si="8"/>
        <v>0</v>
      </c>
      <c r="X578">
        <f t="shared" si="9"/>
        <v>0</v>
      </c>
      <c r="Y578">
        <f t="shared" si="10"/>
        <v>0</v>
      </c>
      <c r="Z578">
        <f t="shared" si="11"/>
        <v>0</v>
      </c>
      <c r="AA578">
        <f t="shared" si="12"/>
        <v>0</v>
      </c>
      <c r="AB578">
        <f t="shared" si="13"/>
        <v>0</v>
      </c>
      <c r="AC578">
        <f t="shared" si="14"/>
        <v>0</v>
      </c>
      <c r="AE578">
        <f t="shared" si="0"/>
      </c>
      <c r="AV578">
        <f t="shared" si="15"/>
      </c>
      <c r="BM578">
        <f t="shared" si="16"/>
      </c>
      <c r="CD578">
        <f t="shared" si="0"/>
      </c>
      <c r="CZ578">
        <f t="shared" si="17"/>
      </c>
      <c r="DA578">
        <f t="shared" si="1"/>
      </c>
      <c r="DB578">
        <f t="shared" si="18"/>
      </c>
      <c r="DC578">
        <f t="shared" si="19"/>
      </c>
      <c r="DD578">
        <f t="shared" si="20"/>
      </c>
      <c r="DE578">
        <f t="shared" si="21"/>
      </c>
      <c r="DF578">
        <f t="shared" si="22"/>
      </c>
      <c r="DG578">
        <f t="shared" si="23"/>
      </c>
      <c r="DH578">
        <f t="shared" si="24"/>
      </c>
      <c r="DI578">
        <f t="shared" si="1"/>
      </c>
    </row>
    <row r="579" ht="15" customHeight="1">
      <c r="B579">
        <f t="shared" si="2"/>
      </c>
      <c r="R579">
        <f t="shared" si="3"/>
        <v>0</v>
      </c>
      <c r="S579">
        <f t="shared" si="4"/>
        <v>0</v>
      </c>
      <c r="T579">
        <f t="shared" si="5"/>
        <v>0</v>
      </c>
      <c r="U579">
        <f t="shared" si="6"/>
        <v>0</v>
      </c>
      <c r="V579">
        <f t="shared" si="7"/>
        <v>0</v>
      </c>
      <c r="W579">
        <f t="shared" si="8"/>
        <v>0</v>
      </c>
      <c r="X579">
        <f t="shared" si="9"/>
        <v>0</v>
      </c>
      <c r="Y579">
        <f t="shared" si="10"/>
        <v>0</v>
      </c>
      <c r="Z579">
        <f t="shared" si="11"/>
        <v>0</v>
      </c>
      <c r="AA579">
        <f t="shared" si="12"/>
        <v>0</v>
      </c>
      <c r="AB579">
        <f t="shared" si="13"/>
        <v>0</v>
      </c>
      <c r="AC579">
        <f t="shared" si="14"/>
        <v>0</v>
      </c>
      <c r="AE579">
        <f t="shared" si="0"/>
      </c>
      <c r="AV579">
        <f t="shared" si="15"/>
      </c>
      <c r="BM579">
        <f t="shared" si="16"/>
      </c>
      <c r="CD579">
        <f t="shared" si="0"/>
      </c>
      <c r="CZ579">
        <f t="shared" si="17"/>
      </c>
      <c r="DA579">
        <f t="shared" si="1"/>
      </c>
      <c r="DB579">
        <f t="shared" si="18"/>
      </c>
      <c r="DC579">
        <f t="shared" si="19"/>
      </c>
      <c r="DD579">
        <f t="shared" si="20"/>
      </c>
      <c r="DE579">
        <f t="shared" si="21"/>
      </c>
      <c r="DF579">
        <f t="shared" si="22"/>
      </c>
      <c r="DG579">
        <f t="shared" si="23"/>
      </c>
      <c r="DH579">
        <f t="shared" si="24"/>
      </c>
      <c r="DI579">
        <f t="shared" si="1"/>
      </c>
    </row>
    <row r="580" ht="15" customHeight="1">
      <c r="B580">
        <f t="shared" si="2"/>
      </c>
      <c r="R580">
        <f t="shared" si="3"/>
        <v>0</v>
      </c>
      <c r="S580">
        <f t="shared" si="4"/>
        <v>0</v>
      </c>
      <c r="T580">
        <f t="shared" si="5"/>
        <v>0</v>
      </c>
      <c r="U580">
        <f t="shared" si="6"/>
        <v>0</v>
      </c>
      <c r="V580">
        <f t="shared" si="7"/>
        <v>0</v>
      </c>
      <c r="W580">
        <f t="shared" si="8"/>
        <v>0</v>
      </c>
      <c r="X580">
        <f t="shared" si="9"/>
        <v>0</v>
      </c>
      <c r="Y580">
        <f t="shared" si="10"/>
        <v>0</v>
      </c>
      <c r="Z580">
        <f t="shared" si="11"/>
        <v>0</v>
      </c>
      <c r="AA580">
        <f t="shared" si="12"/>
        <v>0</v>
      </c>
      <c r="AB580">
        <f t="shared" si="13"/>
        <v>0</v>
      </c>
      <c r="AC580">
        <f t="shared" si="14"/>
        <v>0</v>
      </c>
      <c r="AE580">
        <f t="shared" si="0"/>
      </c>
      <c r="AV580">
        <f t="shared" si="15"/>
      </c>
      <c r="BM580">
        <f t="shared" si="16"/>
      </c>
      <c r="CD580">
        <f t="shared" si="0"/>
      </c>
      <c r="CZ580">
        <f t="shared" si="17"/>
      </c>
      <c r="DA580">
        <f t="shared" si="1"/>
      </c>
      <c r="DB580">
        <f t="shared" si="18"/>
      </c>
      <c r="DC580">
        <f t="shared" si="19"/>
      </c>
      <c r="DD580">
        <f t="shared" si="20"/>
      </c>
      <c r="DE580">
        <f t="shared" si="21"/>
      </c>
      <c r="DF580">
        <f t="shared" si="22"/>
      </c>
      <c r="DG580">
        <f t="shared" si="23"/>
      </c>
      <c r="DH580">
        <f t="shared" si="24"/>
      </c>
      <c r="DI580">
        <f t="shared" si="1"/>
      </c>
    </row>
    <row r="581" ht="15" customHeight="1">
      <c r="B581">
        <f t="shared" si="2"/>
      </c>
      <c r="R581">
        <f t="shared" si="3"/>
        <v>0</v>
      </c>
      <c r="S581">
        <f t="shared" si="4"/>
        <v>0</v>
      </c>
      <c r="T581">
        <f t="shared" si="5"/>
        <v>0</v>
      </c>
      <c r="U581">
        <f t="shared" si="6"/>
        <v>0</v>
      </c>
      <c r="V581">
        <f t="shared" si="7"/>
        <v>0</v>
      </c>
      <c r="W581">
        <f t="shared" si="8"/>
        <v>0</v>
      </c>
      <c r="X581">
        <f t="shared" si="9"/>
        <v>0</v>
      </c>
      <c r="Y581">
        <f t="shared" si="10"/>
        <v>0</v>
      </c>
      <c r="Z581">
        <f t="shared" si="11"/>
        <v>0</v>
      </c>
      <c r="AA581">
        <f t="shared" si="12"/>
        <v>0</v>
      </c>
      <c r="AB581">
        <f t="shared" si="13"/>
        <v>0</v>
      </c>
      <c r="AC581">
        <f t="shared" si="14"/>
        <v>0</v>
      </c>
      <c r="AE581">
        <f t="shared" si="0"/>
      </c>
      <c r="AV581">
        <f t="shared" si="15"/>
      </c>
      <c r="BM581">
        <f t="shared" si="16"/>
      </c>
      <c r="CD581">
        <f t="shared" si="0"/>
      </c>
      <c r="CZ581">
        <f t="shared" si="17"/>
      </c>
      <c r="DA581">
        <f t="shared" si="1"/>
      </c>
      <c r="DB581">
        <f t="shared" si="18"/>
      </c>
      <c r="DC581">
        <f t="shared" si="19"/>
      </c>
      <c r="DD581">
        <f t="shared" si="20"/>
      </c>
      <c r="DE581">
        <f t="shared" si="21"/>
      </c>
      <c r="DF581">
        <f t="shared" si="22"/>
      </c>
      <c r="DG581">
        <f t="shared" si="23"/>
      </c>
      <c r="DH581">
        <f t="shared" si="24"/>
      </c>
      <c r="DI581">
        <f t="shared" si="1"/>
      </c>
    </row>
    <row r="582" ht="15" customHeight="1">
      <c r="B582">
        <f t="shared" si="2"/>
      </c>
      <c r="R582">
        <f t="shared" si="3"/>
        <v>0</v>
      </c>
      <c r="S582">
        <f t="shared" si="4"/>
        <v>0</v>
      </c>
      <c r="T582">
        <f t="shared" si="5"/>
        <v>0</v>
      </c>
      <c r="U582">
        <f t="shared" si="6"/>
        <v>0</v>
      </c>
      <c r="V582">
        <f t="shared" si="7"/>
        <v>0</v>
      </c>
      <c r="W582">
        <f t="shared" si="8"/>
        <v>0</v>
      </c>
      <c r="X582">
        <f t="shared" si="9"/>
        <v>0</v>
      </c>
      <c r="Y582">
        <f t="shared" si="10"/>
        <v>0</v>
      </c>
      <c r="Z582">
        <f t="shared" si="11"/>
        <v>0</v>
      </c>
      <c r="AA582">
        <f t="shared" si="12"/>
        <v>0</v>
      </c>
      <c r="AB582">
        <f t="shared" si="13"/>
        <v>0</v>
      </c>
      <c r="AC582">
        <f t="shared" si="14"/>
        <v>0</v>
      </c>
      <c r="AE582">
        <f t="shared" si="0"/>
      </c>
      <c r="AV582">
        <f t="shared" si="15"/>
      </c>
      <c r="BM582">
        <f t="shared" si="16"/>
      </c>
      <c r="CD582">
        <f t="shared" si="0"/>
      </c>
      <c r="CZ582">
        <f t="shared" si="17"/>
      </c>
      <c r="DA582">
        <f t="shared" si="1"/>
      </c>
      <c r="DB582">
        <f t="shared" si="18"/>
      </c>
      <c r="DC582">
        <f t="shared" si="19"/>
      </c>
      <c r="DD582">
        <f t="shared" si="20"/>
      </c>
      <c r="DE582">
        <f t="shared" si="21"/>
      </c>
      <c r="DF582">
        <f t="shared" si="22"/>
      </c>
      <c r="DG582">
        <f t="shared" si="23"/>
      </c>
      <c r="DH582">
        <f t="shared" si="24"/>
      </c>
      <c r="DI582">
        <f t="shared" si="1"/>
      </c>
    </row>
    <row r="583" ht="15" customHeight="1">
      <c r="B583">
        <f t="shared" si="2"/>
      </c>
      <c r="R583">
        <f t="shared" si="3"/>
        <v>0</v>
      </c>
      <c r="S583">
        <f t="shared" si="4"/>
        <v>0</v>
      </c>
      <c r="T583">
        <f t="shared" si="5"/>
        <v>0</v>
      </c>
      <c r="U583">
        <f t="shared" si="6"/>
        <v>0</v>
      </c>
      <c r="V583">
        <f t="shared" si="7"/>
        <v>0</v>
      </c>
      <c r="W583">
        <f t="shared" si="8"/>
        <v>0</v>
      </c>
      <c r="X583">
        <f t="shared" si="9"/>
        <v>0</v>
      </c>
      <c r="Y583">
        <f t="shared" si="10"/>
        <v>0</v>
      </c>
      <c r="Z583">
        <f t="shared" si="11"/>
        <v>0</v>
      </c>
      <c r="AA583">
        <f t="shared" si="12"/>
        <v>0</v>
      </c>
      <c r="AB583">
        <f t="shared" si="13"/>
        <v>0</v>
      </c>
      <c r="AC583">
        <f t="shared" si="14"/>
        <v>0</v>
      </c>
      <c r="AE583">
        <f t="shared" si="0"/>
      </c>
      <c r="AV583">
        <f t="shared" si="15"/>
      </c>
      <c r="BM583">
        <f t="shared" si="16"/>
      </c>
      <c r="CD583">
        <f t="shared" si="0"/>
      </c>
      <c r="CZ583">
        <f t="shared" si="17"/>
      </c>
      <c r="DA583">
        <f t="shared" si="1"/>
      </c>
      <c r="DB583">
        <f t="shared" si="18"/>
      </c>
      <c r="DC583">
        <f t="shared" si="19"/>
      </c>
      <c r="DD583">
        <f t="shared" si="20"/>
      </c>
      <c r="DE583">
        <f t="shared" si="21"/>
      </c>
      <c r="DF583">
        <f t="shared" si="22"/>
      </c>
      <c r="DG583">
        <f t="shared" si="23"/>
      </c>
      <c r="DH583">
        <f t="shared" si="24"/>
      </c>
      <c r="DI583">
        <f t="shared" si="1"/>
      </c>
    </row>
    <row r="584" ht="15" customHeight="1">
      <c r="B584">
        <f t="shared" si="2"/>
      </c>
      <c r="R584">
        <f t="shared" si="3"/>
        <v>0</v>
      </c>
      <c r="S584">
        <f t="shared" si="4"/>
        <v>0</v>
      </c>
      <c r="T584">
        <f t="shared" si="5"/>
        <v>0</v>
      </c>
      <c r="U584">
        <f t="shared" si="6"/>
        <v>0</v>
      </c>
      <c r="V584">
        <f t="shared" si="7"/>
        <v>0</v>
      </c>
      <c r="W584">
        <f t="shared" si="8"/>
        <v>0</v>
      </c>
      <c r="X584">
        <f t="shared" si="9"/>
        <v>0</v>
      </c>
      <c r="Y584">
        <f t="shared" si="10"/>
        <v>0</v>
      </c>
      <c r="Z584">
        <f t="shared" si="11"/>
        <v>0</v>
      </c>
      <c r="AA584">
        <f t="shared" si="12"/>
        <v>0</v>
      </c>
      <c r="AB584">
        <f t="shared" si="13"/>
        <v>0</v>
      </c>
      <c r="AC584">
        <f t="shared" si="14"/>
        <v>0</v>
      </c>
      <c r="AE584">
        <f t="shared" si="0"/>
      </c>
      <c r="AV584">
        <f t="shared" si="15"/>
      </c>
      <c r="BM584">
        <f t="shared" si="16"/>
      </c>
      <c r="CD584">
        <f t="shared" si="0"/>
      </c>
      <c r="CZ584">
        <f t="shared" si="17"/>
      </c>
      <c r="DA584">
        <f t="shared" si="1"/>
      </c>
      <c r="DB584">
        <f t="shared" si="18"/>
      </c>
      <c r="DC584">
        <f t="shared" si="19"/>
      </c>
      <c r="DD584">
        <f t="shared" si="20"/>
      </c>
      <c r="DE584">
        <f t="shared" si="21"/>
      </c>
      <c r="DF584">
        <f t="shared" si="22"/>
      </c>
      <c r="DG584">
        <f t="shared" si="23"/>
      </c>
      <c r="DH584">
        <f t="shared" si="24"/>
      </c>
      <c r="DI584">
        <f t="shared" si="1"/>
      </c>
    </row>
    <row r="585" ht="15" customHeight="1">
      <c r="B585">
        <f t="shared" si="2"/>
      </c>
      <c r="R585">
        <f t="shared" si="3"/>
        <v>0</v>
      </c>
      <c r="S585">
        <f t="shared" si="4"/>
        <v>0</v>
      </c>
      <c r="T585">
        <f t="shared" si="5"/>
        <v>0</v>
      </c>
      <c r="U585">
        <f t="shared" si="6"/>
        <v>0</v>
      </c>
      <c r="V585">
        <f t="shared" si="7"/>
        <v>0</v>
      </c>
      <c r="W585">
        <f t="shared" si="8"/>
        <v>0</v>
      </c>
      <c r="X585">
        <f t="shared" si="9"/>
        <v>0</v>
      </c>
      <c r="Y585">
        <f t="shared" si="10"/>
        <v>0</v>
      </c>
      <c r="Z585">
        <f t="shared" si="11"/>
        <v>0</v>
      </c>
      <c r="AA585">
        <f t="shared" si="12"/>
        <v>0</v>
      </c>
      <c r="AB585">
        <f t="shared" si="13"/>
        <v>0</v>
      </c>
      <c r="AC585">
        <f t="shared" si="14"/>
        <v>0</v>
      </c>
      <c r="AE585">
        <f t="shared" si="0"/>
      </c>
      <c r="AV585">
        <f t="shared" si="15"/>
      </c>
      <c r="BM585">
        <f t="shared" si="16"/>
      </c>
      <c r="CD585">
        <f t="shared" si="0"/>
      </c>
      <c r="CZ585">
        <f t="shared" si="17"/>
      </c>
      <c r="DA585">
        <f t="shared" si="1"/>
      </c>
      <c r="DB585">
        <f t="shared" si="18"/>
      </c>
      <c r="DC585">
        <f t="shared" si="19"/>
      </c>
      <c r="DD585">
        <f t="shared" si="20"/>
      </c>
      <c r="DE585">
        <f t="shared" si="21"/>
      </c>
      <c r="DF585">
        <f t="shared" si="22"/>
      </c>
      <c r="DG585">
        <f t="shared" si="23"/>
      </c>
      <c r="DH585">
        <f t="shared" si="24"/>
      </c>
      <c r="DI585">
        <f t="shared" si="1"/>
      </c>
    </row>
    <row r="586" ht="15" customHeight="1">
      <c r="B586">
        <f t="shared" si="2"/>
      </c>
      <c r="R586">
        <f t="shared" si="3"/>
        <v>0</v>
      </c>
      <c r="S586">
        <f t="shared" si="4"/>
        <v>0</v>
      </c>
      <c r="T586">
        <f t="shared" si="5"/>
        <v>0</v>
      </c>
      <c r="U586">
        <f t="shared" si="6"/>
        <v>0</v>
      </c>
      <c r="V586">
        <f t="shared" si="7"/>
        <v>0</v>
      </c>
      <c r="W586">
        <f t="shared" si="8"/>
        <v>0</v>
      </c>
      <c r="X586">
        <f t="shared" si="9"/>
        <v>0</v>
      </c>
      <c r="Y586">
        <f t="shared" si="10"/>
        <v>0</v>
      </c>
      <c r="Z586">
        <f t="shared" si="11"/>
        <v>0</v>
      </c>
      <c r="AA586">
        <f t="shared" si="12"/>
        <v>0</v>
      </c>
      <c r="AB586">
        <f t="shared" si="13"/>
        <v>0</v>
      </c>
      <c r="AC586">
        <f t="shared" si="14"/>
        <v>0</v>
      </c>
      <c r="AE586">
        <f t="shared" si="0"/>
      </c>
      <c r="AV586">
        <f t="shared" si="15"/>
      </c>
      <c r="BM586">
        <f t="shared" si="16"/>
      </c>
      <c r="CD586">
        <f t="shared" si="0"/>
      </c>
      <c r="CZ586">
        <f t="shared" si="17"/>
      </c>
      <c r="DA586">
        <f t="shared" si="1"/>
      </c>
      <c r="DB586">
        <f t="shared" si="18"/>
      </c>
      <c r="DC586">
        <f t="shared" si="19"/>
      </c>
      <c r="DD586">
        <f t="shared" si="20"/>
      </c>
      <c r="DE586">
        <f t="shared" si="21"/>
      </c>
      <c r="DF586">
        <f t="shared" si="22"/>
      </c>
      <c r="DG586">
        <f t="shared" si="23"/>
      </c>
      <c r="DH586">
        <f t="shared" si="24"/>
      </c>
      <c r="DI586">
        <f t="shared" si="1"/>
      </c>
    </row>
    <row r="587" ht="15" customHeight="1">
      <c r="B587">
        <f t="shared" si="2"/>
      </c>
      <c r="R587">
        <f t="shared" si="3"/>
        <v>0</v>
      </c>
      <c r="S587">
        <f t="shared" si="4"/>
        <v>0</v>
      </c>
      <c r="T587">
        <f t="shared" si="5"/>
        <v>0</v>
      </c>
      <c r="U587">
        <f t="shared" si="6"/>
        <v>0</v>
      </c>
      <c r="V587">
        <f t="shared" si="7"/>
        <v>0</v>
      </c>
      <c r="W587">
        <f t="shared" si="8"/>
        <v>0</v>
      </c>
      <c r="X587">
        <f t="shared" si="9"/>
        <v>0</v>
      </c>
      <c r="Y587">
        <f t="shared" si="10"/>
        <v>0</v>
      </c>
      <c r="Z587">
        <f t="shared" si="11"/>
        <v>0</v>
      </c>
      <c r="AA587">
        <f t="shared" si="12"/>
        <v>0</v>
      </c>
      <c r="AB587">
        <f t="shared" si="13"/>
        <v>0</v>
      </c>
      <c r="AC587">
        <f t="shared" si="14"/>
        <v>0</v>
      </c>
      <c r="AE587">
        <f t="shared" si="0"/>
      </c>
      <c r="AV587">
        <f t="shared" si="15"/>
      </c>
      <c r="BM587">
        <f t="shared" si="16"/>
      </c>
      <c r="CD587">
        <f t="shared" si="0"/>
      </c>
      <c r="CZ587">
        <f t="shared" si="17"/>
      </c>
      <c r="DA587">
        <f t="shared" si="1"/>
      </c>
      <c r="DB587">
        <f t="shared" si="18"/>
      </c>
      <c r="DC587">
        <f t="shared" si="19"/>
      </c>
      <c r="DD587">
        <f t="shared" si="20"/>
      </c>
      <c r="DE587">
        <f t="shared" si="21"/>
      </c>
      <c r="DF587">
        <f t="shared" si="22"/>
      </c>
      <c r="DG587">
        <f t="shared" si="23"/>
      </c>
      <c r="DH587">
        <f t="shared" si="24"/>
      </c>
      <c r="DI587">
        <f t="shared" si="1"/>
      </c>
    </row>
    <row r="588" ht="15" customHeight="1">
      <c r="B588">
        <f t="shared" si="2"/>
      </c>
      <c r="R588">
        <f t="shared" si="3"/>
        <v>0</v>
      </c>
      <c r="S588">
        <f t="shared" si="4"/>
        <v>0</v>
      </c>
      <c r="T588">
        <f t="shared" si="5"/>
        <v>0</v>
      </c>
      <c r="U588">
        <f t="shared" si="6"/>
        <v>0</v>
      </c>
      <c r="V588">
        <f t="shared" si="7"/>
        <v>0</v>
      </c>
      <c r="W588">
        <f t="shared" si="8"/>
        <v>0</v>
      </c>
      <c r="X588">
        <f t="shared" si="9"/>
        <v>0</v>
      </c>
      <c r="Y588">
        <f t="shared" si="10"/>
        <v>0</v>
      </c>
      <c r="Z588">
        <f t="shared" si="11"/>
        <v>0</v>
      </c>
      <c r="AA588">
        <f t="shared" si="12"/>
        <v>0</v>
      </c>
      <c r="AB588">
        <f t="shared" si="13"/>
        <v>0</v>
      </c>
      <c r="AC588">
        <f t="shared" si="14"/>
        <v>0</v>
      </c>
      <c r="AE588">
        <f t="shared" si="0"/>
      </c>
      <c r="AV588">
        <f t="shared" si="15"/>
      </c>
      <c r="BM588">
        <f t="shared" si="16"/>
      </c>
      <c r="CD588">
        <f t="shared" si="0"/>
      </c>
      <c r="CZ588">
        <f t="shared" si="17"/>
      </c>
      <c r="DA588">
        <f t="shared" si="1"/>
      </c>
      <c r="DB588">
        <f t="shared" si="18"/>
      </c>
      <c r="DC588">
        <f t="shared" si="19"/>
      </c>
      <c r="DD588">
        <f t="shared" si="20"/>
      </c>
      <c r="DE588">
        <f t="shared" si="21"/>
      </c>
      <c r="DF588">
        <f t="shared" si="22"/>
      </c>
      <c r="DG588">
        <f t="shared" si="23"/>
      </c>
      <c r="DH588">
        <f t="shared" si="24"/>
      </c>
      <c r="DI588">
        <f t="shared" si="1"/>
      </c>
    </row>
    <row r="589" ht="15" customHeight="1">
      <c r="B589">
        <f t="shared" si="2"/>
      </c>
      <c r="R589">
        <f t="shared" si="3"/>
        <v>0</v>
      </c>
      <c r="S589">
        <f t="shared" si="4"/>
        <v>0</v>
      </c>
      <c r="T589">
        <f t="shared" si="5"/>
        <v>0</v>
      </c>
      <c r="U589">
        <f t="shared" si="6"/>
        <v>0</v>
      </c>
      <c r="V589">
        <f t="shared" si="7"/>
        <v>0</v>
      </c>
      <c r="W589">
        <f t="shared" si="8"/>
        <v>0</v>
      </c>
      <c r="X589">
        <f t="shared" si="9"/>
        <v>0</v>
      </c>
      <c r="Y589">
        <f t="shared" si="10"/>
        <v>0</v>
      </c>
      <c r="Z589">
        <f t="shared" si="11"/>
        <v>0</v>
      </c>
      <c r="AA589">
        <f t="shared" si="12"/>
        <v>0</v>
      </c>
      <c r="AB589">
        <f t="shared" si="13"/>
        <v>0</v>
      </c>
      <c r="AC589">
        <f t="shared" si="14"/>
        <v>0</v>
      </c>
      <c r="AE589">
        <f t="shared" si="0"/>
      </c>
      <c r="AV589">
        <f t="shared" si="15"/>
      </c>
      <c r="BM589">
        <f t="shared" si="16"/>
      </c>
      <c r="CD589">
        <f t="shared" si="0"/>
      </c>
      <c r="CZ589">
        <f t="shared" si="17"/>
      </c>
      <c r="DA589">
        <f t="shared" si="1"/>
      </c>
      <c r="DB589">
        <f t="shared" si="18"/>
      </c>
      <c r="DC589">
        <f t="shared" si="19"/>
      </c>
      <c r="DD589">
        <f t="shared" si="20"/>
      </c>
      <c r="DE589">
        <f t="shared" si="21"/>
      </c>
      <c r="DF589">
        <f t="shared" si="22"/>
      </c>
      <c r="DG589">
        <f t="shared" si="23"/>
      </c>
      <c r="DH589">
        <f t="shared" si="24"/>
      </c>
      <c r="DI589">
        <f t="shared" si="1"/>
      </c>
    </row>
    <row r="590" ht="15" customHeight="1">
      <c r="B590">
        <f t="shared" si="2"/>
      </c>
      <c r="R590">
        <f t="shared" si="3"/>
        <v>0</v>
      </c>
      <c r="S590">
        <f t="shared" si="4"/>
        <v>0</v>
      </c>
      <c r="T590">
        <f t="shared" si="5"/>
        <v>0</v>
      </c>
      <c r="U590">
        <f t="shared" si="6"/>
        <v>0</v>
      </c>
      <c r="V590">
        <f t="shared" si="7"/>
        <v>0</v>
      </c>
      <c r="W590">
        <f t="shared" si="8"/>
        <v>0</v>
      </c>
      <c r="X590">
        <f t="shared" si="9"/>
        <v>0</v>
      </c>
      <c r="Y590">
        <f t="shared" si="10"/>
        <v>0</v>
      </c>
      <c r="Z590">
        <f t="shared" si="11"/>
        <v>0</v>
      </c>
      <c r="AA590">
        <f t="shared" si="12"/>
        <v>0</v>
      </c>
      <c r="AB590">
        <f t="shared" si="13"/>
        <v>0</v>
      </c>
      <c r="AC590">
        <f t="shared" si="14"/>
        <v>0</v>
      </c>
      <c r="AE590">
        <f t="shared" si="0"/>
      </c>
      <c r="AV590">
        <f t="shared" si="15"/>
      </c>
      <c r="BM590">
        <f t="shared" si="16"/>
      </c>
      <c r="CD590">
        <f t="shared" si="0"/>
      </c>
      <c r="CZ590">
        <f t="shared" si="17"/>
      </c>
      <c r="DA590">
        <f t="shared" si="1"/>
      </c>
      <c r="DB590">
        <f t="shared" si="18"/>
      </c>
      <c r="DC590">
        <f t="shared" si="19"/>
      </c>
      <c r="DD590">
        <f t="shared" si="20"/>
      </c>
      <c r="DE590">
        <f t="shared" si="21"/>
      </c>
      <c r="DF590">
        <f t="shared" si="22"/>
      </c>
      <c r="DG590">
        <f t="shared" si="23"/>
      </c>
      <c r="DH590">
        <f t="shared" si="24"/>
      </c>
      <c r="DI590">
        <f t="shared" si="1"/>
      </c>
    </row>
    <row r="591" ht="15" customHeight="1">
      <c r="B591">
        <f t="shared" si="2"/>
      </c>
      <c r="R591">
        <f t="shared" si="3"/>
        <v>0</v>
      </c>
      <c r="S591">
        <f t="shared" si="4"/>
        <v>0</v>
      </c>
      <c r="T591">
        <f t="shared" si="5"/>
        <v>0</v>
      </c>
      <c r="U591">
        <f t="shared" si="6"/>
        <v>0</v>
      </c>
      <c r="V591">
        <f t="shared" si="7"/>
        <v>0</v>
      </c>
      <c r="W591">
        <f t="shared" si="8"/>
        <v>0</v>
      </c>
      <c r="X591">
        <f t="shared" si="9"/>
        <v>0</v>
      </c>
      <c r="Y591">
        <f t="shared" si="10"/>
        <v>0</v>
      </c>
      <c r="Z591">
        <f t="shared" si="11"/>
        <v>0</v>
      </c>
      <c r="AA591">
        <f t="shared" si="12"/>
        <v>0</v>
      </c>
      <c r="AB591">
        <f t="shared" si="13"/>
        <v>0</v>
      </c>
      <c r="AC591">
        <f t="shared" si="14"/>
        <v>0</v>
      </c>
      <c r="AE591">
        <f t="shared" si="0"/>
      </c>
      <c r="AV591">
        <f t="shared" si="15"/>
      </c>
      <c r="BM591">
        <f t="shared" si="16"/>
      </c>
      <c r="CD591">
        <f t="shared" si="0"/>
      </c>
      <c r="CZ591">
        <f t="shared" si="17"/>
      </c>
      <c r="DA591">
        <f t="shared" si="1"/>
      </c>
      <c r="DB591">
        <f t="shared" si="18"/>
      </c>
      <c r="DC591">
        <f t="shared" si="19"/>
      </c>
      <c r="DD591">
        <f t="shared" si="20"/>
      </c>
      <c r="DE591">
        <f t="shared" si="21"/>
      </c>
      <c r="DF591">
        <f t="shared" si="22"/>
      </c>
      <c r="DG591">
        <f t="shared" si="23"/>
      </c>
      <c r="DH591">
        <f t="shared" si="24"/>
      </c>
      <c r="DI591">
        <f t="shared" si="1"/>
      </c>
    </row>
    <row r="592" ht="15" customHeight="1">
      <c r="B592">
        <f t="shared" si="2"/>
      </c>
      <c r="R592">
        <f t="shared" si="3"/>
        <v>0</v>
      </c>
      <c r="S592">
        <f t="shared" si="4"/>
        <v>0</v>
      </c>
      <c r="T592">
        <f t="shared" si="5"/>
        <v>0</v>
      </c>
      <c r="U592">
        <f t="shared" si="6"/>
        <v>0</v>
      </c>
      <c r="V592">
        <f t="shared" si="7"/>
        <v>0</v>
      </c>
      <c r="W592">
        <f t="shared" si="8"/>
        <v>0</v>
      </c>
      <c r="X592">
        <f t="shared" si="9"/>
        <v>0</v>
      </c>
      <c r="Y592">
        <f t="shared" si="10"/>
        <v>0</v>
      </c>
      <c r="Z592">
        <f t="shared" si="11"/>
        <v>0</v>
      </c>
      <c r="AA592">
        <f t="shared" si="12"/>
        <v>0</v>
      </c>
      <c r="AB592">
        <f t="shared" si="13"/>
        <v>0</v>
      </c>
      <c r="AC592">
        <f t="shared" si="14"/>
        <v>0</v>
      </c>
      <c r="AE592">
        <f t="shared" si="0"/>
      </c>
      <c r="AV592">
        <f t="shared" si="15"/>
      </c>
      <c r="BM592">
        <f t="shared" si="16"/>
      </c>
      <c r="CD592">
        <f t="shared" si="0"/>
      </c>
      <c r="CZ592">
        <f t="shared" si="17"/>
      </c>
      <c r="DA592">
        <f t="shared" si="1"/>
      </c>
      <c r="DB592">
        <f t="shared" si="18"/>
      </c>
      <c r="DC592">
        <f t="shared" si="19"/>
      </c>
      <c r="DD592">
        <f t="shared" si="20"/>
      </c>
      <c r="DE592">
        <f t="shared" si="21"/>
      </c>
      <c r="DF592">
        <f t="shared" si="22"/>
      </c>
      <c r="DG592">
        <f t="shared" si="23"/>
      </c>
      <c r="DH592">
        <f t="shared" si="24"/>
      </c>
      <c r="DI592">
        <f t="shared" si="1"/>
      </c>
    </row>
    <row r="593" ht="15" customHeight="1">
      <c r="B593">
        <f t="shared" si="2"/>
      </c>
      <c r="R593">
        <f t="shared" si="3"/>
        <v>0</v>
      </c>
      <c r="S593">
        <f t="shared" si="4"/>
        <v>0</v>
      </c>
      <c r="T593">
        <f t="shared" si="5"/>
        <v>0</v>
      </c>
      <c r="U593">
        <f t="shared" si="6"/>
        <v>0</v>
      </c>
      <c r="V593">
        <f t="shared" si="7"/>
        <v>0</v>
      </c>
      <c r="W593">
        <f t="shared" si="8"/>
        <v>0</v>
      </c>
      <c r="X593">
        <f t="shared" si="9"/>
        <v>0</v>
      </c>
      <c r="Y593">
        <f t="shared" si="10"/>
        <v>0</v>
      </c>
      <c r="Z593">
        <f t="shared" si="11"/>
        <v>0</v>
      </c>
      <c r="AA593">
        <f t="shared" si="12"/>
        <v>0</v>
      </c>
      <c r="AB593">
        <f t="shared" si="13"/>
        <v>0</v>
      </c>
      <c r="AC593">
        <f t="shared" si="14"/>
        <v>0</v>
      </c>
      <c r="AE593">
        <f t="shared" si="0"/>
      </c>
      <c r="AV593">
        <f t="shared" si="15"/>
      </c>
      <c r="BM593">
        <f t="shared" si="16"/>
      </c>
      <c r="CD593">
        <f t="shared" si="0"/>
      </c>
      <c r="CZ593">
        <f t="shared" si="17"/>
      </c>
      <c r="DA593">
        <f t="shared" si="1"/>
      </c>
      <c r="DB593">
        <f t="shared" si="18"/>
      </c>
      <c r="DC593">
        <f t="shared" si="19"/>
      </c>
      <c r="DD593">
        <f t="shared" si="20"/>
      </c>
      <c r="DE593">
        <f t="shared" si="21"/>
      </c>
      <c r="DF593">
        <f t="shared" si="22"/>
      </c>
      <c r="DG593">
        <f t="shared" si="23"/>
      </c>
      <c r="DH593">
        <f t="shared" si="24"/>
      </c>
      <c r="DI593">
        <f t="shared" si="1"/>
      </c>
    </row>
    <row r="594" ht="15" customHeight="1">
      <c r="B594">
        <f t="shared" si="2"/>
      </c>
      <c r="R594">
        <f t="shared" si="3"/>
        <v>0</v>
      </c>
      <c r="S594">
        <f t="shared" si="4"/>
        <v>0</v>
      </c>
      <c r="T594">
        <f t="shared" si="5"/>
        <v>0</v>
      </c>
      <c r="U594">
        <f t="shared" si="6"/>
        <v>0</v>
      </c>
      <c r="V594">
        <f t="shared" si="7"/>
        <v>0</v>
      </c>
      <c r="W594">
        <f t="shared" si="8"/>
        <v>0</v>
      </c>
      <c r="X594">
        <f t="shared" si="9"/>
        <v>0</v>
      </c>
      <c r="Y594">
        <f t="shared" si="10"/>
        <v>0</v>
      </c>
      <c r="Z594">
        <f t="shared" si="11"/>
        <v>0</v>
      </c>
      <c r="AA594">
        <f t="shared" si="12"/>
        <v>0</v>
      </c>
      <c r="AB594">
        <f t="shared" si="13"/>
        <v>0</v>
      </c>
      <c r="AC594">
        <f t="shared" si="14"/>
        <v>0</v>
      </c>
      <c r="AE594">
        <f t="shared" si="0"/>
      </c>
      <c r="AV594">
        <f t="shared" si="15"/>
      </c>
      <c r="BM594">
        <f t="shared" si="16"/>
      </c>
      <c r="CD594">
        <f t="shared" si="0"/>
      </c>
      <c r="CZ594">
        <f t="shared" si="17"/>
      </c>
      <c r="DA594">
        <f t="shared" si="1"/>
      </c>
      <c r="DB594">
        <f t="shared" si="18"/>
      </c>
      <c r="DC594">
        <f t="shared" si="19"/>
      </c>
      <c r="DD594">
        <f t="shared" si="20"/>
      </c>
      <c r="DE594">
        <f t="shared" si="21"/>
      </c>
      <c r="DF594">
        <f t="shared" si="22"/>
      </c>
      <c r="DG594">
        <f t="shared" si="23"/>
      </c>
      <c r="DH594">
        <f t="shared" si="24"/>
      </c>
      <c r="DI594">
        <f t="shared" si="1"/>
      </c>
    </row>
    <row r="595" ht="15" customHeight="1">
      <c r="B595">
        <f t="shared" si="2"/>
      </c>
      <c r="R595">
        <f t="shared" si="3"/>
        <v>0</v>
      </c>
      <c r="S595">
        <f t="shared" si="4"/>
        <v>0</v>
      </c>
      <c r="T595">
        <f t="shared" si="5"/>
        <v>0</v>
      </c>
      <c r="U595">
        <f t="shared" si="6"/>
        <v>0</v>
      </c>
      <c r="V595">
        <f t="shared" si="7"/>
        <v>0</v>
      </c>
      <c r="W595">
        <f t="shared" si="8"/>
        <v>0</v>
      </c>
      <c r="X595">
        <f t="shared" si="9"/>
        <v>0</v>
      </c>
      <c r="Y595">
        <f t="shared" si="10"/>
        <v>0</v>
      </c>
      <c r="Z595">
        <f t="shared" si="11"/>
        <v>0</v>
      </c>
      <c r="AA595">
        <f t="shared" si="12"/>
        <v>0</v>
      </c>
      <c r="AB595">
        <f t="shared" si="13"/>
        <v>0</v>
      </c>
      <c r="AC595">
        <f t="shared" si="14"/>
        <v>0</v>
      </c>
      <c r="AE595">
        <f t="shared" si="0"/>
      </c>
      <c r="AV595">
        <f t="shared" si="15"/>
      </c>
      <c r="BM595">
        <f t="shared" si="16"/>
      </c>
      <c r="CD595">
        <f t="shared" si="0"/>
      </c>
      <c r="CZ595">
        <f t="shared" si="17"/>
      </c>
      <c r="DA595">
        <f t="shared" si="1"/>
      </c>
      <c r="DB595">
        <f t="shared" si="18"/>
      </c>
      <c r="DC595">
        <f t="shared" si="19"/>
      </c>
      <c r="DD595">
        <f t="shared" si="20"/>
      </c>
      <c r="DE595">
        <f t="shared" si="21"/>
      </c>
      <c r="DF595">
        <f t="shared" si="22"/>
      </c>
      <c r="DG595">
        <f t="shared" si="23"/>
      </c>
      <c r="DH595">
        <f t="shared" si="24"/>
      </c>
      <c r="DI595">
        <f t="shared" si="1"/>
      </c>
    </row>
    <row r="596" ht="15" customHeight="1">
      <c r="B596">
        <f t="shared" si="2"/>
      </c>
      <c r="R596">
        <f t="shared" si="3"/>
        <v>0</v>
      </c>
      <c r="S596">
        <f t="shared" si="4"/>
        <v>0</v>
      </c>
      <c r="T596">
        <f t="shared" si="5"/>
        <v>0</v>
      </c>
      <c r="U596">
        <f t="shared" si="6"/>
        <v>0</v>
      </c>
      <c r="V596">
        <f t="shared" si="7"/>
        <v>0</v>
      </c>
      <c r="W596">
        <f t="shared" si="8"/>
        <v>0</v>
      </c>
      <c r="X596">
        <f t="shared" si="9"/>
        <v>0</v>
      </c>
      <c r="Y596">
        <f t="shared" si="10"/>
        <v>0</v>
      </c>
      <c r="Z596">
        <f t="shared" si="11"/>
        <v>0</v>
      </c>
      <c r="AA596">
        <f t="shared" si="12"/>
        <v>0</v>
      </c>
      <c r="AB596">
        <f t="shared" si="13"/>
        <v>0</v>
      </c>
      <c r="AC596">
        <f t="shared" si="14"/>
        <v>0</v>
      </c>
      <c r="AE596">
        <f t="shared" si="0"/>
      </c>
      <c r="AV596">
        <f t="shared" si="15"/>
      </c>
      <c r="BM596">
        <f t="shared" si="16"/>
      </c>
      <c r="CD596">
        <f t="shared" si="0"/>
      </c>
      <c r="CZ596">
        <f t="shared" si="17"/>
      </c>
      <c r="DA596">
        <f t="shared" si="1"/>
      </c>
      <c r="DB596">
        <f t="shared" si="18"/>
      </c>
      <c r="DC596">
        <f t="shared" si="19"/>
      </c>
      <c r="DD596">
        <f t="shared" si="20"/>
      </c>
      <c r="DE596">
        <f t="shared" si="21"/>
      </c>
      <c r="DF596">
        <f t="shared" si="22"/>
      </c>
      <c r="DG596">
        <f t="shared" si="23"/>
      </c>
      <c r="DH596">
        <f t="shared" si="24"/>
      </c>
      <c r="DI596">
        <f t="shared" si="1"/>
      </c>
    </row>
    <row r="597" ht="15" customHeight="1">
      <c r="B597">
        <f t="shared" si="2"/>
      </c>
      <c r="R597">
        <f t="shared" si="3"/>
        <v>0</v>
      </c>
      <c r="S597">
        <f t="shared" si="4"/>
        <v>0</v>
      </c>
      <c r="T597">
        <f t="shared" si="5"/>
        <v>0</v>
      </c>
      <c r="U597">
        <f t="shared" si="6"/>
        <v>0</v>
      </c>
      <c r="V597">
        <f t="shared" si="7"/>
        <v>0</v>
      </c>
      <c r="W597">
        <f t="shared" si="8"/>
        <v>0</v>
      </c>
      <c r="X597">
        <f t="shared" si="9"/>
        <v>0</v>
      </c>
      <c r="Y597">
        <f t="shared" si="10"/>
        <v>0</v>
      </c>
      <c r="Z597">
        <f t="shared" si="11"/>
        <v>0</v>
      </c>
      <c r="AA597">
        <f t="shared" si="12"/>
        <v>0</v>
      </c>
      <c r="AB597">
        <f t="shared" si="13"/>
        <v>0</v>
      </c>
      <c r="AC597">
        <f t="shared" si="14"/>
        <v>0</v>
      </c>
      <c r="AE597">
        <f t="shared" si="0"/>
      </c>
      <c r="AV597">
        <f t="shared" si="15"/>
      </c>
      <c r="BM597">
        <f t="shared" si="16"/>
      </c>
      <c r="CD597">
        <f t="shared" si="0"/>
      </c>
      <c r="CZ597">
        <f t="shared" si="17"/>
      </c>
      <c r="DA597">
        <f t="shared" si="1"/>
      </c>
      <c r="DB597">
        <f t="shared" si="18"/>
      </c>
      <c r="DC597">
        <f t="shared" si="19"/>
      </c>
      <c r="DD597">
        <f t="shared" si="20"/>
      </c>
      <c r="DE597">
        <f t="shared" si="21"/>
      </c>
      <c r="DF597">
        <f t="shared" si="22"/>
      </c>
      <c r="DG597">
        <f t="shared" si="23"/>
      </c>
      <c r="DH597">
        <f t="shared" si="24"/>
      </c>
      <c r="DI597">
        <f t="shared" si="1"/>
      </c>
    </row>
    <row r="598" ht="15" customHeight="1">
      <c r="B598">
        <f t="shared" si="2"/>
      </c>
      <c r="R598">
        <f t="shared" si="3"/>
        <v>0</v>
      </c>
      <c r="S598">
        <f t="shared" si="4"/>
        <v>0</v>
      </c>
      <c r="T598">
        <f t="shared" si="5"/>
        <v>0</v>
      </c>
      <c r="U598">
        <f t="shared" si="6"/>
        <v>0</v>
      </c>
      <c r="V598">
        <f t="shared" si="7"/>
        <v>0</v>
      </c>
      <c r="W598">
        <f t="shared" si="8"/>
        <v>0</v>
      </c>
      <c r="X598">
        <f t="shared" si="9"/>
        <v>0</v>
      </c>
      <c r="Y598">
        <f t="shared" si="10"/>
        <v>0</v>
      </c>
      <c r="Z598">
        <f t="shared" si="11"/>
        <v>0</v>
      </c>
      <c r="AA598">
        <f t="shared" si="12"/>
        <v>0</v>
      </c>
      <c r="AB598">
        <f t="shared" si="13"/>
        <v>0</v>
      </c>
      <c r="AC598">
        <f t="shared" si="14"/>
        <v>0</v>
      </c>
      <c r="AE598">
        <f t="shared" si="0"/>
      </c>
      <c r="AV598">
        <f t="shared" si="15"/>
      </c>
      <c r="BM598">
        <f t="shared" si="16"/>
      </c>
      <c r="CD598">
        <f t="shared" si="0"/>
      </c>
      <c r="CZ598">
        <f t="shared" si="17"/>
      </c>
      <c r="DA598">
        <f t="shared" si="1"/>
      </c>
      <c r="DB598">
        <f t="shared" si="18"/>
      </c>
      <c r="DC598">
        <f t="shared" si="19"/>
      </c>
      <c r="DD598">
        <f t="shared" si="20"/>
      </c>
      <c r="DE598">
        <f t="shared" si="21"/>
      </c>
      <c r="DF598">
        <f t="shared" si="22"/>
      </c>
      <c r="DG598">
        <f t="shared" si="23"/>
      </c>
      <c r="DH598">
        <f t="shared" si="24"/>
      </c>
      <c r="DI598">
        <f t="shared" si="1"/>
      </c>
    </row>
    <row r="599" ht="15" customHeight="1">
      <c r="B599">
        <f t="shared" si="2"/>
      </c>
      <c r="R599">
        <f t="shared" si="3"/>
        <v>0</v>
      </c>
      <c r="S599">
        <f t="shared" si="4"/>
        <v>0</v>
      </c>
      <c r="T599">
        <f t="shared" si="5"/>
        <v>0</v>
      </c>
      <c r="U599">
        <f t="shared" si="6"/>
        <v>0</v>
      </c>
      <c r="V599">
        <f t="shared" si="7"/>
        <v>0</v>
      </c>
      <c r="W599">
        <f t="shared" si="8"/>
        <v>0</v>
      </c>
      <c r="X599">
        <f t="shared" si="9"/>
        <v>0</v>
      </c>
      <c r="Y599">
        <f t="shared" si="10"/>
        <v>0</v>
      </c>
      <c r="Z599">
        <f t="shared" si="11"/>
        <v>0</v>
      </c>
      <c r="AA599">
        <f t="shared" si="12"/>
        <v>0</v>
      </c>
      <c r="AB599">
        <f t="shared" si="13"/>
        <v>0</v>
      </c>
      <c r="AC599">
        <f t="shared" si="14"/>
        <v>0</v>
      </c>
      <c r="AE599">
        <f t="shared" si="0"/>
      </c>
      <c r="AV599">
        <f t="shared" si="15"/>
      </c>
      <c r="BM599">
        <f t="shared" si="16"/>
      </c>
      <c r="CD599">
        <f t="shared" si="0"/>
      </c>
      <c r="CZ599">
        <f t="shared" si="17"/>
      </c>
      <c r="DA599">
        <f t="shared" si="1"/>
      </c>
      <c r="DB599">
        <f t="shared" si="18"/>
      </c>
      <c r="DC599">
        <f t="shared" si="19"/>
      </c>
      <c r="DD599">
        <f t="shared" si="20"/>
      </c>
      <c r="DE599">
        <f t="shared" si="21"/>
      </c>
      <c r="DF599">
        <f t="shared" si="22"/>
      </c>
      <c r="DG599">
        <f t="shared" si="23"/>
      </c>
      <c r="DH599">
        <f t="shared" si="24"/>
      </c>
      <c r="DI599">
        <f t="shared" si="1"/>
      </c>
    </row>
    <row r="600" ht="15" customHeight="1">
      <c r="B600">
        <f t="shared" si="2"/>
      </c>
      <c r="R600">
        <f t="shared" si="3"/>
        <v>0</v>
      </c>
      <c r="S600">
        <f t="shared" si="4"/>
        <v>0</v>
      </c>
      <c r="T600">
        <f t="shared" si="5"/>
        <v>0</v>
      </c>
      <c r="U600">
        <f t="shared" si="6"/>
        <v>0</v>
      </c>
      <c r="V600">
        <f t="shared" si="7"/>
        <v>0</v>
      </c>
      <c r="W600">
        <f t="shared" si="8"/>
        <v>0</v>
      </c>
      <c r="X600">
        <f t="shared" si="9"/>
        <v>0</v>
      </c>
      <c r="Y600">
        <f t="shared" si="10"/>
        <v>0</v>
      </c>
      <c r="Z600">
        <f t="shared" si="11"/>
        <v>0</v>
      </c>
      <c r="AA600">
        <f t="shared" si="12"/>
        <v>0</v>
      </c>
      <c r="AB600">
        <f t="shared" si="13"/>
        <v>0</v>
      </c>
      <c r="AC600">
        <f t="shared" si="14"/>
        <v>0</v>
      </c>
      <c r="AE600">
        <f t="shared" si="0"/>
      </c>
      <c r="AV600">
        <f t="shared" si="15"/>
      </c>
      <c r="BM600">
        <f t="shared" si="16"/>
      </c>
      <c r="CD600">
        <f t="shared" si="0"/>
      </c>
      <c r="CZ600">
        <f t="shared" si="17"/>
      </c>
      <c r="DA600">
        <f t="shared" si="1"/>
      </c>
      <c r="DB600">
        <f t="shared" si="18"/>
      </c>
      <c r="DC600">
        <f t="shared" si="19"/>
      </c>
      <c r="DD600">
        <f t="shared" si="20"/>
      </c>
      <c r="DE600">
        <f t="shared" si="21"/>
      </c>
      <c r="DF600">
        <f t="shared" si="22"/>
      </c>
      <c r="DG600">
        <f t="shared" si="23"/>
      </c>
      <c r="DH600">
        <f t="shared" si="24"/>
      </c>
      <c r="DI600">
        <f t="shared" si="1"/>
      </c>
    </row>
    <row r="601" ht="15" customHeight="1">
      <c r="B601">
        <f t="shared" si="2"/>
      </c>
      <c r="R601">
        <f t="shared" si="3"/>
        <v>0</v>
      </c>
      <c r="S601">
        <f t="shared" si="4"/>
        <v>0</v>
      </c>
      <c r="T601">
        <f t="shared" si="5"/>
        <v>0</v>
      </c>
      <c r="U601">
        <f t="shared" si="6"/>
        <v>0</v>
      </c>
      <c r="V601">
        <f t="shared" si="7"/>
        <v>0</v>
      </c>
      <c r="W601">
        <f t="shared" si="8"/>
        <v>0</v>
      </c>
      <c r="X601">
        <f t="shared" si="9"/>
        <v>0</v>
      </c>
      <c r="Y601">
        <f t="shared" si="10"/>
        <v>0</v>
      </c>
      <c r="Z601">
        <f t="shared" si="11"/>
        <v>0</v>
      </c>
      <c r="AA601">
        <f t="shared" si="12"/>
        <v>0</v>
      </c>
      <c r="AB601">
        <f t="shared" si="13"/>
        <v>0</v>
      </c>
      <c r="AC601">
        <f t="shared" si="14"/>
        <v>0</v>
      </c>
      <c r="AE601">
        <f t="shared" si="0"/>
      </c>
      <c r="AV601">
        <f t="shared" si="15"/>
      </c>
      <c r="BM601">
        <f t="shared" si="16"/>
      </c>
      <c r="CD601">
        <f t="shared" si="0"/>
      </c>
      <c r="CZ601">
        <f t="shared" si="17"/>
      </c>
      <c r="DA601">
        <f t="shared" si="1"/>
      </c>
      <c r="DB601">
        <f t="shared" si="18"/>
      </c>
      <c r="DC601">
        <f t="shared" si="19"/>
      </c>
      <c r="DD601">
        <f t="shared" si="20"/>
      </c>
      <c r="DE601">
        <f t="shared" si="21"/>
      </c>
      <c r="DF601">
        <f t="shared" si="22"/>
      </c>
      <c r="DG601">
        <f t="shared" si="23"/>
      </c>
      <c r="DH601">
        <f t="shared" si="24"/>
      </c>
      <c r="DI601">
        <f t="shared" si="1"/>
      </c>
    </row>
    <row r="602" ht="15" customHeight="1">
      <c r="B602">
        <f t="shared" si="2"/>
      </c>
      <c r="R602">
        <f t="shared" si="3"/>
        <v>0</v>
      </c>
      <c r="S602">
        <f t="shared" si="4"/>
        <v>0</v>
      </c>
      <c r="T602">
        <f t="shared" si="5"/>
        <v>0</v>
      </c>
      <c r="U602">
        <f t="shared" si="6"/>
        <v>0</v>
      </c>
      <c r="V602">
        <f t="shared" si="7"/>
        <v>0</v>
      </c>
      <c r="W602">
        <f t="shared" si="8"/>
        <v>0</v>
      </c>
      <c r="X602">
        <f t="shared" si="9"/>
        <v>0</v>
      </c>
      <c r="Y602">
        <f t="shared" si="10"/>
        <v>0</v>
      </c>
      <c r="Z602">
        <f t="shared" si="11"/>
        <v>0</v>
      </c>
      <c r="AA602">
        <f t="shared" si="12"/>
        <v>0</v>
      </c>
      <c r="AB602">
        <f t="shared" si="13"/>
        <v>0</v>
      </c>
      <c r="AC602">
        <f t="shared" si="14"/>
        <v>0</v>
      </c>
      <c r="AE602">
        <f t="shared" si="0"/>
      </c>
      <c r="AV602">
        <f t="shared" si="15"/>
      </c>
      <c r="BM602">
        <f t="shared" si="16"/>
      </c>
      <c r="CD602">
        <f t="shared" si="0"/>
      </c>
      <c r="CZ602">
        <f t="shared" si="17"/>
      </c>
      <c r="DA602">
        <f t="shared" si="1"/>
      </c>
      <c r="DB602">
        <f t="shared" si="18"/>
      </c>
      <c r="DC602">
        <f t="shared" si="19"/>
      </c>
      <c r="DD602">
        <f t="shared" si="20"/>
      </c>
      <c r="DE602">
        <f t="shared" si="21"/>
      </c>
      <c r="DF602">
        <f t="shared" si="22"/>
      </c>
      <c r="DG602">
        <f t="shared" si="23"/>
      </c>
      <c r="DH602">
        <f t="shared" si="24"/>
      </c>
      <c r="DI602">
        <f t="shared" si="1"/>
      </c>
    </row>
    <row r="603" ht="15" customHeight="1">
      <c r="B603">
        <f t="shared" si="2"/>
      </c>
      <c r="R603">
        <f t="shared" si="3"/>
        <v>0</v>
      </c>
      <c r="S603">
        <f t="shared" si="4"/>
        <v>0</v>
      </c>
      <c r="T603">
        <f t="shared" si="5"/>
        <v>0</v>
      </c>
      <c r="U603">
        <f t="shared" si="6"/>
        <v>0</v>
      </c>
      <c r="V603">
        <f t="shared" si="7"/>
        <v>0</v>
      </c>
      <c r="W603">
        <f t="shared" si="8"/>
        <v>0</v>
      </c>
      <c r="X603">
        <f t="shared" si="9"/>
        <v>0</v>
      </c>
      <c r="Y603">
        <f t="shared" si="10"/>
        <v>0</v>
      </c>
      <c r="Z603">
        <f t="shared" si="11"/>
        <v>0</v>
      </c>
      <c r="AA603">
        <f t="shared" si="12"/>
        <v>0</v>
      </c>
      <c r="AB603">
        <f t="shared" si="13"/>
        <v>0</v>
      </c>
      <c r="AC603">
        <f t="shared" si="14"/>
        <v>0</v>
      </c>
      <c r="AE603">
        <f t="shared" si="0"/>
      </c>
      <c r="AV603">
        <f t="shared" si="15"/>
      </c>
      <c r="BM603">
        <f t="shared" si="16"/>
      </c>
      <c r="CD603">
        <f t="shared" si="0"/>
      </c>
      <c r="CZ603">
        <f t="shared" si="17"/>
      </c>
      <c r="DA603">
        <f t="shared" si="1"/>
      </c>
      <c r="DB603">
        <f t="shared" si="18"/>
      </c>
      <c r="DC603">
        <f t="shared" si="19"/>
      </c>
      <c r="DD603">
        <f t="shared" si="20"/>
      </c>
      <c r="DE603">
        <f t="shared" si="21"/>
      </c>
      <c r="DF603">
        <f t="shared" si="22"/>
      </c>
      <c r="DG603">
        <f t="shared" si="23"/>
      </c>
      <c r="DH603">
        <f t="shared" si="24"/>
      </c>
      <c r="DI603">
        <f t="shared" si="1"/>
      </c>
    </row>
    <row r="604" ht="15" customHeight="1">
      <c r="B604">
        <f t="shared" si="2"/>
      </c>
      <c r="R604">
        <f t="shared" si="3"/>
        <v>0</v>
      </c>
      <c r="S604">
        <f t="shared" si="4"/>
        <v>0</v>
      </c>
      <c r="T604">
        <f t="shared" si="5"/>
        <v>0</v>
      </c>
      <c r="U604">
        <f t="shared" si="6"/>
        <v>0</v>
      </c>
      <c r="V604">
        <f t="shared" si="7"/>
        <v>0</v>
      </c>
      <c r="W604">
        <f t="shared" si="8"/>
        <v>0</v>
      </c>
      <c r="X604">
        <f t="shared" si="9"/>
        <v>0</v>
      </c>
      <c r="Y604">
        <f t="shared" si="10"/>
        <v>0</v>
      </c>
      <c r="Z604">
        <f t="shared" si="11"/>
        <v>0</v>
      </c>
      <c r="AA604">
        <f t="shared" si="12"/>
        <v>0</v>
      </c>
      <c r="AB604">
        <f t="shared" si="13"/>
        <v>0</v>
      </c>
      <c r="AC604">
        <f t="shared" si="14"/>
        <v>0</v>
      </c>
      <c r="AE604">
        <f t="shared" si="0"/>
      </c>
      <c r="AV604">
        <f t="shared" si="15"/>
      </c>
      <c r="BM604">
        <f t="shared" si="16"/>
      </c>
      <c r="CD604">
        <f t="shared" si="0"/>
      </c>
      <c r="CZ604">
        <f t="shared" si="17"/>
      </c>
      <c r="DA604">
        <f t="shared" si="1"/>
      </c>
      <c r="DB604">
        <f t="shared" si="18"/>
      </c>
      <c r="DC604">
        <f t="shared" si="19"/>
      </c>
      <c r="DD604">
        <f t="shared" si="20"/>
      </c>
      <c r="DE604">
        <f t="shared" si="21"/>
      </c>
      <c r="DF604">
        <f t="shared" si="22"/>
      </c>
      <c r="DG604">
        <f t="shared" si="23"/>
      </c>
      <c r="DH604">
        <f t="shared" si="24"/>
      </c>
      <c r="DI604">
        <f t="shared" si="1"/>
      </c>
    </row>
    <row r="605" ht="15" customHeight="1">
      <c r="B605">
        <f t="shared" si="2"/>
      </c>
      <c r="R605">
        <f t="shared" si="3"/>
        <v>0</v>
      </c>
      <c r="S605">
        <f t="shared" si="4"/>
        <v>0</v>
      </c>
      <c r="T605">
        <f t="shared" si="5"/>
        <v>0</v>
      </c>
      <c r="U605">
        <f t="shared" si="6"/>
        <v>0</v>
      </c>
      <c r="V605">
        <f t="shared" si="7"/>
        <v>0</v>
      </c>
      <c r="W605">
        <f t="shared" si="8"/>
        <v>0</v>
      </c>
      <c r="X605">
        <f t="shared" si="9"/>
        <v>0</v>
      </c>
      <c r="Y605">
        <f t="shared" si="10"/>
        <v>0</v>
      </c>
      <c r="Z605">
        <f t="shared" si="11"/>
        <v>0</v>
      </c>
      <c r="AA605">
        <f t="shared" si="12"/>
        <v>0</v>
      </c>
      <c r="AB605">
        <f t="shared" si="13"/>
        <v>0</v>
      </c>
      <c r="AC605">
        <f t="shared" si="14"/>
        <v>0</v>
      </c>
      <c r="AE605">
        <f t="shared" si="0"/>
      </c>
      <c r="AV605">
        <f t="shared" si="15"/>
      </c>
      <c r="BM605">
        <f t="shared" si="16"/>
      </c>
      <c r="CD605">
        <f t="shared" si="0"/>
      </c>
      <c r="CZ605">
        <f t="shared" si="17"/>
      </c>
      <c r="DA605">
        <f t="shared" si="1"/>
      </c>
      <c r="DB605">
        <f t="shared" si="18"/>
      </c>
      <c r="DC605">
        <f t="shared" si="19"/>
      </c>
      <c r="DD605">
        <f t="shared" si="20"/>
      </c>
      <c r="DE605">
        <f t="shared" si="21"/>
      </c>
      <c r="DF605">
        <f t="shared" si="22"/>
      </c>
      <c r="DG605">
        <f t="shared" si="23"/>
      </c>
      <c r="DH605">
        <f t="shared" si="24"/>
      </c>
      <c r="DI605">
        <f t="shared" si="1"/>
      </c>
    </row>
    <row r="606" ht="15" customHeight="1">
      <c r="B606">
        <f t="shared" si="2"/>
      </c>
      <c r="R606">
        <f t="shared" si="3"/>
        <v>0</v>
      </c>
      <c r="S606">
        <f t="shared" si="4"/>
        <v>0</v>
      </c>
      <c r="T606">
        <f t="shared" si="5"/>
        <v>0</v>
      </c>
      <c r="U606">
        <f t="shared" si="6"/>
        <v>0</v>
      </c>
      <c r="V606">
        <f t="shared" si="7"/>
        <v>0</v>
      </c>
      <c r="W606">
        <f t="shared" si="8"/>
        <v>0</v>
      </c>
      <c r="X606">
        <f t="shared" si="9"/>
        <v>0</v>
      </c>
      <c r="Y606">
        <f t="shared" si="10"/>
        <v>0</v>
      </c>
      <c r="Z606">
        <f t="shared" si="11"/>
        <v>0</v>
      </c>
      <c r="AA606">
        <f t="shared" si="12"/>
        <v>0</v>
      </c>
      <c r="AB606">
        <f t="shared" si="13"/>
        <v>0</v>
      </c>
      <c r="AC606">
        <f t="shared" si="14"/>
        <v>0</v>
      </c>
      <c r="AE606">
        <f t="shared" si="0"/>
      </c>
      <c r="AV606">
        <f t="shared" si="15"/>
      </c>
      <c r="BM606">
        <f t="shared" si="16"/>
      </c>
      <c r="CD606">
        <f t="shared" si="0"/>
      </c>
      <c r="CZ606">
        <f t="shared" si="17"/>
      </c>
      <c r="DA606">
        <f t="shared" si="1"/>
      </c>
      <c r="DB606">
        <f t="shared" si="18"/>
      </c>
      <c r="DC606">
        <f t="shared" si="19"/>
      </c>
      <c r="DD606">
        <f t="shared" si="20"/>
      </c>
      <c r="DE606">
        <f t="shared" si="21"/>
      </c>
      <c r="DF606">
        <f t="shared" si="22"/>
      </c>
      <c r="DG606">
        <f t="shared" si="23"/>
      </c>
      <c r="DH606">
        <f t="shared" si="24"/>
      </c>
      <c r="DI606">
        <f t="shared" si="1"/>
      </c>
    </row>
    <row r="607" ht="15" customHeight="1">
      <c r="B607">
        <f t="shared" si="2"/>
      </c>
      <c r="R607">
        <f t="shared" si="3"/>
        <v>0</v>
      </c>
      <c r="S607">
        <f t="shared" si="4"/>
        <v>0</v>
      </c>
      <c r="T607">
        <f t="shared" si="5"/>
        <v>0</v>
      </c>
      <c r="U607">
        <f t="shared" si="6"/>
        <v>0</v>
      </c>
      <c r="V607">
        <f t="shared" si="7"/>
        <v>0</v>
      </c>
      <c r="W607">
        <f t="shared" si="8"/>
        <v>0</v>
      </c>
      <c r="X607">
        <f t="shared" si="9"/>
        <v>0</v>
      </c>
      <c r="Y607">
        <f t="shared" si="10"/>
        <v>0</v>
      </c>
      <c r="Z607">
        <f t="shared" si="11"/>
        <v>0</v>
      </c>
      <c r="AA607">
        <f t="shared" si="12"/>
        <v>0</v>
      </c>
      <c r="AB607">
        <f t="shared" si="13"/>
        <v>0</v>
      </c>
      <c r="AC607">
        <f t="shared" si="14"/>
        <v>0</v>
      </c>
      <c r="AE607">
        <f t="shared" si="0"/>
      </c>
      <c r="AV607">
        <f t="shared" si="15"/>
      </c>
      <c r="BM607">
        <f t="shared" si="16"/>
      </c>
      <c r="CD607">
        <f t="shared" si="0"/>
      </c>
      <c r="CZ607">
        <f t="shared" si="17"/>
      </c>
      <c r="DA607">
        <f t="shared" si="1"/>
      </c>
      <c r="DB607">
        <f t="shared" si="18"/>
      </c>
      <c r="DC607">
        <f t="shared" si="19"/>
      </c>
      <c r="DD607">
        <f t="shared" si="20"/>
      </c>
      <c r="DE607">
        <f t="shared" si="21"/>
      </c>
      <c r="DF607">
        <f t="shared" si="22"/>
      </c>
      <c r="DG607">
        <f t="shared" si="23"/>
      </c>
      <c r="DH607">
        <f t="shared" si="24"/>
      </c>
      <c r="DI607">
        <f t="shared" si="1"/>
      </c>
    </row>
    <row r="608" ht="15" customHeight="1">
      <c r="B608">
        <f t="shared" si="2"/>
      </c>
      <c r="R608">
        <f t="shared" si="3"/>
        <v>0</v>
      </c>
      <c r="S608">
        <f t="shared" si="4"/>
        <v>0</v>
      </c>
      <c r="T608">
        <f t="shared" si="5"/>
        <v>0</v>
      </c>
      <c r="U608">
        <f t="shared" si="6"/>
        <v>0</v>
      </c>
      <c r="V608">
        <f t="shared" si="7"/>
        <v>0</v>
      </c>
      <c r="W608">
        <f t="shared" si="8"/>
        <v>0</v>
      </c>
      <c r="X608">
        <f t="shared" si="9"/>
        <v>0</v>
      </c>
      <c r="Y608">
        <f t="shared" si="10"/>
        <v>0</v>
      </c>
      <c r="Z608">
        <f t="shared" si="11"/>
        <v>0</v>
      </c>
      <c r="AA608">
        <f t="shared" si="12"/>
        <v>0</v>
      </c>
      <c r="AB608">
        <f t="shared" si="13"/>
        <v>0</v>
      </c>
      <c r="AC608">
        <f t="shared" si="14"/>
        <v>0</v>
      </c>
      <c r="AE608">
        <f t="shared" si="0"/>
      </c>
      <c r="AV608">
        <f t="shared" si="15"/>
      </c>
      <c r="BM608">
        <f t="shared" si="16"/>
      </c>
      <c r="CD608">
        <f t="shared" si="0"/>
      </c>
      <c r="CZ608">
        <f t="shared" si="17"/>
      </c>
      <c r="DA608">
        <f t="shared" si="1"/>
      </c>
      <c r="DB608">
        <f t="shared" si="18"/>
      </c>
      <c r="DC608">
        <f t="shared" si="19"/>
      </c>
      <c r="DD608">
        <f t="shared" si="20"/>
      </c>
      <c r="DE608">
        <f t="shared" si="21"/>
      </c>
      <c r="DF608">
        <f t="shared" si="22"/>
      </c>
      <c r="DG608">
        <f t="shared" si="23"/>
      </c>
      <c r="DH608">
        <f t="shared" si="24"/>
      </c>
      <c r="DI608">
        <f t="shared" si="1"/>
      </c>
    </row>
    <row r="609" ht="15" customHeight="1">
      <c r="B609">
        <f t="shared" si="2"/>
      </c>
      <c r="R609">
        <f t="shared" si="3"/>
        <v>0</v>
      </c>
      <c r="S609">
        <f t="shared" si="4"/>
        <v>0</v>
      </c>
      <c r="T609">
        <f t="shared" si="5"/>
        <v>0</v>
      </c>
      <c r="U609">
        <f t="shared" si="6"/>
        <v>0</v>
      </c>
      <c r="V609">
        <f t="shared" si="7"/>
        <v>0</v>
      </c>
      <c r="W609">
        <f t="shared" si="8"/>
        <v>0</v>
      </c>
      <c r="X609">
        <f t="shared" si="9"/>
        <v>0</v>
      </c>
      <c r="Y609">
        <f t="shared" si="10"/>
        <v>0</v>
      </c>
      <c r="Z609">
        <f t="shared" si="11"/>
        <v>0</v>
      </c>
      <c r="AA609">
        <f t="shared" si="12"/>
        <v>0</v>
      </c>
      <c r="AB609">
        <f t="shared" si="13"/>
        <v>0</v>
      </c>
      <c r="AC609">
        <f t="shared" si="14"/>
        <v>0</v>
      </c>
      <c r="AE609">
        <f t="shared" si="0"/>
      </c>
      <c r="AV609">
        <f t="shared" si="15"/>
      </c>
      <c r="BM609">
        <f t="shared" si="16"/>
      </c>
      <c r="CD609">
        <f t="shared" si="0"/>
      </c>
      <c r="CZ609">
        <f t="shared" si="17"/>
      </c>
      <c r="DA609">
        <f t="shared" si="1"/>
      </c>
      <c r="DB609">
        <f t="shared" si="18"/>
      </c>
      <c r="DC609">
        <f t="shared" si="19"/>
      </c>
      <c r="DD609">
        <f t="shared" si="20"/>
      </c>
      <c r="DE609">
        <f t="shared" si="21"/>
      </c>
      <c r="DF609">
        <f t="shared" si="22"/>
      </c>
      <c r="DG609">
        <f t="shared" si="23"/>
      </c>
      <c r="DH609">
        <f t="shared" si="24"/>
      </c>
      <c r="DI609">
        <f t="shared" si="1"/>
      </c>
    </row>
    <row r="610" ht="15" customHeight="1">
      <c r="B610">
        <f t="shared" si="2"/>
      </c>
      <c r="R610">
        <f t="shared" si="3"/>
        <v>0</v>
      </c>
      <c r="S610">
        <f t="shared" si="4"/>
        <v>0</v>
      </c>
      <c r="T610">
        <f t="shared" si="5"/>
        <v>0</v>
      </c>
      <c r="U610">
        <f t="shared" si="6"/>
        <v>0</v>
      </c>
      <c r="V610">
        <f t="shared" si="7"/>
        <v>0</v>
      </c>
      <c r="W610">
        <f t="shared" si="8"/>
        <v>0</v>
      </c>
      <c r="X610">
        <f t="shared" si="9"/>
        <v>0</v>
      </c>
      <c r="Y610">
        <f t="shared" si="10"/>
        <v>0</v>
      </c>
      <c r="Z610">
        <f t="shared" si="11"/>
        <v>0</v>
      </c>
      <c r="AA610">
        <f t="shared" si="12"/>
        <v>0</v>
      </c>
      <c r="AB610">
        <f t="shared" si="13"/>
        <v>0</v>
      </c>
      <c r="AC610">
        <f t="shared" si="14"/>
        <v>0</v>
      </c>
      <c r="AE610">
        <f t="shared" si="0"/>
      </c>
      <c r="AV610">
        <f t="shared" si="15"/>
      </c>
      <c r="BM610">
        <f t="shared" si="16"/>
      </c>
      <c r="CD610">
        <f t="shared" si="0"/>
      </c>
      <c r="CZ610">
        <f t="shared" si="17"/>
      </c>
      <c r="DA610">
        <f t="shared" si="1"/>
      </c>
      <c r="DB610">
        <f t="shared" si="18"/>
      </c>
      <c r="DC610">
        <f t="shared" si="19"/>
      </c>
      <c r="DD610">
        <f t="shared" si="20"/>
      </c>
      <c r="DE610">
        <f t="shared" si="21"/>
      </c>
      <c r="DF610">
        <f t="shared" si="22"/>
      </c>
      <c r="DG610">
        <f t="shared" si="23"/>
      </c>
      <c r="DH610">
        <f t="shared" si="24"/>
      </c>
      <c r="DI610">
        <f t="shared" si="1"/>
      </c>
    </row>
    <row r="611" ht="15" customHeight="1">
      <c r="B611">
        <f t="shared" si="2"/>
      </c>
      <c r="R611">
        <f t="shared" si="3"/>
        <v>0</v>
      </c>
      <c r="S611">
        <f t="shared" si="4"/>
        <v>0</v>
      </c>
      <c r="T611">
        <f t="shared" si="5"/>
        <v>0</v>
      </c>
      <c r="U611">
        <f t="shared" si="6"/>
        <v>0</v>
      </c>
      <c r="V611">
        <f t="shared" si="7"/>
        <v>0</v>
      </c>
      <c r="W611">
        <f t="shared" si="8"/>
        <v>0</v>
      </c>
      <c r="X611">
        <f t="shared" si="9"/>
        <v>0</v>
      </c>
      <c r="Y611">
        <f t="shared" si="10"/>
        <v>0</v>
      </c>
      <c r="Z611">
        <f t="shared" si="11"/>
        <v>0</v>
      </c>
      <c r="AA611">
        <f t="shared" si="12"/>
        <v>0</v>
      </c>
      <c r="AB611">
        <f t="shared" si="13"/>
        <v>0</v>
      </c>
      <c r="AC611">
        <f t="shared" si="14"/>
        <v>0</v>
      </c>
      <c r="AE611">
        <f t="shared" si="0"/>
      </c>
      <c r="AV611">
        <f t="shared" si="15"/>
      </c>
      <c r="BM611">
        <f t="shared" si="16"/>
      </c>
      <c r="CD611">
        <f t="shared" si="0"/>
      </c>
      <c r="CZ611">
        <f t="shared" si="17"/>
      </c>
      <c r="DA611">
        <f t="shared" si="1"/>
      </c>
      <c r="DB611">
        <f t="shared" si="18"/>
      </c>
      <c r="DC611">
        <f t="shared" si="19"/>
      </c>
      <c r="DD611">
        <f t="shared" si="20"/>
      </c>
      <c r="DE611">
        <f t="shared" si="21"/>
      </c>
      <c r="DF611">
        <f t="shared" si="22"/>
      </c>
      <c r="DG611">
        <f t="shared" si="23"/>
      </c>
      <c r="DH611">
        <f t="shared" si="24"/>
      </c>
      <c r="DI611">
        <f t="shared" si="1"/>
      </c>
    </row>
    <row r="612" ht="15" customHeight="1">
      <c r="B612">
        <f t="shared" si="2"/>
      </c>
      <c r="R612">
        <f t="shared" si="3"/>
        <v>0</v>
      </c>
      <c r="S612">
        <f t="shared" si="4"/>
        <v>0</v>
      </c>
      <c r="T612">
        <f t="shared" si="5"/>
        <v>0</v>
      </c>
      <c r="U612">
        <f t="shared" si="6"/>
        <v>0</v>
      </c>
      <c r="V612">
        <f t="shared" si="7"/>
        <v>0</v>
      </c>
      <c r="W612">
        <f t="shared" si="8"/>
        <v>0</v>
      </c>
      <c r="X612">
        <f t="shared" si="9"/>
        <v>0</v>
      </c>
      <c r="Y612">
        <f t="shared" si="10"/>
        <v>0</v>
      </c>
      <c r="Z612">
        <f t="shared" si="11"/>
        <v>0</v>
      </c>
      <c r="AA612">
        <f t="shared" si="12"/>
        <v>0</v>
      </c>
      <c r="AB612">
        <f t="shared" si="13"/>
        <v>0</v>
      </c>
      <c r="AC612">
        <f t="shared" si="14"/>
        <v>0</v>
      </c>
      <c r="AE612">
        <f t="shared" si="0"/>
      </c>
      <c r="AV612">
        <f t="shared" si="15"/>
      </c>
      <c r="BM612">
        <f t="shared" si="16"/>
      </c>
      <c r="CD612">
        <f t="shared" si="0"/>
      </c>
      <c r="CZ612">
        <f t="shared" si="17"/>
      </c>
      <c r="DA612">
        <f t="shared" si="1"/>
      </c>
      <c r="DB612">
        <f t="shared" si="18"/>
      </c>
      <c r="DC612">
        <f t="shared" si="19"/>
      </c>
      <c r="DD612">
        <f t="shared" si="20"/>
      </c>
      <c r="DE612">
        <f t="shared" si="21"/>
      </c>
      <c r="DF612">
        <f t="shared" si="22"/>
      </c>
      <c r="DG612">
        <f t="shared" si="23"/>
      </c>
      <c r="DH612">
        <f t="shared" si="24"/>
      </c>
      <c r="DI612">
        <f t="shared" si="1"/>
      </c>
    </row>
    <row r="613" ht="15" customHeight="1">
      <c r="B613">
        <f t="shared" si="2"/>
      </c>
      <c r="R613">
        <f t="shared" si="3"/>
        <v>0</v>
      </c>
      <c r="S613">
        <f t="shared" si="4"/>
        <v>0</v>
      </c>
      <c r="T613">
        <f t="shared" si="5"/>
        <v>0</v>
      </c>
      <c r="U613">
        <f t="shared" si="6"/>
        <v>0</v>
      </c>
      <c r="V613">
        <f t="shared" si="7"/>
        <v>0</v>
      </c>
      <c r="W613">
        <f t="shared" si="8"/>
        <v>0</v>
      </c>
      <c r="X613">
        <f t="shared" si="9"/>
        <v>0</v>
      </c>
      <c r="Y613">
        <f t="shared" si="10"/>
        <v>0</v>
      </c>
      <c r="Z613">
        <f t="shared" si="11"/>
        <v>0</v>
      </c>
      <c r="AA613">
        <f t="shared" si="12"/>
        <v>0</v>
      </c>
      <c r="AB613">
        <f t="shared" si="13"/>
        <v>0</v>
      </c>
      <c r="AC613">
        <f t="shared" si="14"/>
        <v>0</v>
      </c>
      <c r="AE613">
        <f t="shared" si="0"/>
      </c>
      <c r="AV613">
        <f t="shared" si="15"/>
      </c>
      <c r="BM613">
        <f t="shared" si="16"/>
      </c>
      <c r="CD613">
        <f t="shared" si="0"/>
      </c>
      <c r="CZ613">
        <f t="shared" si="17"/>
      </c>
      <c r="DA613">
        <f t="shared" si="1"/>
      </c>
      <c r="DB613">
        <f t="shared" si="18"/>
      </c>
      <c r="DC613">
        <f t="shared" si="19"/>
      </c>
      <c r="DD613">
        <f t="shared" si="20"/>
      </c>
      <c r="DE613">
        <f t="shared" si="21"/>
      </c>
      <c r="DF613">
        <f t="shared" si="22"/>
      </c>
      <c r="DG613">
        <f t="shared" si="23"/>
      </c>
      <c r="DH613">
        <f t="shared" si="24"/>
      </c>
      <c r="DI613">
        <f t="shared" si="1"/>
      </c>
    </row>
    <row r="614" ht="15" customHeight="1">
      <c r="B614">
        <f t="shared" si="2"/>
      </c>
      <c r="R614">
        <f t="shared" si="3"/>
        <v>0</v>
      </c>
      <c r="S614">
        <f t="shared" si="4"/>
        <v>0</v>
      </c>
      <c r="T614">
        <f t="shared" si="5"/>
        <v>0</v>
      </c>
      <c r="U614">
        <f t="shared" si="6"/>
        <v>0</v>
      </c>
      <c r="V614">
        <f t="shared" si="7"/>
        <v>0</v>
      </c>
      <c r="W614">
        <f t="shared" si="8"/>
        <v>0</v>
      </c>
      <c r="X614">
        <f t="shared" si="9"/>
        <v>0</v>
      </c>
      <c r="Y614">
        <f t="shared" si="10"/>
        <v>0</v>
      </c>
      <c r="Z614">
        <f t="shared" si="11"/>
        <v>0</v>
      </c>
      <c r="AA614">
        <f t="shared" si="12"/>
        <v>0</v>
      </c>
      <c r="AB614">
        <f t="shared" si="13"/>
        <v>0</v>
      </c>
      <c r="AC614">
        <f t="shared" si="14"/>
        <v>0</v>
      </c>
      <c r="AE614">
        <f t="shared" si="0"/>
      </c>
      <c r="AV614">
        <f t="shared" si="15"/>
      </c>
      <c r="BM614">
        <f t="shared" si="16"/>
      </c>
      <c r="CD614">
        <f t="shared" si="0"/>
      </c>
      <c r="CZ614">
        <f t="shared" si="17"/>
      </c>
      <c r="DA614">
        <f t="shared" si="1"/>
      </c>
      <c r="DB614">
        <f t="shared" si="18"/>
      </c>
      <c r="DC614">
        <f t="shared" si="19"/>
      </c>
      <c r="DD614">
        <f t="shared" si="20"/>
      </c>
      <c r="DE614">
        <f t="shared" si="21"/>
      </c>
      <c r="DF614">
        <f t="shared" si="22"/>
      </c>
      <c r="DG614">
        <f t="shared" si="23"/>
      </c>
      <c r="DH614">
        <f t="shared" si="24"/>
      </c>
      <c r="DI614">
        <f t="shared" si="1"/>
      </c>
    </row>
    <row r="615" ht="15" customHeight="1">
      <c r="B615">
        <f t="shared" si="2"/>
      </c>
      <c r="R615">
        <f t="shared" si="3"/>
        <v>0</v>
      </c>
      <c r="S615">
        <f t="shared" si="4"/>
        <v>0</v>
      </c>
      <c r="T615">
        <f t="shared" si="5"/>
        <v>0</v>
      </c>
      <c r="U615">
        <f t="shared" si="6"/>
        <v>0</v>
      </c>
      <c r="V615">
        <f t="shared" si="7"/>
        <v>0</v>
      </c>
      <c r="W615">
        <f t="shared" si="8"/>
        <v>0</v>
      </c>
      <c r="X615">
        <f t="shared" si="9"/>
        <v>0</v>
      </c>
      <c r="Y615">
        <f t="shared" si="10"/>
        <v>0</v>
      </c>
      <c r="Z615">
        <f t="shared" si="11"/>
        <v>0</v>
      </c>
      <c r="AA615">
        <f t="shared" si="12"/>
        <v>0</v>
      </c>
      <c r="AB615">
        <f t="shared" si="13"/>
        <v>0</v>
      </c>
      <c r="AC615">
        <f t="shared" si="14"/>
        <v>0</v>
      </c>
      <c r="AE615">
        <f t="shared" si="0"/>
      </c>
      <c r="AV615">
        <f t="shared" si="15"/>
      </c>
      <c r="BM615">
        <f t="shared" si="16"/>
      </c>
      <c r="CD615">
        <f t="shared" si="0"/>
      </c>
      <c r="CZ615">
        <f t="shared" si="17"/>
      </c>
      <c r="DA615">
        <f t="shared" si="1"/>
      </c>
      <c r="DB615">
        <f t="shared" si="18"/>
      </c>
      <c r="DC615">
        <f t="shared" si="19"/>
      </c>
      <c r="DD615">
        <f t="shared" si="20"/>
      </c>
      <c r="DE615">
        <f t="shared" si="21"/>
      </c>
      <c r="DF615">
        <f t="shared" si="22"/>
      </c>
      <c r="DG615">
        <f t="shared" si="23"/>
      </c>
      <c r="DH615">
        <f t="shared" si="24"/>
      </c>
      <c r="DI615">
        <f t="shared" si="1"/>
      </c>
    </row>
    <row r="616" ht="15" customHeight="1">
      <c r="B616">
        <f t="shared" si="2"/>
      </c>
      <c r="R616">
        <f t="shared" si="3"/>
        <v>0</v>
      </c>
      <c r="S616">
        <f t="shared" si="4"/>
        <v>0</v>
      </c>
      <c r="T616">
        <f t="shared" si="5"/>
        <v>0</v>
      </c>
      <c r="U616">
        <f t="shared" si="6"/>
        <v>0</v>
      </c>
      <c r="V616">
        <f t="shared" si="7"/>
        <v>0</v>
      </c>
      <c r="W616">
        <f t="shared" si="8"/>
        <v>0</v>
      </c>
      <c r="X616">
        <f t="shared" si="9"/>
        <v>0</v>
      </c>
      <c r="Y616">
        <f t="shared" si="10"/>
        <v>0</v>
      </c>
      <c r="Z616">
        <f t="shared" si="11"/>
        <v>0</v>
      </c>
      <c r="AA616">
        <f t="shared" si="12"/>
        <v>0</v>
      </c>
      <c r="AB616">
        <f t="shared" si="13"/>
        <v>0</v>
      </c>
      <c r="AC616">
        <f t="shared" si="14"/>
        <v>0</v>
      </c>
      <c r="AE616">
        <f t="shared" si="0"/>
      </c>
      <c r="AV616">
        <f t="shared" si="15"/>
      </c>
      <c r="BM616">
        <f t="shared" si="16"/>
      </c>
      <c r="CD616">
        <f t="shared" si="0"/>
      </c>
      <c r="CZ616">
        <f t="shared" si="17"/>
      </c>
      <c r="DA616">
        <f t="shared" si="1"/>
      </c>
      <c r="DB616">
        <f t="shared" si="18"/>
      </c>
      <c r="DC616">
        <f t="shared" si="19"/>
      </c>
      <c r="DD616">
        <f t="shared" si="20"/>
      </c>
      <c r="DE616">
        <f t="shared" si="21"/>
      </c>
      <c r="DF616">
        <f t="shared" si="22"/>
      </c>
      <c r="DG616">
        <f t="shared" si="23"/>
      </c>
      <c r="DH616">
        <f t="shared" si="24"/>
      </c>
      <c r="DI616">
        <f t="shared" si="1"/>
      </c>
    </row>
    <row r="617" ht="15" customHeight="1">
      <c r="B617">
        <f t="shared" si="2"/>
      </c>
      <c r="R617">
        <f t="shared" si="3"/>
        <v>0</v>
      </c>
      <c r="S617">
        <f t="shared" si="4"/>
        <v>0</v>
      </c>
      <c r="T617">
        <f t="shared" si="5"/>
        <v>0</v>
      </c>
      <c r="U617">
        <f t="shared" si="6"/>
        <v>0</v>
      </c>
      <c r="V617">
        <f t="shared" si="7"/>
        <v>0</v>
      </c>
      <c r="W617">
        <f t="shared" si="8"/>
        <v>0</v>
      </c>
      <c r="X617">
        <f t="shared" si="9"/>
        <v>0</v>
      </c>
      <c r="Y617">
        <f t="shared" si="10"/>
        <v>0</v>
      </c>
      <c r="Z617">
        <f t="shared" si="11"/>
        <v>0</v>
      </c>
      <c r="AA617">
        <f t="shared" si="12"/>
        <v>0</v>
      </c>
      <c r="AB617">
        <f t="shared" si="13"/>
        <v>0</v>
      </c>
      <c r="AC617">
        <f t="shared" si="14"/>
        <v>0</v>
      </c>
      <c r="AE617">
        <f t="shared" si="0"/>
      </c>
      <c r="AV617">
        <f t="shared" si="15"/>
      </c>
      <c r="BM617">
        <f t="shared" si="16"/>
      </c>
      <c r="CD617">
        <f t="shared" si="0"/>
      </c>
      <c r="CZ617">
        <f t="shared" si="17"/>
      </c>
      <c r="DA617">
        <f t="shared" si="1"/>
      </c>
      <c r="DB617">
        <f t="shared" si="18"/>
      </c>
      <c r="DC617">
        <f t="shared" si="19"/>
      </c>
      <c r="DD617">
        <f t="shared" si="20"/>
      </c>
      <c r="DE617">
        <f t="shared" si="21"/>
      </c>
      <c r="DF617">
        <f t="shared" si="22"/>
      </c>
      <c r="DG617">
        <f t="shared" si="23"/>
      </c>
      <c r="DH617">
        <f t="shared" si="24"/>
      </c>
      <c r="DI617">
        <f t="shared" si="1"/>
      </c>
    </row>
    <row r="618" ht="15" customHeight="1">
      <c r="B618">
        <f t="shared" si="2"/>
      </c>
      <c r="R618">
        <f t="shared" si="3"/>
        <v>0</v>
      </c>
      <c r="S618">
        <f t="shared" si="4"/>
        <v>0</v>
      </c>
      <c r="T618">
        <f t="shared" si="5"/>
        <v>0</v>
      </c>
      <c r="U618">
        <f t="shared" si="6"/>
        <v>0</v>
      </c>
      <c r="V618">
        <f t="shared" si="7"/>
        <v>0</v>
      </c>
      <c r="W618">
        <f t="shared" si="8"/>
        <v>0</v>
      </c>
      <c r="X618">
        <f t="shared" si="9"/>
        <v>0</v>
      </c>
      <c r="Y618">
        <f t="shared" si="10"/>
        <v>0</v>
      </c>
      <c r="Z618">
        <f t="shared" si="11"/>
        <v>0</v>
      </c>
      <c r="AA618">
        <f t="shared" si="12"/>
        <v>0</v>
      </c>
      <c r="AB618">
        <f t="shared" si="13"/>
        <v>0</v>
      </c>
      <c r="AC618">
        <f t="shared" si="14"/>
        <v>0</v>
      </c>
      <c r="AE618">
        <f t="shared" si="0"/>
      </c>
      <c r="AV618">
        <f t="shared" si="15"/>
      </c>
      <c r="BM618">
        <f t="shared" si="16"/>
      </c>
      <c r="CD618">
        <f t="shared" si="0"/>
      </c>
      <c r="CZ618">
        <f t="shared" si="17"/>
      </c>
      <c r="DA618">
        <f t="shared" si="1"/>
      </c>
      <c r="DB618">
        <f t="shared" si="18"/>
      </c>
      <c r="DC618">
        <f t="shared" si="19"/>
      </c>
      <c r="DD618">
        <f t="shared" si="20"/>
      </c>
      <c r="DE618">
        <f t="shared" si="21"/>
      </c>
      <c r="DF618">
        <f t="shared" si="22"/>
      </c>
      <c r="DG618">
        <f t="shared" si="23"/>
      </c>
      <c r="DH618">
        <f t="shared" si="24"/>
      </c>
      <c r="DI618">
        <f t="shared" si="1"/>
      </c>
    </row>
    <row r="619" ht="15" customHeight="1">
      <c r="B619">
        <f t="shared" si="2"/>
      </c>
      <c r="R619">
        <f t="shared" si="3"/>
        <v>0</v>
      </c>
      <c r="S619">
        <f t="shared" si="4"/>
        <v>0</v>
      </c>
      <c r="T619">
        <f t="shared" si="5"/>
        <v>0</v>
      </c>
      <c r="U619">
        <f t="shared" si="6"/>
        <v>0</v>
      </c>
      <c r="V619">
        <f t="shared" si="7"/>
        <v>0</v>
      </c>
      <c r="W619">
        <f t="shared" si="8"/>
        <v>0</v>
      </c>
      <c r="X619">
        <f t="shared" si="9"/>
        <v>0</v>
      </c>
      <c r="Y619">
        <f t="shared" si="10"/>
        <v>0</v>
      </c>
      <c r="Z619">
        <f t="shared" si="11"/>
        <v>0</v>
      </c>
      <c r="AA619">
        <f t="shared" si="12"/>
        <v>0</v>
      </c>
      <c r="AB619">
        <f t="shared" si="13"/>
        <v>0</v>
      </c>
      <c r="AC619">
        <f t="shared" si="14"/>
        <v>0</v>
      </c>
      <c r="AE619">
        <f t="shared" si="0"/>
      </c>
      <c r="AV619">
        <f t="shared" si="15"/>
      </c>
      <c r="BM619">
        <f t="shared" si="16"/>
      </c>
      <c r="CD619">
        <f t="shared" si="0"/>
      </c>
      <c r="CZ619">
        <f t="shared" si="17"/>
      </c>
      <c r="DA619">
        <f t="shared" si="1"/>
      </c>
      <c r="DB619">
        <f t="shared" si="18"/>
      </c>
      <c r="DC619">
        <f t="shared" si="19"/>
      </c>
      <c r="DD619">
        <f t="shared" si="20"/>
      </c>
      <c r="DE619">
        <f t="shared" si="21"/>
      </c>
      <c r="DF619">
        <f t="shared" si="22"/>
      </c>
      <c r="DG619">
        <f t="shared" si="23"/>
      </c>
      <c r="DH619">
        <f t="shared" si="24"/>
      </c>
      <c r="DI619">
        <f t="shared" si="1"/>
      </c>
    </row>
    <row r="620" ht="15" customHeight="1">
      <c r="B620">
        <f t="shared" si="2"/>
      </c>
      <c r="R620">
        <f t="shared" si="3"/>
        <v>0</v>
      </c>
      <c r="S620">
        <f t="shared" si="4"/>
        <v>0</v>
      </c>
      <c r="T620">
        <f t="shared" si="5"/>
        <v>0</v>
      </c>
      <c r="U620">
        <f t="shared" si="6"/>
        <v>0</v>
      </c>
      <c r="V620">
        <f t="shared" si="7"/>
        <v>0</v>
      </c>
      <c r="W620">
        <f t="shared" si="8"/>
        <v>0</v>
      </c>
      <c r="X620">
        <f t="shared" si="9"/>
        <v>0</v>
      </c>
      <c r="Y620">
        <f t="shared" si="10"/>
        <v>0</v>
      </c>
      <c r="Z620">
        <f t="shared" si="11"/>
        <v>0</v>
      </c>
      <c r="AA620">
        <f t="shared" si="12"/>
        <v>0</v>
      </c>
      <c r="AB620">
        <f t="shared" si="13"/>
        <v>0</v>
      </c>
      <c r="AC620">
        <f t="shared" si="14"/>
        <v>0</v>
      </c>
      <c r="AE620">
        <f t="shared" si="0"/>
      </c>
      <c r="AV620">
        <f t="shared" si="15"/>
      </c>
      <c r="BM620">
        <f t="shared" si="16"/>
      </c>
      <c r="CD620">
        <f t="shared" si="0"/>
      </c>
      <c r="CZ620">
        <f t="shared" si="17"/>
      </c>
      <c r="DA620">
        <f t="shared" si="1"/>
      </c>
      <c r="DB620">
        <f t="shared" si="18"/>
      </c>
      <c r="DC620">
        <f t="shared" si="19"/>
      </c>
      <c r="DD620">
        <f t="shared" si="20"/>
      </c>
      <c r="DE620">
        <f t="shared" si="21"/>
      </c>
      <c r="DF620">
        <f t="shared" si="22"/>
      </c>
      <c r="DG620">
        <f t="shared" si="23"/>
      </c>
      <c r="DH620">
        <f t="shared" si="24"/>
      </c>
      <c r="DI620">
        <f t="shared" si="1"/>
      </c>
    </row>
    <row r="621" ht="15" customHeight="1">
      <c r="B621">
        <f t="shared" si="2"/>
      </c>
      <c r="R621">
        <f t="shared" si="3"/>
        <v>0</v>
      </c>
      <c r="S621">
        <f t="shared" si="4"/>
        <v>0</v>
      </c>
      <c r="T621">
        <f t="shared" si="5"/>
        <v>0</v>
      </c>
      <c r="U621">
        <f t="shared" si="6"/>
        <v>0</v>
      </c>
      <c r="V621">
        <f t="shared" si="7"/>
        <v>0</v>
      </c>
      <c r="W621">
        <f t="shared" si="8"/>
        <v>0</v>
      </c>
      <c r="X621">
        <f t="shared" si="9"/>
        <v>0</v>
      </c>
      <c r="Y621">
        <f t="shared" si="10"/>
        <v>0</v>
      </c>
      <c r="Z621">
        <f t="shared" si="11"/>
        <v>0</v>
      </c>
      <c r="AA621">
        <f t="shared" si="12"/>
        <v>0</v>
      </c>
      <c r="AB621">
        <f t="shared" si="13"/>
        <v>0</v>
      </c>
      <c r="AC621">
        <f t="shared" si="14"/>
        <v>0</v>
      </c>
      <c r="AE621">
        <f t="shared" si="0"/>
      </c>
      <c r="AV621">
        <f t="shared" si="15"/>
      </c>
      <c r="BM621">
        <f t="shared" si="16"/>
      </c>
      <c r="CD621">
        <f t="shared" si="0"/>
      </c>
      <c r="CZ621">
        <f t="shared" si="17"/>
      </c>
      <c r="DA621">
        <f t="shared" si="1"/>
      </c>
      <c r="DB621">
        <f t="shared" si="18"/>
      </c>
      <c r="DC621">
        <f t="shared" si="19"/>
      </c>
      <c r="DD621">
        <f t="shared" si="20"/>
      </c>
      <c r="DE621">
        <f t="shared" si="21"/>
      </c>
      <c r="DF621">
        <f t="shared" si="22"/>
      </c>
      <c r="DG621">
        <f t="shared" si="23"/>
      </c>
      <c r="DH621">
        <f t="shared" si="24"/>
      </c>
      <c r="DI621">
        <f t="shared" si="1"/>
      </c>
    </row>
    <row r="622" ht="15" customHeight="1">
      <c r="B622">
        <f t="shared" si="2"/>
      </c>
      <c r="R622">
        <f t="shared" si="3"/>
        <v>0</v>
      </c>
      <c r="S622">
        <f t="shared" si="4"/>
        <v>0</v>
      </c>
      <c r="T622">
        <f t="shared" si="5"/>
        <v>0</v>
      </c>
      <c r="U622">
        <f t="shared" si="6"/>
        <v>0</v>
      </c>
      <c r="V622">
        <f t="shared" si="7"/>
        <v>0</v>
      </c>
      <c r="W622">
        <f t="shared" si="8"/>
        <v>0</v>
      </c>
      <c r="X622">
        <f t="shared" si="9"/>
        <v>0</v>
      </c>
      <c r="Y622">
        <f t="shared" si="10"/>
        <v>0</v>
      </c>
      <c r="Z622">
        <f t="shared" si="11"/>
        <v>0</v>
      </c>
      <c r="AA622">
        <f t="shared" si="12"/>
        <v>0</v>
      </c>
      <c r="AB622">
        <f t="shared" si="13"/>
        <v>0</v>
      </c>
      <c r="AC622">
        <f t="shared" si="14"/>
        <v>0</v>
      </c>
      <c r="AE622">
        <f t="shared" si="0"/>
      </c>
      <c r="AV622">
        <f t="shared" si="15"/>
      </c>
      <c r="BM622">
        <f t="shared" si="16"/>
      </c>
      <c r="CD622">
        <f t="shared" si="0"/>
      </c>
      <c r="CZ622">
        <f t="shared" si="17"/>
      </c>
      <c r="DA622">
        <f t="shared" si="1"/>
      </c>
      <c r="DB622">
        <f t="shared" si="18"/>
      </c>
      <c r="DC622">
        <f t="shared" si="19"/>
      </c>
      <c r="DD622">
        <f t="shared" si="20"/>
      </c>
      <c r="DE622">
        <f t="shared" si="21"/>
      </c>
      <c r="DF622">
        <f t="shared" si="22"/>
      </c>
      <c r="DG622">
        <f t="shared" si="23"/>
      </c>
      <c r="DH622">
        <f t="shared" si="24"/>
      </c>
      <c r="DI622">
        <f t="shared" si="1"/>
      </c>
    </row>
    <row r="623" ht="15" customHeight="1">
      <c r="B623">
        <f t="shared" si="2"/>
      </c>
      <c r="R623">
        <f t="shared" si="3"/>
        <v>0</v>
      </c>
      <c r="S623">
        <f t="shared" si="4"/>
        <v>0</v>
      </c>
      <c r="T623">
        <f t="shared" si="5"/>
        <v>0</v>
      </c>
      <c r="U623">
        <f t="shared" si="6"/>
        <v>0</v>
      </c>
      <c r="V623">
        <f t="shared" si="7"/>
        <v>0</v>
      </c>
      <c r="W623">
        <f t="shared" si="8"/>
        <v>0</v>
      </c>
      <c r="X623">
        <f t="shared" si="9"/>
        <v>0</v>
      </c>
      <c r="Y623">
        <f t="shared" si="10"/>
        <v>0</v>
      </c>
      <c r="Z623">
        <f t="shared" si="11"/>
        <v>0</v>
      </c>
      <c r="AA623">
        <f t="shared" si="12"/>
        <v>0</v>
      </c>
      <c r="AB623">
        <f t="shared" si="13"/>
        <v>0</v>
      </c>
      <c r="AC623">
        <f t="shared" si="14"/>
        <v>0</v>
      </c>
      <c r="AE623">
        <f t="shared" si="0"/>
      </c>
      <c r="AV623">
        <f t="shared" si="15"/>
      </c>
      <c r="BM623">
        <f t="shared" si="16"/>
      </c>
      <c r="CD623">
        <f t="shared" si="0"/>
      </c>
      <c r="CZ623">
        <f t="shared" si="17"/>
      </c>
      <c r="DA623">
        <f t="shared" si="1"/>
      </c>
      <c r="DB623">
        <f t="shared" si="18"/>
      </c>
      <c r="DC623">
        <f t="shared" si="19"/>
      </c>
      <c r="DD623">
        <f t="shared" si="20"/>
      </c>
      <c r="DE623">
        <f t="shared" si="21"/>
      </c>
      <c r="DF623">
        <f t="shared" si="22"/>
      </c>
      <c r="DG623">
        <f t="shared" si="23"/>
      </c>
      <c r="DH623">
        <f t="shared" si="24"/>
      </c>
      <c r="DI623">
        <f t="shared" si="1"/>
      </c>
    </row>
    <row r="624" ht="15" customHeight="1">
      <c r="B624">
        <f t="shared" si="2"/>
      </c>
      <c r="R624">
        <f t="shared" si="3"/>
        <v>0</v>
      </c>
      <c r="S624">
        <f t="shared" si="4"/>
        <v>0</v>
      </c>
      <c r="T624">
        <f t="shared" si="5"/>
        <v>0</v>
      </c>
      <c r="U624">
        <f t="shared" si="6"/>
        <v>0</v>
      </c>
      <c r="V624">
        <f t="shared" si="7"/>
        <v>0</v>
      </c>
      <c r="W624">
        <f t="shared" si="8"/>
        <v>0</v>
      </c>
      <c r="X624">
        <f t="shared" si="9"/>
        <v>0</v>
      </c>
      <c r="Y624">
        <f t="shared" si="10"/>
        <v>0</v>
      </c>
      <c r="Z624">
        <f t="shared" si="11"/>
        <v>0</v>
      </c>
      <c r="AA624">
        <f t="shared" si="12"/>
        <v>0</v>
      </c>
      <c r="AB624">
        <f t="shared" si="13"/>
        <v>0</v>
      </c>
      <c r="AC624">
        <f t="shared" si="14"/>
        <v>0</v>
      </c>
      <c r="AE624">
        <f t="shared" si="0"/>
      </c>
      <c r="AV624">
        <f t="shared" si="15"/>
      </c>
      <c r="BM624">
        <f t="shared" si="16"/>
      </c>
      <c r="CD624">
        <f t="shared" si="0"/>
      </c>
      <c r="CZ624">
        <f t="shared" si="17"/>
      </c>
      <c r="DA624">
        <f t="shared" si="1"/>
      </c>
      <c r="DB624">
        <f t="shared" si="18"/>
      </c>
      <c r="DC624">
        <f t="shared" si="19"/>
      </c>
      <c r="DD624">
        <f t="shared" si="20"/>
      </c>
      <c r="DE624">
        <f t="shared" si="21"/>
      </c>
      <c r="DF624">
        <f t="shared" si="22"/>
      </c>
      <c r="DG624">
        <f t="shared" si="23"/>
      </c>
      <c r="DH624">
        <f t="shared" si="24"/>
      </c>
      <c r="DI624">
        <f t="shared" si="1"/>
      </c>
    </row>
    <row r="625" ht="15" customHeight="1">
      <c r="B625">
        <f t="shared" si="2"/>
      </c>
      <c r="R625">
        <f t="shared" si="3"/>
        <v>0</v>
      </c>
      <c r="S625">
        <f t="shared" si="4"/>
        <v>0</v>
      </c>
      <c r="T625">
        <f t="shared" si="5"/>
        <v>0</v>
      </c>
      <c r="U625">
        <f t="shared" si="6"/>
        <v>0</v>
      </c>
      <c r="V625">
        <f t="shared" si="7"/>
        <v>0</v>
      </c>
      <c r="W625">
        <f t="shared" si="8"/>
        <v>0</v>
      </c>
      <c r="X625">
        <f t="shared" si="9"/>
        <v>0</v>
      </c>
      <c r="Y625">
        <f t="shared" si="10"/>
        <v>0</v>
      </c>
      <c r="Z625">
        <f t="shared" si="11"/>
        <v>0</v>
      </c>
      <c r="AA625">
        <f t="shared" si="12"/>
        <v>0</v>
      </c>
      <c r="AB625">
        <f t="shared" si="13"/>
        <v>0</v>
      </c>
      <c r="AC625">
        <f t="shared" si="14"/>
        <v>0</v>
      </c>
      <c r="AE625">
        <f t="shared" si="0"/>
      </c>
      <c r="AV625">
        <f t="shared" si="15"/>
      </c>
      <c r="BM625">
        <f t="shared" si="16"/>
      </c>
      <c r="CD625">
        <f t="shared" si="0"/>
      </c>
      <c r="CZ625">
        <f t="shared" si="17"/>
      </c>
      <c r="DA625">
        <f t="shared" si="1"/>
      </c>
      <c r="DB625">
        <f t="shared" si="18"/>
      </c>
      <c r="DC625">
        <f t="shared" si="19"/>
      </c>
      <c r="DD625">
        <f t="shared" si="20"/>
      </c>
      <c r="DE625">
        <f t="shared" si="21"/>
      </c>
      <c r="DF625">
        <f t="shared" si="22"/>
      </c>
      <c r="DG625">
        <f t="shared" si="23"/>
      </c>
      <c r="DH625">
        <f t="shared" si="24"/>
      </c>
      <c r="DI625">
        <f t="shared" si="1"/>
      </c>
    </row>
    <row r="626" ht="15" customHeight="1">
      <c r="B626">
        <f t="shared" si="2"/>
      </c>
      <c r="R626">
        <f t="shared" si="3"/>
        <v>0</v>
      </c>
      <c r="S626">
        <f t="shared" si="4"/>
        <v>0</v>
      </c>
      <c r="T626">
        <f t="shared" si="5"/>
        <v>0</v>
      </c>
      <c r="U626">
        <f t="shared" si="6"/>
        <v>0</v>
      </c>
      <c r="V626">
        <f t="shared" si="7"/>
        <v>0</v>
      </c>
      <c r="W626">
        <f t="shared" si="8"/>
        <v>0</v>
      </c>
      <c r="X626">
        <f t="shared" si="9"/>
        <v>0</v>
      </c>
      <c r="Y626">
        <f t="shared" si="10"/>
        <v>0</v>
      </c>
      <c r="Z626">
        <f t="shared" si="11"/>
        <v>0</v>
      </c>
      <c r="AA626">
        <f t="shared" si="12"/>
        <v>0</v>
      </c>
      <c r="AB626">
        <f t="shared" si="13"/>
        <v>0</v>
      </c>
      <c r="AC626">
        <f t="shared" si="14"/>
        <v>0</v>
      </c>
      <c r="AE626">
        <f t="shared" si="0"/>
      </c>
      <c r="AV626">
        <f t="shared" si="15"/>
      </c>
      <c r="BM626">
        <f t="shared" si="16"/>
      </c>
      <c r="CD626">
        <f t="shared" si="0"/>
      </c>
      <c r="CZ626">
        <f t="shared" si="17"/>
      </c>
      <c r="DA626">
        <f t="shared" si="1"/>
      </c>
      <c r="DB626">
        <f t="shared" si="18"/>
      </c>
      <c r="DC626">
        <f t="shared" si="19"/>
      </c>
      <c r="DD626">
        <f t="shared" si="20"/>
      </c>
      <c r="DE626">
        <f t="shared" si="21"/>
      </c>
      <c r="DF626">
        <f t="shared" si="22"/>
      </c>
      <c r="DG626">
        <f t="shared" si="23"/>
      </c>
      <c r="DH626">
        <f t="shared" si="24"/>
      </c>
      <c r="DI626">
        <f t="shared" si="1"/>
      </c>
    </row>
    <row r="627" ht="15" customHeight="1">
      <c r="B627">
        <f t="shared" si="2"/>
      </c>
      <c r="R627">
        <f t="shared" si="3"/>
        <v>0</v>
      </c>
      <c r="S627">
        <f t="shared" si="4"/>
        <v>0</v>
      </c>
      <c r="T627">
        <f t="shared" si="5"/>
        <v>0</v>
      </c>
      <c r="U627">
        <f t="shared" si="6"/>
        <v>0</v>
      </c>
      <c r="V627">
        <f t="shared" si="7"/>
        <v>0</v>
      </c>
      <c r="W627">
        <f t="shared" si="8"/>
        <v>0</v>
      </c>
      <c r="X627">
        <f t="shared" si="9"/>
        <v>0</v>
      </c>
      <c r="Y627">
        <f t="shared" si="10"/>
        <v>0</v>
      </c>
      <c r="Z627">
        <f t="shared" si="11"/>
        <v>0</v>
      </c>
      <c r="AA627">
        <f t="shared" si="12"/>
        <v>0</v>
      </c>
      <c r="AB627">
        <f t="shared" si="13"/>
        <v>0</v>
      </c>
      <c r="AC627">
        <f t="shared" si="14"/>
        <v>0</v>
      </c>
      <c r="AE627">
        <f t="shared" si="0"/>
      </c>
      <c r="AV627">
        <f t="shared" si="15"/>
      </c>
      <c r="BM627">
        <f t="shared" si="16"/>
      </c>
      <c r="CD627">
        <f t="shared" si="0"/>
      </c>
      <c r="CZ627">
        <f t="shared" si="17"/>
      </c>
      <c r="DA627">
        <f t="shared" si="1"/>
      </c>
      <c r="DB627">
        <f t="shared" si="18"/>
      </c>
      <c r="DC627">
        <f t="shared" si="19"/>
      </c>
      <c r="DD627">
        <f t="shared" si="20"/>
      </c>
      <c r="DE627">
        <f t="shared" si="21"/>
      </c>
      <c r="DF627">
        <f t="shared" si="22"/>
      </c>
      <c r="DG627">
        <f t="shared" si="23"/>
      </c>
      <c r="DH627">
        <f t="shared" si="24"/>
      </c>
      <c r="DI627">
        <f t="shared" si="1"/>
      </c>
    </row>
    <row r="628" ht="15" customHeight="1">
      <c r="B628">
        <f t="shared" si="2"/>
      </c>
      <c r="R628">
        <f t="shared" si="3"/>
        <v>0</v>
      </c>
      <c r="S628">
        <f t="shared" si="4"/>
        <v>0</v>
      </c>
      <c r="T628">
        <f t="shared" si="5"/>
        <v>0</v>
      </c>
      <c r="U628">
        <f t="shared" si="6"/>
        <v>0</v>
      </c>
      <c r="V628">
        <f t="shared" si="7"/>
        <v>0</v>
      </c>
      <c r="W628">
        <f t="shared" si="8"/>
        <v>0</v>
      </c>
      <c r="X628">
        <f t="shared" si="9"/>
        <v>0</v>
      </c>
      <c r="Y628">
        <f t="shared" si="10"/>
        <v>0</v>
      </c>
      <c r="Z628">
        <f t="shared" si="11"/>
        <v>0</v>
      </c>
      <c r="AA628">
        <f t="shared" si="12"/>
        <v>0</v>
      </c>
      <c r="AB628">
        <f t="shared" si="13"/>
        <v>0</v>
      </c>
      <c r="AC628">
        <f t="shared" si="14"/>
        <v>0</v>
      </c>
      <c r="AE628">
        <f t="shared" si="0"/>
      </c>
      <c r="AV628">
        <f t="shared" si="15"/>
      </c>
      <c r="BM628">
        <f t="shared" si="16"/>
      </c>
      <c r="CD628">
        <f t="shared" si="0"/>
      </c>
      <c r="CZ628">
        <f t="shared" si="17"/>
      </c>
      <c r="DA628">
        <f t="shared" si="1"/>
      </c>
      <c r="DB628">
        <f t="shared" si="18"/>
      </c>
      <c r="DC628">
        <f t="shared" si="19"/>
      </c>
      <c r="DD628">
        <f t="shared" si="20"/>
      </c>
      <c r="DE628">
        <f t="shared" si="21"/>
      </c>
      <c r="DF628">
        <f t="shared" si="22"/>
      </c>
      <c r="DG628">
        <f t="shared" si="23"/>
      </c>
      <c r="DH628">
        <f t="shared" si="24"/>
      </c>
      <c r="DI628">
        <f t="shared" si="1"/>
      </c>
    </row>
    <row r="629" ht="15" customHeight="1">
      <c r="B629">
        <f t="shared" si="2"/>
      </c>
      <c r="R629">
        <f t="shared" si="3"/>
        <v>0</v>
      </c>
      <c r="S629">
        <f t="shared" si="4"/>
        <v>0</v>
      </c>
      <c r="T629">
        <f t="shared" si="5"/>
        <v>0</v>
      </c>
      <c r="U629">
        <f t="shared" si="6"/>
        <v>0</v>
      </c>
      <c r="V629">
        <f t="shared" si="7"/>
        <v>0</v>
      </c>
      <c r="W629">
        <f t="shared" si="8"/>
        <v>0</v>
      </c>
      <c r="X629">
        <f t="shared" si="9"/>
        <v>0</v>
      </c>
      <c r="Y629">
        <f t="shared" si="10"/>
        <v>0</v>
      </c>
      <c r="Z629">
        <f t="shared" si="11"/>
        <v>0</v>
      </c>
      <c r="AA629">
        <f t="shared" si="12"/>
        <v>0</v>
      </c>
      <c r="AB629">
        <f t="shared" si="13"/>
        <v>0</v>
      </c>
      <c r="AC629">
        <f t="shared" si="14"/>
        <v>0</v>
      </c>
      <c r="AE629">
        <f t="shared" si="0"/>
      </c>
      <c r="AV629">
        <f t="shared" si="15"/>
      </c>
      <c r="BM629">
        <f t="shared" si="16"/>
      </c>
      <c r="CD629">
        <f t="shared" si="0"/>
      </c>
      <c r="CZ629">
        <f t="shared" si="17"/>
      </c>
      <c r="DA629">
        <f t="shared" si="1"/>
      </c>
      <c r="DB629">
        <f t="shared" si="18"/>
      </c>
      <c r="DC629">
        <f t="shared" si="19"/>
      </c>
      <c r="DD629">
        <f t="shared" si="20"/>
      </c>
      <c r="DE629">
        <f t="shared" si="21"/>
      </c>
      <c r="DF629">
        <f t="shared" si="22"/>
      </c>
      <c r="DG629">
        <f t="shared" si="23"/>
      </c>
      <c r="DH629">
        <f t="shared" si="24"/>
      </c>
      <c r="DI629">
        <f t="shared" si="1"/>
      </c>
    </row>
    <row r="630" ht="15" customHeight="1">
      <c r="B630">
        <f t="shared" si="2"/>
      </c>
      <c r="R630">
        <f t="shared" si="3"/>
        <v>0</v>
      </c>
      <c r="S630">
        <f t="shared" si="4"/>
        <v>0</v>
      </c>
      <c r="T630">
        <f t="shared" si="5"/>
        <v>0</v>
      </c>
      <c r="U630">
        <f t="shared" si="6"/>
        <v>0</v>
      </c>
      <c r="V630">
        <f t="shared" si="7"/>
        <v>0</v>
      </c>
      <c r="W630">
        <f t="shared" si="8"/>
        <v>0</v>
      </c>
      <c r="X630">
        <f t="shared" si="9"/>
        <v>0</v>
      </c>
      <c r="Y630">
        <f t="shared" si="10"/>
        <v>0</v>
      </c>
      <c r="Z630">
        <f t="shared" si="11"/>
        <v>0</v>
      </c>
      <c r="AA630">
        <f t="shared" si="12"/>
        <v>0</v>
      </c>
      <c r="AB630">
        <f t="shared" si="13"/>
        <v>0</v>
      </c>
      <c r="AC630">
        <f t="shared" si="14"/>
        <v>0</v>
      </c>
      <c r="AE630">
        <f t="shared" si="0"/>
      </c>
      <c r="AV630">
        <f t="shared" si="15"/>
      </c>
      <c r="BM630">
        <f t="shared" si="16"/>
      </c>
      <c r="CD630">
        <f t="shared" si="0"/>
      </c>
      <c r="CZ630">
        <f t="shared" si="17"/>
      </c>
      <c r="DA630">
        <f t="shared" si="1"/>
      </c>
      <c r="DB630">
        <f t="shared" si="18"/>
      </c>
      <c r="DC630">
        <f t="shared" si="19"/>
      </c>
      <c r="DD630">
        <f t="shared" si="20"/>
      </c>
      <c r="DE630">
        <f t="shared" si="21"/>
      </c>
      <c r="DF630">
        <f t="shared" si="22"/>
      </c>
      <c r="DG630">
        <f t="shared" si="23"/>
      </c>
      <c r="DH630">
        <f t="shared" si="24"/>
      </c>
      <c r="DI630">
        <f t="shared" si="1"/>
      </c>
    </row>
    <row r="631" ht="15" customHeight="1">
      <c r="B631">
        <f t="shared" si="2"/>
      </c>
      <c r="R631">
        <f t="shared" si="3"/>
        <v>0</v>
      </c>
      <c r="S631">
        <f t="shared" si="4"/>
        <v>0</v>
      </c>
      <c r="T631">
        <f t="shared" si="5"/>
        <v>0</v>
      </c>
      <c r="U631">
        <f t="shared" si="6"/>
        <v>0</v>
      </c>
      <c r="V631">
        <f t="shared" si="7"/>
        <v>0</v>
      </c>
      <c r="W631">
        <f t="shared" si="8"/>
        <v>0</v>
      </c>
      <c r="X631">
        <f t="shared" si="9"/>
        <v>0</v>
      </c>
      <c r="Y631">
        <f t="shared" si="10"/>
        <v>0</v>
      </c>
      <c r="Z631">
        <f t="shared" si="11"/>
        <v>0</v>
      </c>
      <c r="AA631">
        <f t="shared" si="12"/>
        <v>0</v>
      </c>
      <c r="AB631">
        <f t="shared" si="13"/>
        <v>0</v>
      </c>
      <c r="AC631">
        <f t="shared" si="14"/>
        <v>0</v>
      </c>
      <c r="AE631">
        <f t="shared" si="0"/>
      </c>
      <c r="AV631">
        <f t="shared" si="15"/>
      </c>
      <c r="BM631">
        <f t="shared" si="16"/>
      </c>
      <c r="CD631">
        <f t="shared" si="0"/>
      </c>
      <c r="CZ631">
        <f t="shared" si="17"/>
      </c>
      <c r="DA631">
        <f t="shared" si="1"/>
      </c>
      <c r="DB631">
        <f t="shared" si="18"/>
      </c>
      <c r="DC631">
        <f t="shared" si="19"/>
      </c>
      <c r="DD631">
        <f t="shared" si="20"/>
      </c>
      <c r="DE631">
        <f t="shared" si="21"/>
      </c>
      <c r="DF631">
        <f t="shared" si="22"/>
      </c>
      <c r="DG631">
        <f t="shared" si="23"/>
      </c>
      <c r="DH631">
        <f t="shared" si="24"/>
      </c>
      <c r="DI631">
        <f t="shared" si="1"/>
      </c>
    </row>
    <row r="632" ht="15" customHeight="1">
      <c r="B632">
        <f t="shared" si="2"/>
      </c>
      <c r="R632">
        <f t="shared" si="3"/>
        <v>0</v>
      </c>
      <c r="S632">
        <f t="shared" si="4"/>
        <v>0</v>
      </c>
      <c r="T632">
        <f t="shared" si="5"/>
        <v>0</v>
      </c>
      <c r="U632">
        <f t="shared" si="6"/>
        <v>0</v>
      </c>
      <c r="V632">
        <f t="shared" si="7"/>
        <v>0</v>
      </c>
      <c r="W632">
        <f t="shared" si="8"/>
        <v>0</v>
      </c>
      <c r="X632">
        <f t="shared" si="9"/>
        <v>0</v>
      </c>
      <c r="Y632">
        <f t="shared" si="10"/>
        <v>0</v>
      </c>
      <c r="Z632">
        <f t="shared" si="11"/>
        <v>0</v>
      </c>
      <c r="AA632">
        <f t="shared" si="12"/>
        <v>0</v>
      </c>
      <c r="AB632">
        <f t="shared" si="13"/>
        <v>0</v>
      </c>
      <c r="AC632">
        <f t="shared" si="14"/>
        <v>0</v>
      </c>
      <c r="AE632">
        <f t="shared" si="0"/>
      </c>
      <c r="AV632">
        <f t="shared" si="15"/>
      </c>
      <c r="BM632">
        <f t="shared" si="16"/>
      </c>
      <c r="CD632">
        <f t="shared" si="0"/>
      </c>
      <c r="CZ632">
        <f t="shared" si="17"/>
      </c>
      <c r="DA632">
        <f t="shared" si="1"/>
      </c>
      <c r="DB632">
        <f t="shared" si="18"/>
      </c>
      <c r="DC632">
        <f t="shared" si="19"/>
      </c>
      <c r="DD632">
        <f t="shared" si="20"/>
      </c>
      <c r="DE632">
        <f t="shared" si="21"/>
      </c>
      <c r="DF632">
        <f t="shared" si="22"/>
      </c>
      <c r="DG632">
        <f t="shared" si="23"/>
      </c>
      <c r="DH632">
        <f t="shared" si="24"/>
      </c>
      <c r="DI632">
        <f t="shared" si="1"/>
      </c>
    </row>
    <row r="633" ht="15" customHeight="1">
      <c r="B633">
        <f t="shared" si="2"/>
      </c>
      <c r="R633">
        <f t="shared" si="3"/>
        <v>0</v>
      </c>
      <c r="S633">
        <f t="shared" si="4"/>
        <v>0</v>
      </c>
      <c r="T633">
        <f t="shared" si="5"/>
        <v>0</v>
      </c>
      <c r="U633">
        <f t="shared" si="6"/>
        <v>0</v>
      </c>
      <c r="V633">
        <f t="shared" si="7"/>
        <v>0</v>
      </c>
      <c r="W633">
        <f t="shared" si="8"/>
        <v>0</v>
      </c>
      <c r="X633">
        <f t="shared" si="9"/>
        <v>0</v>
      </c>
      <c r="Y633">
        <f t="shared" si="10"/>
        <v>0</v>
      </c>
      <c r="Z633">
        <f t="shared" si="11"/>
        <v>0</v>
      </c>
      <c r="AA633">
        <f t="shared" si="12"/>
        <v>0</v>
      </c>
      <c r="AB633">
        <f t="shared" si="13"/>
        <v>0</v>
      </c>
      <c r="AC633">
        <f t="shared" si="14"/>
        <v>0</v>
      </c>
      <c r="AE633">
        <f t="shared" si="0"/>
      </c>
      <c r="AV633">
        <f t="shared" si="15"/>
      </c>
      <c r="BM633">
        <f t="shared" si="16"/>
      </c>
      <c r="CD633">
        <f t="shared" si="0"/>
      </c>
      <c r="CZ633">
        <f t="shared" si="17"/>
      </c>
      <c r="DA633">
        <f t="shared" si="1"/>
      </c>
      <c r="DB633">
        <f t="shared" si="18"/>
      </c>
      <c r="DC633">
        <f t="shared" si="19"/>
      </c>
      <c r="DD633">
        <f t="shared" si="20"/>
      </c>
      <c r="DE633">
        <f t="shared" si="21"/>
      </c>
      <c r="DF633">
        <f t="shared" si="22"/>
      </c>
      <c r="DG633">
        <f t="shared" si="23"/>
      </c>
      <c r="DH633">
        <f t="shared" si="24"/>
      </c>
      <c r="DI633">
        <f t="shared" si="1"/>
      </c>
    </row>
    <row r="634" ht="15" customHeight="1">
      <c r="B634">
        <f t="shared" si="2"/>
      </c>
      <c r="R634">
        <f t="shared" si="3"/>
        <v>0</v>
      </c>
      <c r="S634">
        <f t="shared" si="4"/>
        <v>0</v>
      </c>
      <c r="T634">
        <f t="shared" si="5"/>
        <v>0</v>
      </c>
      <c r="U634">
        <f t="shared" si="6"/>
        <v>0</v>
      </c>
      <c r="V634">
        <f t="shared" si="7"/>
        <v>0</v>
      </c>
      <c r="W634">
        <f t="shared" si="8"/>
        <v>0</v>
      </c>
      <c r="X634">
        <f t="shared" si="9"/>
        <v>0</v>
      </c>
      <c r="Y634">
        <f t="shared" si="10"/>
        <v>0</v>
      </c>
      <c r="Z634">
        <f t="shared" si="11"/>
        <v>0</v>
      </c>
      <c r="AA634">
        <f t="shared" si="12"/>
        <v>0</v>
      </c>
      <c r="AB634">
        <f t="shared" si="13"/>
        <v>0</v>
      </c>
      <c r="AC634">
        <f t="shared" si="14"/>
        <v>0</v>
      </c>
      <c r="AE634">
        <f t="shared" si="0"/>
      </c>
      <c r="AV634">
        <f t="shared" si="15"/>
      </c>
      <c r="BM634">
        <f t="shared" si="16"/>
      </c>
      <c r="CD634">
        <f t="shared" si="0"/>
      </c>
      <c r="CZ634">
        <f t="shared" si="17"/>
      </c>
      <c r="DA634">
        <f t="shared" si="1"/>
      </c>
      <c r="DB634">
        <f t="shared" si="18"/>
      </c>
      <c r="DC634">
        <f t="shared" si="19"/>
      </c>
      <c r="DD634">
        <f t="shared" si="20"/>
      </c>
      <c r="DE634">
        <f t="shared" si="21"/>
      </c>
      <c r="DF634">
        <f t="shared" si="22"/>
      </c>
      <c r="DG634">
        <f t="shared" si="23"/>
      </c>
      <c r="DH634">
        <f t="shared" si="24"/>
      </c>
      <c r="DI634">
        <f t="shared" si="1"/>
      </c>
    </row>
    <row r="635" ht="15" customHeight="1">
      <c r="B635">
        <f t="shared" si="2"/>
      </c>
      <c r="R635">
        <f t="shared" si="3"/>
        <v>0</v>
      </c>
      <c r="S635">
        <f t="shared" si="4"/>
        <v>0</v>
      </c>
      <c r="T635">
        <f t="shared" si="5"/>
        <v>0</v>
      </c>
      <c r="U635">
        <f t="shared" si="6"/>
        <v>0</v>
      </c>
      <c r="V635">
        <f t="shared" si="7"/>
        <v>0</v>
      </c>
      <c r="W635">
        <f t="shared" si="8"/>
        <v>0</v>
      </c>
      <c r="X635">
        <f t="shared" si="9"/>
        <v>0</v>
      </c>
      <c r="Y635">
        <f t="shared" si="10"/>
        <v>0</v>
      </c>
      <c r="Z635">
        <f t="shared" si="11"/>
        <v>0</v>
      </c>
      <c r="AA635">
        <f t="shared" si="12"/>
        <v>0</v>
      </c>
      <c r="AB635">
        <f t="shared" si="13"/>
        <v>0</v>
      </c>
      <c r="AC635">
        <f t="shared" si="14"/>
        <v>0</v>
      </c>
      <c r="AE635">
        <f t="shared" si="0"/>
      </c>
      <c r="AV635">
        <f t="shared" si="15"/>
      </c>
      <c r="BM635">
        <f t="shared" si="16"/>
      </c>
      <c r="CD635">
        <f t="shared" si="0"/>
      </c>
      <c r="CZ635">
        <f t="shared" si="17"/>
      </c>
      <c r="DA635">
        <f t="shared" si="1"/>
      </c>
      <c r="DB635">
        <f t="shared" si="18"/>
      </c>
      <c r="DC635">
        <f t="shared" si="19"/>
      </c>
      <c r="DD635">
        <f t="shared" si="20"/>
      </c>
      <c r="DE635">
        <f t="shared" si="21"/>
      </c>
      <c r="DF635">
        <f t="shared" si="22"/>
      </c>
      <c r="DG635">
        <f t="shared" si="23"/>
      </c>
      <c r="DH635">
        <f t="shared" si="24"/>
      </c>
      <c r="DI635">
        <f t="shared" si="1"/>
      </c>
    </row>
    <row r="636" ht="15" customHeight="1">
      <c r="B636">
        <f t="shared" si="2"/>
      </c>
      <c r="R636">
        <f t="shared" si="3"/>
        <v>0</v>
      </c>
      <c r="S636">
        <f t="shared" si="4"/>
        <v>0</v>
      </c>
      <c r="T636">
        <f t="shared" si="5"/>
        <v>0</v>
      </c>
      <c r="U636">
        <f t="shared" si="6"/>
        <v>0</v>
      </c>
      <c r="V636">
        <f t="shared" si="7"/>
        <v>0</v>
      </c>
      <c r="W636">
        <f t="shared" si="8"/>
        <v>0</v>
      </c>
      <c r="X636">
        <f t="shared" si="9"/>
        <v>0</v>
      </c>
      <c r="Y636">
        <f t="shared" si="10"/>
        <v>0</v>
      </c>
      <c r="Z636">
        <f t="shared" si="11"/>
        <v>0</v>
      </c>
      <c r="AA636">
        <f t="shared" si="12"/>
        <v>0</v>
      </c>
      <c r="AB636">
        <f t="shared" si="13"/>
        <v>0</v>
      </c>
      <c r="AC636">
        <f t="shared" si="14"/>
        <v>0</v>
      </c>
      <c r="AE636">
        <f t="shared" si="0"/>
      </c>
      <c r="AV636">
        <f t="shared" si="15"/>
      </c>
      <c r="BM636">
        <f t="shared" si="16"/>
      </c>
      <c r="CD636">
        <f t="shared" si="0"/>
      </c>
      <c r="CZ636">
        <f t="shared" si="17"/>
      </c>
      <c r="DA636">
        <f t="shared" si="1"/>
      </c>
      <c r="DB636">
        <f t="shared" si="18"/>
      </c>
      <c r="DC636">
        <f t="shared" si="19"/>
      </c>
      <c r="DD636">
        <f t="shared" si="20"/>
      </c>
      <c r="DE636">
        <f t="shared" si="21"/>
      </c>
      <c r="DF636">
        <f t="shared" si="22"/>
      </c>
      <c r="DG636">
        <f t="shared" si="23"/>
      </c>
      <c r="DH636">
        <f t="shared" si="24"/>
      </c>
      <c r="DI636">
        <f t="shared" si="1"/>
      </c>
    </row>
    <row r="637" ht="15" customHeight="1">
      <c r="B637">
        <f t="shared" si="2"/>
      </c>
      <c r="R637">
        <f t="shared" si="3"/>
        <v>0</v>
      </c>
      <c r="S637">
        <f t="shared" si="4"/>
        <v>0</v>
      </c>
      <c r="T637">
        <f t="shared" si="5"/>
        <v>0</v>
      </c>
      <c r="U637">
        <f t="shared" si="6"/>
        <v>0</v>
      </c>
      <c r="V637">
        <f t="shared" si="7"/>
        <v>0</v>
      </c>
      <c r="W637">
        <f t="shared" si="8"/>
        <v>0</v>
      </c>
      <c r="X637">
        <f t="shared" si="9"/>
        <v>0</v>
      </c>
      <c r="Y637">
        <f t="shared" si="10"/>
        <v>0</v>
      </c>
      <c r="Z637">
        <f t="shared" si="11"/>
        <v>0</v>
      </c>
      <c r="AA637">
        <f t="shared" si="12"/>
        <v>0</v>
      </c>
      <c r="AB637">
        <f t="shared" si="13"/>
        <v>0</v>
      </c>
      <c r="AC637">
        <f t="shared" si="14"/>
        <v>0</v>
      </c>
      <c r="AE637">
        <f t="shared" si="0"/>
      </c>
      <c r="AV637">
        <f t="shared" si="15"/>
      </c>
      <c r="BM637">
        <f t="shared" si="16"/>
      </c>
      <c r="CD637">
        <f t="shared" si="0"/>
      </c>
      <c r="CZ637">
        <f t="shared" si="17"/>
      </c>
      <c r="DA637">
        <f t="shared" si="1"/>
      </c>
      <c r="DB637">
        <f t="shared" si="18"/>
      </c>
      <c r="DC637">
        <f t="shared" si="19"/>
      </c>
      <c r="DD637">
        <f t="shared" si="20"/>
      </c>
      <c r="DE637">
        <f t="shared" si="21"/>
      </c>
      <c r="DF637">
        <f t="shared" si="22"/>
      </c>
      <c r="DG637">
        <f t="shared" si="23"/>
      </c>
      <c r="DH637">
        <f t="shared" si="24"/>
      </c>
      <c r="DI637">
        <f t="shared" si="1"/>
      </c>
    </row>
    <row r="638" ht="15" customHeight="1">
      <c r="B638">
        <f t="shared" si="2"/>
      </c>
      <c r="R638">
        <f t="shared" si="3"/>
        <v>0</v>
      </c>
      <c r="S638">
        <f t="shared" si="4"/>
        <v>0</v>
      </c>
      <c r="T638">
        <f t="shared" si="5"/>
        <v>0</v>
      </c>
      <c r="U638">
        <f t="shared" si="6"/>
        <v>0</v>
      </c>
      <c r="V638">
        <f t="shared" si="7"/>
        <v>0</v>
      </c>
      <c r="W638">
        <f t="shared" si="8"/>
        <v>0</v>
      </c>
      <c r="X638">
        <f t="shared" si="9"/>
        <v>0</v>
      </c>
      <c r="Y638">
        <f t="shared" si="10"/>
        <v>0</v>
      </c>
      <c r="Z638">
        <f t="shared" si="11"/>
        <v>0</v>
      </c>
      <c r="AA638">
        <f t="shared" si="12"/>
        <v>0</v>
      </c>
      <c r="AB638">
        <f t="shared" si="13"/>
        <v>0</v>
      </c>
      <c r="AC638">
        <f t="shared" si="14"/>
        <v>0</v>
      </c>
      <c r="AE638">
        <f t="shared" si="0"/>
      </c>
      <c r="AV638">
        <f t="shared" si="15"/>
      </c>
      <c r="BM638">
        <f t="shared" si="16"/>
      </c>
      <c r="CD638">
        <f t="shared" si="0"/>
      </c>
      <c r="CZ638">
        <f t="shared" si="17"/>
      </c>
      <c r="DA638">
        <f t="shared" si="1"/>
      </c>
      <c r="DB638">
        <f t="shared" si="18"/>
      </c>
      <c r="DC638">
        <f t="shared" si="19"/>
      </c>
      <c r="DD638">
        <f t="shared" si="20"/>
      </c>
      <c r="DE638">
        <f t="shared" si="21"/>
      </c>
      <c r="DF638">
        <f t="shared" si="22"/>
      </c>
      <c r="DG638">
        <f t="shared" si="23"/>
      </c>
      <c r="DH638">
        <f t="shared" si="24"/>
      </c>
      <c r="DI638">
        <f t="shared" si="1"/>
      </c>
    </row>
    <row r="639" ht="15" customHeight="1">
      <c r="B639">
        <f t="shared" si="2"/>
      </c>
      <c r="R639">
        <f t="shared" si="3"/>
        <v>0</v>
      </c>
      <c r="S639">
        <f t="shared" si="4"/>
        <v>0</v>
      </c>
      <c r="T639">
        <f t="shared" si="5"/>
        <v>0</v>
      </c>
      <c r="U639">
        <f t="shared" si="6"/>
        <v>0</v>
      </c>
      <c r="V639">
        <f t="shared" si="7"/>
        <v>0</v>
      </c>
      <c r="W639">
        <f t="shared" si="8"/>
        <v>0</v>
      </c>
      <c r="X639">
        <f t="shared" si="9"/>
        <v>0</v>
      </c>
      <c r="Y639">
        <f t="shared" si="10"/>
        <v>0</v>
      </c>
      <c r="Z639">
        <f t="shared" si="11"/>
        <v>0</v>
      </c>
      <c r="AA639">
        <f t="shared" si="12"/>
        <v>0</v>
      </c>
      <c r="AB639">
        <f t="shared" si="13"/>
        <v>0</v>
      </c>
      <c r="AC639">
        <f t="shared" si="14"/>
        <v>0</v>
      </c>
      <c r="AE639">
        <f t="shared" si="0"/>
      </c>
      <c r="AV639">
        <f t="shared" si="15"/>
      </c>
      <c r="BM639">
        <f t="shared" si="16"/>
      </c>
      <c r="CD639">
        <f t="shared" si="0"/>
      </c>
      <c r="CZ639">
        <f t="shared" si="17"/>
      </c>
      <c r="DA639">
        <f t="shared" si="1"/>
      </c>
      <c r="DB639">
        <f t="shared" si="18"/>
      </c>
      <c r="DC639">
        <f t="shared" si="19"/>
      </c>
      <c r="DD639">
        <f t="shared" si="20"/>
      </c>
      <c r="DE639">
        <f t="shared" si="21"/>
      </c>
      <c r="DF639">
        <f t="shared" si="22"/>
      </c>
      <c r="DG639">
        <f t="shared" si="23"/>
      </c>
      <c r="DH639">
        <f t="shared" si="24"/>
      </c>
      <c r="DI639">
        <f t="shared" si="1"/>
      </c>
    </row>
    <row r="640" ht="15" customHeight="1">
      <c r="B640">
        <f t="shared" si="2"/>
      </c>
      <c r="R640">
        <f t="shared" si="3"/>
        <v>0</v>
      </c>
      <c r="S640">
        <f t="shared" si="4"/>
        <v>0</v>
      </c>
      <c r="T640">
        <f t="shared" si="5"/>
        <v>0</v>
      </c>
      <c r="U640">
        <f t="shared" si="6"/>
        <v>0</v>
      </c>
      <c r="V640">
        <f t="shared" si="7"/>
        <v>0</v>
      </c>
      <c r="W640">
        <f t="shared" si="8"/>
        <v>0</v>
      </c>
      <c r="X640">
        <f t="shared" si="9"/>
        <v>0</v>
      </c>
      <c r="Y640">
        <f t="shared" si="10"/>
        <v>0</v>
      </c>
      <c r="Z640">
        <f t="shared" si="11"/>
        <v>0</v>
      </c>
      <c r="AA640">
        <f t="shared" si="12"/>
        <v>0</v>
      </c>
      <c r="AB640">
        <f t="shared" si="13"/>
        <v>0</v>
      </c>
      <c r="AC640">
        <f t="shared" si="14"/>
        <v>0</v>
      </c>
      <c r="AE640">
        <f t="shared" si="0"/>
      </c>
      <c r="AV640">
        <f t="shared" si="15"/>
      </c>
      <c r="BM640">
        <f t="shared" si="16"/>
      </c>
      <c r="CD640">
        <f t="shared" si="0"/>
      </c>
      <c r="CZ640">
        <f t="shared" si="17"/>
      </c>
      <c r="DA640">
        <f t="shared" si="1"/>
      </c>
      <c r="DB640">
        <f t="shared" si="18"/>
      </c>
      <c r="DC640">
        <f t="shared" si="19"/>
      </c>
      <c r="DD640">
        <f t="shared" si="20"/>
      </c>
      <c r="DE640">
        <f t="shared" si="21"/>
      </c>
      <c r="DF640">
        <f t="shared" si="22"/>
      </c>
      <c r="DG640">
        <f t="shared" si="23"/>
      </c>
      <c r="DH640">
        <f t="shared" si="24"/>
      </c>
      <c r="DI640">
        <f t="shared" si="1"/>
      </c>
    </row>
    <row r="641" ht="15" customHeight="1">
      <c r="B641">
        <f t="shared" si="2"/>
      </c>
      <c r="R641">
        <f t="shared" si="3"/>
        <v>0</v>
      </c>
      <c r="S641">
        <f t="shared" si="4"/>
        <v>0</v>
      </c>
      <c r="T641">
        <f t="shared" si="5"/>
        <v>0</v>
      </c>
      <c r="U641">
        <f t="shared" si="6"/>
        <v>0</v>
      </c>
      <c r="V641">
        <f t="shared" si="7"/>
        <v>0</v>
      </c>
      <c r="W641">
        <f t="shared" si="8"/>
        <v>0</v>
      </c>
      <c r="X641">
        <f t="shared" si="9"/>
        <v>0</v>
      </c>
      <c r="Y641">
        <f t="shared" si="10"/>
        <v>0</v>
      </c>
      <c r="Z641">
        <f t="shared" si="11"/>
        <v>0</v>
      </c>
      <c r="AA641">
        <f t="shared" si="12"/>
        <v>0</v>
      </c>
      <c r="AB641">
        <f t="shared" si="13"/>
        <v>0</v>
      </c>
      <c r="AC641">
        <f t="shared" si="14"/>
        <v>0</v>
      </c>
      <c r="AE641">
        <f t="shared" si="0"/>
      </c>
      <c r="AV641">
        <f t="shared" si="15"/>
      </c>
      <c r="BM641">
        <f t="shared" si="16"/>
      </c>
      <c r="CD641">
        <f t="shared" si="0"/>
      </c>
      <c r="CZ641">
        <f t="shared" si="17"/>
      </c>
      <c r="DA641">
        <f t="shared" si="1"/>
      </c>
      <c r="DB641">
        <f t="shared" si="18"/>
      </c>
      <c r="DC641">
        <f t="shared" si="19"/>
      </c>
      <c r="DD641">
        <f t="shared" si="20"/>
      </c>
      <c r="DE641">
        <f t="shared" si="21"/>
      </c>
      <c r="DF641">
        <f t="shared" si="22"/>
      </c>
      <c r="DG641">
        <f t="shared" si="23"/>
      </c>
      <c r="DH641">
        <f t="shared" si="24"/>
      </c>
      <c r="DI641">
        <f t="shared" si="1"/>
      </c>
    </row>
    <row r="642" ht="15" customHeight="1">
      <c r="B642">
        <f t="shared" si="2"/>
      </c>
      <c r="R642">
        <f t="shared" si="3"/>
        <v>0</v>
      </c>
      <c r="S642">
        <f t="shared" si="4"/>
        <v>0</v>
      </c>
      <c r="T642">
        <f t="shared" si="5"/>
        <v>0</v>
      </c>
      <c r="U642">
        <f t="shared" si="6"/>
        <v>0</v>
      </c>
      <c r="V642">
        <f t="shared" si="7"/>
        <v>0</v>
      </c>
      <c r="W642">
        <f t="shared" si="8"/>
        <v>0</v>
      </c>
      <c r="X642">
        <f t="shared" si="9"/>
        <v>0</v>
      </c>
      <c r="Y642">
        <f t="shared" si="10"/>
        <v>0</v>
      </c>
      <c r="Z642">
        <f t="shared" si="11"/>
        <v>0</v>
      </c>
      <c r="AA642">
        <f t="shared" si="12"/>
        <v>0</v>
      </c>
      <c r="AB642">
        <f t="shared" si="13"/>
        <v>0</v>
      </c>
      <c r="AC642">
        <f t="shared" si="14"/>
        <v>0</v>
      </c>
      <c r="AE642">
        <f t="shared" si="0"/>
      </c>
      <c r="AV642">
        <f t="shared" si="15"/>
      </c>
      <c r="BM642">
        <f t="shared" si="16"/>
      </c>
      <c r="CD642">
        <f t="shared" si="0"/>
      </c>
      <c r="CZ642">
        <f t="shared" si="17"/>
      </c>
      <c r="DA642">
        <f t="shared" si="1"/>
      </c>
      <c r="DB642">
        <f t="shared" si="18"/>
      </c>
      <c r="DC642">
        <f t="shared" si="19"/>
      </c>
      <c r="DD642">
        <f t="shared" si="20"/>
      </c>
      <c r="DE642">
        <f t="shared" si="21"/>
      </c>
      <c r="DF642">
        <f t="shared" si="22"/>
      </c>
      <c r="DG642">
        <f t="shared" si="23"/>
      </c>
      <c r="DH642">
        <f t="shared" si="24"/>
      </c>
      <c r="DI642">
        <f t="shared" si="1"/>
      </c>
    </row>
    <row r="643" ht="15" customHeight="1">
      <c r="B643">
        <f t="shared" si="2"/>
      </c>
      <c r="R643">
        <f t="shared" si="3"/>
        <v>0</v>
      </c>
      <c r="S643">
        <f t="shared" si="4"/>
        <v>0</v>
      </c>
      <c r="T643">
        <f t="shared" si="5"/>
        <v>0</v>
      </c>
      <c r="U643">
        <f t="shared" si="6"/>
        <v>0</v>
      </c>
      <c r="V643">
        <f t="shared" si="7"/>
        <v>0</v>
      </c>
      <c r="W643">
        <f t="shared" si="8"/>
        <v>0</v>
      </c>
      <c r="X643">
        <f t="shared" si="9"/>
        <v>0</v>
      </c>
      <c r="Y643">
        <f t="shared" si="10"/>
        <v>0</v>
      </c>
      <c r="Z643">
        <f t="shared" si="11"/>
        <v>0</v>
      </c>
      <c r="AA643">
        <f t="shared" si="12"/>
        <v>0</v>
      </c>
      <c r="AB643">
        <f t="shared" si="13"/>
        <v>0</v>
      </c>
      <c r="AC643">
        <f t="shared" si="14"/>
        <v>0</v>
      </c>
      <c r="AE643">
        <f t="shared" si="0"/>
      </c>
      <c r="AV643">
        <f t="shared" si="15"/>
      </c>
      <c r="BM643">
        <f t="shared" si="16"/>
      </c>
      <c r="CD643">
        <f t="shared" si="0"/>
      </c>
      <c r="CZ643">
        <f t="shared" si="17"/>
      </c>
      <c r="DA643">
        <f t="shared" si="1"/>
      </c>
      <c r="DB643">
        <f t="shared" si="18"/>
      </c>
      <c r="DC643">
        <f t="shared" si="19"/>
      </c>
      <c r="DD643">
        <f t="shared" si="20"/>
      </c>
      <c r="DE643">
        <f t="shared" si="21"/>
      </c>
      <c r="DF643">
        <f t="shared" si="22"/>
      </c>
      <c r="DG643">
        <f t="shared" si="23"/>
      </c>
      <c r="DH643">
        <f t="shared" si="24"/>
      </c>
      <c r="DI643">
        <f t="shared" si="1"/>
      </c>
    </row>
    <row r="644" ht="15" customHeight="1">
      <c r="B644">
        <f t="shared" si="2"/>
      </c>
      <c r="R644">
        <f t="shared" si="3"/>
        <v>0</v>
      </c>
      <c r="S644">
        <f t="shared" si="4"/>
        <v>0</v>
      </c>
      <c r="T644">
        <f t="shared" si="5"/>
        <v>0</v>
      </c>
      <c r="U644">
        <f t="shared" si="6"/>
        <v>0</v>
      </c>
      <c r="V644">
        <f t="shared" si="7"/>
        <v>0</v>
      </c>
      <c r="W644">
        <f t="shared" si="8"/>
        <v>0</v>
      </c>
      <c r="X644">
        <f t="shared" si="9"/>
        <v>0</v>
      </c>
      <c r="Y644">
        <f t="shared" si="10"/>
        <v>0</v>
      </c>
      <c r="Z644">
        <f t="shared" si="11"/>
        <v>0</v>
      </c>
      <c r="AA644">
        <f t="shared" si="12"/>
        <v>0</v>
      </c>
      <c r="AB644">
        <f t="shared" si="13"/>
        <v>0</v>
      </c>
      <c r="AC644">
        <f t="shared" si="14"/>
        <v>0</v>
      </c>
      <c r="AE644">
        <f t="shared" si="0"/>
      </c>
      <c r="AV644">
        <f t="shared" si="15"/>
      </c>
      <c r="BM644">
        <f t="shared" si="16"/>
      </c>
      <c r="CD644">
        <f t="shared" si="0"/>
      </c>
      <c r="CZ644">
        <f t="shared" si="17"/>
      </c>
      <c r="DA644">
        <f t="shared" si="1"/>
      </c>
      <c r="DB644">
        <f t="shared" si="18"/>
      </c>
      <c r="DC644">
        <f t="shared" si="19"/>
      </c>
      <c r="DD644">
        <f t="shared" si="20"/>
      </c>
      <c r="DE644">
        <f t="shared" si="21"/>
      </c>
      <c r="DF644">
        <f t="shared" si="22"/>
      </c>
      <c r="DG644">
        <f t="shared" si="23"/>
      </c>
      <c r="DH644">
        <f t="shared" si="24"/>
      </c>
      <c r="DI644">
        <f t="shared" si="1"/>
      </c>
    </row>
    <row r="645" ht="15" customHeight="1">
      <c r="B645">
        <f t="shared" si="2"/>
      </c>
      <c r="R645">
        <f t="shared" si="3"/>
        <v>0</v>
      </c>
      <c r="S645">
        <f t="shared" si="4"/>
        <v>0</v>
      </c>
      <c r="T645">
        <f t="shared" si="5"/>
        <v>0</v>
      </c>
      <c r="U645">
        <f t="shared" si="6"/>
        <v>0</v>
      </c>
      <c r="V645">
        <f t="shared" si="7"/>
        <v>0</v>
      </c>
      <c r="W645">
        <f t="shared" si="8"/>
        <v>0</v>
      </c>
      <c r="X645">
        <f t="shared" si="9"/>
        <v>0</v>
      </c>
      <c r="Y645">
        <f t="shared" si="10"/>
        <v>0</v>
      </c>
      <c r="Z645">
        <f t="shared" si="11"/>
        <v>0</v>
      </c>
      <c r="AA645">
        <f t="shared" si="12"/>
        <v>0</v>
      </c>
      <c r="AB645">
        <f t="shared" si="13"/>
        <v>0</v>
      </c>
      <c r="AC645">
        <f t="shared" si="14"/>
        <v>0</v>
      </c>
      <c r="AE645">
        <f t="shared" si="0"/>
      </c>
      <c r="AV645">
        <f t="shared" si="15"/>
      </c>
      <c r="BM645">
        <f t="shared" si="16"/>
      </c>
      <c r="CD645">
        <f t="shared" si="0"/>
      </c>
      <c r="CZ645">
        <f t="shared" si="17"/>
      </c>
      <c r="DA645">
        <f t="shared" si="1"/>
      </c>
      <c r="DB645">
        <f t="shared" si="18"/>
      </c>
      <c r="DC645">
        <f t="shared" si="19"/>
      </c>
      <c r="DD645">
        <f t="shared" si="20"/>
      </c>
      <c r="DE645">
        <f t="shared" si="21"/>
      </c>
      <c r="DF645">
        <f t="shared" si="22"/>
      </c>
      <c r="DG645">
        <f t="shared" si="23"/>
      </c>
      <c r="DH645">
        <f t="shared" si="24"/>
      </c>
      <c r="DI645">
        <f t="shared" si="1"/>
      </c>
    </row>
    <row r="646" ht="15" customHeight="1">
      <c r="B646">
        <f t="shared" si="2"/>
      </c>
      <c r="R646">
        <f t="shared" si="3"/>
        <v>0</v>
      </c>
      <c r="S646">
        <f t="shared" si="4"/>
        <v>0</v>
      </c>
      <c r="T646">
        <f t="shared" si="5"/>
        <v>0</v>
      </c>
      <c r="U646">
        <f t="shared" si="6"/>
        <v>0</v>
      </c>
      <c r="V646">
        <f t="shared" si="7"/>
        <v>0</v>
      </c>
      <c r="W646">
        <f t="shared" si="8"/>
        <v>0</v>
      </c>
      <c r="X646">
        <f t="shared" si="9"/>
        <v>0</v>
      </c>
      <c r="Y646">
        <f t="shared" si="10"/>
        <v>0</v>
      </c>
      <c r="Z646">
        <f t="shared" si="11"/>
        <v>0</v>
      </c>
      <c r="AA646">
        <f t="shared" si="12"/>
        <v>0</v>
      </c>
      <c r="AB646">
        <f t="shared" si="13"/>
        <v>0</v>
      </c>
      <c r="AC646">
        <f t="shared" si="14"/>
        <v>0</v>
      </c>
      <c r="AE646">
        <f t="shared" si="0"/>
      </c>
      <c r="AV646">
        <f t="shared" si="15"/>
      </c>
      <c r="BM646">
        <f t="shared" si="16"/>
      </c>
      <c r="CD646">
        <f t="shared" si="0"/>
      </c>
      <c r="CZ646">
        <f t="shared" si="17"/>
      </c>
      <c r="DA646">
        <f t="shared" si="1"/>
      </c>
      <c r="DB646">
        <f t="shared" si="18"/>
      </c>
      <c r="DC646">
        <f t="shared" si="19"/>
      </c>
      <c r="DD646">
        <f t="shared" si="20"/>
      </c>
      <c r="DE646">
        <f t="shared" si="21"/>
      </c>
      <c r="DF646">
        <f t="shared" si="22"/>
      </c>
      <c r="DG646">
        <f t="shared" si="23"/>
      </c>
      <c r="DH646">
        <f t="shared" si="24"/>
      </c>
      <c r="DI646">
        <f t="shared" si="1"/>
      </c>
    </row>
    <row r="647" ht="15" customHeight="1">
      <c r="B647">
        <f t="shared" si="2"/>
      </c>
      <c r="R647">
        <f t="shared" si="3"/>
        <v>0</v>
      </c>
      <c r="S647">
        <f t="shared" si="4"/>
        <v>0</v>
      </c>
      <c r="T647">
        <f t="shared" si="5"/>
        <v>0</v>
      </c>
      <c r="U647">
        <f t="shared" si="6"/>
        <v>0</v>
      </c>
      <c r="V647">
        <f t="shared" si="7"/>
        <v>0</v>
      </c>
      <c r="W647">
        <f t="shared" si="8"/>
        <v>0</v>
      </c>
      <c r="X647">
        <f t="shared" si="9"/>
        <v>0</v>
      </c>
      <c r="Y647">
        <f t="shared" si="10"/>
        <v>0</v>
      </c>
      <c r="Z647">
        <f t="shared" si="11"/>
        <v>0</v>
      </c>
      <c r="AA647">
        <f t="shared" si="12"/>
        <v>0</v>
      </c>
      <c r="AB647">
        <f t="shared" si="13"/>
        <v>0</v>
      </c>
      <c r="AC647">
        <f t="shared" si="14"/>
        <v>0</v>
      </c>
      <c r="AE647">
        <f t="shared" si="0"/>
      </c>
      <c r="AV647">
        <f t="shared" si="15"/>
      </c>
      <c r="BM647">
        <f t="shared" si="16"/>
      </c>
      <c r="CD647">
        <f t="shared" si="0"/>
      </c>
      <c r="CZ647">
        <f t="shared" si="17"/>
      </c>
      <c r="DA647">
        <f t="shared" si="1"/>
      </c>
      <c r="DB647">
        <f t="shared" si="18"/>
      </c>
      <c r="DC647">
        <f t="shared" si="19"/>
      </c>
      <c r="DD647">
        <f t="shared" si="20"/>
      </c>
      <c r="DE647">
        <f t="shared" si="21"/>
      </c>
      <c r="DF647">
        <f t="shared" si="22"/>
      </c>
      <c r="DG647">
        <f t="shared" si="23"/>
      </c>
      <c r="DH647">
        <f t="shared" si="24"/>
      </c>
      <c r="DI647">
        <f t="shared" si="1"/>
      </c>
    </row>
    <row r="648" ht="15" customHeight="1">
      <c r="B648">
        <f t="shared" si="2"/>
      </c>
      <c r="R648">
        <f t="shared" si="3"/>
        <v>0</v>
      </c>
      <c r="S648">
        <f t="shared" si="4"/>
        <v>0</v>
      </c>
      <c r="T648">
        <f t="shared" si="5"/>
        <v>0</v>
      </c>
      <c r="U648">
        <f t="shared" si="6"/>
        <v>0</v>
      </c>
      <c r="V648">
        <f t="shared" si="7"/>
        <v>0</v>
      </c>
      <c r="W648">
        <f t="shared" si="8"/>
        <v>0</v>
      </c>
      <c r="X648">
        <f t="shared" si="9"/>
        <v>0</v>
      </c>
      <c r="Y648">
        <f t="shared" si="10"/>
        <v>0</v>
      </c>
      <c r="Z648">
        <f t="shared" si="11"/>
        <v>0</v>
      </c>
      <c r="AA648">
        <f t="shared" si="12"/>
        <v>0</v>
      </c>
      <c r="AB648">
        <f t="shared" si="13"/>
        <v>0</v>
      </c>
      <c r="AC648">
        <f t="shared" si="14"/>
        <v>0</v>
      </c>
      <c r="AE648">
        <f t="shared" si="0"/>
      </c>
      <c r="AV648">
        <f t="shared" si="15"/>
      </c>
      <c r="BM648">
        <f t="shared" si="16"/>
      </c>
      <c r="CD648">
        <f t="shared" si="0"/>
      </c>
      <c r="CZ648">
        <f t="shared" si="17"/>
      </c>
      <c r="DA648">
        <f t="shared" si="1"/>
      </c>
      <c r="DB648">
        <f t="shared" si="18"/>
      </c>
      <c r="DC648">
        <f t="shared" si="19"/>
      </c>
      <c r="DD648">
        <f t="shared" si="20"/>
      </c>
      <c r="DE648">
        <f t="shared" si="21"/>
      </c>
      <c r="DF648">
        <f t="shared" si="22"/>
      </c>
      <c r="DG648">
        <f t="shared" si="23"/>
      </c>
      <c r="DH648">
        <f t="shared" si="24"/>
      </c>
      <c r="DI648">
        <f t="shared" si="1"/>
      </c>
    </row>
    <row r="649" ht="15" customHeight="1">
      <c r="B649">
        <f t="shared" si="2"/>
      </c>
      <c r="R649">
        <f t="shared" si="3"/>
        <v>0</v>
      </c>
      <c r="S649">
        <f t="shared" si="4"/>
        <v>0</v>
      </c>
      <c r="T649">
        <f t="shared" si="5"/>
        <v>0</v>
      </c>
      <c r="U649">
        <f t="shared" si="6"/>
        <v>0</v>
      </c>
      <c r="V649">
        <f t="shared" si="7"/>
        <v>0</v>
      </c>
      <c r="W649">
        <f t="shared" si="8"/>
        <v>0</v>
      </c>
      <c r="X649">
        <f t="shared" si="9"/>
        <v>0</v>
      </c>
      <c r="Y649">
        <f t="shared" si="10"/>
        <v>0</v>
      </c>
      <c r="Z649">
        <f t="shared" si="11"/>
        <v>0</v>
      </c>
      <c r="AA649">
        <f t="shared" si="12"/>
        <v>0</v>
      </c>
      <c r="AB649">
        <f t="shared" si="13"/>
        <v>0</v>
      </c>
      <c r="AC649">
        <f t="shared" si="14"/>
        <v>0</v>
      </c>
      <c r="AE649">
        <f t="shared" si="0"/>
      </c>
      <c r="AV649">
        <f t="shared" si="15"/>
      </c>
      <c r="BM649">
        <f t="shared" si="16"/>
      </c>
      <c r="CD649">
        <f t="shared" si="0"/>
      </c>
      <c r="CZ649">
        <f t="shared" si="17"/>
      </c>
      <c r="DA649">
        <f t="shared" si="1"/>
      </c>
      <c r="DB649">
        <f t="shared" si="18"/>
      </c>
      <c r="DC649">
        <f t="shared" si="19"/>
      </c>
      <c r="DD649">
        <f t="shared" si="20"/>
      </c>
      <c r="DE649">
        <f t="shared" si="21"/>
      </c>
      <c r="DF649">
        <f t="shared" si="22"/>
      </c>
      <c r="DG649">
        <f t="shared" si="23"/>
      </c>
      <c r="DH649">
        <f t="shared" si="24"/>
      </c>
      <c r="DI649">
        <f t="shared" si="1"/>
      </c>
    </row>
    <row r="650" ht="15" customHeight="1">
      <c r="B650">
        <f t="shared" si="2"/>
      </c>
      <c r="R650">
        <f t="shared" si="3"/>
        <v>0</v>
      </c>
      <c r="S650">
        <f t="shared" si="4"/>
        <v>0</v>
      </c>
      <c r="T650">
        <f t="shared" si="5"/>
        <v>0</v>
      </c>
      <c r="U650">
        <f t="shared" si="6"/>
        <v>0</v>
      </c>
      <c r="V650">
        <f t="shared" si="7"/>
        <v>0</v>
      </c>
      <c r="W650">
        <f t="shared" si="8"/>
        <v>0</v>
      </c>
      <c r="X650">
        <f t="shared" si="9"/>
        <v>0</v>
      </c>
      <c r="Y650">
        <f t="shared" si="10"/>
        <v>0</v>
      </c>
      <c r="Z650">
        <f t="shared" si="11"/>
        <v>0</v>
      </c>
      <c r="AA650">
        <f t="shared" si="12"/>
        <v>0</v>
      </c>
      <c r="AB650">
        <f t="shared" si="13"/>
        <v>0</v>
      </c>
      <c r="AC650">
        <f t="shared" si="14"/>
        <v>0</v>
      </c>
      <c r="AE650">
        <f t="shared" si="0"/>
      </c>
      <c r="AV650">
        <f t="shared" si="15"/>
      </c>
      <c r="BM650">
        <f t="shared" si="16"/>
      </c>
      <c r="CD650">
        <f t="shared" si="0"/>
      </c>
      <c r="CZ650">
        <f t="shared" si="17"/>
      </c>
      <c r="DA650">
        <f t="shared" si="1"/>
      </c>
      <c r="DB650">
        <f t="shared" si="18"/>
      </c>
      <c r="DC650">
        <f t="shared" si="19"/>
      </c>
      <c r="DD650">
        <f t="shared" si="20"/>
      </c>
      <c r="DE650">
        <f t="shared" si="21"/>
      </c>
      <c r="DF650">
        <f t="shared" si="22"/>
      </c>
      <c r="DG650">
        <f t="shared" si="23"/>
      </c>
      <c r="DH650">
        <f t="shared" si="24"/>
      </c>
      <c r="DI650">
        <f t="shared" si="1"/>
      </c>
    </row>
    <row r="651" ht="15" customHeight="1">
      <c r="B651">
        <f t="shared" si="2"/>
      </c>
      <c r="R651">
        <f t="shared" si="3"/>
        <v>0</v>
      </c>
      <c r="S651">
        <f t="shared" si="4"/>
        <v>0</v>
      </c>
      <c r="T651">
        <f t="shared" si="5"/>
        <v>0</v>
      </c>
      <c r="U651">
        <f t="shared" si="6"/>
        <v>0</v>
      </c>
      <c r="V651">
        <f t="shared" si="7"/>
        <v>0</v>
      </c>
      <c r="W651">
        <f t="shared" si="8"/>
        <v>0</v>
      </c>
      <c r="X651">
        <f t="shared" si="9"/>
        <v>0</v>
      </c>
      <c r="Y651">
        <f t="shared" si="10"/>
        <v>0</v>
      </c>
      <c r="Z651">
        <f t="shared" si="11"/>
        <v>0</v>
      </c>
      <c r="AA651">
        <f t="shared" si="12"/>
        <v>0</v>
      </c>
      <c r="AB651">
        <f t="shared" si="13"/>
        <v>0</v>
      </c>
      <c r="AC651">
        <f t="shared" si="14"/>
        <v>0</v>
      </c>
      <c r="AE651">
        <f t="shared" si="0"/>
      </c>
      <c r="AV651">
        <f t="shared" si="15"/>
      </c>
      <c r="BM651">
        <f t="shared" si="16"/>
      </c>
      <c r="CD651">
        <f t="shared" si="0"/>
      </c>
      <c r="CZ651">
        <f t="shared" si="17"/>
      </c>
      <c r="DA651">
        <f t="shared" si="1"/>
      </c>
      <c r="DB651">
        <f t="shared" si="18"/>
      </c>
      <c r="DC651">
        <f t="shared" si="19"/>
      </c>
      <c r="DD651">
        <f t="shared" si="20"/>
      </c>
      <c r="DE651">
        <f t="shared" si="21"/>
      </c>
      <c r="DF651">
        <f t="shared" si="22"/>
      </c>
      <c r="DG651">
        <f t="shared" si="23"/>
      </c>
      <c r="DH651">
        <f t="shared" si="24"/>
      </c>
      <c r="DI651">
        <f t="shared" si="1"/>
      </c>
    </row>
    <row r="652" ht="15" customHeight="1">
      <c r="B652">
        <f t="shared" si="2"/>
      </c>
      <c r="R652">
        <f t="shared" si="3"/>
        <v>0</v>
      </c>
      <c r="S652">
        <f t="shared" si="4"/>
        <v>0</v>
      </c>
      <c r="T652">
        <f t="shared" si="5"/>
        <v>0</v>
      </c>
      <c r="U652">
        <f t="shared" si="6"/>
        <v>0</v>
      </c>
      <c r="V652">
        <f t="shared" si="7"/>
        <v>0</v>
      </c>
      <c r="W652">
        <f t="shared" si="8"/>
        <v>0</v>
      </c>
      <c r="X652">
        <f t="shared" si="9"/>
        <v>0</v>
      </c>
      <c r="Y652">
        <f t="shared" si="10"/>
        <v>0</v>
      </c>
      <c r="Z652">
        <f t="shared" si="11"/>
        <v>0</v>
      </c>
      <c r="AA652">
        <f t="shared" si="12"/>
        <v>0</v>
      </c>
      <c r="AB652">
        <f t="shared" si="13"/>
        <v>0</v>
      </c>
      <c r="AC652">
        <f t="shared" si="14"/>
        <v>0</v>
      </c>
      <c r="AE652">
        <f t="shared" si="0"/>
      </c>
      <c r="AV652">
        <f t="shared" si="15"/>
      </c>
      <c r="BM652">
        <f t="shared" si="16"/>
      </c>
      <c r="CD652">
        <f t="shared" si="0"/>
      </c>
      <c r="CZ652">
        <f t="shared" si="17"/>
      </c>
      <c r="DA652">
        <f t="shared" si="1"/>
      </c>
      <c r="DB652">
        <f t="shared" si="18"/>
      </c>
      <c r="DC652">
        <f t="shared" si="19"/>
      </c>
      <c r="DD652">
        <f t="shared" si="20"/>
      </c>
      <c r="DE652">
        <f t="shared" si="21"/>
      </c>
      <c r="DF652">
        <f t="shared" si="22"/>
      </c>
      <c r="DG652">
        <f t="shared" si="23"/>
      </c>
      <c r="DH652">
        <f t="shared" si="24"/>
      </c>
      <c r="DI652">
        <f t="shared" si="1"/>
      </c>
    </row>
    <row r="653" ht="15" customHeight="1">
      <c r="B653">
        <f t="shared" si="2"/>
      </c>
      <c r="R653">
        <f t="shared" si="3"/>
        <v>0</v>
      </c>
      <c r="S653">
        <f t="shared" si="4"/>
        <v>0</v>
      </c>
      <c r="T653">
        <f t="shared" si="5"/>
        <v>0</v>
      </c>
      <c r="U653">
        <f t="shared" si="6"/>
        <v>0</v>
      </c>
      <c r="V653">
        <f t="shared" si="7"/>
        <v>0</v>
      </c>
      <c r="W653">
        <f t="shared" si="8"/>
        <v>0</v>
      </c>
      <c r="X653">
        <f t="shared" si="9"/>
        <v>0</v>
      </c>
      <c r="Y653">
        <f t="shared" si="10"/>
        <v>0</v>
      </c>
      <c r="Z653">
        <f t="shared" si="11"/>
        <v>0</v>
      </c>
      <c r="AA653">
        <f t="shared" si="12"/>
        <v>0</v>
      </c>
      <c r="AB653">
        <f t="shared" si="13"/>
        <v>0</v>
      </c>
      <c r="AC653">
        <f t="shared" si="14"/>
        <v>0</v>
      </c>
      <c r="AE653">
        <f t="shared" si="0"/>
      </c>
      <c r="AV653">
        <f t="shared" si="15"/>
      </c>
      <c r="BM653">
        <f t="shared" si="16"/>
      </c>
      <c r="CD653">
        <f t="shared" si="0"/>
      </c>
      <c r="CZ653">
        <f t="shared" si="17"/>
      </c>
      <c r="DA653">
        <f t="shared" si="1"/>
      </c>
      <c r="DB653">
        <f t="shared" si="18"/>
      </c>
      <c r="DC653">
        <f t="shared" si="19"/>
      </c>
      <c r="DD653">
        <f t="shared" si="20"/>
      </c>
      <c r="DE653">
        <f t="shared" si="21"/>
      </c>
      <c r="DF653">
        <f t="shared" si="22"/>
      </c>
      <c r="DG653">
        <f t="shared" si="23"/>
      </c>
      <c r="DH653">
        <f t="shared" si="24"/>
      </c>
      <c r="DI653">
        <f t="shared" si="1"/>
      </c>
    </row>
    <row r="654" ht="15" customHeight="1">
      <c r="B654">
        <f t="shared" si="2"/>
      </c>
      <c r="R654">
        <f t="shared" si="3"/>
        <v>0</v>
      </c>
      <c r="S654">
        <f t="shared" si="4"/>
        <v>0</v>
      </c>
      <c r="T654">
        <f t="shared" si="5"/>
        <v>0</v>
      </c>
      <c r="U654">
        <f t="shared" si="6"/>
        <v>0</v>
      </c>
      <c r="V654">
        <f t="shared" si="7"/>
        <v>0</v>
      </c>
      <c r="W654">
        <f t="shared" si="8"/>
        <v>0</v>
      </c>
      <c r="X654">
        <f t="shared" si="9"/>
        <v>0</v>
      </c>
      <c r="Y654">
        <f t="shared" si="10"/>
        <v>0</v>
      </c>
      <c r="Z654">
        <f t="shared" si="11"/>
        <v>0</v>
      </c>
      <c r="AA654">
        <f t="shared" si="12"/>
        <v>0</v>
      </c>
      <c r="AB654">
        <f t="shared" si="13"/>
        <v>0</v>
      </c>
      <c r="AC654">
        <f t="shared" si="14"/>
        <v>0</v>
      </c>
      <c r="AE654">
        <f t="shared" si="0"/>
      </c>
      <c r="AV654">
        <f t="shared" si="15"/>
      </c>
      <c r="BM654">
        <f t="shared" si="16"/>
      </c>
      <c r="CD654">
        <f t="shared" si="0"/>
      </c>
      <c r="CZ654">
        <f t="shared" si="17"/>
      </c>
      <c r="DA654">
        <f t="shared" si="1"/>
      </c>
      <c r="DB654">
        <f t="shared" si="18"/>
      </c>
      <c r="DC654">
        <f t="shared" si="19"/>
      </c>
      <c r="DD654">
        <f t="shared" si="20"/>
      </c>
      <c r="DE654">
        <f t="shared" si="21"/>
      </c>
      <c r="DF654">
        <f t="shared" si="22"/>
      </c>
      <c r="DG654">
        <f t="shared" si="23"/>
      </c>
      <c r="DH654">
        <f t="shared" si="24"/>
      </c>
      <c r="DI654">
        <f t="shared" si="1"/>
      </c>
    </row>
    <row r="655" ht="15" customHeight="1">
      <c r="B655">
        <f t="shared" si="2"/>
      </c>
      <c r="R655">
        <f t="shared" si="3"/>
        <v>0</v>
      </c>
      <c r="S655">
        <f t="shared" si="4"/>
        <v>0</v>
      </c>
      <c r="T655">
        <f t="shared" si="5"/>
        <v>0</v>
      </c>
      <c r="U655">
        <f t="shared" si="6"/>
        <v>0</v>
      </c>
      <c r="V655">
        <f t="shared" si="7"/>
        <v>0</v>
      </c>
      <c r="W655">
        <f t="shared" si="8"/>
        <v>0</v>
      </c>
      <c r="X655">
        <f t="shared" si="9"/>
        <v>0</v>
      </c>
      <c r="Y655">
        <f t="shared" si="10"/>
        <v>0</v>
      </c>
      <c r="Z655">
        <f t="shared" si="11"/>
        <v>0</v>
      </c>
      <c r="AA655">
        <f t="shared" si="12"/>
        <v>0</v>
      </c>
      <c r="AB655">
        <f t="shared" si="13"/>
        <v>0</v>
      </c>
      <c r="AC655">
        <f t="shared" si="14"/>
        <v>0</v>
      </c>
      <c r="AE655">
        <f t="shared" si="0"/>
      </c>
      <c r="AV655">
        <f t="shared" si="15"/>
      </c>
      <c r="BM655">
        <f t="shared" si="16"/>
      </c>
      <c r="CD655">
        <f t="shared" si="0"/>
      </c>
      <c r="CZ655">
        <f t="shared" si="17"/>
      </c>
      <c r="DA655">
        <f t="shared" si="1"/>
      </c>
      <c r="DB655">
        <f t="shared" si="18"/>
      </c>
      <c r="DC655">
        <f t="shared" si="19"/>
      </c>
      <c r="DD655">
        <f t="shared" si="20"/>
      </c>
      <c r="DE655">
        <f t="shared" si="21"/>
      </c>
      <c r="DF655">
        <f t="shared" si="22"/>
      </c>
      <c r="DG655">
        <f t="shared" si="23"/>
      </c>
      <c r="DH655">
        <f t="shared" si="24"/>
      </c>
      <c r="DI655">
        <f t="shared" si="1"/>
      </c>
    </row>
    <row r="656" ht="15" customHeight="1">
      <c r="B656">
        <f t="shared" si="2"/>
      </c>
      <c r="R656">
        <f t="shared" si="3"/>
        <v>0</v>
      </c>
      <c r="S656">
        <f t="shared" si="4"/>
        <v>0</v>
      </c>
      <c r="T656">
        <f t="shared" si="5"/>
        <v>0</v>
      </c>
      <c r="U656">
        <f t="shared" si="6"/>
        <v>0</v>
      </c>
      <c r="V656">
        <f t="shared" si="7"/>
        <v>0</v>
      </c>
      <c r="W656">
        <f t="shared" si="8"/>
        <v>0</v>
      </c>
      <c r="X656">
        <f t="shared" si="9"/>
        <v>0</v>
      </c>
      <c r="Y656">
        <f t="shared" si="10"/>
        <v>0</v>
      </c>
      <c r="Z656">
        <f t="shared" si="11"/>
        <v>0</v>
      </c>
      <c r="AA656">
        <f t="shared" si="12"/>
        <v>0</v>
      </c>
      <c r="AB656">
        <f t="shared" si="13"/>
        <v>0</v>
      </c>
      <c r="AC656">
        <f t="shared" si="14"/>
        <v>0</v>
      </c>
      <c r="AE656">
        <f t="shared" si="0"/>
      </c>
      <c r="AV656">
        <f t="shared" si="15"/>
      </c>
      <c r="BM656">
        <f t="shared" si="16"/>
      </c>
      <c r="CD656">
        <f t="shared" si="0"/>
      </c>
      <c r="CZ656">
        <f t="shared" si="17"/>
      </c>
      <c r="DA656">
        <f t="shared" si="1"/>
      </c>
      <c r="DB656">
        <f t="shared" si="18"/>
      </c>
      <c r="DC656">
        <f t="shared" si="19"/>
      </c>
      <c r="DD656">
        <f t="shared" si="20"/>
      </c>
      <c r="DE656">
        <f t="shared" si="21"/>
      </c>
      <c r="DF656">
        <f t="shared" si="22"/>
      </c>
      <c r="DG656">
        <f t="shared" si="23"/>
      </c>
      <c r="DH656">
        <f t="shared" si="24"/>
      </c>
      <c r="DI656">
        <f t="shared" si="1"/>
      </c>
    </row>
    <row r="657" ht="15" customHeight="1">
      <c r="B657">
        <f t="shared" si="2"/>
      </c>
      <c r="R657">
        <f t="shared" si="3"/>
        <v>0</v>
      </c>
      <c r="S657">
        <f t="shared" si="4"/>
        <v>0</v>
      </c>
      <c r="T657">
        <f t="shared" si="5"/>
        <v>0</v>
      </c>
      <c r="U657">
        <f t="shared" si="6"/>
        <v>0</v>
      </c>
      <c r="V657">
        <f t="shared" si="7"/>
        <v>0</v>
      </c>
      <c r="W657">
        <f t="shared" si="8"/>
        <v>0</v>
      </c>
      <c r="X657">
        <f t="shared" si="9"/>
        <v>0</v>
      </c>
      <c r="Y657">
        <f t="shared" si="10"/>
        <v>0</v>
      </c>
      <c r="Z657">
        <f t="shared" si="11"/>
        <v>0</v>
      </c>
      <c r="AA657">
        <f t="shared" si="12"/>
        <v>0</v>
      </c>
      <c r="AB657">
        <f t="shared" si="13"/>
        <v>0</v>
      </c>
      <c r="AC657">
        <f t="shared" si="14"/>
        <v>0</v>
      </c>
      <c r="AE657">
        <f t="shared" si="0"/>
      </c>
      <c r="AV657">
        <f t="shared" si="15"/>
      </c>
      <c r="BM657">
        <f t="shared" si="16"/>
      </c>
      <c r="CD657">
        <f t="shared" si="0"/>
      </c>
      <c r="CZ657">
        <f t="shared" si="17"/>
      </c>
      <c r="DA657">
        <f t="shared" si="1"/>
      </c>
      <c r="DB657">
        <f t="shared" si="18"/>
      </c>
      <c r="DC657">
        <f t="shared" si="19"/>
      </c>
      <c r="DD657">
        <f t="shared" si="20"/>
      </c>
      <c r="DE657">
        <f t="shared" si="21"/>
      </c>
      <c r="DF657">
        <f t="shared" si="22"/>
      </c>
      <c r="DG657">
        <f t="shared" si="23"/>
      </c>
      <c r="DH657">
        <f t="shared" si="24"/>
      </c>
      <c r="DI657">
        <f t="shared" si="1"/>
      </c>
    </row>
    <row r="658" ht="15" customHeight="1">
      <c r="B658">
        <f t="shared" si="2"/>
      </c>
      <c r="R658">
        <f t="shared" si="3"/>
        <v>0</v>
      </c>
      <c r="S658">
        <f t="shared" si="4"/>
        <v>0</v>
      </c>
      <c r="T658">
        <f t="shared" si="5"/>
        <v>0</v>
      </c>
      <c r="U658">
        <f t="shared" si="6"/>
        <v>0</v>
      </c>
      <c r="V658">
        <f t="shared" si="7"/>
        <v>0</v>
      </c>
      <c r="W658">
        <f t="shared" si="8"/>
        <v>0</v>
      </c>
      <c r="X658">
        <f t="shared" si="9"/>
        <v>0</v>
      </c>
      <c r="Y658">
        <f t="shared" si="10"/>
        <v>0</v>
      </c>
      <c r="Z658">
        <f t="shared" si="11"/>
        <v>0</v>
      </c>
      <c r="AA658">
        <f t="shared" si="12"/>
        <v>0</v>
      </c>
      <c r="AB658">
        <f t="shared" si="13"/>
        <v>0</v>
      </c>
      <c r="AC658">
        <f t="shared" si="14"/>
        <v>0</v>
      </c>
      <c r="AE658">
        <f t="shared" si="0"/>
      </c>
      <c r="AV658">
        <f t="shared" si="15"/>
      </c>
      <c r="BM658">
        <f t="shared" si="16"/>
      </c>
      <c r="CD658">
        <f t="shared" si="0"/>
      </c>
      <c r="CZ658">
        <f t="shared" si="17"/>
      </c>
      <c r="DA658">
        <f t="shared" si="1"/>
      </c>
      <c r="DB658">
        <f t="shared" si="18"/>
      </c>
      <c r="DC658">
        <f t="shared" si="19"/>
      </c>
      <c r="DD658">
        <f t="shared" si="20"/>
      </c>
      <c r="DE658">
        <f t="shared" si="21"/>
      </c>
      <c r="DF658">
        <f t="shared" si="22"/>
      </c>
      <c r="DG658">
        <f t="shared" si="23"/>
      </c>
      <c r="DH658">
        <f t="shared" si="24"/>
      </c>
      <c r="DI658">
        <f t="shared" si="1"/>
      </c>
    </row>
    <row r="659" ht="15" customHeight="1">
      <c r="B659">
        <f t="shared" si="2"/>
      </c>
      <c r="R659">
        <f t="shared" si="3"/>
        <v>0</v>
      </c>
      <c r="S659">
        <f t="shared" si="4"/>
        <v>0</v>
      </c>
      <c r="T659">
        <f t="shared" si="5"/>
        <v>0</v>
      </c>
      <c r="U659">
        <f t="shared" si="6"/>
        <v>0</v>
      </c>
      <c r="V659">
        <f t="shared" si="7"/>
        <v>0</v>
      </c>
      <c r="W659">
        <f t="shared" si="8"/>
        <v>0</v>
      </c>
      <c r="X659">
        <f t="shared" si="9"/>
        <v>0</v>
      </c>
      <c r="Y659">
        <f t="shared" si="10"/>
        <v>0</v>
      </c>
      <c r="Z659">
        <f t="shared" si="11"/>
        <v>0</v>
      </c>
      <c r="AA659">
        <f t="shared" si="12"/>
        <v>0</v>
      </c>
      <c r="AB659">
        <f t="shared" si="13"/>
        <v>0</v>
      </c>
      <c r="AC659">
        <f t="shared" si="14"/>
        <v>0</v>
      </c>
      <c r="AE659">
        <f t="shared" si="0"/>
      </c>
      <c r="AV659">
        <f t="shared" si="15"/>
      </c>
      <c r="BM659">
        <f t="shared" si="16"/>
      </c>
      <c r="CD659">
        <f t="shared" si="0"/>
      </c>
      <c r="CZ659">
        <f t="shared" si="17"/>
      </c>
      <c r="DA659">
        <f t="shared" si="1"/>
      </c>
      <c r="DB659">
        <f t="shared" si="18"/>
      </c>
      <c r="DC659">
        <f t="shared" si="19"/>
      </c>
      <c r="DD659">
        <f t="shared" si="20"/>
      </c>
      <c r="DE659">
        <f t="shared" si="21"/>
      </c>
      <c r="DF659">
        <f t="shared" si="22"/>
      </c>
      <c r="DG659">
        <f t="shared" si="23"/>
      </c>
      <c r="DH659">
        <f t="shared" si="24"/>
      </c>
      <c r="DI659">
        <f t="shared" si="1"/>
      </c>
    </row>
    <row r="660" ht="15" customHeight="1">
      <c r="B660">
        <f t="shared" si="2"/>
      </c>
      <c r="R660">
        <f t="shared" si="3"/>
        <v>0</v>
      </c>
      <c r="S660">
        <f t="shared" si="4"/>
        <v>0</v>
      </c>
      <c r="T660">
        <f t="shared" si="5"/>
        <v>0</v>
      </c>
      <c r="U660">
        <f t="shared" si="6"/>
        <v>0</v>
      </c>
      <c r="V660">
        <f t="shared" si="7"/>
        <v>0</v>
      </c>
      <c r="W660">
        <f t="shared" si="8"/>
        <v>0</v>
      </c>
      <c r="X660">
        <f t="shared" si="9"/>
        <v>0</v>
      </c>
      <c r="Y660">
        <f t="shared" si="10"/>
        <v>0</v>
      </c>
      <c r="Z660">
        <f t="shared" si="11"/>
        <v>0</v>
      </c>
      <c r="AA660">
        <f t="shared" si="12"/>
        <v>0</v>
      </c>
      <c r="AB660">
        <f t="shared" si="13"/>
        <v>0</v>
      </c>
      <c r="AC660">
        <f t="shared" si="14"/>
        <v>0</v>
      </c>
      <c r="AE660">
        <f t="shared" si="0"/>
      </c>
      <c r="AV660">
        <f t="shared" si="15"/>
      </c>
      <c r="BM660">
        <f t="shared" si="16"/>
      </c>
      <c r="CD660">
        <f t="shared" si="0"/>
      </c>
      <c r="CZ660">
        <f t="shared" si="17"/>
      </c>
      <c r="DA660">
        <f t="shared" si="1"/>
      </c>
      <c r="DB660">
        <f t="shared" si="18"/>
      </c>
      <c r="DC660">
        <f t="shared" si="19"/>
      </c>
      <c r="DD660">
        <f t="shared" si="20"/>
      </c>
      <c r="DE660">
        <f t="shared" si="21"/>
      </c>
      <c r="DF660">
        <f t="shared" si="22"/>
      </c>
      <c r="DG660">
        <f t="shared" si="23"/>
      </c>
      <c r="DH660">
        <f t="shared" si="24"/>
      </c>
      <c r="DI660">
        <f t="shared" si="1"/>
      </c>
    </row>
    <row r="661" ht="15" customHeight="1">
      <c r="B661">
        <f t="shared" si="2"/>
      </c>
      <c r="R661">
        <f t="shared" si="3"/>
        <v>0</v>
      </c>
      <c r="S661">
        <f t="shared" si="4"/>
        <v>0</v>
      </c>
      <c r="T661">
        <f t="shared" si="5"/>
        <v>0</v>
      </c>
      <c r="U661">
        <f t="shared" si="6"/>
        <v>0</v>
      </c>
      <c r="V661">
        <f t="shared" si="7"/>
        <v>0</v>
      </c>
      <c r="W661">
        <f t="shared" si="8"/>
        <v>0</v>
      </c>
      <c r="X661">
        <f t="shared" si="9"/>
        <v>0</v>
      </c>
      <c r="Y661">
        <f t="shared" si="10"/>
        <v>0</v>
      </c>
      <c r="Z661">
        <f t="shared" si="11"/>
        <v>0</v>
      </c>
      <c r="AA661">
        <f t="shared" si="12"/>
        <v>0</v>
      </c>
      <c r="AB661">
        <f t="shared" si="13"/>
        <v>0</v>
      </c>
      <c r="AC661">
        <f t="shared" si="14"/>
        <v>0</v>
      </c>
      <c r="AE661">
        <f t="shared" si="0"/>
      </c>
      <c r="AV661">
        <f t="shared" si="15"/>
      </c>
      <c r="BM661">
        <f t="shared" si="16"/>
      </c>
      <c r="CD661">
        <f t="shared" si="0"/>
      </c>
      <c r="CZ661">
        <f t="shared" si="17"/>
      </c>
      <c r="DA661">
        <f t="shared" si="1"/>
      </c>
      <c r="DB661">
        <f t="shared" si="18"/>
      </c>
      <c r="DC661">
        <f t="shared" si="19"/>
      </c>
      <c r="DD661">
        <f t="shared" si="20"/>
      </c>
      <c r="DE661">
        <f t="shared" si="21"/>
      </c>
      <c r="DF661">
        <f t="shared" si="22"/>
      </c>
      <c r="DG661">
        <f t="shared" si="23"/>
      </c>
      <c r="DH661">
        <f t="shared" si="24"/>
      </c>
      <c r="DI661">
        <f t="shared" si="1"/>
      </c>
    </row>
    <row r="662" ht="15" customHeight="1">
      <c r="B662">
        <f t="shared" si="2"/>
      </c>
      <c r="R662">
        <f t="shared" si="3"/>
        <v>0</v>
      </c>
      <c r="S662">
        <f t="shared" si="4"/>
        <v>0</v>
      </c>
      <c r="T662">
        <f t="shared" si="5"/>
        <v>0</v>
      </c>
      <c r="U662">
        <f t="shared" si="6"/>
        <v>0</v>
      </c>
      <c r="V662">
        <f t="shared" si="7"/>
        <v>0</v>
      </c>
      <c r="W662">
        <f t="shared" si="8"/>
        <v>0</v>
      </c>
      <c r="X662">
        <f t="shared" si="9"/>
        <v>0</v>
      </c>
      <c r="Y662">
        <f t="shared" si="10"/>
        <v>0</v>
      </c>
      <c r="Z662">
        <f t="shared" si="11"/>
        <v>0</v>
      </c>
      <c r="AA662">
        <f t="shared" si="12"/>
        <v>0</v>
      </c>
      <c r="AB662">
        <f t="shared" si="13"/>
        <v>0</v>
      </c>
      <c r="AC662">
        <f t="shared" si="14"/>
        <v>0</v>
      </c>
      <c r="AE662">
        <f t="shared" si="0"/>
      </c>
      <c r="AV662">
        <f t="shared" si="15"/>
      </c>
      <c r="BM662">
        <f t="shared" si="16"/>
      </c>
      <c r="CD662">
        <f t="shared" si="0"/>
      </c>
      <c r="CZ662">
        <f t="shared" si="17"/>
      </c>
      <c r="DA662">
        <f t="shared" si="1"/>
      </c>
      <c r="DB662">
        <f t="shared" si="18"/>
      </c>
      <c r="DC662">
        <f t="shared" si="19"/>
      </c>
      <c r="DD662">
        <f t="shared" si="20"/>
      </c>
      <c r="DE662">
        <f t="shared" si="21"/>
      </c>
      <c r="DF662">
        <f t="shared" si="22"/>
      </c>
      <c r="DG662">
        <f t="shared" si="23"/>
      </c>
      <c r="DH662">
        <f t="shared" si="24"/>
      </c>
      <c r="DI662">
        <f t="shared" si="1"/>
      </c>
    </row>
    <row r="663" ht="15" customHeight="1">
      <c r="B663">
        <f t="shared" si="2"/>
      </c>
      <c r="R663">
        <f t="shared" si="3"/>
        <v>0</v>
      </c>
      <c r="S663">
        <f t="shared" si="4"/>
        <v>0</v>
      </c>
      <c r="T663">
        <f t="shared" si="5"/>
        <v>0</v>
      </c>
      <c r="U663">
        <f t="shared" si="6"/>
        <v>0</v>
      </c>
      <c r="V663">
        <f t="shared" si="7"/>
        <v>0</v>
      </c>
      <c r="W663">
        <f t="shared" si="8"/>
        <v>0</v>
      </c>
      <c r="X663">
        <f t="shared" si="9"/>
        <v>0</v>
      </c>
      <c r="Y663">
        <f t="shared" si="10"/>
        <v>0</v>
      </c>
      <c r="Z663">
        <f t="shared" si="11"/>
        <v>0</v>
      </c>
      <c r="AA663">
        <f t="shared" si="12"/>
        <v>0</v>
      </c>
      <c r="AB663">
        <f t="shared" si="13"/>
        <v>0</v>
      </c>
      <c r="AC663">
        <f t="shared" si="14"/>
        <v>0</v>
      </c>
      <c r="AE663">
        <f t="shared" si="0"/>
      </c>
      <c r="AV663">
        <f t="shared" si="15"/>
      </c>
      <c r="BM663">
        <f t="shared" si="16"/>
      </c>
      <c r="CD663">
        <f t="shared" si="0"/>
      </c>
      <c r="CZ663">
        <f t="shared" si="17"/>
      </c>
      <c r="DA663">
        <f t="shared" si="1"/>
      </c>
      <c r="DB663">
        <f t="shared" si="18"/>
      </c>
      <c r="DC663">
        <f t="shared" si="19"/>
      </c>
      <c r="DD663">
        <f t="shared" si="20"/>
      </c>
      <c r="DE663">
        <f t="shared" si="21"/>
      </c>
      <c r="DF663">
        <f t="shared" si="22"/>
      </c>
      <c r="DG663">
        <f t="shared" si="23"/>
      </c>
      <c r="DH663">
        <f t="shared" si="24"/>
      </c>
      <c r="DI663">
        <f t="shared" si="1"/>
      </c>
    </row>
    <row r="664" ht="15" customHeight="1">
      <c r="B664">
        <f t="shared" si="2"/>
      </c>
      <c r="R664">
        <f t="shared" si="3"/>
        <v>0</v>
      </c>
      <c r="S664">
        <f t="shared" si="4"/>
        <v>0</v>
      </c>
      <c r="T664">
        <f t="shared" si="5"/>
        <v>0</v>
      </c>
      <c r="U664">
        <f t="shared" si="6"/>
        <v>0</v>
      </c>
      <c r="V664">
        <f t="shared" si="7"/>
        <v>0</v>
      </c>
      <c r="W664">
        <f t="shared" si="8"/>
        <v>0</v>
      </c>
      <c r="X664">
        <f t="shared" si="9"/>
        <v>0</v>
      </c>
      <c r="Y664">
        <f t="shared" si="10"/>
        <v>0</v>
      </c>
      <c r="Z664">
        <f t="shared" si="11"/>
        <v>0</v>
      </c>
      <c r="AA664">
        <f t="shared" si="12"/>
        <v>0</v>
      </c>
      <c r="AB664">
        <f t="shared" si="13"/>
        <v>0</v>
      </c>
      <c r="AC664">
        <f t="shared" si="14"/>
        <v>0</v>
      </c>
      <c r="AE664">
        <f t="shared" si="0"/>
      </c>
      <c r="AV664">
        <f t="shared" si="15"/>
      </c>
      <c r="BM664">
        <f t="shared" si="16"/>
      </c>
      <c r="CD664">
        <f t="shared" si="0"/>
      </c>
      <c r="CZ664">
        <f t="shared" si="17"/>
      </c>
      <c r="DA664">
        <f t="shared" si="1"/>
      </c>
      <c r="DB664">
        <f t="shared" si="18"/>
      </c>
      <c r="DC664">
        <f t="shared" si="19"/>
      </c>
      <c r="DD664">
        <f t="shared" si="20"/>
      </c>
      <c r="DE664">
        <f t="shared" si="21"/>
      </c>
      <c r="DF664">
        <f t="shared" si="22"/>
      </c>
      <c r="DG664">
        <f t="shared" si="23"/>
      </c>
      <c r="DH664">
        <f t="shared" si="24"/>
      </c>
      <c r="DI664">
        <f t="shared" si="1"/>
      </c>
    </row>
    <row r="665" ht="15" customHeight="1">
      <c r="B665">
        <f t="shared" si="2"/>
      </c>
      <c r="R665">
        <f t="shared" si="3"/>
        <v>0</v>
      </c>
      <c r="S665">
        <f t="shared" si="4"/>
        <v>0</v>
      </c>
      <c r="T665">
        <f t="shared" si="5"/>
        <v>0</v>
      </c>
      <c r="U665">
        <f t="shared" si="6"/>
        <v>0</v>
      </c>
      <c r="V665">
        <f t="shared" si="7"/>
        <v>0</v>
      </c>
      <c r="W665">
        <f t="shared" si="8"/>
        <v>0</v>
      </c>
      <c r="X665">
        <f t="shared" si="9"/>
        <v>0</v>
      </c>
      <c r="Y665">
        <f t="shared" si="10"/>
        <v>0</v>
      </c>
      <c r="Z665">
        <f t="shared" si="11"/>
        <v>0</v>
      </c>
      <c r="AA665">
        <f t="shared" si="12"/>
        <v>0</v>
      </c>
      <c r="AB665">
        <f t="shared" si="13"/>
        <v>0</v>
      </c>
      <c r="AC665">
        <f t="shared" si="14"/>
        <v>0</v>
      </c>
      <c r="AE665">
        <f t="shared" si="0"/>
      </c>
      <c r="AV665">
        <f t="shared" si="15"/>
      </c>
      <c r="BM665">
        <f t="shared" si="16"/>
      </c>
      <c r="CD665">
        <f t="shared" si="0"/>
      </c>
      <c r="CZ665">
        <f t="shared" si="17"/>
      </c>
      <c r="DA665">
        <f t="shared" si="1"/>
      </c>
      <c r="DB665">
        <f t="shared" si="18"/>
      </c>
      <c r="DC665">
        <f t="shared" si="19"/>
      </c>
      <c r="DD665">
        <f t="shared" si="20"/>
      </c>
      <c r="DE665">
        <f t="shared" si="21"/>
      </c>
      <c r="DF665">
        <f t="shared" si="22"/>
      </c>
      <c r="DG665">
        <f t="shared" si="23"/>
      </c>
      <c r="DH665">
        <f t="shared" si="24"/>
      </c>
      <c r="DI665">
        <f t="shared" si="1"/>
      </c>
    </row>
    <row r="666" ht="15" customHeight="1">
      <c r="B666">
        <f t="shared" si="2"/>
      </c>
      <c r="R666">
        <f t="shared" si="3"/>
        <v>0</v>
      </c>
      <c r="S666">
        <f t="shared" si="4"/>
        <v>0</v>
      </c>
      <c r="T666">
        <f t="shared" si="5"/>
        <v>0</v>
      </c>
      <c r="U666">
        <f t="shared" si="6"/>
        <v>0</v>
      </c>
      <c r="V666">
        <f t="shared" si="7"/>
        <v>0</v>
      </c>
      <c r="W666">
        <f t="shared" si="8"/>
        <v>0</v>
      </c>
      <c r="X666">
        <f t="shared" si="9"/>
        <v>0</v>
      </c>
      <c r="Y666">
        <f t="shared" si="10"/>
        <v>0</v>
      </c>
      <c r="Z666">
        <f t="shared" si="11"/>
        <v>0</v>
      </c>
      <c r="AA666">
        <f t="shared" si="12"/>
        <v>0</v>
      </c>
      <c r="AB666">
        <f t="shared" si="13"/>
        <v>0</v>
      </c>
      <c r="AC666">
        <f t="shared" si="14"/>
        <v>0</v>
      </c>
      <c r="AE666">
        <f t="shared" si="0"/>
      </c>
      <c r="AV666">
        <f t="shared" si="15"/>
      </c>
      <c r="BM666">
        <f t="shared" si="16"/>
      </c>
      <c r="CD666">
        <f t="shared" si="0"/>
      </c>
      <c r="CZ666">
        <f t="shared" si="17"/>
      </c>
      <c r="DA666">
        <f t="shared" si="1"/>
      </c>
      <c r="DB666">
        <f t="shared" si="18"/>
      </c>
      <c r="DC666">
        <f t="shared" si="19"/>
      </c>
      <c r="DD666">
        <f t="shared" si="20"/>
      </c>
      <c r="DE666">
        <f t="shared" si="21"/>
      </c>
      <c r="DF666">
        <f t="shared" si="22"/>
      </c>
      <c r="DG666">
        <f t="shared" si="23"/>
      </c>
      <c r="DH666">
        <f t="shared" si="24"/>
      </c>
      <c r="DI666">
        <f t="shared" si="1"/>
      </c>
    </row>
    <row r="667" ht="15" customHeight="1">
      <c r="B667">
        <f t="shared" si="2"/>
      </c>
      <c r="R667">
        <f t="shared" si="3"/>
        <v>0</v>
      </c>
      <c r="S667">
        <f t="shared" si="4"/>
        <v>0</v>
      </c>
      <c r="T667">
        <f t="shared" si="5"/>
        <v>0</v>
      </c>
      <c r="U667">
        <f t="shared" si="6"/>
        <v>0</v>
      </c>
      <c r="V667">
        <f t="shared" si="7"/>
        <v>0</v>
      </c>
      <c r="W667">
        <f t="shared" si="8"/>
        <v>0</v>
      </c>
      <c r="X667">
        <f t="shared" si="9"/>
        <v>0</v>
      </c>
      <c r="Y667">
        <f t="shared" si="10"/>
        <v>0</v>
      </c>
      <c r="Z667">
        <f t="shared" si="11"/>
        <v>0</v>
      </c>
      <c r="AA667">
        <f t="shared" si="12"/>
        <v>0</v>
      </c>
      <c r="AB667">
        <f t="shared" si="13"/>
        <v>0</v>
      </c>
      <c r="AC667">
        <f t="shared" si="14"/>
        <v>0</v>
      </c>
      <c r="AE667">
        <f t="shared" si="0"/>
      </c>
      <c r="AV667">
        <f t="shared" si="15"/>
      </c>
      <c r="BM667">
        <f t="shared" si="16"/>
      </c>
      <c r="CD667">
        <f t="shared" si="0"/>
      </c>
      <c r="CZ667">
        <f t="shared" si="17"/>
      </c>
      <c r="DA667">
        <f t="shared" si="1"/>
      </c>
      <c r="DB667">
        <f t="shared" si="18"/>
      </c>
      <c r="DC667">
        <f t="shared" si="19"/>
      </c>
      <c r="DD667">
        <f t="shared" si="20"/>
      </c>
      <c r="DE667">
        <f t="shared" si="21"/>
      </c>
      <c r="DF667">
        <f t="shared" si="22"/>
      </c>
      <c r="DG667">
        <f t="shared" si="23"/>
      </c>
      <c r="DH667">
        <f t="shared" si="24"/>
      </c>
      <c r="DI667">
        <f t="shared" si="1"/>
      </c>
    </row>
    <row r="668" ht="15" customHeight="1">
      <c r="B668">
        <f t="shared" si="2"/>
      </c>
      <c r="R668">
        <f t="shared" si="3"/>
        <v>0</v>
      </c>
      <c r="S668">
        <f t="shared" si="4"/>
        <v>0</v>
      </c>
      <c r="T668">
        <f t="shared" si="5"/>
        <v>0</v>
      </c>
      <c r="U668">
        <f t="shared" si="6"/>
        <v>0</v>
      </c>
      <c r="V668">
        <f t="shared" si="7"/>
        <v>0</v>
      </c>
      <c r="W668">
        <f t="shared" si="8"/>
        <v>0</v>
      </c>
      <c r="X668">
        <f t="shared" si="9"/>
        <v>0</v>
      </c>
      <c r="Y668">
        <f t="shared" si="10"/>
        <v>0</v>
      </c>
      <c r="Z668">
        <f t="shared" si="11"/>
        <v>0</v>
      </c>
      <c r="AA668">
        <f t="shared" si="12"/>
        <v>0</v>
      </c>
      <c r="AB668">
        <f t="shared" si="13"/>
        <v>0</v>
      </c>
      <c r="AC668">
        <f t="shared" si="14"/>
        <v>0</v>
      </c>
      <c r="AE668">
        <f t="shared" si="0"/>
      </c>
      <c r="AV668">
        <f t="shared" si="15"/>
      </c>
      <c r="BM668">
        <f t="shared" si="16"/>
      </c>
      <c r="CD668">
        <f t="shared" si="0"/>
      </c>
      <c r="CZ668">
        <f t="shared" si="17"/>
      </c>
      <c r="DA668">
        <f t="shared" si="1"/>
      </c>
      <c r="DB668">
        <f t="shared" si="18"/>
      </c>
      <c r="DC668">
        <f t="shared" si="19"/>
      </c>
      <c r="DD668">
        <f t="shared" si="20"/>
      </c>
      <c r="DE668">
        <f t="shared" si="21"/>
      </c>
      <c r="DF668">
        <f t="shared" si="22"/>
      </c>
      <c r="DG668">
        <f t="shared" si="23"/>
      </c>
      <c r="DH668">
        <f t="shared" si="24"/>
      </c>
      <c r="DI668">
        <f t="shared" si="1"/>
      </c>
    </row>
    <row r="669" ht="15" customHeight="1">
      <c r="B669">
        <f t="shared" si="2"/>
      </c>
      <c r="R669">
        <f t="shared" si="3"/>
        <v>0</v>
      </c>
      <c r="S669">
        <f t="shared" si="4"/>
        <v>0</v>
      </c>
      <c r="T669">
        <f t="shared" si="5"/>
        <v>0</v>
      </c>
      <c r="U669">
        <f t="shared" si="6"/>
        <v>0</v>
      </c>
      <c r="V669">
        <f t="shared" si="7"/>
        <v>0</v>
      </c>
      <c r="W669">
        <f t="shared" si="8"/>
        <v>0</v>
      </c>
      <c r="X669">
        <f t="shared" si="9"/>
        <v>0</v>
      </c>
      <c r="Y669">
        <f t="shared" si="10"/>
        <v>0</v>
      </c>
      <c r="Z669">
        <f t="shared" si="11"/>
        <v>0</v>
      </c>
      <c r="AA669">
        <f t="shared" si="12"/>
        <v>0</v>
      </c>
      <c r="AB669">
        <f t="shared" si="13"/>
        <v>0</v>
      </c>
      <c r="AC669">
        <f t="shared" si="14"/>
        <v>0</v>
      </c>
      <c r="AE669">
        <f t="shared" si="0"/>
      </c>
      <c r="AV669">
        <f t="shared" si="15"/>
      </c>
      <c r="BM669">
        <f t="shared" si="16"/>
      </c>
      <c r="CD669">
        <f t="shared" si="0"/>
      </c>
      <c r="CZ669">
        <f t="shared" si="17"/>
      </c>
      <c r="DA669">
        <f t="shared" si="1"/>
      </c>
      <c r="DB669">
        <f t="shared" si="18"/>
      </c>
      <c r="DC669">
        <f t="shared" si="19"/>
      </c>
      <c r="DD669">
        <f t="shared" si="20"/>
      </c>
      <c r="DE669">
        <f t="shared" si="21"/>
      </c>
      <c r="DF669">
        <f t="shared" si="22"/>
      </c>
      <c r="DG669">
        <f t="shared" si="23"/>
      </c>
      <c r="DH669">
        <f t="shared" si="24"/>
      </c>
      <c r="DI669">
        <f t="shared" si="1"/>
      </c>
    </row>
    <row r="670" ht="15" customHeight="1">
      <c r="B670">
        <f t="shared" si="2"/>
      </c>
      <c r="R670">
        <f t="shared" si="3"/>
        <v>0</v>
      </c>
      <c r="S670">
        <f t="shared" si="4"/>
        <v>0</v>
      </c>
      <c r="T670">
        <f t="shared" si="5"/>
        <v>0</v>
      </c>
      <c r="U670">
        <f t="shared" si="6"/>
        <v>0</v>
      </c>
      <c r="V670">
        <f t="shared" si="7"/>
        <v>0</v>
      </c>
      <c r="W670">
        <f t="shared" si="8"/>
        <v>0</v>
      </c>
      <c r="X670">
        <f t="shared" si="9"/>
        <v>0</v>
      </c>
      <c r="Y670">
        <f t="shared" si="10"/>
        <v>0</v>
      </c>
      <c r="Z670">
        <f t="shared" si="11"/>
        <v>0</v>
      </c>
      <c r="AA670">
        <f t="shared" si="12"/>
        <v>0</v>
      </c>
      <c r="AB670">
        <f t="shared" si="13"/>
        <v>0</v>
      </c>
      <c r="AC670">
        <f t="shared" si="14"/>
        <v>0</v>
      </c>
      <c r="AE670">
        <f t="shared" si="0"/>
      </c>
      <c r="AV670">
        <f t="shared" si="15"/>
      </c>
      <c r="BM670">
        <f t="shared" si="16"/>
      </c>
      <c r="CD670">
        <f t="shared" si="0"/>
      </c>
      <c r="CZ670">
        <f t="shared" si="17"/>
      </c>
      <c r="DA670">
        <f t="shared" si="1"/>
      </c>
      <c r="DB670">
        <f t="shared" si="18"/>
      </c>
      <c r="DC670">
        <f t="shared" si="19"/>
      </c>
      <c r="DD670">
        <f t="shared" si="20"/>
      </c>
      <c r="DE670">
        <f t="shared" si="21"/>
      </c>
      <c r="DF670">
        <f t="shared" si="22"/>
      </c>
      <c r="DG670">
        <f t="shared" si="23"/>
      </c>
      <c r="DH670">
        <f t="shared" si="24"/>
      </c>
      <c r="DI670">
        <f t="shared" si="1"/>
      </c>
    </row>
    <row r="671" ht="15" customHeight="1">
      <c r="B671">
        <f t="shared" si="2"/>
      </c>
      <c r="R671">
        <f t="shared" si="3"/>
        <v>0</v>
      </c>
      <c r="S671">
        <f t="shared" si="4"/>
        <v>0</v>
      </c>
      <c r="T671">
        <f t="shared" si="5"/>
        <v>0</v>
      </c>
      <c r="U671">
        <f t="shared" si="6"/>
        <v>0</v>
      </c>
      <c r="V671">
        <f t="shared" si="7"/>
        <v>0</v>
      </c>
      <c r="W671">
        <f t="shared" si="8"/>
        <v>0</v>
      </c>
      <c r="X671">
        <f t="shared" si="9"/>
        <v>0</v>
      </c>
      <c r="Y671">
        <f t="shared" si="10"/>
        <v>0</v>
      </c>
      <c r="Z671">
        <f t="shared" si="11"/>
        <v>0</v>
      </c>
      <c r="AA671">
        <f t="shared" si="12"/>
        <v>0</v>
      </c>
      <c r="AB671">
        <f t="shared" si="13"/>
        <v>0</v>
      </c>
      <c r="AC671">
        <f t="shared" si="14"/>
        <v>0</v>
      </c>
      <c r="AE671">
        <f t="shared" si="0"/>
      </c>
      <c r="AV671">
        <f t="shared" si="15"/>
      </c>
      <c r="BM671">
        <f t="shared" si="16"/>
      </c>
      <c r="CD671">
        <f t="shared" si="0"/>
      </c>
      <c r="CZ671">
        <f t="shared" si="17"/>
      </c>
      <c r="DA671">
        <f t="shared" si="1"/>
      </c>
      <c r="DB671">
        <f t="shared" si="18"/>
      </c>
      <c r="DC671">
        <f t="shared" si="19"/>
      </c>
      <c r="DD671">
        <f t="shared" si="20"/>
      </c>
      <c r="DE671">
        <f t="shared" si="21"/>
      </c>
      <c r="DF671">
        <f t="shared" si="22"/>
      </c>
      <c r="DG671">
        <f t="shared" si="23"/>
      </c>
      <c r="DH671">
        <f t="shared" si="24"/>
      </c>
      <c r="DI671">
        <f t="shared" si="1"/>
      </c>
    </row>
    <row r="672" ht="15" customHeight="1">
      <c r="B672">
        <f t="shared" si="2"/>
      </c>
      <c r="R672">
        <f t="shared" si="3"/>
        <v>0</v>
      </c>
      <c r="S672">
        <f t="shared" si="4"/>
        <v>0</v>
      </c>
      <c r="T672">
        <f t="shared" si="5"/>
        <v>0</v>
      </c>
      <c r="U672">
        <f t="shared" si="6"/>
        <v>0</v>
      </c>
      <c r="V672">
        <f t="shared" si="7"/>
        <v>0</v>
      </c>
      <c r="W672">
        <f t="shared" si="8"/>
        <v>0</v>
      </c>
      <c r="X672">
        <f t="shared" si="9"/>
        <v>0</v>
      </c>
      <c r="Y672">
        <f t="shared" si="10"/>
        <v>0</v>
      </c>
      <c r="Z672">
        <f t="shared" si="11"/>
        <v>0</v>
      </c>
      <c r="AA672">
        <f t="shared" si="12"/>
        <v>0</v>
      </c>
      <c r="AB672">
        <f t="shared" si="13"/>
        <v>0</v>
      </c>
      <c r="AC672">
        <f t="shared" si="14"/>
        <v>0</v>
      </c>
      <c r="AE672">
        <f t="shared" si="0"/>
      </c>
      <c r="AV672">
        <f t="shared" si="15"/>
      </c>
      <c r="BM672">
        <f t="shared" si="16"/>
      </c>
      <c r="CD672">
        <f t="shared" si="0"/>
      </c>
      <c r="CZ672">
        <f t="shared" si="17"/>
      </c>
      <c r="DA672">
        <f t="shared" si="1"/>
      </c>
      <c r="DB672">
        <f t="shared" si="18"/>
      </c>
      <c r="DC672">
        <f t="shared" si="19"/>
      </c>
      <c r="DD672">
        <f t="shared" si="20"/>
      </c>
      <c r="DE672">
        <f t="shared" si="21"/>
      </c>
      <c r="DF672">
        <f t="shared" si="22"/>
      </c>
      <c r="DG672">
        <f t="shared" si="23"/>
      </c>
      <c r="DH672">
        <f t="shared" si="24"/>
      </c>
      <c r="DI672">
        <f t="shared" si="1"/>
      </c>
    </row>
    <row r="673" ht="15" customHeight="1">
      <c r="B673">
        <f t="shared" si="2"/>
      </c>
      <c r="R673">
        <f t="shared" si="3"/>
        <v>0</v>
      </c>
      <c r="S673">
        <f t="shared" si="4"/>
        <v>0</v>
      </c>
      <c r="T673">
        <f t="shared" si="5"/>
        <v>0</v>
      </c>
      <c r="U673">
        <f t="shared" si="6"/>
        <v>0</v>
      </c>
      <c r="V673">
        <f t="shared" si="7"/>
        <v>0</v>
      </c>
      <c r="W673">
        <f t="shared" si="8"/>
        <v>0</v>
      </c>
      <c r="X673">
        <f t="shared" si="9"/>
        <v>0</v>
      </c>
      <c r="Y673">
        <f t="shared" si="10"/>
        <v>0</v>
      </c>
      <c r="Z673">
        <f t="shared" si="11"/>
        <v>0</v>
      </c>
      <c r="AA673">
        <f t="shared" si="12"/>
        <v>0</v>
      </c>
      <c r="AB673">
        <f t="shared" si="13"/>
        <v>0</v>
      </c>
      <c r="AC673">
        <f t="shared" si="14"/>
        <v>0</v>
      </c>
      <c r="AE673">
        <f t="shared" si="0"/>
      </c>
      <c r="AV673">
        <f t="shared" si="15"/>
      </c>
      <c r="BM673">
        <f t="shared" si="16"/>
      </c>
      <c r="CD673">
        <f t="shared" si="0"/>
      </c>
      <c r="CZ673">
        <f t="shared" si="17"/>
      </c>
      <c r="DA673">
        <f t="shared" si="1"/>
      </c>
      <c r="DB673">
        <f t="shared" si="18"/>
      </c>
      <c r="DC673">
        <f t="shared" si="19"/>
      </c>
      <c r="DD673">
        <f t="shared" si="20"/>
      </c>
      <c r="DE673">
        <f t="shared" si="21"/>
      </c>
      <c r="DF673">
        <f t="shared" si="22"/>
      </c>
      <c r="DG673">
        <f t="shared" si="23"/>
      </c>
      <c r="DH673">
        <f t="shared" si="24"/>
      </c>
      <c r="DI673">
        <f t="shared" si="1"/>
      </c>
    </row>
    <row r="674" ht="15" customHeight="1">
      <c r="B674">
        <f t="shared" si="2"/>
      </c>
      <c r="R674">
        <f t="shared" si="3"/>
        <v>0</v>
      </c>
      <c r="S674">
        <f t="shared" si="4"/>
        <v>0</v>
      </c>
      <c r="T674">
        <f t="shared" si="5"/>
        <v>0</v>
      </c>
      <c r="U674">
        <f t="shared" si="6"/>
        <v>0</v>
      </c>
      <c r="V674">
        <f t="shared" si="7"/>
        <v>0</v>
      </c>
      <c r="W674">
        <f t="shared" si="8"/>
        <v>0</v>
      </c>
      <c r="X674">
        <f t="shared" si="9"/>
        <v>0</v>
      </c>
      <c r="Y674">
        <f t="shared" si="10"/>
        <v>0</v>
      </c>
      <c r="Z674">
        <f t="shared" si="11"/>
        <v>0</v>
      </c>
      <c r="AA674">
        <f t="shared" si="12"/>
        <v>0</v>
      </c>
      <c r="AB674">
        <f t="shared" si="13"/>
        <v>0</v>
      </c>
      <c r="AC674">
        <f t="shared" si="14"/>
        <v>0</v>
      </c>
      <c r="AE674">
        <f t="shared" si="0"/>
      </c>
      <c r="AV674">
        <f t="shared" si="15"/>
      </c>
      <c r="BM674">
        <f t="shared" si="16"/>
      </c>
      <c r="CD674">
        <f t="shared" si="0"/>
      </c>
      <c r="CZ674">
        <f t="shared" si="17"/>
      </c>
      <c r="DA674">
        <f t="shared" si="1"/>
      </c>
      <c r="DB674">
        <f t="shared" si="18"/>
      </c>
      <c r="DC674">
        <f t="shared" si="19"/>
      </c>
      <c r="DD674">
        <f t="shared" si="20"/>
      </c>
      <c r="DE674">
        <f t="shared" si="21"/>
      </c>
      <c r="DF674">
        <f t="shared" si="22"/>
      </c>
      <c r="DG674">
        <f t="shared" si="23"/>
      </c>
      <c r="DH674">
        <f t="shared" si="24"/>
      </c>
      <c r="DI674">
        <f t="shared" si="1"/>
      </c>
    </row>
    <row r="675" ht="15" customHeight="1">
      <c r="B675">
        <f t="shared" si="2"/>
      </c>
      <c r="R675">
        <f t="shared" si="3"/>
        <v>0</v>
      </c>
      <c r="S675">
        <f t="shared" si="4"/>
        <v>0</v>
      </c>
      <c r="T675">
        <f t="shared" si="5"/>
        <v>0</v>
      </c>
      <c r="U675">
        <f t="shared" si="6"/>
        <v>0</v>
      </c>
      <c r="V675">
        <f t="shared" si="7"/>
        <v>0</v>
      </c>
      <c r="W675">
        <f t="shared" si="8"/>
        <v>0</v>
      </c>
      <c r="X675">
        <f t="shared" si="9"/>
        <v>0</v>
      </c>
      <c r="Y675">
        <f t="shared" si="10"/>
        <v>0</v>
      </c>
      <c r="Z675">
        <f t="shared" si="11"/>
        <v>0</v>
      </c>
      <c r="AA675">
        <f t="shared" si="12"/>
        <v>0</v>
      </c>
      <c r="AB675">
        <f t="shared" si="13"/>
        <v>0</v>
      </c>
      <c r="AC675">
        <f t="shared" si="14"/>
        <v>0</v>
      </c>
      <c r="AE675">
        <f t="shared" si="0"/>
      </c>
      <c r="AV675">
        <f t="shared" si="15"/>
      </c>
      <c r="BM675">
        <f t="shared" si="16"/>
      </c>
      <c r="CD675">
        <f t="shared" si="0"/>
      </c>
      <c r="CZ675">
        <f t="shared" si="17"/>
      </c>
      <c r="DA675">
        <f t="shared" si="1"/>
      </c>
      <c r="DB675">
        <f t="shared" si="18"/>
      </c>
      <c r="DC675">
        <f t="shared" si="19"/>
      </c>
      <c r="DD675">
        <f t="shared" si="20"/>
      </c>
      <c r="DE675">
        <f t="shared" si="21"/>
      </c>
      <c r="DF675">
        <f t="shared" si="22"/>
      </c>
      <c r="DG675">
        <f t="shared" si="23"/>
      </c>
      <c r="DH675">
        <f t="shared" si="24"/>
      </c>
      <c r="DI675">
        <f t="shared" si="1"/>
      </c>
    </row>
    <row r="676" ht="15" customHeight="1">
      <c r="B676">
        <f t="shared" si="2"/>
      </c>
      <c r="R676">
        <f t="shared" si="3"/>
        <v>0</v>
      </c>
      <c r="S676">
        <f t="shared" si="4"/>
        <v>0</v>
      </c>
      <c r="T676">
        <f t="shared" si="5"/>
        <v>0</v>
      </c>
      <c r="U676">
        <f t="shared" si="6"/>
        <v>0</v>
      </c>
      <c r="V676">
        <f t="shared" si="7"/>
        <v>0</v>
      </c>
      <c r="W676">
        <f t="shared" si="8"/>
        <v>0</v>
      </c>
      <c r="X676">
        <f t="shared" si="9"/>
        <v>0</v>
      </c>
      <c r="Y676">
        <f t="shared" si="10"/>
        <v>0</v>
      </c>
      <c r="Z676">
        <f t="shared" si="11"/>
        <v>0</v>
      </c>
      <c r="AA676">
        <f t="shared" si="12"/>
        <v>0</v>
      </c>
      <c r="AB676">
        <f t="shared" si="13"/>
        <v>0</v>
      </c>
      <c r="AC676">
        <f t="shared" si="14"/>
        <v>0</v>
      </c>
      <c r="AE676">
        <f t="shared" si="0"/>
      </c>
      <c r="AV676">
        <f t="shared" si="15"/>
      </c>
      <c r="BM676">
        <f t="shared" si="16"/>
      </c>
      <c r="CD676">
        <f t="shared" si="0"/>
      </c>
      <c r="CZ676">
        <f t="shared" si="17"/>
      </c>
      <c r="DA676">
        <f t="shared" si="1"/>
      </c>
      <c r="DB676">
        <f t="shared" si="18"/>
      </c>
      <c r="DC676">
        <f t="shared" si="19"/>
      </c>
      <c r="DD676">
        <f t="shared" si="20"/>
      </c>
      <c r="DE676">
        <f t="shared" si="21"/>
      </c>
      <c r="DF676">
        <f t="shared" si="22"/>
      </c>
      <c r="DG676">
        <f t="shared" si="23"/>
      </c>
      <c r="DH676">
        <f t="shared" si="24"/>
      </c>
      <c r="DI676">
        <f t="shared" si="1"/>
      </c>
    </row>
    <row r="677" ht="15" customHeight="1">
      <c r="B677">
        <f t="shared" si="2"/>
      </c>
      <c r="R677">
        <f t="shared" si="3"/>
        <v>0</v>
      </c>
      <c r="S677">
        <f t="shared" si="4"/>
        <v>0</v>
      </c>
      <c r="T677">
        <f t="shared" si="5"/>
        <v>0</v>
      </c>
      <c r="U677">
        <f t="shared" si="6"/>
        <v>0</v>
      </c>
      <c r="V677">
        <f t="shared" si="7"/>
        <v>0</v>
      </c>
      <c r="W677">
        <f t="shared" si="8"/>
        <v>0</v>
      </c>
      <c r="X677">
        <f t="shared" si="9"/>
        <v>0</v>
      </c>
      <c r="Y677">
        <f t="shared" si="10"/>
        <v>0</v>
      </c>
      <c r="Z677">
        <f t="shared" si="11"/>
        <v>0</v>
      </c>
      <c r="AA677">
        <f t="shared" si="12"/>
        <v>0</v>
      </c>
      <c r="AB677">
        <f t="shared" si="13"/>
        <v>0</v>
      </c>
      <c r="AC677">
        <f t="shared" si="14"/>
        <v>0</v>
      </c>
      <c r="AE677">
        <f t="shared" si="0"/>
      </c>
      <c r="AV677">
        <f t="shared" si="15"/>
      </c>
      <c r="BM677">
        <f t="shared" si="16"/>
      </c>
      <c r="CD677">
        <f t="shared" si="0"/>
      </c>
      <c r="CZ677">
        <f t="shared" si="17"/>
      </c>
      <c r="DA677">
        <f t="shared" si="1"/>
      </c>
      <c r="DB677">
        <f t="shared" si="18"/>
      </c>
      <c r="DC677">
        <f t="shared" si="19"/>
      </c>
      <c r="DD677">
        <f t="shared" si="20"/>
      </c>
      <c r="DE677">
        <f t="shared" si="21"/>
      </c>
      <c r="DF677">
        <f t="shared" si="22"/>
      </c>
      <c r="DG677">
        <f t="shared" si="23"/>
      </c>
      <c r="DH677">
        <f t="shared" si="24"/>
      </c>
      <c r="DI677">
        <f t="shared" si="1"/>
      </c>
    </row>
    <row r="678" ht="15" customHeight="1">
      <c r="B678">
        <f t="shared" si="2"/>
      </c>
      <c r="R678">
        <f t="shared" si="3"/>
        <v>0</v>
      </c>
      <c r="S678">
        <f t="shared" si="4"/>
        <v>0</v>
      </c>
      <c r="T678">
        <f t="shared" si="5"/>
        <v>0</v>
      </c>
      <c r="U678">
        <f t="shared" si="6"/>
        <v>0</v>
      </c>
      <c r="V678">
        <f t="shared" si="7"/>
        <v>0</v>
      </c>
      <c r="W678">
        <f t="shared" si="8"/>
        <v>0</v>
      </c>
      <c r="X678">
        <f t="shared" si="9"/>
        <v>0</v>
      </c>
      <c r="Y678">
        <f t="shared" si="10"/>
        <v>0</v>
      </c>
      <c r="Z678">
        <f t="shared" si="11"/>
        <v>0</v>
      </c>
      <c r="AA678">
        <f t="shared" si="12"/>
        <v>0</v>
      </c>
      <c r="AB678">
        <f t="shared" si="13"/>
        <v>0</v>
      </c>
      <c r="AC678">
        <f t="shared" si="14"/>
        <v>0</v>
      </c>
      <c r="AE678">
        <f t="shared" si="0"/>
      </c>
      <c r="AV678">
        <f t="shared" si="15"/>
      </c>
      <c r="BM678">
        <f t="shared" si="16"/>
      </c>
      <c r="CD678">
        <f t="shared" si="0"/>
      </c>
      <c r="CZ678">
        <f t="shared" si="17"/>
      </c>
      <c r="DA678">
        <f t="shared" si="1"/>
      </c>
      <c r="DB678">
        <f t="shared" si="18"/>
      </c>
      <c r="DC678">
        <f t="shared" si="19"/>
      </c>
      <c r="DD678">
        <f t="shared" si="20"/>
      </c>
      <c r="DE678">
        <f t="shared" si="21"/>
      </c>
      <c r="DF678">
        <f t="shared" si="22"/>
      </c>
      <c r="DG678">
        <f t="shared" si="23"/>
      </c>
      <c r="DH678">
        <f t="shared" si="24"/>
      </c>
      <c r="DI678">
        <f t="shared" si="1"/>
      </c>
    </row>
    <row r="679" ht="15" customHeight="1">
      <c r="B679">
        <f t="shared" si="2"/>
      </c>
      <c r="R679">
        <f t="shared" si="3"/>
        <v>0</v>
      </c>
      <c r="S679">
        <f t="shared" si="4"/>
        <v>0</v>
      </c>
      <c r="T679">
        <f t="shared" si="5"/>
        <v>0</v>
      </c>
      <c r="U679">
        <f t="shared" si="6"/>
        <v>0</v>
      </c>
      <c r="V679">
        <f t="shared" si="7"/>
        <v>0</v>
      </c>
      <c r="W679">
        <f t="shared" si="8"/>
        <v>0</v>
      </c>
      <c r="X679">
        <f t="shared" si="9"/>
        <v>0</v>
      </c>
      <c r="Y679">
        <f t="shared" si="10"/>
        <v>0</v>
      </c>
      <c r="Z679">
        <f t="shared" si="11"/>
        <v>0</v>
      </c>
      <c r="AA679">
        <f t="shared" si="12"/>
        <v>0</v>
      </c>
      <c r="AB679">
        <f t="shared" si="13"/>
        <v>0</v>
      </c>
      <c r="AC679">
        <f t="shared" si="14"/>
        <v>0</v>
      </c>
      <c r="AE679">
        <f t="shared" si="0"/>
      </c>
      <c r="AV679">
        <f t="shared" si="15"/>
      </c>
      <c r="BM679">
        <f t="shared" si="16"/>
      </c>
      <c r="CD679">
        <f t="shared" si="0"/>
      </c>
      <c r="CZ679">
        <f t="shared" si="17"/>
      </c>
      <c r="DA679">
        <f t="shared" si="1"/>
      </c>
      <c r="DB679">
        <f t="shared" si="18"/>
      </c>
      <c r="DC679">
        <f t="shared" si="19"/>
      </c>
      <c r="DD679">
        <f t="shared" si="20"/>
      </c>
      <c r="DE679">
        <f t="shared" si="21"/>
      </c>
      <c r="DF679">
        <f t="shared" si="22"/>
      </c>
      <c r="DG679">
        <f t="shared" si="23"/>
      </c>
      <c r="DH679">
        <f t="shared" si="24"/>
      </c>
      <c r="DI679">
        <f t="shared" si="1"/>
      </c>
    </row>
    <row r="680" ht="15" customHeight="1">
      <c r="B680">
        <f t="shared" si="2"/>
      </c>
      <c r="R680">
        <f t="shared" si="3"/>
        <v>0</v>
      </c>
      <c r="S680">
        <f t="shared" si="4"/>
        <v>0</v>
      </c>
      <c r="T680">
        <f t="shared" si="5"/>
        <v>0</v>
      </c>
      <c r="U680">
        <f t="shared" si="6"/>
        <v>0</v>
      </c>
      <c r="V680">
        <f t="shared" si="7"/>
        <v>0</v>
      </c>
      <c r="W680">
        <f t="shared" si="8"/>
        <v>0</v>
      </c>
      <c r="X680">
        <f t="shared" si="9"/>
        <v>0</v>
      </c>
      <c r="Y680">
        <f t="shared" si="10"/>
        <v>0</v>
      </c>
      <c r="Z680">
        <f t="shared" si="11"/>
        <v>0</v>
      </c>
      <c r="AA680">
        <f t="shared" si="12"/>
        <v>0</v>
      </c>
      <c r="AB680">
        <f t="shared" si="13"/>
        <v>0</v>
      </c>
      <c r="AC680">
        <f t="shared" si="14"/>
        <v>0</v>
      </c>
      <c r="AE680">
        <f t="shared" si="0"/>
      </c>
      <c r="AV680">
        <f t="shared" si="15"/>
      </c>
      <c r="BM680">
        <f t="shared" si="16"/>
      </c>
      <c r="CD680">
        <f t="shared" si="0"/>
      </c>
      <c r="CZ680">
        <f t="shared" si="17"/>
      </c>
      <c r="DA680">
        <f t="shared" si="1"/>
      </c>
      <c r="DB680">
        <f t="shared" si="18"/>
      </c>
      <c r="DC680">
        <f t="shared" si="19"/>
      </c>
      <c r="DD680">
        <f t="shared" si="20"/>
      </c>
      <c r="DE680">
        <f t="shared" si="21"/>
      </c>
      <c r="DF680">
        <f t="shared" si="22"/>
      </c>
      <c r="DG680">
        <f t="shared" si="23"/>
      </c>
      <c r="DH680">
        <f t="shared" si="24"/>
      </c>
      <c r="DI680">
        <f t="shared" si="1"/>
      </c>
    </row>
    <row r="681" ht="15" customHeight="1">
      <c r="B681">
        <f t="shared" si="2"/>
      </c>
      <c r="R681">
        <f t="shared" si="3"/>
        <v>0</v>
      </c>
      <c r="S681">
        <f t="shared" si="4"/>
        <v>0</v>
      </c>
      <c r="T681">
        <f t="shared" si="5"/>
        <v>0</v>
      </c>
      <c r="U681">
        <f t="shared" si="6"/>
        <v>0</v>
      </c>
      <c r="V681">
        <f t="shared" si="7"/>
        <v>0</v>
      </c>
      <c r="W681">
        <f t="shared" si="8"/>
        <v>0</v>
      </c>
      <c r="X681">
        <f t="shared" si="9"/>
        <v>0</v>
      </c>
      <c r="Y681">
        <f t="shared" si="10"/>
        <v>0</v>
      </c>
      <c r="Z681">
        <f t="shared" si="11"/>
        <v>0</v>
      </c>
      <c r="AA681">
        <f t="shared" si="12"/>
        <v>0</v>
      </c>
      <c r="AB681">
        <f t="shared" si="13"/>
        <v>0</v>
      </c>
      <c r="AC681">
        <f t="shared" si="14"/>
        <v>0</v>
      </c>
      <c r="AE681">
        <f t="shared" si="0"/>
      </c>
      <c r="AV681">
        <f t="shared" si="15"/>
      </c>
      <c r="BM681">
        <f t="shared" si="16"/>
      </c>
      <c r="CD681">
        <f t="shared" si="0"/>
      </c>
      <c r="CZ681">
        <f t="shared" si="17"/>
      </c>
      <c r="DA681">
        <f t="shared" si="1"/>
      </c>
      <c r="DB681">
        <f t="shared" si="18"/>
      </c>
      <c r="DC681">
        <f t="shared" si="19"/>
      </c>
      <c r="DD681">
        <f t="shared" si="20"/>
      </c>
      <c r="DE681">
        <f t="shared" si="21"/>
      </c>
      <c r="DF681">
        <f t="shared" si="22"/>
      </c>
      <c r="DG681">
        <f t="shared" si="23"/>
      </c>
      <c r="DH681">
        <f t="shared" si="24"/>
      </c>
      <c r="DI681">
        <f t="shared" si="1"/>
      </c>
    </row>
    <row r="682" ht="15" customHeight="1">
      <c r="B682">
        <f t="shared" si="2"/>
      </c>
      <c r="R682">
        <f t="shared" si="3"/>
        <v>0</v>
      </c>
      <c r="S682">
        <f t="shared" si="4"/>
        <v>0</v>
      </c>
      <c r="T682">
        <f t="shared" si="5"/>
        <v>0</v>
      </c>
      <c r="U682">
        <f t="shared" si="6"/>
        <v>0</v>
      </c>
      <c r="V682">
        <f t="shared" si="7"/>
        <v>0</v>
      </c>
      <c r="W682">
        <f t="shared" si="8"/>
        <v>0</v>
      </c>
      <c r="X682">
        <f t="shared" si="9"/>
        <v>0</v>
      </c>
      <c r="Y682">
        <f t="shared" si="10"/>
        <v>0</v>
      </c>
      <c r="Z682">
        <f t="shared" si="11"/>
        <v>0</v>
      </c>
      <c r="AA682">
        <f t="shared" si="12"/>
        <v>0</v>
      </c>
      <c r="AB682">
        <f t="shared" si="13"/>
        <v>0</v>
      </c>
      <c r="AC682">
        <f t="shared" si="14"/>
        <v>0</v>
      </c>
      <c r="AE682">
        <f t="shared" si="0"/>
      </c>
      <c r="AV682">
        <f t="shared" si="15"/>
      </c>
      <c r="BM682">
        <f t="shared" si="16"/>
      </c>
      <c r="CD682">
        <f t="shared" si="0"/>
      </c>
      <c r="CZ682">
        <f t="shared" si="17"/>
      </c>
      <c r="DA682">
        <f t="shared" si="1"/>
      </c>
      <c r="DB682">
        <f t="shared" si="18"/>
      </c>
      <c r="DC682">
        <f t="shared" si="19"/>
      </c>
      <c r="DD682">
        <f t="shared" si="20"/>
      </c>
      <c r="DE682">
        <f t="shared" si="21"/>
      </c>
      <c r="DF682">
        <f t="shared" si="22"/>
      </c>
      <c r="DG682">
        <f t="shared" si="23"/>
      </c>
      <c r="DH682">
        <f t="shared" si="24"/>
      </c>
      <c r="DI682">
        <f t="shared" si="1"/>
      </c>
    </row>
    <row r="683" ht="15" customHeight="1">
      <c r="B683">
        <f t="shared" si="2"/>
      </c>
      <c r="R683">
        <f t="shared" si="3"/>
        <v>0</v>
      </c>
      <c r="S683">
        <f t="shared" si="4"/>
        <v>0</v>
      </c>
      <c r="T683">
        <f t="shared" si="5"/>
        <v>0</v>
      </c>
      <c r="U683">
        <f t="shared" si="6"/>
        <v>0</v>
      </c>
      <c r="V683">
        <f t="shared" si="7"/>
        <v>0</v>
      </c>
      <c r="W683">
        <f t="shared" si="8"/>
        <v>0</v>
      </c>
      <c r="X683">
        <f t="shared" si="9"/>
        <v>0</v>
      </c>
      <c r="Y683">
        <f t="shared" si="10"/>
        <v>0</v>
      </c>
      <c r="Z683">
        <f t="shared" si="11"/>
        <v>0</v>
      </c>
      <c r="AA683">
        <f t="shared" si="12"/>
        <v>0</v>
      </c>
      <c r="AB683">
        <f t="shared" si="13"/>
        <v>0</v>
      </c>
      <c r="AC683">
        <f t="shared" si="14"/>
        <v>0</v>
      </c>
      <c r="AE683">
        <f t="shared" si="0"/>
      </c>
      <c r="AV683">
        <f t="shared" si="15"/>
      </c>
      <c r="BM683">
        <f t="shared" si="16"/>
      </c>
      <c r="CD683">
        <f t="shared" si="0"/>
      </c>
      <c r="CZ683">
        <f t="shared" si="17"/>
      </c>
      <c r="DA683">
        <f t="shared" si="1"/>
      </c>
      <c r="DB683">
        <f t="shared" si="18"/>
      </c>
      <c r="DC683">
        <f t="shared" si="19"/>
      </c>
      <c r="DD683">
        <f t="shared" si="20"/>
      </c>
      <c r="DE683">
        <f t="shared" si="21"/>
      </c>
      <c r="DF683">
        <f t="shared" si="22"/>
      </c>
      <c r="DG683">
        <f t="shared" si="23"/>
      </c>
      <c r="DH683">
        <f t="shared" si="24"/>
      </c>
      <c r="DI683">
        <f t="shared" si="1"/>
      </c>
    </row>
    <row r="684" ht="15" customHeight="1">
      <c r="B684">
        <f t="shared" si="2"/>
      </c>
      <c r="R684">
        <f t="shared" si="3"/>
        <v>0</v>
      </c>
      <c r="S684">
        <f t="shared" si="4"/>
        <v>0</v>
      </c>
      <c r="T684">
        <f t="shared" si="5"/>
        <v>0</v>
      </c>
      <c r="U684">
        <f t="shared" si="6"/>
        <v>0</v>
      </c>
      <c r="V684">
        <f t="shared" si="7"/>
        <v>0</v>
      </c>
      <c r="W684">
        <f t="shared" si="8"/>
        <v>0</v>
      </c>
      <c r="X684">
        <f t="shared" si="9"/>
        <v>0</v>
      </c>
      <c r="Y684">
        <f t="shared" si="10"/>
        <v>0</v>
      </c>
      <c r="Z684">
        <f t="shared" si="11"/>
        <v>0</v>
      </c>
      <c r="AA684">
        <f t="shared" si="12"/>
        <v>0</v>
      </c>
      <c r="AB684">
        <f t="shared" si="13"/>
        <v>0</v>
      </c>
      <c r="AC684">
        <f t="shared" si="14"/>
        <v>0</v>
      </c>
      <c r="AE684">
        <f t="shared" si="0"/>
      </c>
      <c r="AV684">
        <f t="shared" si="15"/>
      </c>
      <c r="BM684">
        <f t="shared" si="16"/>
      </c>
      <c r="CD684">
        <f t="shared" si="0"/>
      </c>
      <c r="CZ684">
        <f t="shared" si="17"/>
      </c>
      <c r="DA684">
        <f t="shared" si="1"/>
      </c>
      <c r="DB684">
        <f t="shared" si="18"/>
      </c>
      <c r="DC684">
        <f t="shared" si="19"/>
      </c>
      <c r="DD684">
        <f t="shared" si="20"/>
      </c>
      <c r="DE684">
        <f t="shared" si="21"/>
      </c>
      <c r="DF684">
        <f t="shared" si="22"/>
      </c>
      <c r="DG684">
        <f t="shared" si="23"/>
      </c>
      <c r="DH684">
        <f t="shared" si="24"/>
      </c>
      <c r="DI684">
        <f t="shared" si="1"/>
      </c>
    </row>
    <row r="685" ht="15" customHeight="1">
      <c r="B685">
        <f t="shared" si="2"/>
      </c>
      <c r="R685">
        <f t="shared" si="3"/>
        <v>0</v>
      </c>
      <c r="S685">
        <f t="shared" si="4"/>
        <v>0</v>
      </c>
      <c r="T685">
        <f t="shared" si="5"/>
        <v>0</v>
      </c>
      <c r="U685">
        <f t="shared" si="6"/>
        <v>0</v>
      </c>
      <c r="V685">
        <f t="shared" si="7"/>
        <v>0</v>
      </c>
      <c r="W685">
        <f t="shared" si="8"/>
        <v>0</v>
      </c>
      <c r="X685">
        <f t="shared" si="9"/>
        <v>0</v>
      </c>
      <c r="Y685">
        <f t="shared" si="10"/>
        <v>0</v>
      </c>
      <c r="Z685">
        <f t="shared" si="11"/>
        <v>0</v>
      </c>
      <c r="AA685">
        <f t="shared" si="12"/>
        <v>0</v>
      </c>
      <c r="AB685">
        <f t="shared" si="13"/>
        <v>0</v>
      </c>
      <c r="AC685">
        <f t="shared" si="14"/>
        <v>0</v>
      </c>
      <c r="AE685">
        <f t="shared" si="0"/>
      </c>
      <c r="AV685">
        <f t="shared" si="15"/>
      </c>
      <c r="BM685">
        <f t="shared" si="16"/>
      </c>
      <c r="CD685">
        <f t="shared" si="0"/>
      </c>
      <c r="CZ685">
        <f t="shared" si="17"/>
      </c>
      <c r="DA685">
        <f t="shared" si="1"/>
      </c>
      <c r="DB685">
        <f t="shared" si="18"/>
      </c>
      <c r="DC685">
        <f t="shared" si="19"/>
      </c>
      <c r="DD685">
        <f t="shared" si="20"/>
      </c>
      <c r="DE685">
        <f t="shared" si="21"/>
      </c>
      <c r="DF685">
        <f t="shared" si="22"/>
      </c>
      <c r="DG685">
        <f t="shared" si="23"/>
      </c>
      <c r="DH685">
        <f t="shared" si="24"/>
      </c>
      <c r="DI685">
        <f t="shared" si="1"/>
      </c>
    </row>
    <row r="686" ht="15" customHeight="1">
      <c r="B686">
        <f t="shared" si="2"/>
      </c>
      <c r="R686">
        <f t="shared" si="3"/>
        <v>0</v>
      </c>
      <c r="S686">
        <f t="shared" si="4"/>
        <v>0</v>
      </c>
      <c r="T686">
        <f t="shared" si="5"/>
        <v>0</v>
      </c>
      <c r="U686">
        <f t="shared" si="6"/>
        <v>0</v>
      </c>
      <c r="V686">
        <f t="shared" si="7"/>
        <v>0</v>
      </c>
      <c r="W686">
        <f t="shared" si="8"/>
        <v>0</v>
      </c>
      <c r="X686">
        <f t="shared" si="9"/>
        <v>0</v>
      </c>
      <c r="Y686">
        <f t="shared" si="10"/>
        <v>0</v>
      </c>
      <c r="Z686">
        <f t="shared" si="11"/>
        <v>0</v>
      </c>
      <c r="AA686">
        <f t="shared" si="12"/>
        <v>0</v>
      </c>
      <c r="AB686">
        <f t="shared" si="13"/>
        <v>0</v>
      </c>
      <c r="AC686">
        <f t="shared" si="14"/>
        <v>0</v>
      </c>
      <c r="AE686">
        <f t="shared" si="0"/>
      </c>
      <c r="AV686">
        <f t="shared" si="15"/>
      </c>
      <c r="BM686">
        <f t="shared" si="16"/>
      </c>
      <c r="CD686">
        <f t="shared" si="0"/>
      </c>
      <c r="CZ686">
        <f t="shared" si="17"/>
      </c>
      <c r="DA686">
        <f t="shared" si="1"/>
      </c>
      <c r="DB686">
        <f t="shared" si="18"/>
      </c>
      <c r="DC686">
        <f t="shared" si="19"/>
      </c>
      <c r="DD686">
        <f t="shared" si="20"/>
      </c>
      <c r="DE686">
        <f t="shared" si="21"/>
      </c>
      <c r="DF686">
        <f t="shared" si="22"/>
      </c>
      <c r="DG686">
        <f t="shared" si="23"/>
      </c>
      <c r="DH686">
        <f t="shared" si="24"/>
      </c>
      <c r="DI686">
        <f t="shared" si="1"/>
      </c>
    </row>
    <row r="687" ht="15" customHeight="1">
      <c r="B687">
        <f t="shared" si="2"/>
      </c>
      <c r="R687">
        <f t="shared" si="3"/>
        <v>0</v>
      </c>
      <c r="S687">
        <f t="shared" si="4"/>
        <v>0</v>
      </c>
      <c r="T687">
        <f t="shared" si="5"/>
        <v>0</v>
      </c>
      <c r="U687">
        <f t="shared" si="6"/>
        <v>0</v>
      </c>
      <c r="V687">
        <f t="shared" si="7"/>
        <v>0</v>
      </c>
      <c r="W687">
        <f t="shared" si="8"/>
        <v>0</v>
      </c>
      <c r="X687">
        <f t="shared" si="9"/>
        <v>0</v>
      </c>
      <c r="Y687">
        <f t="shared" si="10"/>
        <v>0</v>
      </c>
      <c r="Z687">
        <f t="shared" si="11"/>
        <v>0</v>
      </c>
      <c r="AA687">
        <f t="shared" si="12"/>
        <v>0</v>
      </c>
      <c r="AB687">
        <f t="shared" si="13"/>
        <v>0</v>
      </c>
      <c r="AC687">
        <f t="shared" si="14"/>
        <v>0</v>
      </c>
      <c r="AE687">
        <f t="shared" si="0"/>
      </c>
      <c r="AV687">
        <f t="shared" si="15"/>
      </c>
      <c r="BM687">
        <f t="shared" si="16"/>
      </c>
      <c r="CD687">
        <f t="shared" si="0"/>
      </c>
      <c r="CZ687">
        <f t="shared" si="17"/>
      </c>
      <c r="DA687">
        <f t="shared" si="1"/>
      </c>
      <c r="DB687">
        <f t="shared" si="18"/>
      </c>
      <c r="DC687">
        <f t="shared" si="19"/>
      </c>
      <c r="DD687">
        <f t="shared" si="20"/>
      </c>
      <c r="DE687">
        <f t="shared" si="21"/>
      </c>
      <c r="DF687">
        <f t="shared" si="22"/>
      </c>
      <c r="DG687">
        <f t="shared" si="23"/>
      </c>
      <c r="DH687">
        <f t="shared" si="24"/>
      </c>
      <c r="DI687">
        <f t="shared" si="1"/>
      </c>
    </row>
    <row r="688" ht="15" customHeight="1">
      <c r="B688">
        <f t="shared" si="2"/>
      </c>
      <c r="R688">
        <f t="shared" si="3"/>
        <v>0</v>
      </c>
      <c r="S688">
        <f t="shared" si="4"/>
        <v>0</v>
      </c>
      <c r="T688">
        <f t="shared" si="5"/>
        <v>0</v>
      </c>
      <c r="U688">
        <f t="shared" si="6"/>
        <v>0</v>
      </c>
      <c r="V688">
        <f t="shared" si="7"/>
        <v>0</v>
      </c>
      <c r="W688">
        <f t="shared" si="8"/>
        <v>0</v>
      </c>
      <c r="X688">
        <f t="shared" si="9"/>
        <v>0</v>
      </c>
      <c r="Y688">
        <f t="shared" si="10"/>
        <v>0</v>
      </c>
      <c r="Z688">
        <f t="shared" si="11"/>
        <v>0</v>
      </c>
      <c r="AA688">
        <f t="shared" si="12"/>
        <v>0</v>
      </c>
      <c r="AB688">
        <f t="shared" si="13"/>
        <v>0</v>
      </c>
      <c r="AC688">
        <f t="shared" si="14"/>
        <v>0</v>
      </c>
      <c r="AE688">
        <f t="shared" si="0"/>
      </c>
      <c r="AV688">
        <f t="shared" si="15"/>
      </c>
      <c r="BM688">
        <f t="shared" si="16"/>
      </c>
      <c r="CD688">
        <f t="shared" si="0"/>
      </c>
      <c r="CZ688">
        <f t="shared" si="17"/>
      </c>
      <c r="DA688">
        <f t="shared" si="1"/>
      </c>
      <c r="DB688">
        <f t="shared" si="18"/>
      </c>
      <c r="DC688">
        <f t="shared" si="19"/>
      </c>
      <c r="DD688">
        <f t="shared" si="20"/>
      </c>
      <c r="DE688">
        <f t="shared" si="21"/>
      </c>
      <c r="DF688">
        <f t="shared" si="22"/>
      </c>
      <c r="DG688">
        <f t="shared" si="23"/>
      </c>
      <c r="DH688">
        <f t="shared" si="24"/>
      </c>
      <c r="DI688">
        <f t="shared" si="1"/>
      </c>
    </row>
    <row r="689" ht="15" customHeight="1">
      <c r="B689">
        <f t="shared" si="2"/>
      </c>
      <c r="R689">
        <f t="shared" si="3"/>
        <v>0</v>
      </c>
      <c r="S689">
        <f t="shared" si="4"/>
        <v>0</v>
      </c>
      <c r="T689">
        <f t="shared" si="5"/>
        <v>0</v>
      </c>
      <c r="U689">
        <f t="shared" si="6"/>
        <v>0</v>
      </c>
      <c r="V689">
        <f t="shared" si="7"/>
        <v>0</v>
      </c>
      <c r="W689">
        <f t="shared" si="8"/>
        <v>0</v>
      </c>
      <c r="X689">
        <f t="shared" si="9"/>
        <v>0</v>
      </c>
      <c r="Y689">
        <f t="shared" si="10"/>
        <v>0</v>
      </c>
      <c r="Z689">
        <f t="shared" si="11"/>
        <v>0</v>
      </c>
      <c r="AA689">
        <f t="shared" si="12"/>
        <v>0</v>
      </c>
      <c r="AB689">
        <f t="shared" si="13"/>
        <v>0</v>
      </c>
      <c r="AC689">
        <f t="shared" si="14"/>
        <v>0</v>
      </c>
      <c r="AE689">
        <f t="shared" si="0"/>
      </c>
      <c r="AV689">
        <f t="shared" si="15"/>
      </c>
      <c r="BM689">
        <f t="shared" si="16"/>
      </c>
      <c r="CD689">
        <f t="shared" si="0"/>
      </c>
      <c r="CZ689">
        <f t="shared" si="17"/>
      </c>
      <c r="DA689">
        <f t="shared" si="1"/>
      </c>
      <c r="DB689">
        <f t="shared" si="18"/>
      </c>
      <c r="DC689">
        <f t="shared" si="19"/>
      </c>
      <c r="DD689">
        <f t="shared" si="20"/>
      </c>
      <c r="DE689">
        <f t="shared" si="21"/>
      </c>
      <c r="DF689">
        <f t="shared" si="22"/>
      </c>
      <c r="DG689">
        <f t="shared" si="23"/>
      </c>
      <c r="DH689">
        <f t="shared" si="24"/>
      </c>
      <c r="DI689">
        <f t="shared" si="1"/>
      </c>
    </row>
    <row r="690" ht="15" customHeight="1">
      <c r="B690">
        <f t="shared" si="2"/>
      </c>
      <c r="R690">
        <f t="shared" si="3"/>
        <v>0</v>
      </c>
      <c r="S690">
        <f t="shared" si="4"/>
        <v>0</v>
      </c>
      <c r="T690">
        <f t="shared" si="5"/>
        <v>0</v>
      </c>
      <c r="U690">
        <f t="shared" si="6"/>
        <v>0</v>
      </c>
      <c r="V690">
        <f t="shared" si="7"/>
        <v>0</v>
      </c>
      <c r="W690">
        <f t="shared" si="8"/>
        <v>0</v>
      </c>
      <c r="X690">
        <f t="shared" si="9"/>
        <v>0</v>
      </c>
      <c r="Y690">
        <f t="shared" si="10"/>
        <v>0</v>
      </c>
      <c r="Z690">
        <f t="shared" si="11"/>
        <v>0</v>
      </c>
      <c r="AA690">
        <f t="shared" si="12"/>
        <v>0</v>
      </c>
      <c r="AB690">
        <f t="shared" si="13"/>
        <v>0</v>
      </c>
      <c r="AC690">
        <f t="shared" si="14"/>
        <v>0</v>
      </c>
      <c r="AE690">
        <f t="shared" si="0"/>
      </c>
      <c r="AV690">
        <f t="shared" si="15"/>
      </c>
      <c r="BM690">
        <f t="shared" si="16"/>
      </c>
      <c r="CD690">
        <f t="shared" si="0"/>
      </c>
      <c r="CZ690">
        <f t="shared" si="17"/>
      </c>
      <c r="DA690">
        <f t="shared" si="1"/>
      </c>
      <c r="DB690">
        <f t="shared" si="18"/>
      </c>
      <c r="DC690">
        <f t="shared" si="19"/>
      </c>
      <c r="DD690">
        <f t="shared" si="20"/>
      </c>
      <c r="DE690">
        <f t="shared" si="21"/>
      </c>
      <c r="DF690">
        <f t="shared" si="22"/>
      </c>
      <c r="DG690">
        <f t="shared" si="23"/>
      </c>
      <c r="DH690">
        <f t="shared" si="24"/>
      </c>
      <c r="DI690">
        <f t="shared" si="1"/>
      </c>
    </row>
    <row r="691" ht="15" customHeight="1">
      <c r="B691">
        <f t="shared" si="2"/>
      </c>
      <c r="R691">
        <f t="shared" si="3"/>
        <v>0</v>
      </c>
      <c r="S691">
        <f t="shared" si="4"/>
        <v>0</v>
      </c>
      <c r="T691">
        <f t="shared" si="5"/>
        <v>0</v>
      </c>
      <c r="U691">
        <f t="shared" si="6"/>
        <v>0</v>
      </c>
      <c r="V691">
        <f t="shared" si="7"/>
        <v>0</v>
      </c>
      <c r="W691">
        <f t="shared" si="8"/>
        <v>0</v>
      </c>
      <c r="X691">
        <f t="shared" si="9"/>
        <v>0</v>
      </c>
      <c r="Y691">
        <f t="shared" si="10"/>
        <v>0</v>
      </c>
      <c r="Z691">
        <f t="shared" si="11"/>
        <v>0</v>
      </c>
      <c r="AA691">
        <f t="shared" si="12"/>
        <v>0</v>
      </c>
      <c r="AB691">
        <f t="shared" si="13"/>
        <v>0</v>
      </c>
      <c r="AC691">
        <f t="shared" si="14"/>
        <v>0</v>
      </c>
      <c r="AE691">
        <f t="shared" si="0"/>
      </c>
      <c r="AV691">
        <f t="shared" si="15"/>
      </c>
      <c r="BM691">
        <f t="shared" si="16"/>
      </c>
      <c r="CD691">
        <f t="shared" si="0"/>
      </c>
      <c r="CZ691">
        <f t="shared" si="17"/>
      </c>
      <c r="DA691">
        <f t="shared" si="1"/>
      </c>
      <c r="DB691">
        <f t="shared" si="18"/>
      </c>
      <c r="DC691">
        <f t="shared" si="19"/>
      </c>
      <c r="DD691">
        <f t="shared" si="20"/>
      </c>
      <c r="DE691">
        <f t="shared" si="21"/>
      </c>
      <c r="DF691">
        <f t="shared" si="22"/>
      </c>
      <c r="DG691">
        <f t="shared" si="23"/>
      </c>
      <c r="DH691">
        <f t="shared" si="24"/>
      </c>
      <c r="DI691">
        <f t="shared" si="1"/>
      </c>
    </row>
    <row r="692" ht="15" customHeight="1">
      <c r="B692">
        <f t="shared" si="2"/>
      </c>
      <c r="R692">
        <f t="shared" si="3"/>
        <v>0</v>
      </c>
      <c r="S692">
        <f t="shared" si="4"/>
        <v>0</v>
      </c>
      <c r="T692">
        <f t="shared" si="5"/>
        <v>0</v>
      </c>
      <c r="U692">
        <f t="shared" si="6"/>
        <v>0</v>
      </c>
      <c r="V692">
        <f t="shared" si="7"/>
        <v>0</v>
      </c>
      <c r="W692">
        <f t="shared" si="8"/>
        <v>0</v>
      </c>
      <c r="X692">
        <f t="shared" si="9"/>
        <v>0</v>
      </c>
      <c r="Y692">
        <f t="shared" si="10"/>
        <v>0</v>
      </c>
      <c r="Z692">
        <f t="shared" si="11"/>
        <v>0</v>
      </c>
      <c r="AA692">
        <f t="shared" si="12"/>
        <v>0</v>
      </c>
      <c r="AB692">
        <f t="shared" si="13"/>
        <v>0</v>
      </c>
      <c r="AC692">
        <f t="shared" si="14"/>
        <v>0</v>
      </c>
      <c r="AE692">
        <f t="shared" si="0"/>
      </c>
      <c r="AV692">
        <f t="shared" si="15"/>
      </c>
      <c r="BM692">
        <f t="shared" si="16"/>
      </c>
      <c r="CD692">
        <f t="shared" si="0"/>
      </c>
      <c r="CZ692">
        <f t="shared" si="17"/>
      </c>
      <c r="DA692">
        <f t="shared" si="1"/>
      </c>
      <c r="DB692">
        <f t="shared" si="18"/>
      </c>
      <c r="DC692">
        <f t="shared" si="19"/>
      </c>
      <c r="DD692">
        <f t="shared" si="20"/>
      </c>
      <c r="DE692">
        <f t="shared" si="21"/>
      </c>
      <c r="DF692">
        <f t="shared" si="22"/>
      </c>
      <c r="DG692">
        <f t="shared" si="23"/>
      </c>
      <c r="DH692">
        <f t="shared" si="24"/>
      </c>
      <c r="DI692">
        <f t="shared" si="1"/>
      </c>
    </row>
    <row r="693" ht="15" customHeight="1">
      <c r="B693">
        <f t="shared" si="2"/>
      </c>
      <c r="R693">
        <f t="shared" si="3"/>
        <v>0</v>
      </c>
      <c r="S693">
        <f t="shared" si="4"/>
        <v>0</v>
      </c>
      <c r="T693">
        <f t="shared" si="5"/>
        <v>0</v>
      </c>
      <c r="U693">
        <f t="shared" si="6"/>
        <v>0</v>
      </c>
      <c r="V693">
        <f t="shared" si="7"/>
        <v>0</v>
      </c>
      <c r="W693">
        <f t="shared" si="8"/>
        <v>0</v>
      </c>
      <c r="X693">
        <f t="shared" si="9"/>
        <v>0</v>
      </c>
      <c r="Y693">
        <f t="shared" si="10"/>
        <v>0</v>
      </c>
      <c r="Z693">
        <f t="shared" si="11"/>
        <v>0</v>
      </c>
      <c r="AA693">
        <f t="shared" si="12"/>
        <v>0</v>
      </c>
      <c r="AB693">
        <f t="shared" si="13"/>
        <v>0</v>
      </c>
      <c r="AC693">
        <f t="shared" si="14"/>
        <v>0</v>
      </c>
      <c r="AE693">
        <f t="shared" si="0"/>
      </c>
      <c r="AV693">
        <f t="shared" si="15"/>
      </c>
      <c r="BM693">
        <f t="shared" si="16"/>
      </c>
      <c r="CD693">
        <f t="shared" si="0"/>
      </c>
      <c r="CZ693">
        <f t="shared" si="17"/>
      </c>
      <c r="DA693">
        <f t="shared" si="1"/>
      </c>
      <c r="DB693">
        <f t="shared" si="18"/>
      </c>
      <c r="DC693">
        <f t="shared" si="19"/>
      </c>
      <c r="DD693">
        <f t="shared" si="20"/>
      </c>
      <c r="DE693">
        <f t="shared" si="21"/>
      </c>
      <c r="DF693">
        <f t="shared" si="22"/>
      </c>
      <c r="DG693">
        <f t="shared" si="23"/>
      </c>
      <c r="DH693">
        <f t="shared" si="24"/>
      </c>
      <c r="DI693">
        <f t="shared" si="1"/>
      </c>
    </row>
    <row r="694" ht="15" customHeight="1">
      <c r="B694">
        <f t="shared" si="2"/>
      </c>
      <c r="R694">
        <f t="shared" si="3"/>
        <v>0</v>
      </c>
      <c r="S694">
        <f t="shared" si="4"/>
        <v>0</v>
      </c>
      <c r="T694">
        <f t="shared" si="5"/>
        <v>0</v>
      </c>
      <c r="U694">
        <f t="shared" si="6"/>
        <v>0</v>
      </c>
      <c r="V694">
        <f t="shared" si="7"/>
        <v>0</v>
      </c>
      <c r="W694">
        <f t="shared" si="8"/>
        <v>0</v>
      </c>
      <c r="X694">
        <f t="shared" si="9"/>
        <v>0</v>
      </c>
      <c r="Y694">
        <f t="shared" si="10"/>
        <v>0</v>
      </c>
      <c r="Z694">
        <f t="shared" si="11"/>
        <v>0</v>
      </c>
      <c r="AA694">
        <f t="shared" si="12"/>
        <v>0</v>
      </c>
      <c r="AB694">
        <f t="shared" si="13"/>
        <v>0</v>
      </c>
      <c r="AC694">
        <f t="shared" si="14"/>
        <v>0</v>
      </c>
      <c r="AE694">
        <f t="shared" si="0"/>
      </c>
      <c r="AV694">
        <f t="shared" si="15"/>
      </c>
      <c r="BM694">
        <f t="shared" si="16"/>
      </c>
      <c r="CD694">
        <f t="shared" si="0"/>
      </c>
      <c r="CZ694">
        <f t="shared" si="17"/>
      </c>
      <c r="DA694">
        <f t="shared" si="1"/>
      </c>
      <c r="DB694">
        <f t="shared" si="18"/>
      </c>
      <c r="DC694">
        <f t="shared" si="19"/>
      </c>
      <c r="DD694">
        <f t="shared" si="20"/>
      </c>
      <c r="DE694">
        <f t="shared" si="21"/>
      </c>
      <c r="DF694">
        <f t="shared" si="22"/>
      </c>
      <c r="DG694">
        <f t="shared" si="23"/>
      </c>
      <c r="DH694">
        <f t="shared" si="24"/>
      </c>
      <c r="DI694">
        <f t="shared" si="1"/>
      </c>
    </row>
    <row r="695" ht="15" customHeight="1">
      <c r="B695">
        <f t="shared" si="2"/>
      </c>
      <c r="R695">
        <f t="shared" si="3"/>
        <v>0</v>
      </c>
      <c r="S695">
        <f t="shared" si="4"/>
        <v>0</v>
      </c>
      <c r="T695">
        <f t="shared" si="5"/>
        <v>0</v>
      </c>
      <c r="U695">
        <f t="shared" si="6"/>
        <v>0</v>
      </c>
      <c r="V695">
        <f t="shared" si="7"/>
        <v>0</v>
      </c>
      <c r="W695">
        <f t="shared" si="8"/>
        <v>0</v>
      </c>
      <c r="X695">
        <f t="shared" si="9"/>
        <v>0</v>
      </c>
      <c r="Y695">
        <f t="shared" si="10"/>
        <v>0</v>
      </c>
      <c r="Z695">
        <f t="shared" si="11"/>
        <v>0</v>
      </c>
      <c r="AA695">
        <f t="shared" si="12"/>
        <v>0</v>
      </c>
      <c r="AB695">
        <f t="shared" si="13"/>
        <v>0</v>
      </c>
      <c r="AC695">
        <f t="shared" si="14"/>
        <v>0</v>
      </c>
      <c r="AE695">
        <f t="shared" si="0"/>
      </c>
      <c r="AV695">
        <f t="shared" si="15"/>
      </c>
      <c r="BM695">
        <f t="shared" si="16"/>
      </c>
      <c r="CD695">
        <f t="shared" si="0"/>
      </c>
      <c r="CZ695">
        <f t="shared" si="17"/>
      </c>
      <c r="DA695">
        <f t="shared" si="1"/>
      </c>
      <c r="DB695">
        <f t="shared" si="18"/>
      </c>
      <c r="DC695">
        <f t="shared" si="19"/>
      </c>
      <c r="DD695">
        <f t="shared" si="20"/>
      </c>
      <c r="DE695">
        <f t="shared" si="21"/>
      </c>
      <c r="DF695">
        <f t="shared" si="22"/>
      </c>
      <c r="DG695">
        <f t="shared" si="23"/>
      </c>
      <c r="DH695">
        <f t="shared" si="24"/>
      </c>
      <c r="DI695">
        <f t="shared" si="1"/>
      </c>
    </row>
    <row r="696" ht="15" customHeight="1">
      <c r="B696">
        <f t="shared" si="2"/>
      </c>
      <c r="R696">
        <f t="shared" si="3"/>
        <v>0</v>
      </c>
      <c r="S696">
        <f t="shared" si="4"/>
        <v>0</v>
      </c>
      <c r="T696">
        <f t="shared" si="5"/>
        <v>0</v>
      </c>
      <c r="U696">
        <f t="shared" si="6"/>
        <v>0</v>
      </c>
      <c r="V696">
        <f t="shared" si="7"/>
        <v>0</v>
      </c>
      <c r="W696">
        <f t="shared" si="8"/>
        <v>0</v>
      </c>
      <c r="X696">
        <f t="shared" si="9"/>
        <v>0</v>
      </c>
      <c r="Y696">
        <f t="shared" si="10"/>
        <v>0</v>
      </c>
      <c r="Z696">
        <f t="shared" si="11"/>
        <v>0</v>
      </c>
      <c r="AA696">
        <f t="shared" si="12"/>
        <v>0</v>
      </c>
      <c r="AB696">
        <f t="shared" si="13"/>
        <v>0</v>
      </c>
      <c r="AC696">
        <f t="shared" si="14"/>
        <v>0</v>
      </c>
      <c r="AE696">
        <f t="shared" si="0"/>
      </c>
      <c r="AV696">
        <f t="shared" si="15"/>
      </c>
      <c r="BM696">
        <f t="shared" si="16"/>
      </c>
      <c r="CD696">
        <f t="shared" si="0"/>
      </c>
      <c r="CZ696">
        <f t="shared" si="17"/>
      </c>
      <c r="DA696">
        <f t="shared" si="1"/>
      </c>
      <c r="DB696">
        <f t="shared" si="18"/>
      </c>
      <c r="DC696">
        <f t="shared" si="19"/>
      </c>
      <c r="DD696">
        <f t="shared" si="20"/>
      </c>
      <c r="DE696">
        <f t="shared" si="21"/>
      </c>
      <c r="DF696">
        <f t="shared" si="22"/>
      </c>
      <c r="DG696">
        <f t="shared" si="23"/>
      </c>
      <c r="DH696">
        <f t="shared" si="24"/>
      </c>
      <c r="DI696">
        <f t="shared" si="1"/>
      </c>
    </row>
    <row r="697" ht="15" customHeight="1">
      <c r="B697">
        <f t="shared" si="2"/>
      </c>
      <c r="R697">
        <f t="shared" si="3"/>
        <v>0</v>
      </c>
      <c r="S697">
        <f t="shared" si="4"/>
        <v>0</v>
      </c>
      <c r="T697">
        <f t="shared" si="5"/>
        <v>0</v>
      </c>
      <c r="U697">
        <f t="shared" si="6"/>
        <v>0</v>
      </c>
      <c r="V697">
        <f t="shared" si="7"/>
        <v>0</v>
      </c>
      <c r="W697">
        <f t="shared" si="8"/>
        <v>0</v>
      </c>
      <c r="X697">
        <f t="shared" si="9"/>
        <v>0</v>
      </c>
      <c r="Y697">
        <f t="shared" si="10"/>
        <v>0</v>
      </c>
      <c r="Z697">
        <f t="shared" si="11"/>
        <v>0</v>
      </c>
      <c r="AA697">
        <f t="shared" si="12"/>
        <v>0</v>
      </c>
      <c r="AB697">
        <f t="shared" si="13"/>
        <v>0</v>
      </c>
      <c r="AC697">
        <f t="shared" si="14"/>
        <v>0</v>
      </c>
      <c r="AE697">
        <f t="shared" si="0"/>
      </c>
      <c r="AV697">
        <f t="shared" si="15"/>
      </c>
      <c r="BM697">
        <f t="shared" si="16"/>
      </c>
      <c r="CD697">
        <f t="shared" si="0"/>
      </c>
      <c r="CZ697">
        <f t="shared" si="17"/>
      </c>
      <c r="DA697">
        <f t="shared" si="1"/>
      </c>
      <c r="DB697">
        <f t="shared" si="18"/>
      </c>
      <c r="DC697">
        <f t="shared" si="19"/>
      </c>
      <c r="DD697">
        <f t="shared" si="20"/>
      </c>
      <c r="DE697">
        <f t="shared" si="21"/>
      </c>
      <c r="DF697">
        <f t="shared" si="22"/>
      </c>
      <c r="DG697">
        <f t="shared" si="23"/>
      </c>
      <c r="DH697">
        <f t="shared" si="24"/>
      </c>
      <c r="DI697">
        <f t="shared" si="1"/>
      </c>
    </row>
    <row r="698" ht="15" customHeight="1">
      <c r="B698">
        <f t="shared" si="2"/>
      </c>
      <c r="R698">
        <f t="shared" si="3"/>
        <v>0</v>
      </c>
      <c r="S698">
        <f t="shared" si="4"/>
        <v>0</v>
      </c>
      <c r="T698">
        <f t="shared" si="5"/>
        <v>0</v>
      </c>
      <c r="U698">
        <f t="shared" si="6"/>
        <v>0</v>
      </c>
      <c r="V698">
        <f t="shared" si="7"/>
        <v>0</v>
      </c>
      <c r="W698">
        <f t="shared" si="8"/>
        <v>0</v>
      </c>
      <c r="X698">
        <f t="shared" si="9"/>
        <v>0</v>
      </c>
      <c r="Y698">
        <f t="shared" si="10"/>
        <v>0</v>
      </c>
      <c r="Z698">
        <f t="shared" si="11"/>
        <v>0</v>
      </c>
      <c r="AA698">
        <f t="shared" si="12"/>
        <v>0</v>
      </c>
      <c r="AB698">
        <f t="shared" si="13"/>
        <v>0</v>
      </c>
      <c r="AC698">
        <f t="shared" si="14"/>
        <v>0</v>
      </c>
      <c r="AE698">
        <f t="shared" si="0"/>
      </c>
      <c r="AV698">
        <f t="shared" si="15"/>
      </c>
      <c r="BM698">
        <f t="shared" si="16"/>
      </c>
      <c r="CD698">
        <f t="shared" si="0"/>
      </c>
      <c r="CZ698">
        <f t="shared" si="17"/>
      </c>
      <c r="DA698">
        <f t="shared" si="1"/>
      </c>
      <c r="DB698">
        <f t="shared" si="18"/>
      </c>
      <c r="DC698">
        <f t="shared" si="19"/>
      </c>
      <c r="DD698">
        <f t="shared" si="20"/>
      </c>
      <c r="DE698">
        <f t="shared" si="21"/>
      </c>
      <c r="DF698">
        <f t="shared" si="22"/>
      </c>
      <c r="DG698">
        <f t="shared" si="23"/>
      </c>
      <c r="DH698">
        <f t="shared" si="24"/>
      </c>
      <c r="DI698">
        <f t="shared" si="1"/>
      </c>
    </row>
    <row r="699" ht="15" customHeight="1">
      <c r="B699">
        <f t="shared" si="2"/>
      </c>
      <c r="R699">
        <f t="shared" si="3"/>
        <v>0</v>
      </c>
      <c r="S699">
        <f t="shared" si="4"/>
        <v>0</v>
      </c>
      <c r="T699">
        <f t="shared" si="5"/>
        <v>0</v>
      </c>
      <c r="U699">
        <f t="shared" si="6"/>
        <v>0</v>
      </c>
      <c r="V699">
        <f t="shared" si="7"/>
        <v>0</v>
      </c>
      <c r="W699">
        <f t="shared" si="8"/>
        <v>0</v>
      </c>
      <c r="X699">
        <f t="shared" si="9"/>
        <v>0</v>
      </c>
      <c r="Y699">
        <f t="shared" si="10"/>
        <v>0</v>
      </c>
      <c r="Z699">
        <f t="shared" si="11"/>
        <v>0</v>
      </c>
      <c r="AA699">
        <f t="shared" si="12"/>
        <v>0</v>
      </c>
      <c r="AB699">
        <f t="shared" si="13"/>
        <v>0</v>
      </c>
      <c r="AC699">
        <f t="shared" si="14"/>
        <v>0</v>
      </c>
      <c r="AE699">
        <f t="shared" si="0"/>
      </c>
      <c r="AV699">
        <f t="shared" si="15"/>
      </c>
      <c r="BM699">
        <f t="shared" si="16"/>
      </c>
      <c r="CD699">
        <f t="shared" si="0"/>
      </c>
      <c r="CZ699">
        <f t="shared" si="17"/>
      </c>
      <c r="DA699">
        <f t="shared" si="1"/>
      </c>
      <c r="DB699">
        <f t="shared" si="18"/>
      </c>
      <c r="DC699">
        <f t="shared" si="19"/>
      </c>
      <c r="DD699">
        <f t="shared" si="20"/>
      </c>
      <c r="DE699">
        <f t="shared" si="21"/>
      </c>
      <c r="DF699">
        <f t="shared" si="22"/>
      </c>
      <c r="DG699">
        <f t="shared" si="23"/>
      </c>
      <c r="DH699">
        <f t="shared" si="24"/>
      </c>
      <c r="DI699">
        <f t="shared" si="1"/>
      </c>
    </row>
    <row r="700" ht="15" customHeight="1">
      <c r="B700">
        <f t="shared" si="2"/>
      </c>
      <c r="R700">
        <f t="shared" si="3"/>
        <v>0</v>
      </c>
      <c r="S700">
        <f t="shared" si="4"/>
        <v>0</v>
      </c>
      <c r="T700">
        <f t="shared" si="5"/>
        <v>0</v>
      </c>
      <c r="U700">
        <f t="shared" si="6"/>
        <v>0</v>
      </c>
      <c r="V700">
        <f t="shared" si="7"/>
        <v>0</v>
      </c>
      <c r="W700">
        <f t="shared" si="8"/>
        <v>0</v>
      </c>
      <c r="X700">
        <f t="shared" si="9"/>
        <v>0</v>
      </c>
      <c r="Y700">
        <f t="shared" si="10"/>
        <v>0</v>
      </c>
      <c r="Z700">
        <f t="shared" si="11"/>
        <v>0</v>
      </c>
      <c r="AA700">
        <f t="shared" si="12"/>
        <v>0</v>
      </c>
      <c r="AB700">
        <f t="shared" si="13"/>
        <v>0</v>
      </c>
      <c r="AC700">
        <f t="shared" si="14"/>
        <v>0</v>
      </c>
      <c r="AE700">
        <f t="shared" si="0"/>
      </c>
      <c r="AV700">
        <f t="shared" si="15"/>
      </c>
      <c r="BM700">
        <f t="shared" si="16"/>
      </c>
      <c r="CD700">
        <f t="shared" si="0"/>
      </c>
      <c r="CZ700">
        <f t="shared" si="17"/>
      </c>
      <c r="DA700">
        <f t="shared" si="1"/>
      </c>
      <c r="DB700">
        <f t="shared" si="18"/>
      </c>
      <c r="DC700">
        <f t="shared" si="19"/>
      </c>
      <c r="DD700">
        <f t="shared" si="20"/>
      </c>
      <c r="DE700">
        <f t="shared" si="21"/>
      </c>
      <c r="DF700">
        <f t="shared" si="22"/>
      </c>
      <c r="DG700">
        <f t="shared" si="23"/>
      </c>
      <c r="DH700">
        <f t="shared" si="24"/>
      </c>
      <c r="DI700">
        <f t="shared" si="1"/>
      </c>
    </row>
    <row r="701" ht="15" customHeight="1">
      <c r="B701">
        <f t="shared" si="2"/>
      </c>
      <c r="R701">
        <f t="shared" si="3"/>
        <v>0</v>
      </c>
      <c r="S701">
        <f t="shared" si="4"/>
        <v>0</v>
      </c>
      <c r="T701">
        <f t="shared" si="5"/>
        <v>0</v>
      </c>
      <c r="U701">
        <f t="shared" si="6"/>
        <v>0</v>
      </c>
      <c r="V701">
        <f t="shared" si="7"/>
        <v>0</v>
      </c>
      <c r="W701">
        <f t="shared" si="8"/>
        <v>0</v>
      </c>
      <c r="X701">
        <f t="shared" si="9"/>
        <v>0</v>
      </c>
      <c r="Y701">
        <f t="shared" si="10"/>
        <v>0</v>
      </c>
      <c r="Z701">
        <f t="shared" si="11"/>
        <v>0</v>
      </c>
      <c r="AA701">
        <f t="shared" si="12"/>
        <v>0</v>
      </c>
      <c r="AB701">
        <f t="shared" si="13"/>
        <v>0</v>
      </c>
      <c r="AC701">
        <f t="shared" si="14"/>
        <v>0</v>
      </c>
      <c r="AE701">
        <f t="shared" si="0"/>
      </c>
      <c r="AV701">
        <f t="shared" si="15"/>
      </c>
      <c r="BM701">
        <f t="shared" si="16"/>
      </c>
      <c r="CD701">
        <f t="shared" si="0"/>
      </c>
      <c r="CZ701">
        <f t="shared" si="17"/>
      </c>
      <c r="DA701">
        <f t="shared" si="1"/>
      </c>
      <c r="DB701">
        <f t="shared" si="18"/>
      </c>
      <c r="DC701">
        <f t="shared" si="19"/>
      </c>
      <c r="DD701">
        <f t="shared" si="20"/>
      </c>
      <c r="DE701">
        <f t="shared" si="21"/>
      </c>
      <c r="DF701">
        <f t="shared" si="22"/>
      </c>
      <c r="DG701">
        <f t="shared" si="23"/>
      </c>
      <c r="DH701">
        <f t="shared" si="24"/>
      </c>
      <c r="DI701">
        <f t="shared" si="1"/>
      </c>
    </row>
    <row r="702" ht="15" customHeight="1">
      <c r="B702">
        <f t="shared" si="2"/>
      </c>
      <c r="R702">
        <f t="shared" si="3"/>
        <v>0</v>
      </c>
      <c r="S702">
        <f t="shared" si="4"/>
        <v>0</v>
      </c>
      <c r="T702">
        <f t="shared" si="5"/>
        <v>0</v>
      </c>
      <c r="U702">
        <f t="shared" si="6"/>
        <v>0</v>
      </c>
      <c r="V702">
        <f t="shared" si="7"/>
        <v>0</v>
      </c>
      <c r="W702">
        <f t="shared" si="8"/>
        <v>0</v>
      </c>
      <c r="X702">
        <f t="shared" si="9"/>
        <v>0</v>
      </c>
      <c r="Y702">
        <f t="shared" si="10"/>
        <v>0</v>
      </c>
      <c r="Z702">
        <f t="shared" si="11"/>
        <v>0</v>
      </c>
      <c r="AA702">
        <f t="shared" si="12"/>
        <v>0</v>
      </c>
      <c r="AB702">
        <f t="shared" si="13"/>
        <v>0</v>
      </c>
      <c r="AC702">
        <f t="shared" si="14"/>
        <v>0</v>
      </c>
      <c r="AE702">
        <f t="shared" si="0"/>
      </c>
      <c r="AV702">
        <f t="shared" si="15"/>
      </c>
      <c r="BM702">
        <f t="shared" si="16"/>
      </c>
      <c r="CD702">
        <f t="shared" si="0"/>
      </c>
      <c r="CZ702">
        <f t="shared" si="17"/>
      </c>
      <c r="DA702">
        <f t="shared" si="1"/>
      </c>
      <c r="DB702">
        <f t="shared" si="18"/>
      </c>
      <c r="DC702">
        <f t="shared" si="19"/>
      </c>
      <c r="DD702">
        <f t="shared" si="20"/>
      </c>
      <c r="DE702">
        <f t="shared" si="21"/>
      </c>
      <c r="DF702">
        <f t="shared" si="22"/>
      </c>
      <c r="DG702">
        <f t="shared" si="23"/>
      </c>
      <c r="DH702">
        <f t="shared" si="24"/>
      </c>
      <c r="DI702">
        <f t="shared" si="1"/>
      </c>
    </row>
    <row r="703" ht="15" customHeight="1">
      <c r="B703">
        <f t="shared" si="2"/>
      </c>
      <c r="R703">
        <f t="shared" si="3"/>
        <v>0</v>
      </c>
      <c r="S703">
        <f t="shared" si="4"/>
        <v>0</v>
      </c>
      <c r="T703">
        <f t="shared" si="5"/>
        <v>0</v>
      </c>
      <c r="U703">
        <f t="shared" si="6"/>
        <v>0</v>
      </c>
      <c r="V703">
        <f t="shared" si="7"/>
        <v>0</v>
      </c>
      <c r="W703">
        <f t="shared" si="8"/>
        <v>0</v>
      </c>
      <c r="X703">
        <f t="shared" si="9"/>
        <v>0</v>
      </c>
      <c r="Y703">
        <f t="shared" si="10"/>
        <v>0</v>
      </c>
      <c r="Z703">
        <f t="shared" si="11"/>
        <v>0</v>
      </c>
      <c r="AA703">
        <f t="shared" si="12"/>
        <v>0</v>
      </c>
      <c r="AB703">
        <f t="shared" si="13"/>
        <v>0</v>
      </c>
      <c r="AC703">
        <f t="shared" si="14"/>
        <v>0</v>
      </c>
      <c r="AE703">
        <f t="shared" si="0"/>
      </c>
      <c r="AV703">
        <f t="shared" si="15"/>
      </c>
      <c r="BM703">
        <f t="shared" si="16"/>
      </c>
      <c r="CD703">
        <f t="shared" si="0"/>
      </c>
      <c r="CZ703">
        <f t="shared" si="17"/>
      </c>
      <c r="DA703">
        <f t="shared" si="1"/>
      </c>
      <c r="DB703">
        <f t="shared" si="18"/>
      </c>
      <c r="DC703">
        <f t="shared" si="19"/>
      </c>
      <c r="DD703">
        <f t="shared" si="20"/>
      </c>
      <c r="DE703">
        <f t="shared" si="21"/>
      </c>
      <c r="DF703">
        <f t="shared" si="22"/>
      </c>
      <c r="DG703">
        <f t="shared" si="23"/>
      </c>
      <c r="DH703">
        <f t="shared" si="24"/>
      </c>
      <c r="DI703">
        <f t="shared" si="1"/>
      </c>
    </row>
    <row r="704" ht="15" customHeight="1">
      <c r="B704">
        <f t="shared" si="2"/>
      </c>
      <c r="R704">
        <f t="shared" si="3"/>
        <v>0</v>
      </c>
      <c r="S704">
        <f t="shared" si="4"/>
        <v>0</v>
      </c>
      <c r="T704">
        <f t="shared" si="5"/>
        <v>0</v>
      </c>
      <c r="U704">
        <f t="shared" si="6"/>
        <v>0</v>
      </c>
      <c r="V704">
        <f t="shared" si="7"/>
        <v>0</v>
      </c>
      <c r="W704">
        <f t="shared" si="8"/>
        <v>0</v>
      </c>
      <c r="X704">
        <f t="shared" si="9"/>
        <v>0</v>
      </c>
      <c r="Y704">
        <f t="shared" si="10"/>
        <v>0</v>
      </c>
      <c r="Z704">
        <f t="shared" si="11"/>
        <v>0</v>
      </c>
      <c r="AA704">
        <f t="shared" si="12"/>
        <v>0</v>
      </c>
      <c r="AB704">
        <f t="shared" si="13"/>
        <v>0</v>
      </c>
      <c r="AC704">
        <f t="shared" si="14"/>
        <v>0</v>
      </c>
      <c r="AE704">
        <f t="shared" si="0"/>
      </c>
      <c r="AV704">
        <f t="shared" si="15"/>
      </c>
      <c r="BM704">
        <f t="shared" si="16"/>
      </c>
      <c r="CD704">
        <f t="shared" si="0"/>
      </c>
      <c r="CZ704">
        <f t="shared" si="17"/>
      </c>
      <c r="DA704">
        <f t="shared" si="1"/>
      </c>
      <c r="DB704">
        <f t="shared" si="18"/>
      </c>
      <c r="DC704">
        <f t="shared" si="19"/>
      </c>
      <c r="DD704">
        <f t="shared" si="20"/>
      </c>
      <c r="DE704">
        <f t="shared" si="21"/>
      </c>
      <c r="DF704">
        <f t="shared" si="22"/>
      </c>
      <c r="DG704">
        <f t="shared" si="23"/>
      </c>
      <c r="DH704">
        <f t="shared" si="24"/>
      </c>
      <c r="DI704">
        <f t="shared" si="1"/>
      </c>
    </row>
    <row r="705" ht="15" customHeight="1">
      <c r="B705">
        <f t="shared" si="2"/>
      </c>
      <c r="R705">
        <f t="shared" si="3"/>
        <v>0</v>
      </c>
      <c r="S705">
        <f t="shared" si="4"/>
        <v>0</v>
      </c>
      <c r="T705">
        <f t="shared" si="5"/>
        <v>0</v>
      </c>
      <c r="U705">
        <f t="shared" si="6"/>
        <v>0</v>
      </c>
      <c r="V705">
        <f t="shared" si="7"/>
        <v>0</v>
      </c>
      <c r="W705">
        <f t="shared" si="8"/>
        <v>0</v>
      </c>
      <c r="X705">
        <f t="shared" si="9"/>
        <v>0</v>
      </c>
      <c r="Y705">
        <f t="shared" si="10"/>
        <v>0</v>
      </c>
      <c r="Z705">
        <f t="shared" si="11"/>
        <v>0</v>
      </c>
      <c r="AA705">
        <f t="shared" si="12"/>
        <v>0</v>
      </c>
      <c r="AB705">
        <f t="shared" si="13"/>
        <v>0</v>
      </c>
      <c r="AC705">
        <f t="shared" si="14"/>
        <v>0</v>
      </c>
      <c r="AE705">
        <f t="shared" si="0"/>
      </c>
      <c r="AV705">
        <f t="shared" si="15"/>
      </c>
      <c r="BM705">
        <f t="shared" si="16"/>
      </c>
      <c r="CD705">
        <f t="shared" si="0"/>
      </c>
      <c r="CZ705">
        <f t="shared" si="17"/>
      </c>
      <c r="DA705">
        <f t="shared" si="1"/>
      </c>
      <c r="DB705">
        <f t="shared" si="18"/>
      </c>
      <c r="DC705">
        <f t="shared" si="19"/>
      </c>
      <c r="DD705">
        <f t="shared" si="20"/>
      </c>
      <c r="DE705">
        <f t="shared" si="21"/>
      </c>
      <c r="DF705">
        <f t="shared" si="22"/>
      </c>
      <c r="DG705">
        <f t="shared" si="23"/>
      </c>
      <c r="DH705">
        <f t="shared" si="24"/>
      </c>
      <c r="DI705">
        <f t="shared" si="1"/>
      </c>
    </row>
    <row r="706" ht="15" customHeight="1">
      <c r="B706">
        <f t="shared" si="2"/>
      </c>
      <c r="R706">
        <f t="shared" si="3"/>
        <v>0</v>
      </c>
      <c r="S706">
        <f t="shared" si="4"/>
        <v>0</v>
      </c>
      <c r="T706">
        <f t="shared" si="5"/>
        <v>0</v>
      </c>
      <c r="U706">
        <f t="shared" si="6"/>
        <v>0</v>
      </c>
      <c r="V706">
        <f t="shared" si="7"/>
        <v>0</v>
      </c>
      <c r="W706">
        <f t="shared" si="8"/>
        <v>0</v>
      </c>
      <c r="X706">
        <f t="shared" si="9"/>
        <v>0</v>
      </c>
      <c r="Y706">
        <f t="shared" si="10"/>
        <v>0</v>
      </c>
      <c r="Z706">
        <f t="shared" si="11"/>
        <v>0</v>
      </c>
      <c r="AA706">
        <f t="shared" si="12"/>
        <v>0</v>
      </c>
      <c r="AB706">
        <f t="shared" si="13"/>
        <v>0</v>
      </c>
      <c r="AC706">
        <f t="shared" si="14"/>
        <v>0</v>
      </c>
      <c r="AE706">
        <f t="shared" si="0"/>
      </c>
      <c r="AV706">
        <f t="shared" si="15"/>
      </c>
      <c r="BM706">
        <f t="shared" si="16"/>
      </c>
      <c r="CD706">
        <f t="shared" si="0"/>
      </c>
      <c r="CZ706">
        <f t="shared" si="17"/>
      </c>
      <c r="DA706">
        <f t="shared" si="1"/>
      </c>
      <c r="DB706">
        <f t="shared" si="18"/>
      </c>
      <c r="DC706">
        <f t="shared" si="19"/>
      </c>
      <c r="DD706">
        <f t="shared" si="20"/>
      </c>
      <c r="DE706">
        <f t="shared" si="21"/>
      </c>
      <c r="DF706">
        <f t="shared" si="22"/>
      </c>
      <c r="DG706">
        <f t="shared" si="23"/>
      </c>
      <c r="DH706">
        <f t="shared" si="24"/>
      </c>
      <c r="DI706">
        <f t="shared" si="1"/>
      </c>
    </row>
    <row r="707" ht="15" customHeight="1">
      <c r="B707">
        <f t="shared" si="2"/>
      </c>
      <c r="R707">
        <f t="shared" si="3"/>
        <v>0</v>
      </c>
      <c r="S707">
        <f t="shared" si="4"/>
        <v>0</v>
      </c>
      <c r="T707">
        <f t="shared" si="5"/>
        <v>0</v>
      </c>
      <c r="U707">
        <f t="shared" si="6"/>
        <v>0</v>
      </c>
      <c r="V707">
        <f t="shared" si="7"/>
        <v>0</v>
      </c>
      <c r="W707">
        <f t="shared" si="8"/>
        <v>0</v>
      </c>
      <c r="X707">
        <f t="shared" si="9"/>
        <v>0</v>
      </c>
      <c r="Y707">
        <f t="shared" si="10"/>
        <v>0</v>
      </c>
      <c r="Z707">
        <f t="shared" si="11"/>
        <v>0</v>
      </c>
      <c r="AA707">
        <f t="shared" si="12"/>
        <v>0</v>
      </c>
      <c r="AB707">
        <f t="shared" si="13"/>
        <v>0</v>
      </c>
      <c r="AC707">
        <f t="shared" si="14"/>
        <v>0</v>
      </c>
      <c r="AE707">
        <f t="shared" si="0"/>
      </c>
      <c r="AV707">
        <f t="shared" si="15"/>
      </c>
      <c r="BM707">
        <f t="shared" si="16"/>
      </c>
      <c r="CD707">
        <f t="shared" si="0"/>
      </c>
      <c r="CZ707">
        <f t="shared" si="17"/>
      </c>
      <c r="DA707">
        <f t="shared" si="1"/>
      </c>
      <c r="DB707">
        <f t="shared" si="18"/>
      </c>
      <c r="DC707">
        <f t="shared" si="19"/>
      </c>
      <c r="DD707">
        <f t="shared" si="20"/>
      </c>
      <c r="DE707">
        <f t="shared" si="21"/>
      </c>
      <c r="DF707">
        <f t="shared" si="22"/>
      </c>
      <c r="DG707">
        <f t="shared" si="23"/>
      </c>
      <c r="DH707">
        <f t="shared" si="24"/>
      </c>
      <c r="DI707">
        <f t="shared" si="1"/>
      </c>
    </row>
    <row r="708" ht="15" customHeight="1">
      <c r="B708">
        <f t="shared" si="2"/>
      </c>
      <c r="R708">
        <f t="shared" si="3"/>
        <v>0</v>
      </c>
      <c r="S708">
        <f t="shared" si="4"/>
        <v>0</v>
      </c>
      <c r="T708">
        <f t="shared" si="5"/>
        <v>0</v>
      </c>
      <c r="U708">
        <f t="shared" si="6"/>
        <v>0</v>
      </c>
      <c r="V708">
        <f t="shared" si="7"/>
        <v>0</v>
      </c>
      <c r="W708">
        <f t="shared" si="8"/>
        <v>0</v>
      </c>
      <c r="X708">
        <f t="shared" si="9"/>
        <v>0</v>
      </c>
      <c r="Y708">
        <f t="shared" si="10"/>
        <v>0</v>
      </c>
      <c r="Z708">
        <f t="shared" si="11"/>
        <v>0</v>
      </c>
      <c r="AA708">
        <f t="shared" si="12"/>
        <v>0</v>
      </c>
      <c r="AB708">
        <f t="shared" si="13"/>
        <v>0</v>
      </c>
      <c r="AC708">
        <f t="shared" si="14"/>
        <v>0</v>
      </c>
      <c r="AE708">
        <f t="shared" si="0"/>
      </c>
      <c r="AV708">
        <f t="shared" si="15"/>
      </c>
      <c r="BM708">
        <f t="shared" si="16"/>
      </c>
      <c r="CD708">
        <f t="shared" si="0"/>
      </c>
      <c r="CZ708">
        <f t="shared" si="17"/>
      </c>
      <c r="DA708">
        <f t="shared" si="1"/>
      </c>
      <c r="DB708">
        <f t="shared" si="18"/>
      </c>
      <c r="DC708">
        <f t="shared" si="19"/>
      </c>
      <c r="DD708">
        <f t="shared" si="20"/>
      </c>
      <c r="DE708">
        <f t="shared" si="21"/>
      </c>
      <c r="DF708">
        <f t="shared" si="22"/>
      </c>
      <c r="DG708">
        <f t="shared" si="23"/>
      </c>
      <c r="DH708">
        <f t="shared" si="24"/>
      </c>
      <c r="DI708">
        <f t="shared" si="1"/>
      </c>
    </row>
    <row r="709" ht="15" customHeight="1">
      <c r="B709">
        <f t="shared" si="2"/>
      </c>
      <c r="R709">
        <f t="shared" si="3"/>
        <v>0</v>
      </c>
      <c r="S709">
        <f t="shared" si="4"/>
        <v>0</v>
      </c>
      <c r="T709">
        <f t="shared" si="5"/>
        <v>0</v>
      </c>
      <c r="U709">
        <f t="shared" si="6"/>
        <v>0</v>
      </c>
      <c r="V709">
        <f t="shared" si="7"/>
        <v>0</v>
      </c>
      <c r="W709">
        <f t="shared" si="8"/>
        <v>0</v>
      </c>
      <c r="X709">
        <f t="shared" si="9"/>
        <v>0</v>
      </c>
      <c r="Y709">
        <f t="shared" si="10"/>
        <v>0</v>
      </c>
      <c r="Z709">
        <f t="shared" si="11"/>
        <v>0</v>
      </c>
      <c r="AA709">
        <f t="shared" si="12"/>
        <v>0</v>
      </c>
      <c r="AB709">
        <f t="shared" si="13"/>
        <v>0</v>
      </c>
      <c r="AC709">
        <f t="shared" si="14"/>
        <v>0</v>
      </c>
      <c r="AE709">
        <f t="shared" si="0"/>
      </c>
      <c r="AV709">
        <f t="shared" si="15"/>
      </c>
      <c r="BM709">
        <f t="shared" si="16"/>
      </c>
      <c r="CD709">
        <f t="shared" si="0"/>
      </c>
      <c r="CZ709">
        <f t="shared" si="17"/>
      </c>
      <c r="DA709">
        <f t="shared" si="1"/>
      </c>
      <c r="DB709">
        <f t="shared" si="18"/>
      </c>
      <c r="DC709">
        <f t="shared" si="19"/>
      </c>
      <c r="DD709">
        <f t="shared" si="20"/>
      </c>
      <c r="DE709">
        <f t="shared" si="21"/>
      </c>
      <c r="DF709">
        <f t="shared" si="22"/>
      </c>
      <c r="DG709">
        <f t="shared" si="23"/>
      </c>
      <c r="DH709">
        <f t="shared" si="24"/>
      </c>
      <c r="DI709">
        <f t="shared" si="1"/>
      </c>
    </row>
    <row r="710" ht="15" customHeight="1">
      <c r="B710">
        <f t="shared" si="2"/>
      </c>
      <c r="R710">
        <f t="shared" si="3"/>
        <v>0</v>
      </c>
      <c r="S710">
        <f t="shared" si="4"/>
        <v>0</v>
      </c>
      <c r="T710">
        <f t="shared" si="5"/>
        <v>0</v>
      </c>
      <c r="U710">
        <f t="shared" si="6"/>
        <v>0</v>
      </c>
      <c r="V710">
        <f t="shared" si="7"/>
        <v>0</v>
      </c>
      <c r="W710">
        <f t="shared" si="8"/>
        <v>0</v>
      </c>
      <c r="X710">
        <f t="shared" si="9"/>
        <v>0</v>
      </c>
      <c r="Y710">
        <f t="shared" si="10"/>
        <v>0</v>
      </c>
      <c r="Z710">
        <f t="shared" si="11"/>
        <v>0</v>
      </c>
      <c r="AA710">
        <f t="shared" si="12"/>
        <v>0</v>
      </c>
      <c r="AB710">
        <f t="shared" si="13"/>
        <v>0</v>
      </c>
      <c r="AC710">
        <f t="shared" si="14"/>
        <v>0</v>
      </c>
      <c r="AE710">
        <f t="shared" si="0"/>
      </c>
      <c r="AV710">
        <f t="shared" si="15"/>
      </c>
      <c r="BM710">
        <f t="shared" si="16"/>
      </c>
      <c r="CD710">
        <f t="shared" si="0"/>
      </c>
      <c r="CZ710">
        <f t="shared" si="17"/>
      </c>
      <c r="DA710">
        <f t="shared" si="1"/>
      </c>
      <c r="DB710">
        <f t="shared" si="18"/>
      </c>
      <c r="DC710">
        <f t="shared" si="19"/>
      </c>
      <c r="DD710">
        <f t="shared" si="20"/>
      </c>
      <c r="DE710">
        <f t="shared" si="21"/>
      </c>
      <c r="DF710">
        <f t="shared" si="22"/>
      </c>
      <c r="DG710">
        <f t="shared" si="23"/>
      </c>
      <c r="DH710">
        <f t="shared" si="24"/>
      </c>
      <c r="DI710">
        <f t="shared" si="1"/>
      </c>
    </row>
    <row r="711" ht="15" customHeight="1">
      <c r="B711">
        <f t="shared" si="2"/>
      </c>
      <c r="R711">
        <f t="shared" si="3"/>
        <v>0</v>
      </c>
      <c r="S711">
        <f t="shared" si="4"/>
        <v>0</v>
      </c>
      <c r="T711">
        <f t="shared" si="5"/>
        <v>0</v>
      </c>
      <c r="U711">
        <f t="shared" si="6"/>
        <v>0</v>
      </c>
      <c r="V711">
        <f t="shared" si="7"/>
        <v>0</v>
      </c>
      <c r="W711">
        <f t="shared" si="8"/>
        <v>0</v>
      </c>
      <c r="X711">
        <f t="shared" si="9"/>
        <v>0</v>
      </c>
      <c r="Y711">
        <f t="shared" si="10"/>
        <v>0</v>
      </c>
      <c r="Z711">
        <f t="shared" si="11"/>
        <v>0</v>
      </c>
      <c r="AA711">
        <f t="shared" si="12"/>
        <v>0</v>
      </c>
      <c r="AB711">
        <f t="shared" si="13"/>
        <v>0</v>
      </c>
      <c r="AC711">
        <f t="shared" si="14"/>
        <v>0</v>
      </c>
      <c r="AE711">
        <f t="shared" si="0"/>
      </c>
      <c r="AV711">
        <f t="shared" si="15"/>
      </c>
      <c r="BM711">
        <f t="shared" si="16"/>
      </c>
      <c r="CD711">
        <f t="shared" si="0"/>
      </c>
      <c r="CZ711">
        <f t="shared" si="17"/>
      </c>
      <c r="DA711">
        <f t="shared" si="1"/>
      </c>
      <c r="DB711">
        <f t="shared" si="18"/>
      </c>
      <c r="DC711">
        <f t="shared" si="19"/>
      </c>
      <c r="DD711">
        <f t="shared" si="20"/>
      </c>
      <c r="DE711">
        <f t="shared" si="21"/>
      </c>
      <c r="DF711">
        <f t="shared" si="22"/>
      </c>
      <c r="DG711">
        <f t="shared" si="23"/>
      </c>
      <c r="DH711">
        <f t="shared" si="24"/>
      </c>
      <c r="DI711">
        <f t="shared" si="1"/>
      </c>
    </row>
    <row r="712" ht="15" customHeight="1">
      <c r="B712">
        <f t="shared" si="2"/>
      </c>
      <c r="R712">
        <f t="shared" si="3"/>
        <v>0</v>
      </c>
      <c r="S712">
        <f t="shared" si="4"/>
        <v>0</v>
      </c>
      <c r="T712">
        <f t="shared" si="5"/>
        <v>0</v>
      </c>
      <c r="U712">
        <f t="shared" si="6"/>
        <v>0</v>
      </c>
      <c r="V712">
        <f t="shared" si="7"/>
        <v>0</v>
      </c>
      <c r="W712">
        <f t="shared" si="8"/>
        <v>0</v>
      </c>
      <c r="X712">
        <f t="shared" si="9"/>
        <v>0</v>
      </c>
      <c r="Y712">
        <f t="shared" si="10"/>
        <v>0</v>
      </c>
      <c r="Z712">
        <f t="shared" si="11"/>
        <v>0</v>
      </c>
      <c r="AA712">
        <f t="shared" si="12"/>
        <v>0</v>
      </c>
      <c r="AB712">
        <f t="shared" si="13"/>
        <v>0</v>
      </c>
      <c r="AC712">
        <f t="shared" si="14"/>
        <v>0</v>
      </c>
      <c r="AE712">
        <f t="shared" si="0"/>
      </c>
      <c r="AV712">
        <f t="shared" si="15"/>
      </c>
      <c r="BM712">
        <f t="shared" si="16"/>
      </c>
      <c r="CD712">
        <f t="shared" si="0"/>
      </c>
      <c r="CZ712">
        <f t="shared" si="17"/>
      </c>
      <c r="DA712">
        <f t="shared" si="1"/>
      </c>
      <c r="DB712">
        <f t="shared" si="18"/>
      </c>
      <c r="DC712">
        <f t="shared" si="19"/>
      </c>
      <c r="DD712">
        <f t="shared" si="20"/>
      </c>
      <c r="DE712">
        <f t="shared" si="21"/>
      </c>
      <c r="DF712">
        <f t="shared" si="22"/>
      </c>
      <c r="DG712">
        <f t="shared" si="23"/>
      </c>
      <c r="DH712">
        <f t="shared" si="24"/>
      </c>
      <c r="DI712">
        <f t="shared" si="1"/>
      </c>
    </row>
    <row r="713" ht="15" customHeight="1">
      <c r="B713">
        <f t="shared" si="2"/>
      </c>
      <c r="R713">
        <f t="shared" si="3"/>
        <v>0</v>
      </c>
      <c r="S713">
        <f t="shared" si="4"/>
        <v>0</v>
      </c>
      <c r="T713">
        <f t="shared" si="5"/>
        <v>0</v>
      </c>
      <c r="U713">
        <f t="shared" si="6"/>
        <v>0</v>
      </c>
      <c r="V713">
        <f t="shared" si="7"/>
        <v>0</v>
      </c>
      <c r="W713">
        <f t="shared" si="8"/>
        <v>0</v>
      </c>
      <c r="X713">
        <f t="shared" si="9"/>
        <v>0</v>
      </c>
      <c r="Y713">
        <f t="shared" si="10"/>
        <v>0</v>
      </c>
      <c r="Z713">
        <f t="shared" si="11"/>
        <v>0</v>
      </c>
      <c r="AA713">
        <f t="shared" si="12"/>
        <v>0</v>
      </c>
      <c r="AB713">
        <f t="shared" si="13"/>
        <v>0</v>
      </c>
      <c r="AC713">
        <f t="shared" si="14"/>
        <v>0</v>
      </c>
      <c r="AE713">
        <f t="shared" si="0"/>
      </c>
      <c r="AV713">
        <f t="shared" si="15"/>
      </c>
      <c r="BM713">
        <f t="shared" si="16"/>
      </c>
      <c r="CD713">
        <f t="shared" si="0"/>
      </c>
      <c r="CZ713">
        <f t="shared" si="17"/>
      </c>
      <c r="DA713">
        <f t="shared" si="1"/>
      </c>
      <c r="DB713">
        <f t="shared" si="18"/>
      </c>
      <c r="DC713">
        <f t="shared" si="19"/>
      </c>
      <c r="DD713">
        <f t="shared" si="20"/>
      </c>
      <c r="DE713">
        <f t="shared" si="21"/>
      </c>
      <c r="DF713">
        <f t="shared" si="22"/>
      </c>
      <c r="DG713">
        <f t="shared" si="23"/>
      </c>
      <c r="DH713">
        <f t="shared" si="24"/>
      </c>
      <c r="DI713">
        <f t="shared" si="1"/>
      </c>
    </row>
    <row r="714" ht="15" customHeight="1">
      <c r="B714">
        <f t="shared" si="2"/>
      </c>
      <c r="R714">
        <f t="shared" si="3"/>
        <v>0</v>
      </c>
      <c r="S714">
        <f t="shared" si="4"/>
        <v>0</v>
      </c>
      <c r="T714">
        <f t="shared" si="5"/>
        <v>0</v>
      </c>
      <c r="U714">
        <f t="shared" si="6"/>
        <v>0</v>
      </c>
      <c r="V714">
        <f t="shared" si="7"/>
        <v>0</v>
      </c>
      <c r="W714">
        <f t="shared" si="8"/>
        <v>0</v>
      </c>
      <c r="X714">
        <f t="shared" si="9"/>
        <v>0</v>
      </c>
      <c r="Y714">
        <f t="shared" si="10"/>
        <v>0</v>
      </c>
      <c r="Z714">
        <f t="shared" si="11"/>
        <v>0</v>
      </c>
      <c r="AA714">
        <f t="shared" si="12"/>
        <v>0</v>
      </c>
      <c r="AB714">
        <f t="shared" si="13"/>
        <v>0</v>
      </c>
      <c r="AC714">
        <f t="shared" si="14"/>
        <v>0</v>
      </c>
      <c r="AE714">
        <f t="shared" si="0"/>
      </c>
      <c r="AV714">
        <f t="shared" si="15"/>
      </c>
      <c r="BM714">
        <f t="shared" si="16"/>
      </c>
      <c r="CD714">
        <f t="shared" si="0"/>
      </c>
      <c r="CZ714">
        <f t="shared" si="17"/>
      </c>
      <c r="DA714">
        <f t="shared" si="1"/>
      </c>
      <c r="DB714">
        <f t="shared" si="18"/>
      </c>
      <c r="DC714">
        <f t="shared" si="19"/>
      </c>
      <c r="DD714">
        <f t="shared" si="20"/>
      </c>
      <c r="DE714">
        <f t="shared" si="21"/>
      </c>
      <c r="DF714">
        <f t="shared" si="22"/>
      </c>
      <c r="DG714">
        <f t="shared" si="23"/>
      </c>
      <c r="DH714">
        <f t="shared" si="24"/>
      </c>
      <c r="DI714">
        <f t="shared" si="1"/>
      </c>
    </row>
    <row r="715" ht="15" customHeight="1">
      <c r="B715">
        <f t="shared" si="2"/>
      </c>
      <c r="R715">
        <f t="shared" si="3"/>
        <v>0</v>
      </c>
      <c r="S715">
        <f t="shared" si="4"/>
        <v>0</v>
      </c>
      <c r="T715">
        <f t="shared" si="5"/>
        <v>0</v>
      </c>
      <c r="U715">
        <f t="shared" si="6"/>
        <v>0</v>
      </c>
      <c r="V715">
        <f t="shared" si="7"/>
        <v>0</v>
      </c>
      <c r="W715">
        <f t="shared" si="8"/>
        <v>0</v>
      </c>
      <c r="X715">
        <f t="shared" si="9"/>
        <v>0</v>
      </c>
      <c r="Y715">
        <f t="shared" si="10"/>
        <v>0</v>
      </c>
      <c r="Z715">
        <f t="shared" si="11"/>
        <v>0</v>
      </c>
      <c r="AA715">
        <f t="shared" si="12"/>
        <v>0</v>
      </c>
      <c r="AB715">
        <f t="shared" si="13"/>
        <v>0</v>
      </c>
      <c r="AC715">
        <f t="shared" si="14"/>
        <v>0</v>
      </c>
      <c r="AE715">
        <f t="shared" si="0"/>
      </c>
      <c r="AV715">
        <f t="shared" si="15"/>
      </c>
      <c r="BM715">
        <f t="shared" si="16"/>
      </c>
      <c r="CD715">
        <f t="shared" si="0"/>
      </c>
      <c r="CZ715">
        <f t="shared" si="17"/>
      </c>
      <c r="DA715">
        <f t="shared" si="1"/>
      </c>
      <c r="DB715">
        <f t="shared" si="18"/>
      </c>
      <c r="DC715">
        <f t="shared" si="19"/>
      </c>
      <c r="DD715">
        <f t="shared" si="20"/>
      </c>
      <c r="DE715">
        <f t="shared" si="21"/>
      </c>
      <c r="DF715">
        <f t="shared" si="22"/>
      </c>
      <c r="DG715">
        <f t="shared" si="23"/>
      </c>
      <c r="DH715">
        <f t="shared" si="24"/>
      </c>
      <c r="DI715">
        <f t="shared" si="1"/>
      </c>
    </row>
    <row r="716" ht="15" customHeight="1">
      <c r="B716">
        <f t="shared" si="2"/>
      </c>
      <c r="R716">
        <f t="shared" si="3"/>
        <v>0</v>
      </c>
      <c r="S716">
        <f t="shared" si="4"/>
        <v>0</v>
      </c>
      <c r="T716">
        <f t="shared" si="5"/>
        <v>0</v>
      </c>
      <c r="U716">
        <f t="shared" si="6"/>
        <v>0</v>
      </c>
      <c r="V716">
        <f t="shared" si="7"/>
        <v>0</v>
      </c>
      <c r="W716">
        <f t="shared" si="8"/>
        <v>0</v>
      </c>
      <c r="X716">
        <f t="shared" si="9"/>
        <v>0</v>
      </c>
      <c r="Y716">
        <f t="shared" si="10"/>
        <v>0</v>
      </c>
      <c r="Z716">
        <f t="shared" si="11"/>
        <v>0</v>
      </c>
      <c r="AA716">
        <f t="shared" si="12"/>
        <v>0</v>
      </c>
      <c r="AB716">
        <f t="shared" si="13"/>
        <v>0</v>
      </c>
      <c r="AC716">
        <f t="shared" si="14"/>
        <v>0</v>
      </c>
      <c r="AE716">
        <f t="shared" si="0"/>
      </c>
      <c r="AV716">
        <f t="shared" si="15"/>
      </c>
      <c r="BM716">
        <f t="shared" si="16"/>
      </c>
      <c r="CD716">
        <f t="shared" si="0"/>
      </c>
      <c r="CZ716">
        <f t="shared" si="17"/>
      </c>
      <c r="DA716">
        <f t="shared" si="1"/>
      </c>
      <c r="DB716">
        <f t="shared" si="18"/>
      </c>
      <c r="DC716">
        <f t="shared" si="19"/>
      </c>
      <c r="DD716">
        <f t="shared" si="20"/>
      </c>
      <c r="DE716">
        <f t="shared" si="21"/>
      </c>
      <c r="DF716">
        <f t="shared" si="22"/>
      </c>
      <c r="DG716">
        <f t="shared" si="23"/>
      </c>
      <c r="DH716">
        <f t="shared" si="24"/>
      </c>
      <c r="DI716">
        <f t="shared" si="1"/>
      </c>
    </row>
    <row r="717" ht="15" customHeight="1">
      <c r="B717">
        <f t="shared" si="2"/>
      </c>
      <c r="R717">
        <f t="shared" si="3"/>
        <v>0</v>
      </c>
      <c r="S717">
        <f t="shared" si="4"/>
        <v>0</v>
      </c>
      <c r="T717">
        <f t="shared" si="5"/>
        <v>0</v>
      </c>
      <c r="U717">
        <f t="shared" si="6"/>
        <v>0</v>
      </c>
      <c r="V717">
        <f t="shared" si="7"/>
        <v>0</v>
      </c>
      <c r="W717">
        <f t="shared" si="8"/>
        <v>0</v>
      </c>
      <c r="X717">
        <f t="shared" si="9"/>
        <v>0</v>
      </c>
      <c r="Y717">
        <f t="shared" si="10"/>
        <v>0</v>
      </c>
      <c r="Z717">
        <f t="shared" si="11"/>
        <v>0</v>
      </c>
      <c r="AA717">
        <f t="shared" si="12"/>
        <v>0</v>
      </c>
      <c r="AB717">
        <f t="shared" si="13"/>
        <v>0</v>
      </c>
      <c r="AC717">
        <f t="shared" si="14"/>
        <v>0</v>
      </c>
      <c r="AE717">
        <f t="shared" si="0"/>
      </c>
      <c r="AV717">
        <f t="shared" si="15"/>
      </c>
      <c r="BM717">
        <f t="shared" si="16"/>
      </c>
      <c r="CD717">
        <f t="shared" si="0"/>
      </c>
      <c r="CZ717">
        <f t="shared" si="17"/>
      </c>
      <c r="DA717">
        <f t="shared" si="1"/>
      </c>
      <c r="DB717">
        <f t="shared" si="18"/>
      </c>
      <c r="DC717">
        <f t="shared" si="19"/>
      </c>
      <c r="DD717">
        <f t="shared" si="20"/>
      </c>
      <c r="DE717">
        <f t="shared" si="21"/>
      </c>
      <c r="DF717">
        <f t="shared" si="22"/>
      </c>
      <c r="DG717">
        <f t="shared" si="23"/>
      </c>
      <c r="DH717">
        <f t="shared" si="24"/>
      </c>
      <c r="DI717">
        <f t="shared" si="1"/>
      </c>
    </row>
    <row r="718" ht="15" customHeight="1">
      <c r="B718">
        <f t="shared" si="2"/>
      </c>
      <c r="R718">
        <f t="shared" si="3"/>
        <v>0</v>
      </c>
      <c r="S718">
        <f t="shared" si="4"/>
        <v>0</v>
      </c>
      <c r="T718">
        <f t="shared" si="5"/>
        <v>0</v>
      </c>
      <c r="U718">
        <f t="shared" si="6"/>
        <v>0</v>
      </c>
      <c r="V718">
        <f t="shared" si="7"/>
        <v>0</v>
      </c>
      <c r="W718">
        <f t="shared" si="8"/>
        <v>0</v>
      </c>
      <c r="X718">
        <f t="shared" si="9"/>
        <v>0</v>
      </c>
      <c r="Y718">
        <f t="shared" si="10"/>
        <v>0</v>
      </c>
      <c r="Z718">
        <f t="shared" si="11"/>
        <v>0</v>
      </c>
      <c r="AA718">
        <f t="shared" si="12"/>
        <v>0</v>
      </c>
      <c r="AB718">
        <f t="shared" si="13"/>
        <v>0</v>
      </c>
      <c r="AC718">
        <f t="shared" si="14"/>
        <v>0</v>
      </c>
      <c r="AE718">
        <f t="shared" si="0"/>
      </c>
      <c r="AV718">
        <f t="shared" si="15"/>
      </c>
      <c r="BM718">
        <f t="shared" si="16"/>
      </c>
      <c r="CD718">
        <f t="shared" si="0"/>
      </c>
      <c r="CZ718">
        <f t="shared" si="17"/>
      </c>
      <c r="DA718">
        <f t="shared" si="1"/>
      </c>
      <c r="DB718">
        <f t="shared" si="18"/>
      </c>
      <c r="DC718">
        <f t="shared" si="19"/>
      </c>
      <c r="DD718">
        <f t="shared" si="20"/>
      </c>
      <c r="DE718">
        <f t="shared" si="21"/>
      </c>
      <c r="DF718">
        <f t="shared" si="22"/>
      </c>
      <c r="DG718">
        <f t="shared" si="23"/>
      </c>
      <c r="DH718">
        <f t="shared" si="24"/>
      </c>
      <c r="DI718">
        <f t="shared" si="1"/>
      </c>
    </row>
    <row r="719" ht="15" customHeight="1">
      <c r="B719">
        <f t="shared" si="2"/>
      </c>
      <c r="R719">
        <f t="shared" si="3"/>
        <v>0</v>
      </c>
      <c r="S719">
        <f t="shared" si="4"/>
        <v>0</v>
      </c>
      <c r="T719">
        <f t="shared" si="5"/>
        <v>0</v>
      </c>
      <c r="U719">
        <f t="shared" si="6"/>
        <v>0</v>
      </c>
      <c r="V719">
        <f t="shared" si="7"/>
        <v>0</v>
      </c>
      <c r="W719">
        <f t="shared" si="8"/>
        <v>0</v>
      </c>
      <c r="X719">
        <f t="shared" si="9"/>
        <v>0</v>
      </c>
      <c r="Y719">
        <f t="shared" si="10"/>
        <v>0</v>
      </c>
      <c r="Z719">
        <f t="shared" si="11"/>
        <v>0</v>
      </c>
      <c r="AA719">
        <f t="shared" si="12"/>
        <v>0</v>
      </c>
      <c r="AB719">
        <f t="shared" si="13"/>
        <v>0</v>
      </c>
      <c r="AC719">
        <f t="shared" si="14"/>
        <v>0</v>
      </c>
      <c r="AE719">
        <f t="shared" si="0"/>
      </c>
      <c r="AV719">
        <f t="shared" si="15"/>
      </c>
      <c r="BM719">
        <f t="shared" si="16"/>
      </c>
      <c r="CD719">
        <f t="shared" si="0"/>
      </c>
      <c r="CZ719">
        <f t="shared" si="17"/>
      </c>
      <c r="DA719">
        <f t="shared" si="1"/>
      </c>
      <c r="DB719">
        <f t="shared" si="18"/>
      </c>
      <c r="DC719">
        <f t="shared" si="19"/>
      </c>
      <c r="DD719">
        <f t="shared" si="20"/>
      </c>
      <c r="DE719">
        <f t="shared" si="21"/>
      </c>
      <c r="DF719">
        <f t="shared" si="22"/>
      </c>
      <c r="DG719">
        <f t="shared" si="23"/>
      </c>
      <c r="DH719">
        <f t="shared" si="24"/>
      </c>
      <c r="DI719">
        <f t="shared" si="1"/>
      </c>
    </row>
    <row r="720" ht="15" customHeight="1">
      <c r="B720">
        <f t="shared" si="2"/>
      </c>
      <c r="R720">
        <f t="shared" si="3"/>
        <v>0</v>
      </c>
      <c r="S720">
        <f t="shared" si="4"/>
        <v>0</v>
      </c>
      <c r="T720">
        <f t="shared" si="5"/>
        <v>0</v>
      </c>
      <c r="U720">
        <f t="shared" si="6"/>
        <v>0</v>
      </c>
      <c r="V720">
        <f t="shared" si="7"/>
        <v>0</v>
      </c>
      <c r="W720">
        <f t="shared" si="8"/>
        <v>0</v>
      </c>
      <c r="X720">
        <f t="shared" si="9"/>
        <v>0</v>
      </c>
      <c r="Y720">
        <f t="shared" si="10"/>
        <v>0</v>
      </c>
      <c r="Z720">
        <f t="shared" si="11"/>
        <v>0</v>
      </c>
      <c r="AA720">
        <f t="shared" si="12"/>
        <v>0</v>
      </c>
      <c r="AB720">
        <f t="shared" si="13"/>
        <v>0</v>
      </c>
      <c r="AC720">
        <f t="shared" si="14"/>
        <v>0</v>
      </c>
      <c r="AE720">
        <f t="shared" si="0"/>
      </c>
      <c r="AV720">
        <f t="shared" si="15"/>
      </c>
      <c r="BM720">
        <f t="shared" si="16"/>
      </c>
      <c r="CD720">
        <f t="shared" si="0"/>
      </c>
      <c r="CZ720">
        <f t="shared" si="17"/>
      </c>
      <c r="DA720">
        <f t="shared" si="1"/>
      </c>
      <c r="DB720">
        <f t="shared" si="18"/>
      </c>
      <c r="DC720">
        <f t="shared" si="19"/>
      </c>
      <c r="DD720">
        <f t="shared" si="20"/>
      </c>
      <c r="DE720">
        <f t="shared" si="21"/>
      </c>
      <c r="DF720">
        <f t="shared" si="22"/>
      </c>
      <c r="DG720">
        <f t="shared" si="23"/>
      </c>
      <c r="DH720">
        <f t="shared" si="24"/>
      </c>
      <c r="DI720">
        <f t="shared" si="1"/>
      </c>
    </row>
    <row r="721" ht="15" customHeight="1">
      <c r="B721">
        <f t="shared" si="2"/>
      </c>
      <c r="R721">
        <f t="shared" si="3"/>
        <v>0</v>
      </c>
      <c r="S721">
        <f t="shared" si="4"/>
        <v>0</v>
      </c>
      <c r="T721">
        <f t="shared" si="5"/>
        <v>0</v>
      </c>
      <c r="U721">
        <f t="shared" si="6"/>
        <v>0</v>
      </c>
      <c r="V721">
        <f t="shared" si="7"/>
        <v>0</v>
      </c>
      <c r="W721">
        <f t="shared" si="8"/>
        <v>0</v>
      </c>
      <c r="X721">
        <f t="shared" si="9"/>
        <v>0</v>
      </c>
      <c r="Y721">
        <f t="shared" si="10"/>
        <v>0</v>
      </c>
      <c r="Z721">
        <f t="shared" si="11"/>
        <v>0</v>
      </c>
      <c r="AA721">
        <f t="shared" si="12"/>
        <v>0</v>
      </c>
      <c r="AB721">
        <f t="shared" si="13"/>
        <v>0</v>
      </c>
      <c r="AC721">
        <f t="shared" si="14"/>
        <v>0</v>
      </c>
      <c r="AE721">
        <f t="shared" si="0"/>
      </c>
      <c r="AV721">
        <f t="shared" si="15"/>
      </c>
      <c r="BM721">
        <f t="shared" si="16"/>
      </c>
      <c r="CD721">
        <f t="shared" si="0"/>
      </c>
      <c r="CZ721">
        <f t="shared" si="17"/>
      </c>
      <c r="DA721">
        <f t="shared" si="1"/>
      </c>
      <c r="DB721">
        <f t="shared" si="18"/>
      </c>
      <c r="DC721">
        <f t="shared" si="19"/>
      </c>
      <c r="DD721">
        <f t="shared" si="20"/>
      </c>
      <c r="DE721">
        <f t="shared" si="21"/>
      </c>
      <c r="DF721">
        <f t="shared" si="22"/>
      </c>
      <c r="DG721">
        <f t="shared" si="23"/>
      </c>
      <c r="DH721">
        <f t="shared" si="24"/>
      </c>
      <c r="DI721">
        <f t="shared" si="1"/>
      </c>
    </row>
    <row r="722" ht="15" customHeight="1">
      <c r="B722">
        <f t="shared" si="2"/>
      </c>
      <c r="R722">
        <f t="shared" si="3"/>
        <v>0</v>
      </c>
      <c r="S722">
        <f t="shared" si="4"/>
        <v>0</v>
      </c>
      <c r="T722">
        <f t="shared" si="5"/>
        <v>0</v>
      </c>
      <c r="U722">
        <f t="shared" si="6"/>
        <v>0</v>
      </c>
      <c r="V722">
        <f t="shared" si="7"/>
        <v>0</v>
      </c>
      <c r="W722">
        <f t="shared" si="8"/>
        <v>0</v>
      </c>
      <c r="X722">
        <f t="shared" si="9"/>
        <v>0</v>
      </c>
      <c r="Y722">
        <f t="shared" si="10"/>
        <v>0</v>
      </c>
      <c r="Z722">
        <f t="shared" si="11"/>
        <v>0</v>
      </c>
      <c r="AA722">
        <f t="shared" si="12"/>
        <v>0</v>
      </c>
      <c r="AB722">
        <f t="shared" si="13"/>
        <v>0</v>
      </c>
      <c r="AC722">
        <f t="shared" si="14"/>
        <v>0</v>
      </c>
      <c r="AE722">
        <f t="shared" si="0"/>
      </c>
      <c r="AV722">
        <f t="shared" si="15"/>
      </c>
      <c r="BM722">
        <f t="shared" si="16"/>
      </c>
      <c r="CD722">
        <f t="shared" si="0"/>
      </c>
      <c r="CZ722">
        <f t="shared" si="17"/>
      </c>
      <c r="DA722">
        <f t="shared" si="1"/>
      </c>
      <c r="DB722">
        <f t="shared" si="18"/>
      </c>
      <c r="DC722">
        <f t="shared" si="19"/>
      </c>
      <c r="DD722">
        <f t="shared" si="20"/>
      </c>
      <c r="DE722">
        <f t="shared" si="21"/>
      </c>
      <c r="DF722">
        <f t="shared" si="22"/>
      </c>
      <c r="DG722">
        <f t="shared" si="23"/>
      </c>
      <c r="DH722">
        <f t="shared" si="24"/>
      </c>
      <c r="DI722">
        <f t="shared" si="1"/>
      </c>
    </row>
    <row r="723" ht="15" customHeight="1">
      <c r="B723">
        <f t="shared" si="2"/>
      </c>
      <c r="R723">
        <f t="shared" si="3"/>
        <v>0</v>
      </c>
      <c r="S723">
        <f t="shared" si="4"/>
        <v>0</v>
      </c>
      <c r="T723">
        <f t="shared" si="5"/>
        <v>0</v>
      </c>
      <c r="U723">
        <f t="shared" si="6"/>
        <v>0</v>
      </c>
      <c r="V723">
        <f t="shared" si="7"/>
        <v>0</v>
      </c>
      <c r="W723">
        <f t="shared" si="8"/>
        <v>0</v>
      </c>
      <c r="X723">
        <f t="shared" si="9"/>
        <v>0</v>
      </c>
      <c r="Y723">
        <f t="shared" si="10"/>
        <v>0</v>
      </c>
      <c r="Z723">
        <f t="shared" si="11"/>
        <v>0</v>
      </c>
      <c r="AA723">
        <f t="shared" si="12"/>
        <v>0</v>
      </c>
      <c r="AB723">
        <f t="shared" si="13"/>
        <v>0</v>
      </c>
      <c r="AC723">
        <f t="shared" si="14"/>
        <v>0</v>
      </c>
      <c r="AE723">
        <f t="shared" si="0"/>
      </c>
      <c r="AV723">
        <f t="shared" si="15"/>
      </c>
      <c r="BM723">
        <f t="shared" si="16"/>
      </c>
      <c r="CD723">
        <f t="shared" si="0"/>
      </c>
      <c r="CZ723">
        <f t="shared" si="17"/>
      </c>
      <c r="DA723">
        <f t="shared" si="1"/>
      </c>
      <c r="DB723">
        <f t="shared" si="18"/>
      </c>
      <c r="DC723">
        <f t="shared" si="19"/>
      </c>
      <c r="DD723">
        <f t="shared" si="20"/>
      </c>
      <c r="DE723">
        <f t="shared" si="21"/>
      </c>
      <c r="DF723">
        <f t="shared" si="22"/>
      </c>
      <c r="DG723">
        <f t="shared" si="23"/>
      </c>
      <c r="DH723">
        <f t="shared" si="24"/>
      </c>
      <c r="DI723">
        <f t="shared" si="1"/>
      </c>
    </row>
    <row r="724" ht="15" customHeight="1">
      <c r="B724">
        <f t="shared" si="2"/>
      </c>
      <c r="R724">
        <f t="shared" si="3"/>
        <v>0</v>
      </c>
      <c r="S724">
        <f t="shared" si="4"/>
        <v>0</v>
      </c>
      <c r="T724">
        <f t="shared" si="5"/>
        <v>0</v>
      </c>
      <c r="U724">
        <f t="shared" si="6"/>
        <v>0</v>
      </c>
      <c r="V724">
        <f t="shared" si="7"/>
        <v>0</v>
      </c>
      <c r="W724">
        <f t="shared" si="8"/>
        <v>0</v>
      </c>
      <c r="X724">
        <f t="shared" si="9"/>
        <v>0</v>
      </c>
      <c r="Y724">
        <f t="shared" si="10"/>
        <v>0</v>
      </c>
      <c r="Z724">
        <f t="shared" si="11"/>
        <v>0</v>
      </c>
      <c r="AA724">
        <f t="shared" si="12"/>
        <v>0</v>
      </c>
      <c r="AB724">
        <f t="shared" si="13"/>
        <v>0</v>
      </c>
      <c r="AC724">
        <f t="shared" si="14"/>
        <v>0</v>
      </c>
      <c r="AE724">
        <f t="shared" si="0"/>
      </c>
      <c r="AV724">
        <f t="shared" si="15"/>
      </c>
      <c r="BM724">
        <f t="shared" si="16"/>
      </c>
      <c r="CD724">
        <f t="shared" si="0"/>
      </c>
      <c r="CZ724">
        <f t="shared" si="17"/>
      </c>
      <c r="DA724">
        <f t="shared" si="1"/>
      </c>
      <c r="DB724">
        <f t="shared" si="18"/>
      </c>
      <c r="DC724">
        <f t="shared" si="19"/>
      </c>
      <c r="DD724">
        <f t="shared" si="20"/>
      </c>
      <c r="DE724">
        <f t="shared" si="21"/>
      </c>
      <c r="DF724">
        <f t="shared" si="22"/>
      </c>
      <c r="DG724">
        <f t="shared" si="23"/>
      </c>
      <c r="DH724">
        <f t="shared" si="24"/>
      </c>
      <c r="DI724">
        <f t="shared" si="1"/>
      </c>
    </row>
    <row r="725" ht="15" customHeight="1">
      <c r="B725">
        <f t="shared" si="2"/>
      </c>
      <c r="R725">
        <f t="shared" si="3"/>
        <v>0</v>
      </c>
      <c r="S725">
        <f t="shared" si="4"/>
        <v>0</v>
      </c>
      <c r="T725">
        <f t="shared" si="5"/>
        <v>0</v>
      </c>
      <c r="U725">
        <f t="shared" si="6"/>
        <v>0</v>
      </c>
      <c r="V725">
        <f t="shared" si="7"/>
        <v>0</v>
      </c>
      <c r="W725">
        <f t="shared" si="8"/>
        <v>0</v>
      </c>
      <c r="X725">
        <f t="shared" si="9"/>
        <v>0</v>
      </c>
      <c r="Y725">
        <f t="shared" si="10"/>
        <v>0</v>
      </c>
      <c r="Z725">
        <f t="shared" si="11"/>
        <v>0</v>
      </c>
      <c r="AA725">
        <f t="shared" si="12"/>
        <v>0</v>
      </c>
      <c r="AB725">
        <f t="shared" si="13"/>
        <v>0</v>
      </c>
      <c r="AC725">
        <f t="shared" si="14"/>
        <v>0</v>
      </c>
      <c r="AE725">
        <f t="shared" si="0"/>
      </c>
      <c r="AV725">
        <f t="shared" si="15"/>
      </c>
      <c r="BM725">
        <f t="shared" si="16"/>
      </c>
      <c r="CD725">
        <f t="shared" si="0"/>
      </c>
      <c r="CZ725">
        <f t="shared" si="17"/>
      </c>
      <c r="DA725">
        <f t="shared" si="1"/>
      </c>
      <c r="DB725">
        <f t="shared" si="18"/>
      </c>
      <c r="DC725">
        <f t="shared" si="19"/>
      </c>
      <c r="DD725">
        <f t="shared" si="20"/>
      </c>
      <c r="DE725">
        <f t="shared" si="21"/>
      </c>
      <c r="DF725">
        <f t="shared" si="22"/>
      </c>
      <c r="DG725">
        <f t="shared" si="23"/>
      </c>
      <c r="DH725">
        <f t="shared" si="24"/>
      </c>
      <c r="DI725">
        <f t="shared" si="1"/>
      </c>
    </row>
    <row r="726" ht="15" customHeight="1">
      <c r="B726">
        <f t="shared" si="2"/>
      </c>
      <c r="R726">
        <f t="shared" si="3"/>
        <v>0</v>
      </c>
      <c r="S726">
        <f t="shared" si="4"/>
        <v>0</v>
      </c>
      <c r="T726">
        <f t="shared" si="5"/>
        <v>0</v>
      </c>
      <c r="U726">
        <f t="shared" si="6"/>
        <v>0</v>
      </c>
      <c r="V726">
        <f t="shared" si="7"/>
        <v>0</v>
      </c>
      <c r="W726">
        <f t="shared" si="8"/>
        <v>0</v>
      </c>
      <c r="X726">
        <f t="shared" si="9"/>
        <v>0</v>
      </c>
      <c r="Y726">
        <f t="shared" si="10"/>
        <v>0</v>
      </c>
      <c r="Z726">
        <f t="shared" si="11"/>
        <v>0</v>
      </c>
      <c r="AA726">
        <f t="shared" si="12"/>
        <v>0</v>
      </c>
      <c r="AB726">
        <f t="shared" si="13"/>
        <v>0</v>
      </c>
      <c r="AC726">
        <f t="shared" si="14"/>
        <v>0</v>
      </c>
      <c r="AE726">
        <f t="shared" si="0"/>
      </c>
      <c r="AV726">
        <f t="shared" si="15"/>
      </c>
      <c r="BM726">
        <f t="shared" si="16"/>
      </c>
      <c r="CD726">
        <f t="shared" si="0"/>
      </c>
      <c r="CZ726">
        <f t="shared" si="17"/>
      </c>
      <c r="DA726">
        <f t="shared" si="1"/>
      </c>
      <c r="DB726">
        <f t="shared" si="18"/>
      </c>
      <c r="DC726">
        <f t="shared" si="19"/>
      </c>
      <c r="DD726">
        <f t="shared" si="20"/>
      </c>
      <c r="DE726">
        <f t="shared" si="21"/>
      </c>
      <c r="DF726">
        <f t="shared" si="22"/>
      </c>
      <c r="DG726">
        <f t="shared" si="23"/>
      </c>
      <c r="DH726">
        <f t="shared" si="24"/>
      </c>
      <c r="DI726">
        <f t="shared" si="1"/>
      </c>
    </row>
    <row r="727" ht="15" customHeight="1">
      <c r="B727">
        <f t="shared" si="2"/>
      </c>
      <c r="R727">
        <f t="shared" si="3"/>
        <v>0</v>
      </c>
      <c r="S727">
        <f t="shared" si="4"/>
        <v>0</v>
      </c>
      <c r="T727">
        <f t="shared" si="5"/>
        <v>0</v>
      </c>
      <c r="U727">
        <f t="shared" si="6"/>
        <v>0</v>
      </c>
      <c r="V727">
        <f t="shared" si="7"/>
        <v>0</v>
      </c>
      <c r="W727">
        <f t="shared" si="8"/>
        <v>0</v>
      </c>
      <c r="X727">
        <f t="shared" si="9"/>
        <v>0</v>
      </c>
      <c r="Y727">
        <f t="shared" si="10"/>
        <v>0</v>
      </c>
      <c r="Z727">
        <f t="shared" si="11"/>
        <v>0</v>
      </c>
      <c r="AA727">
        <f t="shared" si="12"/>
        <v>0</v>
      </c>
      <c r="AB727">
        <f t="shared" si="13"/>
        <v>0</v>
      </c>
      <c r="AC727">
        <f t="shared" si="14"/>
        <v>0</v>
      </c>
      <c r="AE727">
        <f t="shared" si="0"/>
      </c>
      <c r="AV727">
        <f t="shared" si="15"/>
      </c>
      <c r="BM727">
        <f t="shared" si="16"/>
      </c>
      <c r="CD727">
        <f t="shared" si="0"/>
      </c>
      <c r="CZ727">
        <f t="shared" si="17"/>
      </c>
      <c r="DA727">
        <f t="shared" si="1"/>
      </c>
      <c r="DB727">
        <f t="shared" si="18"/>
      </c>
      <c r="DC727">
        <f t="shared" si="19"/>
      </c>
      <c r="DD727">
        <f t="shared" si="20"/>
      </c>
      <c r="DE727">
        <f t="shared" si="21"/>
      </c>
      <c r="DF727">
        <f t="shared" si="22"/>
      </c>
      <c r="DG727">
        <f t="shared" si="23"/>
      </c>
      <c r="DH727">
        <f t="shared" si="24"/>
      </c>
      <c r="DI727">
        <f t="shared" si="1"/>
      </c>
    </row>
    <row r="728" ht="15" customHeight="1">
      <c r="B728">
        <f t="shared" si="2"/>
      </c>
      <c r="R728">
        <f t="shared" si="3"/>
        <v>0</v>
      </c>
      <c r="S728">
        <f t="shared" si="4"/>
        <v>0</v>
      </c>
      <c r="T728">
        <f t="shared" si="5"/>
        <v>0</v>
      </c>
      <c r="U728">
        <f t="shared" si="6"/>
        <v>0</v>
      </c>
      <c r="V728">
        <f t="shared" si="7"/>
        <v>0</v>
      </c>
      <c r="W728">
        <f t="shared" si="8"/>
        <v>0</v>
      </c>
      <c r="X728">
        <f t="shared" si="9"/>
        <v>0</v>
      </c>
      <c r="Y728">
        <f t="shared" si="10"/>
        <v>0</v>
      </c>
      <c r="Z728">
        <f t="shared" si="11"/>
        <v>0</v>
      </c>
      <c r="AA728">
        <f t="shared" si="12"/>
        <v>0</v>
      </c>
      <c r="AB728">
        <f t="shared" si="13"/>
        <v>0</v>
      </c>
      <c r="AC728">
        <f t="shared" si="14"/>
        <v>0</v>
      </c>
      <c r="AE728">
        <f t="shared" si="0"/>
      </c>
      <c r="AV728">
        <f t="shared" si="15"/>
      </c>
      <c r="BM728">
        <f t="shared" si="16"/>
      </c>
      <c r="CD728">
        <f t="shared" si="0"/>
      </c>
      <c r="CZ728">
        <f t="shared" si="17"/>
      </c>
      <c r="DA728">
        <f t="shared" si="1"/>
      </c>
      <c r="DB728">
        <f t="shared" si="18"/>
      </c>
      <c r="DC728">
        <f t="shared" si="19"/>
      </c>
      <c r="DD728">
        <f t="shared" si="20"/>
      </c>
      <c r="DE728">
        <f t="shared" si="21"/>
      </c>
      <c r="DF728">
        <f t="shared" si="22"/>
      </c>
      <c r="DG728">
        <f t="shared" si="23"/>
      </c>
      <c r="DH728">
        <f t="shared" si="24"/>
      </c>
      <c r="DI728">
        <f t="shared" si="1"/>
      </c>
    </row>
    <row r="729" ht="15" customHeight="1">
      <c r="B729">
        <f t="shared" si="2"/>
      </c>
      <c r="R729">
        <f t="shared" si="3"/>
        <v>0</v>
      </c>
      <c r="S729">
        <f t="shared" si="4"/>
        <v>0</v>
      </c>
      <c r="T729">
        <f t="shared" si="5"/>
        <v>0</v>
      </c>
      <c r="U729">
        <f t="shared" si="6"/>
        <v>0</v>
      </c>
      <c r="V729">
        <f t="shared" si="7"/>
        <v>0</v>
      </c>
      <c r="W729">
        <f t="shared" si="8"/>
        <v>0</v>
      </c>
      <c r="X729">
        <f t="shared" si="9"/>
        <v>0</v>
      </c>
      <c r="Y729">
        <f t="shared" si="10"/>
        <v>0</v>
      </c>
      <c r="Z729">
        <f t="shared" si="11"/>
        <v>0</v>
      </c>
      <c r="AA729">
        <f t="shared" si="12"/>
        <v>0</v>
      </c>
      <c r="AB729">
        <f t="shared" si="13"/>
        <v>0</v>
      </c>
      <c r="AC729">
        <f t="shared" si="14"/>
        <v>0</v>
      </c>
      <c r="AE729">
        <f t="shared" si="0"/>
      </c>
      <c r="AV729">
        <f t="shared" si="15"/>
      </c>
      <c r="BM729">
        <f t="shared" si="16"/>
      </c>
      <c r="CD729">
        <f t="shared" si="0"/>
      </c>
      <c r="CZ729">
        <f t="shared" si="17"/>
      </c>
      <c r="DA729">
        <f t="shared" si="1"/>
      </c>
      <c r="DB729">
        <f t="shared" si="18"/>
      </c>
      <c r="DC729">
        <f t="shared" si="19"/>
      </c>
      <c r="DD729">
        <f t="shared" si="20"/>
      </c>
      <c r="DE729">
        <f t="shared" si="21"/>
      </c>
      <c r="DF729">
        <f t="shared" si="22"/>
      </c>
      <c r="DG729">
        <f t="shared" si="23"/>
      </c>
      <c r="DH729">
        <f t="shared" si="24"/>
      </c>
      <c r="DI729">
        <f t="shared" si="1"/>
      </c>
    </row>
    <row r="730" ht="15" customHeight="1">
      <c r="B730">
        <f t="shared" si="2"/>
      </c>
      <c r="R730">
        <f t="shared" si="3"/>
        <v>0</v>
      </c>
      <c r="S730">
        <f t="shared" si="4"/>
        <v>0</v>
      </c>
      <c r="T730">
        <f t="shared" si="5"/>
        <v>0</v>
      </c>
      <c r="U730">
        <f t="shared" si="6"/>
        <v>0</v>
      </c>
      <c r="V730">
        <f t="shared" si="7"/>
        <v>0</v>
      </c>
      <c r="W730">
        <f t="shared" si="8"/>
        <v>0</v>
      </c>
      <c r="X730">
        <f t="shared" si="9"/>
        <v>0</v>
      </c>
      <c r="Y730">
        <f t="shared" si="10"/>
        <v>0</v>
      </c>
      <c r="Z730">
        <f t="shared" si="11"/>
        <v>0</v>
      </c>
      <c r="AA730">
        <f t="shared" si="12"/>
        <v>0</v>
      </c>
      <c r="AB730">
        <f t="shared" si="13"/>
        <v>0</v>
      </c>
      <c r="AC730">
        <f t="shared" si="14"/>
        <v>0</v>
      </c>
      <c r="AE730">
        <f t="shared" si="0"/>
      </c>
      <c r="AV730">
        <f t="shared" si="15"/>
      </c>
      <c r="BM730">
        <f t="shared" si="16"/>
      </c>
      <c r="CD730">
        <f t="shared" si="0"/>
      </c>
      <c r="CZ730">
        <f t="shared" si="17"/>
      </c>
      <c r="DA730">
        <f t="shared" si="1"/>
      </c>
      <c r="DB730">
        <f t="shared" si="18"/>
      </c>
      <c r="DC730">
        <f t="shared" si="19"/>
      </c>
      <c r="DD730">
        <f t="shared" si="20"/>
      </c>
      <c r="DE730">
        <f t="shared" si="21"/>
      </c>
      <c r="DF730">
        <f t="shared" si="22"/>
      </c>
      <c r="DG730">
        <f t="shared" si="23"/>
      </c>
      <c r="DH730">
        <f t="shared" si="24"/>
      </c>
      <c r="DI730">
        <f t="shared" si="1"/>
      </c>
    </row>
    <row r="731" ht="15" customHeight="1">
      <c r="B731">
        <f t="shared" si="2"/>
      </c>
      <c r="R731">
        <f t="shared" si="3"/>
        <v>0</v>
      </c>
      <c r="S731">
        <f t="shared" si="4"/>
        <v>0</v>
      </c>
      <c r="T731">
        <f t="shared" si="5"/>
        <v>0</v>
      </c>
      <c r="U731">
        <f t="shared" si="6"/>
        <v>0</v>
      </c>
      <c r="V731">
        <f t="shared" si="7"/>
        <v>0</v>
      </c>
      <c r="W731">
        <f t="shared" si="8"/>
        <v>0</v>
      </c>
      <c r="X731">
        <f t="shared" si="9"/>
        <v>0</v>
      </c>
      <c r="Y731">
        <f t="shared" si="10"/>
        <v>0</v>
      </c>
      <c r="Z731">
        <f t="shared" si="11"/>
        <v>0</v>
      </c>
      <c r="AA731">
        <f t="shared" si="12"/>
        <v>0</v>
      </c>
      <c r="AB731">
        <f t="shared" si="13"/>
        <v>0</v>
      </c>
      <c r="AC731">
        <f t="shared" si="14"/>
        <v>0</v>
      </c>
      <c r="AE731">
        <f t="shared" si="0"/>
      </c>
      <c r="AV731">
        <f t="shared" si="15"/>
      </c>
      <c r="BM731">
        <f t="shared" si="16"/>
      </c>
      <c r="CD731">
        <f t="shared" si="0"/>
      </c>
      <c r="CZ731">
        <f t="shared" si="17"/>
      </c>
      <c r="DA731">
        <f t="shared" si="1"/>
      </c>
      <c r="DB731">
        <f t="shared" si="18"/>
      </c>
      <c r="DC731">
        <f t="shared" si="19"/>
      </c>
      <c r="DD731">
        <f t="shared" si="20"/>
      </c>
      <c r="DE731">
        <f t="shared" si="21"/>
      </c>
      <c r="DF731">
        <f t="shared" si="22"/>
      </c>
      <c r="DG731">
        <f t="shared" si="23"/>
      </c>
      <c r="DH731">
        <f t="shared" si="24"/>
      </c>
      <c r="DI731">
        <f t="shared" si="1"/>
      </c>
    </row>
    <row r="732" ht="15" customHeight="1">
      <c r="B732">
        <f t="shared" si="2"/>
      </c>
      <c r="R732">
        <f t="shared" si="3"/>
        <v>0</v>
      </c>
      <c r="S732">
        <f t="shared" si="4"/>
        <v>0</v>
      </c>
      <c r="T732">
        <f t="shared" si="5"/>
        <v>0</v>
      </c>
      <c r="U732">
        <f t="shared" si="6"/>
        <v>0</v>
      </c>
      <c r="V732">
        <f t="shared" si="7"/>
        <v>0</v>
      </c>
      <c r="W732">
        <f t="shared" si="8"/>
        <v>0</v>
      </c>
      <c r="X732">
        <f t="shared" si="9"/>
        <v>0</v>
      </c>
      <c r="Y732">
        <f t="shared" si="10"/>
        <v>0</v>
      </c>
      <c r="Z732">
        <f t="shared" si="11"/>
        <v>0</v>
      </c>
      <c r="AA732">
        <f t="shared" si="12"/>
        <v>0</v>
      </c>
      <c r="AB732">
        <f t="shared" si="13"/>
        <v>0</v>
      </c>
      <c r="AC732">
        <f t="shared" si="14"/>
        <v>0</v>
      </c>
      <c r="AE732">
        <f t="shared" si="0"/>
      </c>
      <c r="AV732">
        <f t="shared" si="15"/>
      </c>
      <c r="BM732">
        <f t="shared" si="16"/>
      </c>
      <c r="CD732">
        <f t="shared" si="0"/>
      </c>
      <c r="CZ732">
        <f t="shared" si="17"/>
      </c>
      <c r="DA732">
        <f t="shared" si="1"/>
      </c>
      <c r="DB732">
        <f t="shared" si="18"/>
      </c>
      <c r="DC732">
        <f t="shared" si="19"/>
      </c>
      <c r="DD732">
        <f t="shared" si="20"/>
      </c>
      <c r="DE732">
        <f t="shared" si="21"/>
      </c>
      <c r="DF732">
        <f t="shared" si="22"/>
      </c>
      <c r="DG732">
        <f t="shared" si="23"/>
      </c>
      <c r="DH732">
        <f t="shared" si="24"/>
      </c>
      <c r="DI732">
        <f t="shared" si="1"/>
      </c>
    </row>
    <row r="733" ht="15" customHeight="1">
      <c r="B733">
        <f t="shared" si="2"/>
      </c>
      <c r="R733">
        <f t="shared" si="3"/>
        <v>0</v>
      </c>
      <c r="S733">
        <f t="shared" si="4"/>
        <v>0</v>
      </c>
      <c r="T733">
        <f t="shared" si="5"/>
        <v>0</v>
      </c>
      <c r="U733">
        <f t="shared" si="6"/>
        <v>0</v>
      </c>
      <c r="V733">
        <f t="shared" si="7"/>
        <v>0</v>
      </c>
      <c r="W733">
        <f t="shared" si="8"/>
        <v>0</v>
      </c>
      <c r="X733">
        <f t="shared" si="9"/>
        <v>0</v>
      </c>
      <c r="Y733">
        <f t="shared" si="10"/>
        <v>0</v>
      </c>
      <c r="Z733">
        <f t="shared" si="11"/>
        <v>0</v>
      </c>
      <c r="AA733">
        <f t="shared" si="12"/>
        <v>0</v>
      </c>
      <c r="AB733">
        <f t="shared" si="13"/>
        <v>0</v>
      </c>
      <c r="AC733">
        <f t="shared" si="14"/>
        <v>0</v>
      </c>
      <c r="AE733">
        <f t="shared" si="0"/>
      </c>
      <c r="AV733">
        <f t="shared" si="15"/>
      </c>
      <c r="BM733">
        <f t="shared" si="16"/>
      </c>
      <c r="CD733">
        <f t="shared" si="0"/>
      </c>
      <c r="CZ733">
        <f t="shared" si="17"/>
      </c>
      <c r="DA733">
        <f t="shared" si="1"/>
      </c>
      <c r="DB733">
        <f t="shared" si="18"/>
      </c>
      <c r="DC733">
        <f t="shared" si="19"/>
      </c>
      <c r="DD733">
        <f t="shared" si="20"/>
      </c>
      <c r="DE733">
        <f t="shared" si="21"/>
      </c>
      <c r="DF733">
        <f t="shared" si="22"/>
      </c>
      <c r="DG733">
        <f t="shared" si="23"/>
      </c>
      <c r="DH733">
        <f t="shared" si="24"/>
      </c>
      <c r="DI733">
        <f t="shared" si="1"/>
      </c>
    </row>
    <row r="734" ht="15" customHeight="1">
      <c r="B734">
        <f t="shared" si="2"/>
      </c>
      <c r="R734">
        <f t="shared" si="3"/>
        <v>0</v>
      </c>
      <c r="S734">
        <f t="shared" si="4"/>
        <v>0</v>
      </c>
      <c r="T734">
        <f t="shared" si="5"/>
        <v>0</v>
      </c>
      <c r="U734">
        <f t="shared" si="6"/>
        <v>0</v>
      </c>
      <c r="V734">
        <f t="shared" si="7"/>
        <v>0</v>
      </c>
      <c r="W734">
        <f t="shared" si="8"/>
        <v>0</v>
      </c>
      <c r="X734">
        <f t="shared" si="9"/>
        <v>0</v>
      </c>
      <c r="Y734">
        <f t="shared" si="10"/>
        <v>0</v>
      </c>
      <c r="Z734">
        <f t="shared" si="11"/>
        <v>0</v>
      </c>
      <c r="AA734">
        <f t="shared" si="12"/>
        <v>0</v>
      </c>
      <c r="AB734">
        <f t="shared" si="13"/>
        <v>0</v>
      </c>
      <c r="AC734">
        <f t="shared" si="14"/>
        <v>0</v>
      </c>
      <c r="AE734">
        <f t="shared" si="0"/>
      </c>
      <c r="AV734">
        <f t="shared" si="15"/>
      </c>
      <c r="BM734">
        <f t="shared" si="16"/>
      </c>
      <c r="CD734">
        <f t="shared" si="0"/>
      </c>
      <c r="CZ734">
        <f t="shared" si="17"/>
      </c>
      <c r="DA734">
        <f t="shared" si="1"/>
      </c>
      <c r="DB734">
        <f t="shared" si="18"/>
      </c>
      <c r="DC734">
        <f t="shared" si="19"/>
      </c>
      <c r="DD734">
        <f t="shared" si="20"/>
      </c>
      <c r="DE734">
        <f t="shared" si="21"/>
      </c>
      <c r="DF734">
        <f t="shared" si="22"/>
      </c>
      <c r="DG734">
        <f t="shared" si="23"/>
      </c>
      <c r="DH734">
        <f t="shared" si="24"/>
      </c>
      <c r="DI734">
        <f t="shared" si="1"/>
      </c>
    </row>
    <row r="735" ht="15" customHeight="1">
      <c r="B735">
        <f t="shared" si="2"/>
      </c>
      <c r="R735">
        <f t="shared" si="3"/>
        <v>0</v>
      </c>
      <c r="S735">
        <f t="shared" si="4"/>
        <v>0</v>
      </c>
      <c r="T735">
        <f t="shared" si="5"/>
        <v>0</v>
      </c>
      <c r="U735">
        <f t="shared" si="6"/>
        <v>0</v>
      </c>
      <c r="V735">
        <f t="shared" si="7"/>
        <v>0</v>
      </c>
      <c r="W735">
        <f t="shared" si="8"/>
        <v>0</v>
      </c>
      <c r="X735">
        <f t="shared" si="9"/>
        <v>0</v>
      </c>
      <c r="Y735">
        <f t="shared" si="10"/>
        <v>0</v>
      </c>
      <c r="Z735">
        <f t="shared" si="11"/>
        <v>0</v>
      </c>
      <c r="AA735">
        <f t="shared" si="12"/>
        <v>0</v>
      </c>
      <c r="AB735">
        <f t="shared" si="13"/>
        <v>0</v>
      </c>
      <c r="AC735">
        <f t="shared" si="14"/>
        <v>0</v>
      </c>
      <c r="AE735">
        <f t="shared" si="0"/>
      </c>
      <c r="AV735">
        <f t="shared" si="15"/>
      </c>
      <c r="BM735">
        <f t="shared" si="16"/>
      </c>
      <c r="CD735">
        <f t="shared" si="0"/>
      </c>
      <c r="CZ735">
        <f t="shared" si="17"/>
      </c>
      <c r="DA735">
        <f t="shared" si="1"/>
      </c>
      <c r="DB735">
        <f t="shared" si="18"/>
      </c>
      <c r="DC735">
        <f t="shared" si="19"/>
      </c>
      <c r="DD735">
        <f t="shared" si="20"/>
      </c>
      <c r="DE735">
        <f t="shared" si="21"/>
      </c>
      <c r="DF735">
        <f t="shared" si="22"/>
      </c>
      <c r="DG735">
        <f t="shared" si="23"/>
      </c>
      <c r="DH735">
        <f t="shared" si="24"/>
      </c>
      <c r="DI735">
        <f t="shared" si="1"/>
      </c>
    </row>
    <row r="736" ht="15" customHeight="1">
      <c r="B736">
        <f t="shared" si="2"/>
      </c>
      <c r="R736">
        <f t="shared" si="3"/>
        <v>0</v>
      </c>
      <c r="S736">
        <f t="shared" si="4"/>
        <v>0</v>
      </c>
      <c r="T736">
        <f t="shared" si="5"/>
        <v>0</v>
      </c>
      <c r="U736">
        <f t="shared" si="6"/>
        <v>0</v>
      </c>
      <c r="V736">
        <f t="shared" si="7"/>
        <v>0</v>
      </c>
      <c r="W736">
        <f t="shared" si="8"/>
        <v>0</v>
      </c>
      <c r="X736">
        <f t="shared" si="9"/>
        <v>0</v>
      </c>
      <c r="Y736">
        <f t="shared" si="10"/>
        <v>0</v>
      </c>
      <c r="Z736">
        <f t="shared" si="11"/>
        <v>0</v>
      </c>
      <c r="AA736">
        <f t="shared" si="12"/>
        <v>0</v>
      </c>
      <c r="AB736">
        <f t="shared" si="13"/>
        <v>0</v>
      </c>
      <c r="AC736">
        <f t="shared" si="14"/>
        <v>0</v>
      </c>
      <c r="AE736">
        <f t="shared" si="0"/>
      </c>
      <c r="AV736">
        <f t="shared" si="15"/>
      </c>
      <c r="BM736">
        <f t="shared" si="16"/>
      </c>
      <c r="CD736">
        <f t="shared" si="0"/>
      </c>
      <c r="CZ736">
        <f t="shared" si="17"/>
      </c>
      <c r="DA736">
        <f t="shared" si="1"/>
      </c>
      <c r="DB736">
        <f t="shared" si="18"/>
      </c>
      <c r="DC736">
        <f t="shared" si="19"/>
      </c>
      <c r="DD736">
        <f t="shared" si="20"/>
      </c>
      <c r="DE736">
        <f t="shared" si="21"/>
      </c>
      <c r="DF736">
        <f t="shared" si="22"/>
      </c>
      <c r="DG736">
        <f t="shared" si="23"/>
      </c>
      <c r="DH736">
        <f t="shared" si="24"/>
      </c>
      <c r="DI736">
        <f t="shared" si="1"/>
      </c>
    </row>
    <row r="737" ht="15" customHeight="1">
      <c r="B737">
        <f t="shared" si="2"/>
      </c>
      <c r="R737">
        <f t="shared" si="3"/>
        <v>0</v>
      </c>
      <c r="S737">
        <f t="shared" si="4"/>
        <v>0</v>
      </c>
      <c r="T737">
        <f t="shared" si="5"/>
        <v>0</v>
      </c>
      <c r="U737">
        <f t="shared" si="6"/>
        <v>0</v>
      </c>
      <c r="V737">
        <f t="shared" si="7"/>
        <v>0</v>
      </c>
      <c r="W737">
        <f t="shared" si="8"/>
        <v>0</v>
      </c>
      <c r="X737">
        <f t="shared" si="9"/>
        <v>0</v>
      </c>
      <c r="Y737">
        <f t="shared" si="10"/>
        <v>0</v>
      </c>
      <c r="Z737">
        <f t="shared" si="11"/>
        <v>0</v>
      </c>
      <c r="AA737">
        <f t="shared" si="12"/>
        <v>0</v>
      </c>
      <c r="AB737">
        <f t="shared" si="13"/>
        <v>0</v>
      </c>
      <c r="AC737">
        <f t="shared" si="14"/>
        <v>0</v>
      </c>
      <c r="AE737">
        <f t="shared" si="0"/>
      </c>
      <c r="AV737">
        <f t="shared" si="15"/>
      </c>
      <c r="BM737">
        <f t="shared" si="16"/>
      </c>
      <c r="CD737">
        <f t="shared" si="0"/>
      </c>
      <c r="CZ737">
        <f t="shared" si="17"/>
      </c>
      <c r="DA737">
        <f t="shared" si="1"/>
      </c>
      <c r="DB737">
        <f t="shared" si="18"/>
      </c>
      <c r="DC737">
        <f t="shared" si="19"/>
      </c>
      <c r="DD737">
        <f t="shared" si="20"/>
      </c>
      <c r="DE737">
        <f t="shared" si="21"/>
      </c>
      <c r="DF737">
        <f t="shared" si="22"/>
      </c>
      <c r="DG737">
        <f t="shared" si="23"/>
      </c>
      <c r="DH737">
        <f t="shared" si="24"/>
      </c>
      <c r="DI737">
        <f t="shared" si="1"/>
      </c>
    </row>
    <row r="738" ht="15" customHeight="1">
      <c r="B738">
        <f t="shared" si="2"/>
      </c>
      <c r="R738">
        <f t="shared" si="3"/>
        <v>0</v>
      </c>
      <c r="S738">
        <f t="shared" si="4"/>
        <v>0</v>
      </c>
      <c r="T738">
        <f t="shared" si="5"/>
        <v>0</v>
      </c>
      <c r="U738">
        <f t="shared" si="6"/>
        <v>0</v>
      </c>
      <c r="V738">
        <f t="shared" si="7"/>
        <v>0</v>
      </c>
      <c r="W738">
        <f t="shared" si="8"/>
        <v>0</v>
      </c>
      <c r="X738">
        <f t="shared" si="9"/>
        <v>0</v>
      </c>
      <c r="Y738">
        <f t="shared" si="10"/>
        <v>0</v>
      </c>
      <c r="Z738">
        <f t="shared" si="11"/>
        <v>0</v>
      </c>
      <c r="AA738">
        <f t="shared" si="12"/>
        <v>0</v>
      </c>
      <c r="AB738">
        <f t="shared" si="13"/>
        <v>0</v>
      </c>
      <c r="AC738">
        <f t="shared" si="14"/>
        <v>0</v>
      </c>
      <c r="AE738">
        <f t="shared" si="0"/>
      </c>
      <c r="AV738">
        <f t="shared" si="15"/>
      </c>
      <c r="BM738">
        <f t="shared" si="16"/>
      </c>
      <c r="CD738">
        <f t="shared" si="0"/>
      </c>
      <c r="CZ738">
        <f t="shared" si="17"/>
      </c>
      <c r="DA738">
        <f t="shared" si="1"/>
      </c>
      <c r="DB738">
        <f t="shared" si="18"/>
      </c>
      <c r="DC738">
        <f t="shared" si="19"/>
      </c>
      <c r="DD738">
        <f t="shared" si="20"/>
      </c>
      <c r="DE738">
        <f t="shared" si="21"/>
      </c>
      <c r="DF738">
        <f t="shared" si="22"/>
      </c>
      <c r="DG738">
        <f t="shared" si="23"/>
      </c>
      <c r="DH738">
        <f t="shared" si="24"/>
      </c>
      <c r="DI738">
        <f t="shared" si="1"/>
      </c>
    </row>
    <row r="739" ht="15" customHeight="1">
      <c r="B739">
        <f t="shared" si="2"/>
      </c>
      <c r="R739">
        <f t="shared" si="3"/>
        <v>0</v>
      </c>
      <c r="S739">
        <f t="shared" si="4"/>
        <v>0</v>
      </c>
      <c r="T739">
        <f t="shared" si="5"/>
        <v>0</v>
      </c>
      <c r="U739">
        <f t="shared" si="6"/>
        <v>0</v>
      </c>
      <c r="V739">
        <f t="shared" si="7"/>
        <v>0</v>
      </c>
      <c r="W739">
        <f t="shared" si="8"/>
        <v>0</v>
      </c>
      <c r="X739">
        <f t="shared" si="9"/>
        <v>0</v>
      </c>
      <c r="Y739">
        <f t="shared" si="10"/>
        <v>0</v>
      </c>
      <c r="Z739">
        <f t="shared" si="11"/>
        <v>0</v>
      </c>
      <c r="AA739">
        <f t="shared" si="12"/>
        <v>0</v>
      </c>
      <c r="AB739">
        <f t="shared" si="13"/>
        <v>0</v>
      </c>
      <c r="AC739">
        <f t="shared" si="14"/>
        <v>0</v>
      </c>
      <c r="AE739">
        <f t="shared" si="0"/>
      </c>
      <c r="AV739">
        <f t="shared" si="15"/>
      </c>
      <c r="BM739">
        <f t="shared" si="16"/>
      </c>
      <c r="CD739">
        <f t="shared" si="0"/>
      </c>
      <c r="CZ739">
        <f t="shared" si="17"/>
      </c>
      <c r="DA739">
        <f t="shared" si="1"/>
      </c>
      <c r="DB739">
        <f t="shared" si="18"/>
      </c>
      <c r="DC739">
        <f t="shared" si="19"/>
      </c>
      <c r="DD739">
        <f t="shared" si="20"/>
      </c>
      <c r="DE739">
        <f t="shared" si="21"/>
      </c>
      <c r="DF739">
        <f t="shared" si="22"/>
      </c>
      <c r="DG739">
        <f t="shared" si="23"/>
      </c>
      <c r="DH739">
        <f t="shared" si="24"/>
      </c>
      <c r="DI739">
        <f t="shared" si="1"/>
      </c>
    </row>
    <row r="740" ht="15" customHeight="1">
      <c r="B740">
        <f t="shared" si="2"/>
      </c>
      <c r="R740">
        <f t="shared" si="3"/>
        <v>0</v>
      </c>
      <c r="S740">
        <f t="shared" si="4"/>
        <v>0</v>
      </c>
      <c r="T740">
        <f t="shared" si="5"/>
        <v>0</v>
      </c>
      <c r="U740">
        <f t="shared" si="6"/>
        <v>0</v>
      </c>
      <c r="V740">
        <f t="shared" si="7"/>
        <v>0</v>
      </c>
      <c r="W740">
        <f t="shared" si="8"/>
        <v>0</v>
      </c>
      <c r="X740">
        <f t="shared" si="9"/>
        <v>0</v>
      </c>
      <c r="Y740">
        <f t="shared" si="10"/>
        <v>0</v>
      </c>
      <c r="Z740">
        <f t="shared" si="11"/>
        <v>0</v>
      </c>
      <c r="AA740">
        <f t="shared" si="12"/>
        <v>0</v>
      </c>
      <c r="AB740">
        <f t="shared" si="13"/>
        <v>0</v>
      </c>
      <c r="AC740">
        <f t="shared" si="14"/>
        <v>0</v>
      </c>
      <c r="AE740">
        <f t="shared" si="0"/>
      </c>
      <c r="AV740">
        <f t="shared" si="15"/>
      </c>
      <c r="BM740">
        <f t="shared" si="16"/>
      </c>
      <c r="CD740">
        <f t="shared" si="0"/>
      </c>
      <c r="CZ740">
        <f t="shared" si="17"/>
      </c>
      <c r="DA740">
        <f t="shared" si="1"/>
      </c>
      <c r="DB740">
        <f t="shared" si="18"/>
      </c>
      <c r="DC740">
        <f t="shared" si="19"/>
      </c>
      <c r="DD740">
        <f t="shared" si="20"/>
      </c>
      <c r="DE740">
        <f t="shared" si="21"/>
      </c>
      <c r="DF740">
        <f t="shared" si="22"/>
      </c>
      <c r="DG740">
        <f t="shared" si="23"/>
      </c>
      <c r="DH740">
        <f t="shared" si="24"/>
      </c>
      <c r="DI740">
        <f t="shared" si="1"/>
      </c>
    </row>
    <row r="741" ht="15" customHeight="1">
      <c r="B741">
        <f t="shared" si="2"/>
      </c>
      <c r="R741">
        <f t="shared" si="3"/>
        <v>0</v>
      </c>
      <c r="S741">
        <f t="shared" si="4"/>
        <v>0</v>
      </c>
      <c r="T741">
        <f t="shared" si="5"/>
        <v>0</v>
      </c>
      <c r="U741">
        <f t="shared" si="6"/>
        <v>0</v>
      </c>
      <c r="V741">
        <f t="shared" si="7"/>
        <v>0</v>
      </c>
      <c r="W741">
        <f t="shared" si="8"/>
        <v>0</v>
      </c>
      <c r="X741">
        <f t="shared" si="9"/>
        <v>0</v>
      </c>
      <c r="Y741">
        <f t="shared" si="10"/>
        <v>0</v>
      </c>
      <c r="Z741">
        <f t="shared" si="11"/>
        <v>0</v>
      </c>
      <c r="AA741">
        <f t="shared" si="12"/>
        <v>0</v>
      </c>
      <c r="AB741">
        <f t="shared" si="13"/>
        <v>0</v>
      </c>
      <c r="AC741">
        <f t="shared" si="14"/>
        <v>0</v>
      </c>
      <c r="AE741">
        <f t="shared" si="0"/>
      </c>
      <c r="AV741">
        <f t="shared" si="15"/>
      </c>
      <c r="BM741">
        <f t="shared" si="16"/>
      </c>
      <c r="CD741">
        <f t="shared" si="0"/>
      </c>
      <c r="CZ741">
        <f t="shared" si="17"/>
      </c>
      <c r="DA741">
        <f t="shared" si="1"/>
      </c>
      <c r="DB741">
        <f t="shared" si="18"/>
      </c>
      <c r="DC741">
        <f t="shared" si="19"/>
      </c>
      <c r="DD741">
        <f t="shared" si="20"/>
      </c>
      <c r="DE741">
        <f t="shared" si="21"/>
      </c>
      <c r="DF741">
        <f t="shared" si="22"/>
      </c>
      <c r="DG741">
        <f t="shared" si="23"/>
      </c>
      <c r="DH741">
        <f t="shared" si="24"/>
      </c>
      <c r="DI741">
        <f t="shared" si="1"/>
      </c>
    </row>
    <row r="742" ht="15" customHeight="1">
      <c r="B742">
        <f t="shared" si="2"/>
      </c>
      <c r="R742">
        <f t="shared" si="3"/>
        <v>0</v>
      </c>
      <c r="S742">
        <f t="shared" si="4"/>
        <v>0</v>
      </c>
      <c r="T742">
        <f t="shared" si="5"/>
        <v>0</v>
      </c>
      <c r="U742">
        <f t="shared" si="6"/>
        <v>0</v>
      </c>
      <c r="V742">
        <f t="shared" si="7"/>
        <v>0</v>
      </c>
      <c r="W742">
        <f t="shared" si="8"/>
        <v>0</v>
      </c>
      <c r="X742">
        <f t="shared" si="9"/>
        <v>0</v>
      </c>
      <c r="Y742">
        <f t="shared" si="10"/>
        <v>0</v>
      </c>
      <c r="Z742">
        <f t="shared" si="11"/>
        <v>0</v>
      </c>
      <c r="AA742">
        <f t="shared" si="12"/>
        <v>0</v>
      </c>
      <c r="AB742">
        <f t="shared" si="13"/>
        <v>0</v>
      </c>
      <c r="AC742">
        <f t="shared" si="14"/>
        <v>0</v>
      </c>
      <c r="AE742">
        <f t="shared" si="0"/>
      </c>
      <c r="AV742">
        <f t="shared" si="15"/>
      </c>
      <c r="BM742">
        <f t="shared" si="16"/>
      </c>
      <c r="CD742">
        <f t="shared" si="0"/>
      </c>
      <c r="CZ742">
        <f t="shared" si="17"/>
      </c>
      <c r="DA742">
        <f t="shared" si="1"/>
      </c>
      <c r="DB742">
        <f t="shared" si="18"/>
      </c>
      <c r="DC742">
        <f t="shared" si="19"/>
      </c>
      <c r="DD742">
        <f t="shared" si="20"/>
      </c>
      <c r="DE742">
        <f t="shared" si="21"/>
      </c>
      <c r="DF742">
        <f t="shared" si="22"/>
      </c>
      <c r="DG742">
        <f t="shared" si="23"/>
      </c>
      <c r="DH742">
        <f t="shared" si="24"/>
      </c>
      <c r="DI742">
        <f t="shared" si="1"/>
      </c>
    </row>
    <row r="743" ht="15" customHeight="1">
      <c r="B743">
        <f t="shared" si="2"/>
      </c>
      <c r="R743">
        <f t="shared" si="3"/>
        <v>0</v>
      </c>
      <c r="S743">
        <f t="shared" si="4"/>
        <v>0</v>
      </c>
      <c r="T743">
        <f t="shared" si="5"/>
        <v>0</v>
      </c>
      <c r="U743">
        <f t="shared" si="6"/>
        <v>0</v>
      </c>
      <c r="V743">
        <f t="shared" si="7"/>
        <v>0</v>
      </c>
      <c r="W743">
        <f t="shared" si="8"/>
        <v>0</v>
      </c>
      <c r="X743">
        <f t="shared" si="9"/>
        <v>0</v>
      </c>
      <c r="Y743">
        <f t="shared" si="10"/>
        <v>0</v>
      </c>
      <c r="Z743">
        <f t="shared" si="11"/>
        <v>0</v>
      </c>
      <c r="AA743">
        <f t="shared" si="12"/>
        <v>0</v>
      </c>
      <c r="AB743">
        <f t="shared" si="13"/>
        <v>0</v>
      </c>
      <c r="AC743">
        <f t="shared" si="14"/>
        <v>0</v>
      </c>
      <c r="AE743">
        <f t="shared" si="0"/>
      </c>
      <c r="AV743">
        <f t="shared" si="15"/>
      </c>
      <c r="BM743">
        <f t="shared" si="16"/>
      </c>
      <c r="CD743">
        <f t="shared" si="0"/>
      </c>
      <c r="CZ743">
        <f t="shared" si="17"/>
      </c>
      <c r="DA743">
        <f t="shared" si="1"/>
      </c>
      <c r="DB743">
        <f t="shared" si="18"/>
      </c>
      <c r="DC743">
        <f t="shared" si="19"/>
      </c>
      <c r="DD743">
        <f t="shared" si="20"/>
      </c>
      <c r="DE743">
        <f t="shared" si="21"/>
      </c>
      <c r="DF743">
        <f t="shared" si="22"/>
      </c>
      <c r="DG743">
        <f t="shared" si="23"/>
      </c>
      <c r="DH743">
        <f t="shared" si="24"/>
      </c>
      <c r="DI743">
        <f t="shared" si="1"/>
      </c>
    </row>
    <row r="744" ht="15" customHeight="1">
      <c r="B744">
        <f t="shared" si="2"/>
      </c>
      <c r="R744">
        <f t="shared" si="3"/>
        <v>0</v>
      </c>
      <c r="S744">
        <f t="shared" si="4"/>
        <v>0</v>
      </c>
      <c r="T744">
        <f t="shared" si="5"/>
        <v>0</v>
      </c>
      <c r="U744">
        <f t="shared" si="6"/>
        <v>0</v>
      </c>
      <c r="V744">
        <f t="shared" si="7"/>
        <v>0</v>
      </c>
      <c r="W744">
        <f t="shared" si="8"/>
        <v>0</v>
      </c>
      <c r="X744">
        <f t="shared" si="9"/>
        <v>0</v>
      </c>
      <c r="Y744">
        <f t="shared" si="10"/>
        <v>0</v>
      </c>
      <c r="Z744">
        <f t="shared" si="11"/>
        <v>0</v>
      </c>
      <c r="AA744">
        <f t="shared" si="12"/>
        <v>0</v>
      </c>
      <c r="AB744">
        <f t="shared" si="13"/>
        <v>0</v>
      </c>
      <c r="AC744">
        <f t="shared" si="14"/>
        <v>0</v>
      </c>
      <c r="AE744">
        <f t="shared" si="0"/>
      </c>
      <c r="AV744">
        <f t="shared" si="15"/>
      </c>
      <c r="BM744">
        <f t="shared" si="16"/>
      </c>
      <c r="CD744">
        <f t="shared" si="0"/>
      </c>
      <c r="CZ744">
        <f t="shared" si="17"/>
      </c>
      <c r="DA744">
        <f t="shared" si="1"/>
      </c>
      <c r="DB744">
        <f t="shared" si="18"/>
      </c>
      <c r="DC744">
        <f t="shared" si="19"/>
      </c>
      <c r="DD744">
        <f t="shared" si="20"/>
      </c>
      <c r="DE744">
        <f t="shared" si="21"/>
      </c>
      <c r="DF744">
        <f t="shared" si="22"/>
      </c>
      <c r="DG744">
        <f t="shared" si="23"/>
      </c>
      <c r="DH744">
        <f t="shared" si="24"/>
      </c>
      <c r="DI744">
        <f t="shared" si="1"/>
      </c>
    </row>
    <row r="745" ht="15" customHeight="1">
      <c r="B745">
        <f t="shared" si="2"/>
      </c>
      <c r="R745">
        <f t="shared" si="3"/>
        <v>0</v>
      </c>
      <c r="S745">
        <f t="shared" si="4"/>
        <v>0</v>
      </c>
      <c r="T745">
        <f t="shared" si="5"/>
        <v>0</v>
      </c>
      <c r="U745">
        <f t="shared" si="6"/>
        <v>0</v>
      </c>
      <c r="V745">
        <f t="shared" si="7"/>
        <v>0</v>
      </c>
      <c r="W745">
        <f t="shared" si="8"/>
        <v>0</v>
      </c>
      <c r="X745">
        <f t="shared" si="9"/>
        <v>0</v>
      </c>
      <c r="Y745">
        <f t="shared" si="10"/>
        <v>0</v>
      </c>
      <c r="Z745">
        <f t="shared" si="11"/>
        <v>0</v>
      </c>
      <c r="AA745">
        <f t="shared" si="12"/>
        <v>0</v>
      </c>
      <c r="AB745">
        <f t="shared" si="13"/>
        <v>0</v>
      </c>
      <c r="AC745">
        <f t="shared" si="14"/>
        <v>0</v>
      </c>
      <c r="AE745">
        <f t="shared" si="0"/>
      </c>
      <c r="AV745">
        <f t="shared" si="15"/>
      </c>
      <c r="BM745">
        <f t="shared" si="16"/>
      </c>
      <c r="CD745">
        <f t="shared" si="0"/>
      </c>
      <c r="CZ745">
        <f t="shared" si="17"/>
      </c>
      <c r="DA745">
        <f t="shared" si="1"/>
      </c>
      <c r="DB745">
        <f t="shared" si="18"/>
      </c>
      <c r="DC745">
        <f t="shared" si="19"/>
      </c>
      <c r="DD745">
        <f t="shared" si="20"/>
      </c>
      <c r="DE745">
        <f t="shared" si="21"/>
      </c>
      <c r="DF745">
        <f t="shared" si="22"/>
      </c>
      <c r="DG745">
        <f t="shared" si="23"/>
      </c>
      <c r="DH745">
        <f t="shared" si="24"/>
      </c>
      <c r="DI745">
        <f t="shared" si="1"/>
      </c>
    </row>
    <row r="746" ht="15" customHeight="1">
      <c r="B746">
        <f t="shared" si="2"/>
      </c>
      <c r="R746">
        <f t="shared" si="3"/>
        <v>0</v>
      </c>
      <c r="S746">
        <f t="shared" si="4"/>
        <v>0</v>
      </c>
      <c r="T746">
        <f t="shared" si="5"/>
        <v>0</v>
      </c>
      <c r="U746">
        <f t="shared" si="6"/>
        <v>0</v>
      </c>
      <c r="V746">
        <f t="shared" si="7"/>
        <v>0</v>
      </c>
      <c r="W746">
        <f t="shared" si="8"/>
        <v>0</v>
      </c>
      <c r="X746">
        <f t="shared" si="9"/>
        <v>0</v>
      </c>
      <c r="Y746">
        <f t="shared" si="10"/>
        <v>0</v>
      </c>
      <c r="Z746">
        <f t="shared" si="11"/>
        <v>0</v>
      </c>
      <c r="AA746">
        <f t="shared" si="12"/>
        <v>0</v>
      </c>
      <c r="AB746">
        <f t="shared" si="13"/>
        <v>0</v>
      </c>
      <c r="AC746">
        <f t="shared" si="14"/>
        <v>0</v>
      </c>
      <c r="AE746">
        <f t="shared" si="0"/>
      </c>
      <c r="AV746">
        <f t="shared" si="15"/>
      </c>
      <c r="BM746">
        <f t="shared" si="16"/>
      </c>
      <c r="CD746">
        <f t="shared" si="0"/>
      </c>
      <c r="CZ746">
        <f t="shared" si="17"/>
      </c>
      <c r="DA746">
        <f t="shared" si="1"/>
      </c>
      <c r="DB746">
        <f t="shared" si="18"/>
      </c>
      <c r="DC746">
        <f t="shared" si="19"/>
      </c>
      <c r="DD746">
        <f t="shared" si="20"/>
      </c>
      <c r="DE746">
        <f t="shared" si="21"/>
      </c>
      <c r="DF746">
        <f t="shared" si="22"/>
      </c>
      <c r="DG746">
        <f t="shared" si="23"/>
      </c>
      <c r="DH746">
        <f t="shared" si="24"/>
      </c>
      <c r="DI746">
        <f t="shared" si="1"/>
      </c>
    </row>
    <row r="747" ht="15" customHeight="1">
      <c r="B747">
        <f t="shared" si="2"/>
      </c>
      <c r="R747">
        <f t="shared" si="3"/>
        <v>0</v>
      </c>
      <c r="S747">
        <f t="shared" si="4"/>
        <v>0</v>
      </c>
      <c r="T747">
        <f t="shared" si="5"/>
        <v>0</v>
      </c>
      <c r="U747">
        <f t="shared" si="6"/>
        <v>0</v>
      </c>
      <c r="V747">
        <f t="shared" si="7"/>
        <v>0</v>
      </c>
      <c r="W747">
        <f t="shared" si="8"/>
        <v>0</v>
      </c>
      <c r="X747">
        <f t="shared" si="9"/>
        <v>0</v>
      </c>
      <c r="Y747">
        <f t="shared" si="10"/>
        <v>0</v>
      </c>
      <c r="Z747">
        <f t="shared" si="11"/>
        <v>0</v>
      </c>
      <c r="AA747">
        <f t="shared" si="12"/>
        <v>0</v>
      </c>
      <c r="AB747">
        <f t="shared" si="13"/>
        <v>0</v>
      </c>
      <c r="AC747">
        <f t="shared" si="14"/>
        <v>0</v>
      </c>
      <c r="AE747">
        <f t="shared" si="0"/>
      </c>
      <c r="AV747">
        <f t="shared" si="15"/>
      </c>
      <c r="BM747">
        <f t="shared" si="16"/>
      </c>
      <c r="CD747">
        <f t="shared" si="0"/>
      </c>
      <c r="CZ747">
        <f t="shared" si="17"/>
      </c>
      <c r="DA747">
        <f t="shared" si="1"/>
      </c>
      <c r="DB747">
        <f t="shared" si="18"/>
      </c>
      <c r="DC747">
        <f t="shared" si="19"/>
      </c>
      <c r="DD747">
        <f t="shared" si="20"/>
      </c>
      <c r="DE747">
        <f t="shared" si="21"/>
      </c>
      <c r="DF747">
        <f t="shared" si="22"/>
      </c>
      <c r="DG747">
        <f t="shared" si="23"/>
      </c>
      <c r="DH747">
        <f t="shared" si="24"/>
      </c>
      <c r="DI747">
        <f t="shared" si="1"/>
      </c>
    </row>
    <row r="748" ht="15" customHeight="1">
      <c r="B748">
        <f t="shared" si="2"/>
      </c>
      <c r="R748">
        <f t="shared" si="3"/>
        <v>0</v>
      </c>
      <c r="S748">
        <f t="shared" si="4"/>
        <v>0</v>
      </c>
      <c r="T748">
        <f t="shared" si="5"/>
        <v>0</v>
      </c>
      <c r="U748">
        <f t="shared" si="6"/>
        <v>0</v>
      </c>
      <c r="V748">
        <f t="shared" si="7"/>
        <v>0</v>
      </c>
      <c r="W748">
        <f t="shared" si="8"/>
        <v>0</v>
      </c>
      <c r="X748">
        <f t="shared" si="9"/>
        <v>0</v>
      </c>
      <c r="Y748">
        <f t="shared" si="10"/>
        <v>0</v>
      </c>
      <c r="Z748">
        <f t="shared" si="11"/>
        <v>0</v>
      </c>
      <c r="AA748">
        <f t="shared" si="12"/>
        <v>0</v>
      </c>
      <c r="AB748">
        <f t="shared" si="13"/>
        <v>0</v>
      </c>
      <c r="AC748">
        <f t="shared" si="14"/>
        <v>0</v>
      </c>
      <c r="AE748">
        <f t="shared" si="0"/>
      </c>
      <c r="AV748">
        <f t="shared" si="15"/>
      </c>
      <c r="BM748">
        <f t="shared" si="16"/>
      </c>
      <c r="CD748">
        <f t="shared" si="0"/>
      </c>
      <c r="CZ748">
        <f t="shared" si="17"/>
      </c>
      <c r="DA748">
        <f t="shared" si="1"/>
      </c>
      <c r="DB748">
        <f t="shared" si="18"/>
      </c>
      <c r="DC748">
        <f t="shared" si="19"/>
      </c>
      <c r="DD748">
        <f t="shared" si="20"/>
      </c>
      <c r="DE748">
        <f t="shared" si="21"/>
      </c>
      <c r="DF748">
        <f t="shared" si="22"/>
      </c>
      <c r="DG748">
        <f t="shared" si="23"/>
      </c>
      <c r="DH748">
        <f t="shared" si="24"/>
      </c>
      <c r="DI748">
        <f t="shared" si="1"/>
      </c>
    </row>
    <row r="749" ht="15" customHeight="1">
      <c r="B749">
        <f t="shared" si="2"/>
      </c>
      <c r="R749">
        <f t="shared" si="3"/>
        <v>0</v>
      </c>
      <c r="S749">
        <f t="shared" si="4"/>
        <v>0</v>
      </c>
      <c r="T749">
        <f t="shared" si="5"/>
        <v>0</v>
      </c>
      <c r="U749">
        <f t="shared" si="6"/>
        <v>0</v>
      </c>
      <c r="V749">
        <f t="shared" si="7"/>
        <v>0</v>
      </c>
      <c r="W749">
        <f t="shared" si="8"/>
        <v>0</v>
      </c>
      <c r="X749">
        <f t="shared" si="9"/>
        <v>0</v>
      </c>
      <c r="Y749">
        <f t="shared" si="10"/>
        <v>0</v>
      </c>
      <c r="Z749">
        <f t="shared" si="11"/>
        <v>0</v>
      </c>
      <c r="AA749">
        <f t="shared" si="12"/>
        <v>0</v>
      </c>
      <c r="AB749">
        <f t="shared" si="13"/>
        <v>0</v>
      </c>
      <c r="AC749">
        <f t="shared" si="14"/>
        <v>0</v>
      </c>
      <c r="AE749">
        <f t="shared" si="0"/>
      </c>
      <c r="AV749">
        <f t="shared" si="15"/>
      </c>
      <c r="BM749">
        <f t="shared" si="16"/>
      </c>
      <c r="CD749">
        <f t="shared" si="0"/>
      </c>
      <c r="CZ749">
        <f t="shared" si="17"/>
      </c>
      <c r="DA749">
        <f t="shared" si="1"/>
      </c>
      <c r="DB749">
        <f t="shared" si="18"/>
      </c>
      <c r="DC749">
        <f t="shared" si="19"/>
      </c>
      <c r="DD749">
        <f t="shared" si="20"/>
      </c>
      <c r="DE749">
        <f t="shared" si="21"/>
      </c>
      <c r="DF749">
        <f t="shared" si="22"/>
      </c>
      <c r="DG749">
        <f t="shared" si="23"/>
      </c>
      <c r="DH749">
        <f t="shared" si="24"/>
      </c>
      <c r="DI749">
        <f t="shared" si="1"/>
      </c>
    </row>
    <row r="750" ht="15" customHeight="1">
      <c r="B750">
        <f t="shared" si="2"/>
      </c>
      <c r="R750">
        <f t="shared" si="3"/>
        <v>0</v>
      </c>
      <c r="S750">
        <f t="shared" si="4"/>
        <v>0</v>
      </c>
      <c r="T750">
        <f t="shared" si="5"/>
        <v>0</v>
      </c>
      <c r="U750">
        <f t="shared" si="6"/>
        <v>0</v>
      </c>
      <c r="V750">
        <f t="shared" si="7"/>
        <v>0</v>
      </c>
      <c r="W750">
        <f t="shared" si="8"/>
        <v>0</v>
      </c>
      <c r="X750">
        <f t="shared" si="9"/>
        <v>0</v>
      </c>
      <c r="Y750">
        <f t="shared" si="10"/>
        <v>0</v>
      </c>
      <c r="Z750">
        <f t="shared" si="11"/>
        <v>0</v>
      </c>
      <c r="AA750">
        <f t="shared" si="12"/>
        <v>0</v>
      </c>
      <c r="AB750">
        <f t="shared" si="13"/>
        <v>0</v>
      </c>
      <c r="AC750">
        <f t="shared" si="14"/>
        <v>0</v>
      </c>
      <c r="AE750">
        <f t="shared" si="0"/>
      </c>
      <c r="AV750">
        <f t="shared" si="15"/>
      </c>
      <c r="BM750">
        <f t="shared" si="16"/>
      </c>
      <c r="CD750">
        <f t="shared" si="0"/>
      </c>
      <c r="CZ750">
        <f t="shared" si="17"/>
      </c>
      <c r="DA750">
        <f t="shared" si="1"/>
      </c>
      <c r="DB750">
        <f t="shared" si="18"/>
      </c>
      <c r="DC750">
        <f t="shared" si="19"/>
      </c>
      <c r="DD750">
        <f t="shared" si="20"/>
      </c>
      <c r="DE750">
        <f t="shared" si="21"/>
      </c>
      <c r="DF750">
        <f t="shared" si="22"/>
      </c>
      <c r="DG750">
        <f t="shared" si="23"/>
      </c>
      <c r="DH750">
        <f t="shared" si="24"/>
      </c>
      <c r="DI750">
        <f t="shared" si="1"/>
      </c>
    </row>
    <row r="751" ht="15" customHeight="1">
      <c r="B751">
        <f t="shared" si="2"/>
      </c>
      <c r="R751">
        <f t="shared" si="3"/>
        <v>0</v>
      </c>
      <c r="S751">
        <f t="shared" si="4"/>
        <v>0</v>
      </c>
      <c r="T751">
        <f t="shared" si="5"/>
        <v>0</v>
      </c>
      <c r="U751">
        <f t="shared" si="6"/>
        <v>0</v>
      </c>
      <c r="V751">
        <f t="shared" si="7"/>
        <v>0</v>
      </c>
      <c r="W751">
        <f t="shared" si="8"/>
        <v>0</v>
      </c>
      <c r="X751">
        <f t="shared" si="9"/>
        <v>0</v>
      </c>
      <c r="Y751">
        <f t="shared" si="10"/>
        <v>0</v>
      </c>
      <c r="Z751">
        <f t="shared" si="11"/>
        <v>0</v>
      </c>
      <c r="AA751">
        <f t="shared" si="12"/>
        <v>0</v>
      </c>
      <c r="AB751">
        <f t="shared" si="13"/>
        <v>0</v>
      </c>
      <c r="AC751">
        <f t="shared" si="14"/>
        <v>0</v>
      </c>
      <c r="AE751">
        <f t="shared" si="0"/>
      </c>
      <c r="AV751">
        <f t="shared" si="15"/>
      </c>
      <c r="BM751">
        <f t="shared" si="16"/>
      </c>
      <c r="CD751">
        <f t="shared" si="0"/>
      </c>
      <c r="CZ751">
        <f t="shared" si="17"/>
      </c>
      <c r="DA751">
        <f t="shared" si="1"/>
      </c>
      <c r="DB751">
        <f t="shared" si="18"/>
      </c>
      <c r="DC751">
        <f t="shared" si="19"/>
      </c>
      <c r="DD751">
        <f t="shared" si="20"/>
      </c>
      <c r="DE751">
        <f t="shared" si="21"/>
      </c>
      <c r="DF751">
        <f t="shared" si="22"/>
      </c>
      <c r="DG751">
        <f t="shared" si="23"/>
      </c>
      <c r="DH751">
        <f t="shared" si="24"/>
      </c>
      <c r="DI751">
        <f t="shared" si="1"/>
      </c>
    </row>
    <row r="752" ht="15" customHeight="1">
      <c r="B752">
        <f t="shared" si="2"/>
      </c>
      <c r="R752">
        <f t="shared" si="3"/>
        <v>0</v>
      </c>
      <c r="S752">
        <f t="shared" si="4"/>
        <v>0</v>
      </c>
      <c r="T752">
        <f t="shared" si="5"/>
        <v>0</v>
      </c>
      <c r="U752">
        <f t="shared" si="6"/>
        <v>0</v>
      </c>
      <c r="V752">
        <f t="shared" si="7"/>
        <v>0</v>
      </c>
      <c r="W752">
        <f t="shared" si="8"/>
        <v>0</v>
      </c>
      <c r="X752">
        <f t="shared" si="9"/>
        <v>0</v>
      </c>
      <c r="Y752">
        <f t="shared" si="10"/>
        <v>0</v>
      </c>
      <c r="Z752">
        <f t="shared" si="11"/>
        <v>0</v>
      </c>
      <c r="AA752">
        <f t="shared" si="12"/>
        <v>0</v>
      </c>
      <c r="AB752">
        <f t="shared" si="13"/>
        <v>0</v>
      </c>
      <c r="AC752">
        <f t="shared" si="14"/>
        <v>0</v>
      </c>
      <c r="AE752">
        <f t="shared" si="0"/>
      </c>
      <c r="AV752">
        <f t="shared" si="15"/>
      </c>
      <c r="BM752">
        <f t="shared" si="16"/>
      </c>
      <c r="CD752">
        <f t="shared" si="0"/>
      </c>
      <c r="CZ752">
        <f t="shared" si="17"/>
      </c>
      <c r="DA752">
        <f t="shared" si="1"/>
      </c>
      <c r="DB752">
        <f t="shared" si="18"/>
      </c>
      <c r="DC752">
        <f t="shared" si="19"/>
      </c>
      <c r="DD752">
        <f t="shared" si="20"/>
      </c>
      <c r="DE752">
        <f t="shared" si="21"/>
      </c>
      <c r="DF752">
        <f t="shared" si="22"/>
      </c>
      <c r="DG752">
        <f t="shared" si="23"/>
      </c>
      <c r="DH752">
        <f t="shared" si="24"/>
      </c>
      <c r="DI752">
        <f t="shared" si="1"/>
      </c>
    </row>
    <row r="753" ht="15" customHeight="1">
      <c r="B753">
        <f t="shared" si="2"/>
      </c>
      <c r="R753">
        <f t="shared" si="3"/>
        <v>0</v>
      </c>
      <c r="S753">
        <f t="shared" si="4"/>
        <v>0</v>
      </c>
      <c r="T753">
        <f t="shared" si="5"/>
        <v>0</v>
      </c>
      <c r="U753">
        <f t="shared" si="6"/>
        <v>0</v>
      </c>
      <c r="V753">
        <f t="shared" si="7"/>
        <v>0</v>
      </c>
      <c r="W753">
        <f t="shared" si="8"/>
        <v>0</v>
      </c>
      <c r="X753">
        <f t="shared" si="9"/>
        <v>0</v>
      </c>
      <c r="Y753">
        <f t="shared" si="10"/>
        <v>0</v>
      </c>
      <c r="Z753">
        <f t="shared" si="11"/>
        <v>0</v>
      </c>
      <c r="AA753">
        <f t="shared" si="12"/>
        <v>0</v>
      </c>
      <c r="AB753">
        <f t="shared" si="13"/>
        <v>0</v>
      </c>
      <c r="AC753">
        <f t="shared" si="14"/>
        <v>0</v>
      </c>
      <c r="AE753">
        <f t="shared" si="0"/>
      </c>
      <c r="AV753">
        <f t="shared" si="15"/>
      </c>
      <c r="BM753">
        <f t="shared" si="16"/>
      </c>
      <c r="CD753">
        <f t="shared" si="0"/>
      </c>
      <c r="CZ753">
        <f t="shared" si="17"/>
      </c>
      <c r="DA753">
        <f t="shared" si="1"/>
      </c>
      <c r="DB753">
        <f t="shared" si="18"/>
      </c>
      <c r="DC753">
        <f t="shared" si="19"/>
      </c>
      <c r="DD753">
        <f t="shared" si="20"/>
      </c>
      <c r="DE753">
        <f t="shared" si="21"/>
      </c>
      <c r="DF753">
        <f t="shared" si="22"/>
      </c>
      <c r="DG753">
        <f t="shared" si="23"/>
      </c>
      <c r="DH753">
        <f t="shared" si="24"/>
      </c>
      <c r="DI753">
        <f t="shared" si="1"/>
      </c>
    </row>
    <row r="754" ht="15" customHeight="1">
      <c r="B754">
        <f t="shared" si="2"/>
      </c>
      <c r="R754">
        <f t="shared" si="3"/>
        <v>0</v>
      </c>
      <c r="S754">
        <f t="shared" si="4"/>
        <v>0</v>
      </c>
      <c r="T754">
        <f t="shared" si="5"/>
        <v>0</v>
      </c>
      <c r="U754">
        <f t="shared" si="6"/>
        <v>0</v>
      </c>
      <c r="V754">
        <f t="shared" si="7"/>
        <v>0</v>
      </c>
      <c r="W754">
        <f t="shared" si="8"/>
        <v>0</v>
      </c>
      <c r="X754">
        <f t="shared" si="9"/>
        <v>0</v>
      </c>
      <c r="Y754">
        <f t="shared" si="10"/>
        <v>0</v>
      </c>
      <c r="Z754">
        <f t="shared" si="11"/>
        <v>0</v>
      </c>
      <c r="AA754">
        <f t="shared" si="12"/>
        <v>0</v>
      </c>
      <c r="AB754">
        <f t="shared" si="13"/>
        <v>0</v>
      </c>
      <c r="AC754">
        <f t="shared" si="14"/>
        <v>0</v>
      </c>
      <c r="AE754">
        <f t="shared" si="0"/>
      </c>
      <c r="AV754">
        <f t="shared" si="15"/>
      </c>
      <c r="BM754">
        <f t="shared" si="16"/>
      </c>
      <c r="CD754">
        <f t="shared" si="0"/>
      </c>
      <c r="CZ754">
        <f t="shared" si="17"/>
      </c>
      <c r="DA754">
        <f t="shared" si="1"/>
      </c>
      <c r="DB754">
        <f t="shared" si="18"/>
      </c>
      <c r="DC754">
        <f t="shared" si="19"/>
      </c>
      <c r="DD754">
        <f t="shared" si="20"/>
      </c>
      <c r="DE754">
        <f t="shared" si="21"/>
      </c>
      <c r="DF754">
        <f t="shared" si="22"/>
      </c>
      <c r="DG754">
        <f t="shared" si="23"/>
      </c>
      <c r="DH754">
        <f t="shared" si="24"/>
      </c>
      <c r="DI754">
        <f t="shared" si="1"/>
      </c>
    </row>
    <row r="755" ht="15" customHeight="1">
      <c r="B755">
        <f t="shared" si="2"/>
      </c>
      <c r="R755">
        <f t="shared" si="3"/>
        <v>0</v>
      </c>
      <c r="S755">
        <f t="shared" si="4"/>
        <v>0</v>
      </c>
      <c r="T755">
        <f t="shared" si="5"/>
        <v>0</v>
      </c>
      <c r="U755">
        <f t="shared" si="6"/>
        <v>0</v>
      </c>
      <c r="V755">
        <f t="shared" si="7"/>
        <v>0</v>
      </c>
      <c r="W755">
        <f t="shared" si="8"/>
        <v>0</v>
      </c>
      <c r="X755">
        <f t="shared" si="9"/>
        <v>0</v>
      </c>
      <c r="Y755">
        <f t="shared" si="10"/>
        <v>0</v>
      </c>
      <c r="Z755">
        <f t="shared" si="11"/>
        <v>0</v>
      </c>
      <c r="AA755">
        <f t="shared" si="12"/>
        <v>0</v>
      </c>
      <c r="AB755">
        <f t="shared" si="13"/>
        <v>0</v>
      </c>
      <c r="AC755">
        <f t="shared" si="14"/>
        <v>0</v>
      </c>
      <c r="AE755">
        <f t="shared" si="0"/>
      </c>
      <c r="AV755">
        <f t="shared" si="15"/>
      </c>
      <c r="BM755">
        <f t="shared" si="16"/>
      </c>
      <c r="CD755">
        <f t="shared" si="0"/>
      </c>
      <c r="CZ755">
        <f t="shared" si="17"/>
      </c>
      <c r="DA755">
        <f t="shared" si="1"/>
      </c>
      <c r="DB755">
        <f t="shared" si="18"/>
      </c>
      <c r="DC755">
        <f t="shared" si="19"/>
      </c>
      <c r="DD755">
        <f t="shared" si="20"/>
      </c>
      <c r="DE755">
        <f t="shared" si="21"/>
      </c>
      <c r="DF755">
        <f t="shared" si="22"/>
      </c>
      <c r="DG755">
        <f t="shared" si="23"/>
      </c>
      <c r="DH755">
        <f t="shared" si="24"/>
      </c>
      <c r="DI755">
        <f t="shared" si="1"/>
      </c>
    </row>
    <row r="756" ht="15" customHeight="1">
      <c r="B756">
        <f t="shared" si="2"/>
      </c>
      <c r="R756">
        <f t="shared" si="3"/>
        <v>0</v>
      </c>
      <c r="S756">
        <f t="shared" si="4"/>
        <v>0</v>
      </c>
      <c r="T756">
        <f t="shared" si="5"/>
        <v>0</v>
      </c>
      <c r="U756">
        <f t="shared" si="6"/>
        <v>0</v>
      </c>
      <c r="V756">
        <f t="shared" si="7"/>
        <v>0</v>
      </c>
      <c r="W756">
        <f t="shared" si="8"/>
        <v>0</v>
      </c>
      <c r="X756">
        <f t="shared" si="9"/>
        <v>0</v>
      </c>
      <c r="Y756">
        <f t="shared" si="10"/>
        <v>0</v>
      </c>
      <c r="Z756">
        <f t="shared" si="11"/>
        <v>0</v>
      </c>
      <c r="AA756">
        <f t="shared" si="12"/>
        <v>0</v>
      </c>
      <c r="AB756">
        <f t="shared" si="13"/>
        <v>0</v>
      </c>
      <c r="AC756">
        <f t="shared" si="14"/>
        <v>0</v>
      </c>
      <c r="AE756">
        <f t="shared" si="0"/>
      </c>
      <c r="AV756">
        <f t="shared" si="15"/>
      </c>
      <c r="BM756">
        <f t="shared" si="16"/>
      </c>
      <c r="CD756">
        <f t="shared" si="0"/>
      </c>
      <c r="CZ756">
        <f t="shared" si="17"/>
      </c>
      <c r="DA756">
        <f t="shared" si="1"/>
      </c>
      <c r="DB756">
        <f t="shared" si="18"/>
      </c>
      <c r="DC756">
        <f t="shared" si="19"/>
      </c>
      <c r="DD756">
        <f t="shared" si="20"/>
      </c>
      <c r="DE756">
        <f t="shared" si="21"/>
      </c>
      <c r="DF756">
        <f t="shared" si="22"/>
      </c>
      <c r="DG756">
        <f t="shared" si="23"/>
      </c>
      <c r="DH756">
        <f t="shared" si="24"/>
      </c>
      <c r="DI756">
        <f t="shared" si="1"/>
      </c>
    </row>
    <row r="757" ht="15" customHeight="1">
      <c r="B757">
        <f t="shared" si="2"/>
      </c>
      <c r="R757">
        <f t="shared" si="3"/>
        <v>0</v>
      </c>
      <c r="S757">
        <f t="shared" si="4"/>
        <v>0</v>
      </c>
      <c r="T757">
        <f t="shared" si="5"/>
        <v>0</v>
      </c>
      <c r="U757">
        <f t="shared" si="6"/>
        <v>0</v>
      </c>
      <c r="V757">
        <f t="shared" si="7"/>
        <v>0</v>
      </c>
      <c r="W757">
        <f t="shared" si="8"/>
        <v>0</v>
      </c>
      <c r="X757">
        <f t="shared" si="9"/>
        <v>0</v>
      </c>
      <c r="Y757">
        <f t="shared" si="10"/>
        <v>0</v>
      </c>
      <c r="Z757">
        <f t="shared" si="11"/>
        <v>0</v>
      </c>
      <c r="AA757">
        <f t="shared" si="12"/>
        <v>0</v>
      </c>
      <c r="AB757">
        <f t="shared" si="13"/>
        <v>0</v>
      </c>
      <c r="AC757">
        <f t="shared" si="14"/>
        <v>0</v>
      </c>
      <c r="AE757">
        <f t="shared" si="0"/>
      </c>
      <c r="AV757">
        <f t="shared" si="15"/>
      </c>
      <c r="BM757">
        <f t="shared" si="16"/>
      </c>
      <c r="CD757">
        <f t="shared" si="0"/>
      </c>
      <c r="CZ757">
        <f t="shared" si="17"/>
      </c>
      <c r="DA757">
        <f t="shared" si="1"/>
      </c>
      <c r="DB757">
        <f t="shared" si="18"/>
      </c>
      <c r="DC757">
        <f t="shared" si="19"/>
      </c>
      <c r="DD757">
        <f t="shared" si="20"/>
      </c>
      <c r="DE757">
        <f t="shared" si="21"/>
      </c>
      <c r="DF757">
        <f t="shared" si="22"/>
      </c>
      <c r="DG757">
        <f t="shared" si="23"/>
      </c>
      <c r="DH757">
        <f t="shared" si="24"/>
      </c>
      <c r="DI757">
        <f t="shared" si="1"/>
      </c>
    </row>
    <row r="758" ht="15" customHeight="1">
      <c r="B758">
        <f t="shared" si="2"/>
      </c>
      <c r="R758">
        <f t="shared" si="3"/>
        <v>0</v>
      </c>
      <c r="S758">
        <f t="shared" si="4"/>
        <v>0</v>
      </c>
      <c r="T758">
        <f t="shared" si="5"/>
        <v>0</v>
      </c>
      <c r="U758">
        <f t="shared" si="6"/>
        <v>0</v>
      </c>
      <c r="V758">
        <f t="shared" si="7"/>
        <v>0</v>
      </c>
      <c r="W758">
        <f t="shared" si="8"/>
        <v>0</v>
      </c>
      <c r="X758">
        <f t="shared" si="9"/>
        <v>0</v>
      </c>
      <c r="Y758">
        <f t="shared" si="10"/>
        <v>0</v>
      </c>
      <c r="Z758">
        <f t="shared" si="11"/>
        <v>0</v>
      </c>
      <c r="AA758">
        <f t="shared" si="12"/>
        <v>0</v>
      </c>
      <c r="AB758">
        <f t="shared" si="13"/>
        <v>0</v>
      </c>
      <c r="AC758">
        <f t="shared" si="14"/>
        <v>0</v>
      </c>
      <c r="AE758">
        <f t="shared" si="0"/>
      </c>
      <c r="AV758">
        <f t="shared" si="15"/>
      </c>
      <c r="BM758">
        <f t="shared" si="16"/>
      </c>
      <c r="CD758">
        <f t="shared" si="0"/>
      </c>
      <c r="CZ758">
        <f t="shared" si="17"/>
      </c>
      <c r="DA758">
        <f t="shared" si="1"/>
      </c>
      <c r="DB758">
        <f t="shared" si="18"/>
      </c>
      <c r="DC758">
        <f t="shared" si="19"/>
      </c>
      <c r="DD758">
        <f t="shared" si="20"/>
      </c>
      <c r="DE758">
        <f t="shared" si="21"/>
      </c>
      <c r="DF758">
        <f t="shared" si="22"/>
      </c>
      <c r="DG758">
        <f t="shared" si="23"/>
      </c>
      <c r="DH758">
        <f t="shared" si="24"/>
      </c>
      <c r="DI758">
        <f t="shared" si="1"/>
      </c>
    </row>
    <row r="759" ht="15" customHeight="1">
      <c r="B759">
        <f t="shared" si="2"/>
      </c>
      <c r="R759">
        <f t="shared" si="3"/>
        <v>0</v>
      </c>
      <c r="S759">
        <f t="shared" si="4"/>
        <v>0</v>
      </c>
      <c r="T759">
        <f t="shared" si="5"/>
        <v>0</v>
      </c>
      <c r="U759">
        <f t="shared" si="6"/>
        <v>0</v>
      </c>
      <c r="V759">
        <f t="shared" si="7"/>
        <v>0</v>
      </c>
      <c r="W759">
        <f t="shared" si="8"/>
        <v>0</v>
      </c>
      <c r="X759">
        <f t="shared" si="9"/>
        <v>0</v>
      </c>
      <c r="Y759">
        <f t="shared" si="10"/>
        <v>0</v>
      </c>
      <c r="Z759">
        <f t="shared" si="11"/>
        <v>0</v>
      </c>
      <c r="AA759">
        <f t="shared" si="12"/>
        <v>0</v>
      </c>
      <c r="AB759">
        <f t="shared" si="13"/>
        <v>0</v>
      </c>
      <c r="AC759">
        <f t="shared" si="14"/>
        <v>0</v>
      </c>
      <c r="AE759">
        <f t="shared" si="0"/>
      </c>
      <c r="AV759">
        <f t="shared" si="15"/>
      </c>
      <c r="BM759">
        <f t="shared" si="16"/>
      </c>
      <c r="CD759">
        <f t="shared" si="0"/>
      </c>
      <c r="CZ759">
        <f t="shared" si="17"/>
      </c>
      <c r="DA759">
        <f t="shared" si="1"/>
      </c>
      <c r="DB759">
        <f t="shared" si="18"/>
      </c>
      <c r="DC759">
        <f t="shared" si="19"/>
      </c>
      <c r="DD759">
        <f t="shared" si="20"/>
      </c>
      <c r="DE759">
        <f t="shared" si="21"/>
      </c>
      <c r="DF759">
        <f t="shared" si="22"/>
      </c>
      <c r="DG759">
        <f t="shared" si="23"/>
      </c>
      <c r="DH759">
        <f t="shared" si="24"/>
      </c>
      <c r="DI759">
        <f t="shared" si="1"/>
      </c>
    </row>
    <row r="760" ht="15" customHeight="1">
      <c r="B760">
        <f t="shared" si="2"/>
      </c>
      <c r="R760">
        <f t="shared" si="3"/>
        <v>0</v>
      </c>
      <c r="S760">
        <f t="shared" si="4"/>
        <v>0</v>
      </c>
      <c r="T760">
        <f t="shared" si="5"/>
        <v>0</v>
      </c>
      <c r="U760">
        <f t="shared" si="6"/>
        <v>0</v>
      </c>
      <c r="V760">
        <f t="shared" si="7"/>
        <v>0</v>
      </c>
      <c r="W760">
        <f t="shared" si="8"/>
        <v>0</v>
      </c>
      <c r="X760">
        <f t="shared" si="9"/>
        <v>0</v>
      </c>
      <c r="Y760">
        <f t="shared" si="10"/>
        <v>0</v>
      </c>
      <c r="Z760">
        <f t="shared" si="11"/>
        <v>0</v>
      </c>
      <c r="AA760">
        <f t="shared" si="12"/>
        <v>0</v>
      </c>
      <c r="AB760">
        <f t="shared" si="13"/>
        <v>0</v>
      </c>
      <c r="AC760">
        <f t="shared" si="14"/>
        <v>0</v>
      </c>
      <c r="AE760">
        <f t="shared" si="0"/>
      </c>
      <c r="AV760">
        <f t="shared" si="15"/>
      </c>
      <c r="BM760">
        <f t="shared" si="16"/>
      </c>
      <c r="CD760">
        <f t="shared" si="0"/>
      </c>
      <c r="CZ760">
        <f t="shared" si="17"/>
      </c>
      <c r="DA760">
        <f t="shared" si="1"/>
      </c>
      <c r="DB760">
        <f t="shared" si="18"/>
      </c>
      <c r="DC760">
        <f t="shared" si="19"/>
      </c>
      <c r="DD760">
        <f t="shared" si="20"/>
      </c>
      <c r="DE760">
        <f t="shared" si="21"/>
      </c>
      <c r="DF760">
        <f t="shared" si="22"/>
      </c>
      <c r="DG760">
        <f t="shared" si="23"/>
      </c>
      <c r="DH760">
        <f t="shared" si="24"/>
      </c>
      <c r="DI760">
        <f t="shared" si="1"/>
      </c>
    </row>
    <row r="761" ht="15" customHeight="1">
      <c r="B761">
        <f t="shared" si="2"/>
      </c>
      <c r="R761">
        <f t="shared" si="3"/>
        <v>0</v>
      </c>
      <c r="S761">
        <f t="shared" si="4"/>
        <v>0</v>
      </c>
      <c r="T761">
        <f t="shared" si="5"/>
        <v>0</v>
      </c>
      <c r="U761">
        <f t="shared" si="6"/>
        <v>0</v>
      </c>
      <c r="V761">
        <f t="shared" si="7"/>
        <v>0</v>
      </c>
      <c r="W761">
        <f t="shared" si="8"/>
        <v>0</v>
      </c>
      <c r="X761">
        <f t="shared" si="9"/>
        <v>0</v>
      </c>
      <c r="Y761">
        <f t="shared" si="10"/>
        <v>0</v>
      </c>
      <c r="Z761">
        <f t="shared" si="11"/>
        <v>0</v>
      </c>
      <c r="AA761">
        <f t="shared" si="12"/>
        <v>0</v>
      </c>
      <c r="AB761">
        <f t="shared" si="13"/>
        <v>0</v>
      </c>
      <c r="AC761">
        <f t="shared" si="14"/>
        <v>0</v>
      </c>
      <c r="AE761">
        <f t="shared" si="0"/>
      </c>
      <c r="AV761">
        <f t="shared" si="15"/>
      </c>
      <c r="BM761">
        <f t="shared" si="16"/>
      </c>
      <c r="CD761">
        <f t="shared" si="0"/>
      </c>
      <c r="CZ761">
        <f t="shared" si="17"/>
      </c>
      <c r="DA761">
        <f t="shared" si="1"/>
      </c>
      <c r="DB761">
        <f t="shared" si="18"/>
      </c>
      <c r="DC761">
        <f t="shared" si="19"/>
      </c>
      <c r="DD761">
        <f t="shared" si="20"/>
      </c>
      <c r="DE761">
        <f t="shared" si="21"/>
      </c>
      <c r="DF761">
        <f t="shared" si="22"/>
      </c>
      <c r="DG761">
        <f t="shared" si="23"/>
      </c>
      <c r="DH761">
        <f t="shared" si="24"/>
      </c>
      <c r="DI761">
        <f t="shared" si="1"/>
      </c>
    </row>
    <row r="762" ht="15" customHeight="1">
      <c r="B762">
        <f t="shared" si="2"/>
      </c>
      <c r="R762">
        <f t="shared" si="3"/>
        <v>0</v>
      </c>
      <c r="S762">
        <f t="shared" si="4"/>
        <v>0</v>
      </c>
      <c r="T762">
        <f t="shared" si="5"/>
        <v>0</v>
      </c>
      <c r="U762">
        <f t="shared" si="6"/>
        <v>0</v>
      </c>
      <c r="V762">
        <f t="shared" si="7"/>
        <v>0</v>
      </c>
      <c r="W762">
        <f t="shared" si="8"/>
        <v>0</v>
      </c>
      <c r="X762">
        <f t="shared" si="9"/>
        <v>0</v>
      </c>
      <c r="Y762">
        <f t="shared" si="10"/>
        <v>0</v>
      </c>
      <c r="Z762">
        <f t="shared" si="11"/>
        <v>0</v>
      </c>
      <c r="AA762">
        <f t="shared" si="12"/>
        <v>0</v>
      </c>
      <c r="AB762">
        <f t="shared" si="13"/>
        <v>0</v>
      </c>
      <c r="AC762">
        <f t="shared" si="14"/>
        <v>0</v>
      </c>
      <c r="AE762">
        <f t="shared" si="0"/>
      </c>
      <c r="AV762">
        <f t="shared" si="15"/>
      </c>
      <c r="BM762">
        <f t="shared" si="16"/>
      </c>
      <c r="CD762">
        <f t="shared" si="0"/>
      </c>
      <c r="CZ762">
        <f t="shared" si="17"/>
      </c>
      <c r="DA762">
        <f t="shared" si="1"/>
      </c>
      <c r="DB762">
        <f t="shared" si="18"/>
      </c>
      <c r="DC762">
        <f t="shared" si="19"/>
      </c>
      <c r="DD762">
        <f t="shared" si="20"/>
      </c>
      <c r="DE762">
        <f t="shared" si="21"/>
      </c>
      <c r="DF762">
        <f t="shared" si="22"/>
      </c>
      <c r="DG762">
        <f t="shared" si="23"/>
      </c>
      <c r="DH762">
        <f t="shared" si="24"/>
      </c>
      <c r="DI762">
        <f t="shared" si="1"/>
      </c>
    </row>
    <row r="763" ht="15" customHeight="1">
      <c r="B763">
        <f t="shared" si="2"/>
      </c>
      <c r="R763">
        <f t="shared" si="3"/>
        <v>0</v>
      </c>
      <c r="S763">
        <f t="shared" si="4"/>
        <v>0</v>
      </c>
      <c r="T763">
        <f t="shared" si="5"/>
        <v>0</v>
      </c>
      <c r="U763">
        <f t="shared" si="6"/>
        <v>0</v>
      </c>
      <c r="V763">
        <f t="shared" si="7"/>
        <v>0</v>
      </c>
      <c r="W763">
        <f t="shared" si="8"/>
        <v>0</v>
      </c>
      <c r="X763">
        <f t="shared" si="9"/>
        <v>0</v>
      </c>
      <c r="Y763">
        <f t="shared" si="10"/>
        <v>0</v>
      </c>
      <c r="Z763">
        <f t="shared" si="11"/>
        <v>0</v>
      </c>
      <c r="AA763">
        <f t="shared" si="12"/>
        <v>0</v>
      </c>
      <c r="AB763">
        <f t="shared" si="13"/>
        <v>0</v>
      </c>
      <c r="AC763">
        <f t="shared" si="14"/>
        <v>0</v>
      </c>
      <c r="AE763">
        <f t="shared" si="0"/>
      </c>
      <c r="AV763">
        <f t="shared" si="15"/>
      </c>
      <c r="BM763">
        <f t="shared" si="16"/>
      </c>
      <c r="CD763">
        <f t="shared" si="0"/>
      </c>
      <c r="CZ763">
        <f t="shared" si="17"/>
      </c>
      <c r="DA763">
        <f t="shared" si="1"/>
      </c>
      <c r="DB763">
        <f t="shared" si="18"/>
      </c>
      <c r="DC763">
        <f t="shared" si="19"/>
      </c>
      <c r="DD763">
        <f t="shared" si="20"/>
      </c>
      <c r="DE763">
        <f t="shared" si="21"/>
      </c>
      <c r="DF763">
        <f t="shared" si="22"/>
      </c>
      <c r="DG763">
        <f t="shared" si="23"/>
      </c>
      <c r="DH763">
        <f t="shared" si="24"/>
      </c>
      <c r="DI763">
        <f t="shared" si="1"/>
      </c>
    </row>
    <row r="764" ht="15" customHeight="1">
      <c r="B764">
        <f t="shared" si="2"/>
      </c>
      <c r="R764">
        <f t="shared" si="3"/>
        <v>0</v>
      </c>
      <c r="S764">
        <f t="shared" si="4"/>
        <v>0</v>
      </c>
      <c r="T764">
        <f t="shared" si="5"/>
        <v>0</v>
      </c>
      <c r="U764">
        <f t="shared" si="6"/>
        <v>0</v>
      </c>
      <c r="V764">
        <f t="shared" si="7"/>
        <v>0</v>
      </c>
      <c r="W764">
        <f t="shared" si="8"/>
        <v>0</v>
      </c>
      <c r="X764">
        <f t="shared" si="9"/>
        <v>0</v>
      </c>
      <c r="Y764">
        <f t="shared" si="10"/>
        <v>0</v>
      </c>
      <c r="Z764">
        <f t="shared" si="11"/>
        <v>0</v>
      </c>
      <c r="AA764">
        <f t="shared" si="12"/>
        <v>0</v>
      </c>
      <c r="AB764">
        <f t="shared" si="13"/>
        <v>0</v>
      </c>
      <c r="AC764">
        <f t="shared" si="14"/>
        <v>0</v>
      </c>
      <c r="AE764">
        <f t="shared" si="0"/>
      </c>
      <c r="AV764">
        <f t="shared" si="15"/>
      </c>
      <c r="BM764">
        <f t="shared" si="16"/>
      </c>
      <c r="CD764">
        <f t="shared" si="0"/>
      </c>
      <c r="CZ764">
        <f t="shared" si="17"/>
      </c>
      <c r="DA764">
        <f t="shared" si="1"/>
      </c>
      <c r="DB764">
        <f t="shared" si="18"/>
      </c>
      <c r="DC764">
        <f t="shared" si="19"/>
      </c>
      <c r="DD764">
        <f t="shared" si="20"/>
      </c>
      <c r="DE764">
        <f t="shared" si="21"/>
      </c>
      <c r="DF764">
        <f t="shared" si="22"/>
      </c>
      <c r="DG764">
        <f t="shared" si="23"/>
      </c>
      <c r="DH764">
        <f t="shared" si="24"/>
      </c>
      <c r="DI764">
        <f t="shared" si="1"/>
      </c>
    </row>
    <row r="765" ht="15" customHeight="1">
      <c r="B765">
        <f t="shared" si="2"/>
      </c>
      <c r="R765">
        <f t="shared" si="3"/>
        <v>0</v>
      </c>
      <c r="S765">
        <f t="shared" si="4"/>
        <v>0</v>
      </c>
      <c r="T765">
        <f t="shared" si="5"/>
        <v>0</v>
      </c>
      <c r="U765">
        <f t="shared" si="6"/>
        <v>0</v>
      </c>
      <c r="V765">
        <f t="shared" si="7"/>
        <v>0</v>
      </c>
      <c r="W765">
        <f t="shared" si="8"/>
        <v>0</v>
      </c>
      <c r="X765">
        <f t="shared" si="9"/>
        <v>0</v>
      </c>
      <c r="Y765">
        <f t="shared" si="10"/>
        <v>0</v>
      </c>
      <c r="Z765">
        <f t="shared" si="11"/>
        <v>0</v>
      </c>
      <c r="AA765">
        <f t="shared" si="12"/>
        <v>0</v>
      </c>
      <c r="AB765">
        <f t="shared" si="13"/>
        <v>0</v>
      </c>
      <c r="AC765">
        <f t="shared" si="14"/>
        <v>0</v>
      </c>
      <c r="AE765">
        <f t="shared" si="0"/>
      </c>
      <c r="AV765">
        <f t="shared" si="15"/>
      </c>
      <c r="BM765">
        <f t="shared" si="16"/>
      </c>
      <c r="CD765">
        <f t="shared" si="0"/>
      </c>
      <c r="CZ765">
        <f t="shared" si="17"/>
      </c>
      <c r="DA765">
        <f t="shared" si="1"/>
      </c>
      <c r="DB765">
        <f t="shared" si="18"/>
      </c>
      <c r="DC765">
        <f t="shared" si="19"/>
      </c>
      <c r="DD765">
        <f t="shared" si="20"/>
      </c>
      <c r="DE765">
        <f t="shared" si="21"/>
      </c>
      <c r="DF765">
        <f t="shared" si="22"/>
      </c>
      <c r="DG765">
        <f t="shared" si="23"/>
      </c>
      <c r="DH765">
        <f t="shared" si="24"/>
      </c>
      <c r="DI765">
        <f t="shared" si="1"/>
      </c>
    </row>
    <row r="766" ht="15" customHeight="1">
      <c r="B766">
        <f t="shared" si="2"/>
      </c>
      <c r="R766">
        <f t="shared" si="3"/>
        <v>0</v>
      </c>
      <c r="S766">
        <f t="shared" si="4"/>
        <v>0</v>
      </c>
      <c r="T766">
        <f t="shared" si="5"/>
        <v>0</v>
      </c>
      <c r="U766">
        <f t="shared" si="6"/>
        <v>0</v>
      </c>
      <c r="V766">
        <f t="shared" si="7"/>
        <v>0</v>
      </c>
      <c r="W766">
        <f t="shared" si="8"/>
        <v>0</v>
      </c>
      <c r="X766">
        <f t="shared" si="9"/>
        <v>0</v>
      </c>
      <c r="Y766">
        <f t="shared" si="10"/>
        <v>0</v>
      </c>
      <c r="Z766">
        <f t="shared" si="11"/>
        <v>0</v>
      </c>
      <c r="AA766">
        <f t="shared" si="12"/>
        <v>0</v>
      </c>
      <c r="AB766">
        <f t="shared" si="13"/>
        <v>0</v>
      </c>
      <c r="AC766">
        <f t="shared" si="14"/>
        <v>0</v>
      </c>
      <c r="AE766">
        <f t="shared" si="0"/>
      </c>
      <c r="AV766">
        <f t="shared" si="15"/>
      </c>
      <c r="BM766">
        <f t="shared" si="16"/>
      </c>
      <c r="CD766">
        <f t="shared" si="0"/>
      </c>
      <c r="CZ766">
        <f t="shared" si="17"/>
      </c>
      <c r="DA766">
        <f t="shared" si="1"/>
      </c>
      <c r="DB766">
        <f t="shared" si="18"/>
      </c>
      <c r="DC766">
        <f t="shared" si="19"/>
      </c>
      <c r="DD766">
        <f t="shared" si="20"/>
      </c>
      <c r="DE766">
        <f t="shared" si="21"/>
      </c>
      <c r="DF766">
        <f t="shared" si="22"/>
      </c>
      <c r="DG766">
        <f t="shared" si="23"/>
      </c>
      <c r="DH766">
        <f t="shared" si="24"/>
      </c>
      <c r="DI766">
        <f t="shared" si="1"/>
      </c>
    </row>
    <row r="767" ht="15" customHeight="1">
      <c r="B767">
        <f t="shared" si="2"/>
      </c>
      <c r="R767">
        <f t="shared" si="3"/>
        <v>0</v>
      </c>
      <c r="S767">
        <f t="shared" si="4"/>
        <v>0</v>
      </c>
      <c r="T767">
        <f t="shared" si="5"/>
        <v>0</v>
      </c>
      <c r="U767">
        <f t="shared" si="6"/>
        <v>0</v>
      </c>
      <c r="V767">
        <f t="shared" si="7"/>
        <v>0</v>
      </c>
      <c r="W767">
        <f t="shared" si="8"/>
        <v>0</v>
      </c>
      <c r="X767">
        <f t="shared" si="9"/>
        <v>0</v>
      </c>
      <c r="Y767">
        <f t="shared" si="10"/>
        <v>0</v>
      </c>
      <c r="Z767">
        <f t="shared" si="11"/>
        <v>0</v>
      </c>
      <c r="AA767">
        <f t="shared" si="12"/>
        <v>0</v>
      </c>
      <c r="AB767">
        <f t="shared" si="13"/>
        <v>0</v>
      </c>
      <c r="AC767">
        <f t="shared" si="14"/>
        <v>0</v>
      </c>
      <c r="AE767">
        <f t="shared" si="0"/>
      </c>
      <c r="AV767">
        <f t="shared" si="15"/>
      </c>
      <c r="BM767">
        <f t="shared" si="16"/>
      </c>
      <c r="CD767">
        <f t="shared" si="0"/>
      </c>
      <c r="CZ767">
        <f t="shared" si="17"/>
      </c>
      <c r="DA767">
        <f t="shared" si="1"/>
      </c>
      <c r="DB767">
        <f t="shared" si="18"/>
      </c>
      <c r="DC767">
        <f t="shared" si="19"/>
      </c>
      <c r="DD767">
        <f t="shared" si="20"/>
      </c>
      <c r="DE767">
        <f t="shared" si="21"/>
      </c>
      <c r="DF767">
        <f t="shared" si="22"/>
      </c>
      <c r="DG767">
        <f t="shared" si="23"/>
      </c>
      <c r="DH767">
        <f t="shared" si="24"/>
      </c>
      <c r="DI767">
        <f t="shared" si="1"/>
      </c>
    </row>
    <row r="768" ht="15" customHeight="1">
      <c r="B768">
        <f t="shared" si="2"/>
      </c>
      <c r="R768">
        <f t="shared" si="3"/>
        <v>0</v>
      </c>
      <c r="S768">
        <f t="shared" si="4"/>
        <v>0</v>
      </c>
      <c r="T768">
        <f t="shared" si="5"/>
        <v>0</v>
      </c>
      <c r="U768">
        <f t="shared" si="6"/>
        <v>0</v>
      </c>
      <c r="V768">
        <f t="shared" si="7"/>
        <v>0</v>
      </c>
      <c r="W768">
        <f t="shared" si="8"/>
        <v>0</v>
      </c>
      <c r="X768">
        <f t="shared" si="9"/>
        <v>0</v>
      </c>
      <c r="Y768">
        <f t="shared" si="10"/>
        <v>0</v>
      </c>
      <c r="Z768">
        <f t="shared" si="11"/>
        <v>0</v>
      </c>
      <c r="AA768">
        <f t="shared" si="12"/>
        <v>0</v>
      </c>
      <c r="AB768">
        <f t="shared" si="13"/>
        <v>0</v>
      </c>
      <c r="AC768">
        <f t="shared" si="14"/>
        <v>0</v>
      </c>
      <c r="AE768">
        <f t="shared" si="0"/>
      </c>
      <c r="AV768">
        <f t="shared" si="15"/>
      </c>
      <c r="BM768">
        <f t="shared" si="16"/>
      </c>
      <c r="CD768">
        <f t="shared" si="0"/>
      </c>
      <c r="CZ768">
        <f t="shared" si="17"/>
      </c>
      <c r="DA768">
        <f t="shared" si="1"/>
      </c>
      <c r="DB768">
        <f t="shared" si="18"/>
      </c>
      <c r="DC768">
        <f t="shared" si="19"/>
      </c>
      <c r="DD768">
        <f t="shared" si="20"/>
      </c>
      <c r="DE768">
        <f t="shared" si="21"/>
      </c>
      <c r="DF768">
        <f t="shared" si="22"/>
      </c>
      <c r="DG768">
        <f t="shared" si="23"/>
      </c>
      <c r="DH768">
        <f t="shared" si="24"/>
      </c>
      <c r="DI768">
        <f t="shared" si="1"/>
      </c>
    </row>
    <row r="769" ht="15" customHeight="1">
      <c r="B769">
        <f t="shared" si="2"/>
      </c>
      <c r="R769">
        <f t="shared" si="3"/>
        <v>0</v>
      </c>
      <c r="S769">
        <f t="shared" si="4"/>
        <v>0</v>
      </c>
      <c r="T769">
        <f t="shared" si="5"/>
        <v>0</v>
      </c>
      <c r="U769">
        <f t="shared" si="6"/>
        <v>0</v>
      </c>
      <c r="V769">
        <f t="shared" si="7"/>
        <v>0</v>
      </c>
      <c r="W769">
        <f t="shared" si="8"/>
        <v>0</v>
      </c>
      <c r="X769">
        <f t="shared" si="9"/>
        <v>0</v>
      </c>
      <c r="Y769">
        <f t="shared" si="10"/>
        <v>0</v>
      </c>
      <c r="Z769">
        <f t="shared" si="11"/>
        <v>0</v>
      </c>
      <c r="AA769">
        <f t="shared" si="12"/>
        <v>0</v>
      </c>
      <c r="AB769">
        <f t="shared" si="13"/>
        <v>0</v>
      </c>
      <c r="AC769">
        <f t="shared" si="14"/>
        <v>0</v>
      </c>
      <c r="AE769">
        <f t="shared" si="0"/>
      </c>
      <c r="AV769">
        <f t="shared" si="15"/>
      </c>
      <c r="BM769">
        <f t="shared" si="16"/>
      </c>
      <c r="CD769">
        <f t="shared" si="0"/>
      </c>
      <c r="CZ769">
        <f t="shared" si="17"/>
      </c>
      <c r="DA769">
        <f t="shared" si="1"/>
      </c>
      <c r="DB769">
        <f t="shared" si="18"/>
      </c>
      <c r="DC769">
        <f t="shared" si="19"/>
      </c>
      <c r="DD769">
        <f t="shared" si="20"/>
      </c>
      <c r="DE769">
        <f t="shared" si="21"/>
      </c>
      <c r="DF769">
        <f t="shared" si="22"/>
      </c>
      <c r="DG769">
        <f t="shared" si="23"/>
      </c>
      <c r="DH769">
        <f t="shared" si="24"/>
      </c>
      <c r="DI769">
        <f t="shared" si="1"/>
      </c>
    </row>
    <row r="770" ht="15" customHeight="1">
      <c r="B770">
        <f t="shared" si="2"/>
      </c>
      <c r="R770">
        <f t="shared" si="3"/>
        <v>0</v>
      </c>
      <c r="S770">
        <f t="shared" si="4"/>
        <v>0</v>
      </c>
      <c r="T770">
        <f t="shared" si="5"/>
        <v>0</v>
      </c>
      <c r="U770">
        <f t="shared" si="6"/>
        <v>0</v>
      </c>
      <c r="V770">
        <f t="shared" si="7"/>
        <v>0</v>
      </c>
      <c r="W770">
        <f t="shared" si="8"/>
        <v>0</v>
      </c>
      <c r="X770">
        <f t="shared" si="9"/>
        <v>0</v>
      </c>
      <c r="Y770">
        <f t="shared" si="10"/>
        <v>0</v>
      </c>
      <c r="Z770">
        <f t="shared" si="11"/>
        <v>0</v>
      </c>
      <c r="AA770">
        <f t="shared" si="12"/>
        <v>0</v>
      </c>
      <c r="AB770">
        <f t="shared" si="13"/>
        <v>0</v>
      </c>
      <c r="AC770">
        <f t="shared" si="14"/>
        <v>0</v>
      </c>
      <c r="AE770">
        <f t="shared" si="0"/>
      </c>
      <c r="AV770">
        <f t="shared" si="15"/>
      </c>
      <c r="BM770">
        <f t="shared" si="16"/>
      </c>
      <c r="CD770">
        <f t="shared" si="0"/>
      </c>
      <c r="CZ770">
        <f t="shared" si="17"/>
      </c>
      <c r="DA770">
        <f t="shared" si="1"/>
      </c>
      <c r="DB770">
        <f t="shared" si="18"/>
      </c>
      <c r="DC770">
        <f t="shared" si="19"/>
      </c>
      <c r="DD770">
        <f t="shared" si="20"/>
      </c>
      <c r="DE770">
        <f t="shared" si="21"/>
      </c>
      <c r="DF770">
        <f t="shared" si="22"/>
      </c>
      <c r="DG770">
        <f t="shared" si="23"/>
      </c>
      <c r="DH770">
        <f t="shared" si="24"/>
      </c>
      <c r="DI770">
        <f t="shared" si="1"/>
      </c>
    </row>
    <row r="771" ht="15" customHeight="1">
      <c r="B771">
        <f t="shared" si="2"/>
      </c>
      <c r="R771">
        <f t="shared" si="3"/>
        <v>0</v>
      </c>
      <c r="S771">
        <f t="shared" si="4"/>
        <v>0</v>
      </c>
      <c r="T771">
        <f t="shared" si="5"/>
        <v>0</v>
      </c>
      <c r="U771">
        <f t="shared" si="6"/>
        <v>0</v>
      </c>
      <c r="V771">
        <f t="shared" si="7"/>
        <v>0</v>
      </c>
      <c r="W771">
        <f t="shared" si="8"/>
        <v>0</v>
      </c>
      <c r="X771">
        <f t="shared" si="9"/>
        <v>0</v>
      </c>
      <c r="Y771">
        <f t="shared" si="10"/>
        <v>0</v>
      </c>
      <c r="Z771">
        <f t="shared" si="11"/>
        <v>0</v>
      </c>
      <c r="AA771">
        <f t="shared" si="12"/>
        <v>0</v>
      </c>
      <c r="AB771">
        <f t="shared" si="13"/>
        <v>0</v>
      </c>
      <c r="AC771">
        <f t="shared" si="14"/>
        <v>0</v>
      </c>
      <c r="AE771">
        <f t="shared" si="0"/>
      </c>
      <c r="AV771">
        <f t="shared" si="15"/>
      </c>
      <c r="BM771">
        <f t="shared" si="16"/>
      </c>
      <c r="CD771">
        <f t="shared" si="0"/>
      </c>
      <c r="CZ771">
        <f t="shared" si="17"/>
      </c>
      <c r="DA771">
        <f t="shared" si="1"/>
      </c>
      <c r="DB771">
        <f t="shared" si="18"/>
      </c>
      <c r="DC771">
        <f t="shared" si="19"/>
      </c>
      <c r="DD771">
        <f t="shared" si="20"/>
      </c>
      <c r="DE771">
        <f t="shared" si="21"/>
      </c>
      <c r="DF771">
        <f t="shared" si="22"/>
      </c>
      <c r="DG771">
        <f t="shared" si="23"/>
      </c>
      <c r="DH771">
        <f t="shared" si="24"/>
      </c>
      <c r="DI771">
        <f t="shared" si="1"/>
      </c>
    </row>
    <row r="772" ht="15" customHeight="1">
      <c r="B772">
        <f t="shared" si="2"/>
      </c>
      <c r="R772">
        <f t="shared" si="3"/>
        <v>0</v>
      </c>
      <c r="S772">
        <f t="shared" si="4"/>
        <v>0</v>
      </c>
      <c r="T772">
        <f t="shared" si="5"/>
        <v>0</v>
      </c>
      <c r="U772">
        <f t="shared" si="6"/>
        <v>0</v>
      </c>
      <c r="V772">
        <f t="shared" si="7"/>
        <v>0</v>
      </c>
      <c r="W772">
        <f t="shared" si="8"/>
        <v>0</v>
      </c>
      <c r="X772">
        <f t="shared" si="9"/>
        <v>0</v>
      </c>
      <c r="Y772">
        <f t="shared" si="10"/>
        <v>0</v>
      </c>
      <c r="Z772">
        <f t="shared" si="11"/>
        <v>0</v>
      </c>
      <c r="AA772">
        <f t="shared" si="12"/>
        <v>0</v>
      </c>
      <c r="AB772">
        <f t="shared" si="13"/>
        <v>0</v>
      </c>
      <c r="AC772">
        <f t="shared" si="14"/>
        <v>0</v>
      </c>
      <c r="AE772">
        <f t="shared" si="0"/>
      </c>
      <c r="AV772">
        <f t="shared" si="15"/>
      </c>
      <c r="BM772">
        <f t="shared" si="16"/>
      </c>
      <c r="CD772">
        <f t="shared" si="0"/>
      </c>
      <c r="CZ772">
        <f t="shared" si="17"/>
      </c>
      <c r="DA772">
        <f t="shared" si="1"/>
      </c>
      <c r="DB772">
        <f t="shared" si="18"/>
      </c>
      <c r="DC772">
        <f t="shared" si="19"/>
      </c>
      <c r="DD772">
        <f t="shared" si="20"/>
      </c>
      <c r="DE772">
        <f t="shared" si="21"/>
      </c>
      <c r="DF772">
        <f t="shared" si="22"/>
      </c>
      <c r="DG772">
        <f t="shared" si="23"/>
      </c>
      <c r="DH772">
        <f t="shared" si="24"/>
      </c>
      <c r="DI772">
        <f t="shared" si="1"/>
      </c>
    </row>
    <row r="773" ht="15" customHeight="1">
      <c r="B773">
        <f t="shared" si="2"/>
      </c>
      <c r="R773">
        <f t="shared" si="3"/>
        <v>0</v>
      </c>
      <c r="S773">
        <f t="shared" si="4"/>
        <v>0</v>
      </c>
      <c r="T773">
        <f t="shared" si="5"/>
        <v>0</v>
      </c>
      <c r="U773">
        <f t="shared" si="6"/>
        <v>0</v>
      </c>
      <c r="V773">
        <f t="shared" si="7"/>
        <v>0</v>
      </c>
      <c r="W773">
        <f t="shared" si="8"/>
        <v>0</v>
      </c>
      <c r="X773">
        <f t="shared" si="9"/>
        <v>0</v>
      </c>
      <c r="Y773">
        <f t="shared" si="10"/>
        <v>0</v>
      </c>
      <c r="Z773">
        <f t="shared" si="11"/>
        <v>0</v>
      </c>
      <c r="AA773">
        <f t="shared" si="12"/>
        <v>0</v>
      </c>
      <c r="AB773">
        <f t="shared" si="13"/>
        <v>0</v>
      </c>
      <c r="AC773">
        <f t="shared" si="14"/>
        <v>0</v>
      </c>
      <c r="AE773">
        <f t="shared" si="0"/>
      </c>
      <c r="AV773">
        <f t="shared" si="15"/>
      </c>
      <c r="BM773">
        <f t="shared" si="16"/>
      </c>
      <c r="CD773">
        <f t="shared" si="0"/>
      </c>
      <c r="CZ773">
        <f t="shared" si="17"/>
      </c>
      <c r="DA773">
        <f t="shared" si="1"/>
      </c>
      <c r="DB773">
        <f t="shared" si="18"/>
      </c>
      <c r="DC773">
        <f t="shared" si="19"/>
      </c>
      <c r="DD773">
        <f t="shared" si="20"/>
      </c>
      <c r="DE773">
        <f t="shared" si="21"/>
      </c>
      <c r="DF773">
        <f t="shared" si="22"/>
      </c>
      <c r="DG773">
        <f t="shared" si="23"/>
      </c>
      <c r="DH773">
        <f t="shared" si="24"/>
      </c>
      <c r="DI773">
        <f t="shared" si="1"/>
      </c>
    </row>
    <row r="774" ht="15" customHeight="1">
      <c r="B774">
        <f t="shared" si="2"/>
      </c>
      <c r="R774">
        <f t="shared" si="3"/>
        <v>0</v>
      </c>
      <c r="S774">
        <f t="shared" si="4"/>
        <v>0</v>
      </c>
      <c r="T774">
        <f t="shared" si="5"/>
        <v>0</v>
      </c>
      <c r="U774">
        <f t="shared" si="6"/>
        <v>0</v>
      </c>
      <c r="V774">
        <f t="shared" si="7"/>
        <v>0</v>
      </c>
      <c r="W774">
        <f t="shared" si="8"/>
        <v>0</v>
      </c>
      <c r="X774">
        <f t="shared" si="9"/>
        <v>0</v>
      </c>
      <c r="Y774">
        <f t="shared" si="10"/>
        <v>0</v>
      </c>
      <c r="Z774">
        <f t="shared" si="11"/>
        <v>0</v>
      </c>
      <c r="AA774">
        <f t="shared" si="12"/>
        <v>0</v>
      </c>
      <c r="AB774">
        <f t="shared" si="13"/>
        <v>0</v>
      </c>
      <c r="AC774">
        <f t="shared" si="14"/>
        <v>0</v>
      </c>
      <c r="AE774">
        <f t="shared" si="0"/>
      </c>
      <c r="AV774">
        <f t="shared" si="15"/>
      </c>
      <c r="BM774">
        <f t="shared" si="16"/>
      </c>
      <c r="CD774">
        <f t="shared" si="0"/>
      </c>
      <c r="CZ774">
        <f t="shared" si="17"/>
      </c>
      <c r="DA774">
        <f t="shared" si="1"/>
      </c>
      <c r="DB774">
        <f t="shared" si="18"/>
      </c>
      <c r="DC774">
        <f t="shared" si="19"/>
      </c>
      <c r="DD774">
        <f t="shared" si="20"/>
      </c>
      <c r="DE774">
        <f t="shared" si="21"/>
      </c>
      <c r="DF774">
        <f t="shared" si="22"/>
      </c>
      <c r="DG774">
        <f t="shared" si="23"/>
      </c>
      <c r="DH774">
        <f t="shared" si="24"/>
      </c>
      <c r="DI774">
        <f t="shared" si="1"/>
      </c>
    </row>
    <row r="775" ht="15" customHeight="1">
      <c r="B775">
        <f t="shared" si="2"/>
      </c>
      <c r="R775">
        <f t="shared" si="3"/>
        <v>0</v>
      </c>
      <c r="S775">
        <f t="shared" si="4"/>
        <v>0</v>
      </c>
      <c r="T775">
        <f t="shared" si="5"/>
        <v>0</v>
      </c>
      <c r="U775">
        <f t="shared" si="6"/>
        <v>0</v>
      </c>
      <c r="V775">
        <f t="shared" si="7"/>
        <v>0</v>
      </c>
      <c r="W775">
        <f t="shared" si="8"/>
        <v>0</v>
      </c>
      <c r="X775">
        <f t="shared" si="9"/>
        <v>0</v>
      </c>
      <c r="Y775">
        <f t="shared" si="10"/>
        <v>0</v>
      </c>
      <c r="Z775">
        <f t="shared" si="11"/>
        <v>0</v>
      </c>
      <c r="AA775">
        <f t="shared" si="12"/>
        <v>0</v>
      </c>
      <c r="AB775">
        <f t="shared" si="13"/>
        <v>0</v>
      </c>
      <c r="AC775">
        <f t="shared" si="14"/>
        <v>0</v>
      </c>
      <c r="AE775">
        <f t="shared" si="0"/>
      </c>
      <c r="AV775">
        <f t="shared" si="15"/>
      </c>
      <c r="BM775">
        <f t="shared" si="16"/>
      </c>
      <c r="CD775">
        <f t="shared" si="0"/>
      </c>
      <c r="CZ775">
        <f t="shared" si="17"/>
      </c>
      <c r="DA775">
        <f t="shared" si="1"/>
      </c>
      <c r="DB775">
        <f t="shared" si="18"/>
      </c>
      <c r="DC775">
        <f t="shared" si="19"/>
      </c>
      <c r="DD775">
        <f t="shared" si="20"/>
      </c>
      <c r="DE775">
        <f t="shared" si="21"/>
      </c>
      <c r="DF775">
        <f t="shared" si="22"/>
      </c>
      <c r="DG775">
        <f t="shared" si="23"/>
      </c>
      <c r="DH775">
        <f t="shared" si="24"/>
      </c>
      <c r="DI775">
        <f t="shared" si="1"/>
      </c>
    </row>
    <row r="776" ht="15" customHeight="1">
      <c r="B776">
        <f t="shared" si="2"/>
      </c>
      <c r="R776">
        <f t="shared" si="3"/>
        <v>0</v>
      </c>
      <c r="S776">
        <f t="shared" si="4"/>
        <v>0</v>
      </c>
      <c r="T776">
        <f t="shared" si="5"/>
        <v>0</v>
      </c>
      <c r="U776">
        <f t="shared" si="6"/>
        <v>0</v>
      </c>
      <c r="V776">
        <f t="shared" si="7"/>
        <v>0</v>
      </c>
      <c r="W776">
        <f t="shared" si="8"/>
        <v>0</v>
      </c>
      <c r="X776">
        <f t="shared" si="9"/>
        <v>0</v>
      </c>
      <c r="Y776">
        <f t="shared" si="10"/>
        <v>0</v>
      </c>
      <c r="Z776">
        <f t="shared" si="11"/>
        <v>0</v>
      </c>
      <c r="AA776">
        <f t="shared" si="12"/>
        <v>0</v>
      </c>
      <c r="AB776">
        <f t="shared" si="13"/>
        <v>0</v>
      </c>
      <c r="AC776">
        <f t="shared" si="14"/>
        <v>0</v>
      </c>
      <c r="AE776">
        <f t="shared" si="0"/>
      </c>
      <c r="AV776">
        <f t="shared" si="15"/>
      </c>
      <c r="BM776">
        <f t="shared" si="16"/>
      </c>
      <c r="CD776">
        <f t="shared" si="0"/>
      </c>
      <c r="CZ776">
        <f t="shared" si="17"/>
      </c>
      <c r="DA776">
        <f t="shared" si="1"/>
      </c>
      <c r="DB776">
        <f t="shared" si="18"/>
      </c>
      <c r="DC776">
        <f t="shared" si="19"/>
      </c>
      <c r="DD776">
        <f t="shared" si="20"/>
      </c>
      <c r="DE776">
        <f t="shared" si="21"/>
      </c>
      <c r="DF776">
        <f t="shared" si="22"/>
      </c>
      <c r="DG776">
        <f t="shared" si="23"/>
      </c>
      <c r="DH776">
        <f t="shared" si="24"/>
      </c>
      <c r="DI776">
        <f t="shared" si="1"/>
      </c>
    </row>
    <row r="777" ht="15" customHeight="1">
      <c r="B777">
        <f t="shared" si="2"/>
      </c>
      <c r="R777">
        <f t="shared" si="3"/>
        <v>0</v>
      </c>
      <c r="S777">
        <f t="shared" si="4"/>
        <v>0</v>
      </c>
      <c r="T777">
        <f t="shared" si="5"/>
        <v>0</v>
      </c>
      <c r="U777">
        <f t="shared" si="6"/>
        <v>0</v>
      </c>
      <c r="V777">
        <f t="shared" si="7"/>
        <v>0</v>
      </c>
      <c r="W777">
        <f t="shared" si="8"/>
        <v>0</v>
      </c>
      <c r="X777">
        <f t="shared" si="9"/>
        <v>0</v>
      </c>
      <c r="Y777">
        <f t="shared" si="10"/>
        <v>0</v>
      </c>
      <c r="Z777">
        <f t="shared" si="11"/>
        <v>0</v>
      </c>
      <c r="AA777">
        <f t="shared" si="12"/>
        <v>0</v>
      </c>
      <c r="AB777">
        <f t="shared" si="13"/>
        <v>0</v>
      </c>
      <c r="AC777">
        <f t="shared" si="14"/>
        <v>0</v>
      </c>
      <c r="AE777">
        <f t="shared" si="0"/>
      </c>
      <c r="AV777">
        <f t="shared" si="15"/>
      </c>
      <c r="BM777">
        <f t="shared" si="16"/>
      </c>
      <c r="CD777">
        <f t="shared" si="0"/>
      </c>
      <c r="CZ777">
        <f t="shared" si="17"/>
      </c>
      <c r="DA777">
        <f t="shared" si="1"/>
      </c>
      <c r="DB777">
        <f t="shared" si="18"/>
      </c>
      <c r="DC777">
        <f t="shared" si="19"/>
      </c>
      <c r="DD777">
        <f t="shared" si="20"/>
      </c>
      <c r="DE777">
        <f t="shared" si="21"/>
      </c>
      <c r="DF777">
        <f t="shared" si="22"/>
      </c>
      <c r="DG777">
        <f t="shared" si="23"/>
      </c>
      <c r="DH777">
        <f t="shared" si="24"/>
      </c>
      <c r="DI777">
        <f t="shared" si="1"/>
      </c>
    </row>
    <row r="778" ht="15" customHeight="1">
      <c r="B778">
        <f t="shared" si="2"/>
      </c>
      <c r="R778">
        <f t="shared" si="3"/>
        <v>0</v>
      </c>
      <c r="S778">
        <f t="shared" si="4"/>
        <v>0</v>
      </c>
      <c r="T778">
        <f t="shared" si="5"/>
        <v>0</v>
      </c>
      <c r="U778">
        <f t="shared" si="6"/>
        <v>0</v>
      </c>
      <c r="V778">
        <f t="shared" si="7"/>
        <v>0</v>
      </c>
      <c r="W778">
        <f t="shared" si="8"/>
        <v>0</v>
      </c>
      <c r="X778">
        <f t="shared" si="9"/>
        <v>0</v>
      </c>
      <c r="Y778">
        <f t="shared" si="10"/>
        <v>0</v>
      </c>
      <c r="Z778">
        <f t="shared" si="11"/>
        <v>0</v>
      </c>
      <c r="AA778">
        <f t="shared" si="12"/>
        <v>0</v>
      </c>
      <c r="AB778">
        <f t="shared" si="13"/>
        <v>0</v>
      </c>
      <c r="AC778">
        <f t="shared" si="14"/>
        <v>0</v>
      </c>
      <c r="AE778">
        <f t="shared" si="0"/>
      </c>
      <c r="AV778">
        <f t="shared" si="15"/>
      </c>
      <c r="BM778">
        <f t="shared" si="16"/>
      </c>
      <c r="CD778">
        <f t="shared" si="0"/>
      </c>
      <c r="CZ778">
        <f t="shared" si="17"/>
      </c>
      <c r="DA778">
        <f t="shared" si="1"/>
      </c>
      <c r="DB778">
        <f t="shared" si="18"/>
      </c>
      <c r="DC778">
        <f t="shared" si="19"/>
      </c>
      <c r="DD778">
        <f t="shared" si="20"/>
      </c>
      <c r="DE778">
        <f t="shared" si="21"/>
      </c>
      <c r="DF778">
        <f t="shared" si="22"/>
      </c>
      <c r="DG778">
        <f t="shared" si="23"/>
      </c>
      <c r="DH778">
        <f t="shared" si="24"/>
      </c>
      <c r="DI778">
        <f t="shared" si="1"/>
      </c>
    </row>
    <row r="779" ht="15" customHeight="1">
      <c r="B779">
        <f t="shared" si="2"/>
      </c>
      <c r="R779">
        <f t="shared" si="3"/>
        <v>0</v>
      </c>
      <c r="S779">
        <f t="shared" si="4"/>
        <v>0</v>
      </c>
      <c r="T779">
        <f t="shared" si="5"/>
        <v>0</v>
      </c>
      <c r="U779">
        <f t="shared" si="6"/>
        <v>0</v>
      </c>
      <c r="V779">
        <f t="shared" si="7"/>
        <v>0</v>
      </c>
      <c r="W779">
        <f t="shared" si="8"/>
        <v>0</v>
      </c>
      <c r="X779">
        <f t="shared" si="9"/>
        <v>0</v>
      </c>
      <c r="Y779">
        <f t="shared" si="10"/>
        <v>0</v>
      </c>
      <c r="Z779">
        <f t="shared" si="11"/>
        <v>0</v>
      </c>
      <c r="AA779">
        <f t="shared" si="12"/>
        <v>0</v>
      </c>
      <c r="AB779">
        <f t="shared" si="13"/>
        <v>0</v>
      </c>
      <c r="AC779">
        <f t="shared" si="14"/>
        <v>0</v>
      </c>
      <c r="AE779">
        <f t="shared" si="0"/>
      </c>
      <c r="AV779">
        <f t="shared" si="15"/>
      </c>
      <c r="BM779">
        <f t="shared" si="16"/>
      </c>
      <c r="CD779">
        <f t="shared" si="0"/>
      </c>
      <c r="CZ779">
        <f t="shared" si="17"/>
      </c>
      <c r="DA779">
        <f t="shared" si="1"/>
      </c>
      <c r="DB779">
        <f t="shared" si="18"/>
      </c>
      <c r="DC779">
        <f t="shared" si="19"/>
      </c>
      <c r="DD779">
        <f t="shared" si="20"/>
      </c>
      <c r="DE779">
        <f t="shared" si="21"/>
      </c>
      <c r="DF779">
        <f t="shared" si="22"/>
      </c>
      <c r="DG779">
        <f t="shared" si="23"/>
      </c>
      <c r="DH779">
        <f t="shared" si="24"/>
      </c>
      <c r="DI779">
        <f t="shared" si="1"/>
      </c>
    </row>
    <row r="780" ht="15" customHeight="1">
      <c r="B780">
        <f t="shared" si="2"/>
      </c>
      <c r="R780">
        <f t="shared" si="3"/>
        <v>0</v>
      </c>
      <c r="S780">
        <f t="shared" si="4"/>
        <v>0</v>
      </c>
      <c r="T780">
        <f t="shared" si="5"/>
        <v>0</v>
      </c>
      <c r="U780">
        <f t="shared" si="6"/>
        <v>0</v>
      </c>
      <c r="V780">
        <f t="shared" si="7"/>
        <v>0</v>
      </c>
      <c r="W780">
        <f t="shared" si="8"/>
        <v>0</v>
      </c>
      <c r="X780">
        <f t="shared" si="9"/>
        <v>0</v>
      </c>
      <c r="Y780">
        <f t="shared" si="10"/>
        <v>0</v>
      </c>
      <c r="Z780">
        <f t="shared" si="11"/>
        <v>0</v>
      </c>
      <c r="AA780">
        <f t="shared" si="12"/>
        <v>0</v>
      </c>
      <c r="AB780">
        <f t="shared" si="13"/>
        <v>0</v>
      </c>
      <c r="AC780">
        <f t="shared" si="14"/>
        <v>0</v>
      </c>
      <c r="AE780">
        <f t="shared" si="0"/>
      </c>
      <c r="AV780">
        <f t="shared" si="15"/>
      </c>
      <c r="BM780">
        <f t="shared" si="16"/>
      </c>
      <c r="CD780">
        <f t="shared" si="0"/>
      </c>
      <c r="CZ780">
        <f t="shared" si="17"/>
      </c>
      <c r="DA780">
        <f t="shared" si="1"/>
      </c>
      <c r="DB780">
        <f t="shared" si="18"/>
      </c>
      <c r="DC780">
        <f t="shared" si="19"/>
      </c>
      <c r="DD780">
        <f t="shared" si="20"/>
      </c>
      <c r="DE780">
        <f t="shared" si="21"/>
      </c>
      <c r="DF780">
        <f t="shared" si="22"/>
      </c>
      <c r="DG780">
        <f t="shared" si="23"/>
      </c>
      <c r="DH780">
        <f t="shared" si="24"/>
      </c>
      <c r="DI780">
        <f t="shared" si="1"/>
      </c>
    </row>
    <row r="781" ht="15" customHeight="1">
      <c r="B781">
        <f t="shared" si="2"/>
      </c>
      <c r="R781">
        <f t="shared" si="3"/>
        <v>0</v>
      </c>
      <c r="S781">
        <f t="shared" si="4"/>
        <v>0</v>
      </c>
      <c r="T781">
        <f t="shared" si="5"/>
        <v>0</v>
      </c>
      <c r="U781">
        <f t="shared" si="6"/>
        <v>0</v>
      </c>
      <c r="V781">
        <f t="shared" si="7"/>
        <v>0</v>
      </c>
      <c r="W781">
        <f t="shared" si="8"/>
        <v>0</v>
      </c>
      <c r="X781">
        <f t="shared" si="9"/>
        <v>0</v>
      </c>
      <c r="Y781">
        <f t="shared" si="10"/>
        <v>0</v>
      </c>
      <c r="Z781">
        <f t="shared" si="11"/>
        <v>0</v>
      </c>
      <c r="AA781">
        <f t="shared" si="12"/>
        <v>0</v>
      </c>
      <c r="AB781">
        <f t="shared" si="13"/>
        <v>0</v>
      </c>
      <c r="AC781">
        <f t="shared" si="14"/>
        <v>0</v>
      </c>
      <c r="AE781">
        <f t="shared" si="0"/>
      </c>
      <c r="AV781">
        <f t="shared" si="15"/>
      </c>
      <c r="BM781">
        <f t="shared" si="16"/>
      </c>
      <c r="CD781">
        <f t="shared" si="0"/>
      </c>
      <c r="CZ781">
        <f t="shared" si="17"/>
      </c>
      <c r="DA781">
        <f t="shared" si="1"/>
      </c>
      <c r="DB781">
        <f t="shared" si="18"/>
      </c>
      <c r="DC781">
        <f t="shared" si="19"/>
      </c>
      <c r="DD781">
        <f t="shared" si="20"/>
      </c>
      <c r="DE781">
        <f t="shared" si="21"/>
      </c>
      <c r="DF781">
        <f t="shared" si="22"/>
      </c>
      <c r="DG781">
        <f t="shared" si="23"/>
      </c>
      <c r="DH781">
        <f t="shared" si="24"/>
      </c>
      <c r="DI781">
        <f t="shared" si="1"/>
      </c>
    </row>
    <row r="782" ht="15" customHeight="1">
      <c r="B782">
        <f t="shared" si="2"/>
      </c>
      <c r="R782">
        <f t="shared" si="3"/>
        <v>0</v>
      </c>
      <c r="S782">
        <f t="shared" si="4"/>
        <v>0</v>
      </c>
      <c r="T782">
        <f t="shared" si="5"/>
        <v>0</v>
      </c>
      <c r="U782">
        <f t="shared" si="6"/>
        <v>0</v>
      </c>
      <c r="V782">
        <f t="shared" si="7"/>
        <v>0</v>
      </c>
      <c r="W782">
        <f t="shared" si="8"/>
        <v>0</v>
      </c>
      <c r="X782">
        <f t="shared" si="9"/>
        <v>0</v>
      </c>
      <c r="Y782">
        <f t="shared" si="10"/>
        <v>0</v>
      </c>
      <c r="Z782">
        <f t="shared" si="11"/>
        <v>0</v>
      </c>
      <c r="AA782">
        <f t="shared" si="12"/>
        <v>0</v>
      </c>
      <c r="AB782">
        <f t="shared" si="13"/>
        <v>0</v>
      </c>
      <c r="AC782">
        <f t="shared" si="14"/>
        <v>0</v>
      </c>
      <c r="AE782">
        <f t="shared" si="0"/>
      </c>
      <c r="AV782">
        <f t="shared" si="15"/>
      </c>
      <c r="BM782">
        <f t="shared" si="16"/>
      </c>
      <c r="CD782">
        <f t="shared" si="0"/>
      </c>
      <c r="CZ782">
        <f t="shared" si="17"/>
      </c>
      <c r="DA782">
        <f t="shared" si="1"/>
      </c>
      <c r="DB782">
        <f t="shared" si="18"/>
      </c>
      <c r="DC782">
        <f t="shared" si="19"/>
      </c>
      <c r="DD782">
        <f t="shared" si="20"/>
      </c>
      <c r="DE782">
        <f t="shared" si="21"/>
      </c>
      <c r="DF782">
        <f t="shared" si="22"/>
      </c>
      <c r="DG782">
        <f t="shared" si="23"/>
      </c>
      <c r="DH782">
        <f t="shared" si="24"/>
      </c>
      <c r="DI782">
        <f t="shared" si="1"/>
      </c>
    </row>
    <row r="783" ht="15" customHeight="1">
      <c r="B783">
        <f t="shared" si="2"/>
      </c>
      <c r="R783">
        <f t="shared" si="3"/>
        <v>0</v>
      </c>
      <c r="S783">
        <f t="shared" si="4"/>
        <v>0</v>
      </c>
      <c r="T783">
        <f t="shared" si="5"/>
        <v>0</v>
      </c>
      <c r="U783">
        <f t="shared" si="6"/>
        <v>0</v>
      </c>
      <c r="V783">
        <f t="shared" si="7"/>
        <v>0</v>
      </c>
      <c r="W783">
        <f t="shared" si="8"/>
        <v>0</v>
      </c>
      <c r="X783">
        <f t="shared" si="9"/>
        <v>0</v>
      </c>
      <c r="Y783">
        <f t="shared" si="10"/>
        <v>0</v>
      </c>
      <c r="Z783">
        <f t="shared" si="11"/>
        <v>0</v>
      </c>
      <c r="AA783">
        <f t="shared" si="12"/>
        <v>0</v>
      </c>
      <c r="AB783">
        <f t="shared" si="13"/>
        <v>0</v>
      </c>
      <c r="AC783">
        <f t="shared" si="14"/>
        <v>0</v>
      </c>
      <c r="AE783">
        <f t="shared" si="0"/>
      </c>
      <c r="AV783">
        <f t="shared" si="15"/>
      </c>
      <c r="BM783">
        <f t="shared" si="16"/>
      </c>
      <c r="CD783">
        <f t="shared" si="0"/>
      </c>
      <c r="CZ783">
        <f t="shared" si="17"/>
      </c>
      <c r="DA783">
        <f t="shared" si="1"/>
      </c>
      <c r="DB783">
        <f t="shared" si="18"/>
      </c>
      <c r="DC783">
        <f t="shared" si="19"/>
      </c>
      <c r="DD783">
        <f t="shared" si="20"/>
      </c>
      <c r="DE783">
        <f t="shared" si="21"/>
      </c>
      <c r="DF783">
        <f t="shared" si="22"/>
      </c>
      <c r="DG783">
        <f t="shared" si="23"/>
      </c>
      <c r="DH783">
        <f t="shared" si="24"/>
      </c>
      <c r="DI783">
        <f t="shared" si="1"/>
      </c>
    </row>
    <row r="784" ht="15" customHeight="1">
      <c r="B784">
        <f t="shared" si="2"/>
      </c>
      <c r="R784">
        <f t="shared" si="3"/>
        <v>0</v>
      </c>
      <c r="S784">
        <f t="shared" si="4"/>
        <v>0</v>
      </c>
      <c r="T784">
        <f t="shared" si="5"/>
        <v>0</v>
      </c>
      <c r="U784">
        <f t="shared" si="6"/>
        <v>0</v>
      </c>
      <c r="V784">
        <f t="shared" si="7"/>
        <v>0</v>
      </c>
      <c r="W784">
        <f t="shared" si="8"/>
        <v>0</v>
      </c>
      <c r="X784">
        <f t="shared" si="9"/>
        <v>0</v>
      </c>
      <c r="Y784">
        <f t="shared" si="10"/>
        <v>0</v>
      </c>
      <c r="Z784">
        <f t="shared" si="11"/>
        <v>0</v>
      </c>
      <c r="AA784">
        <f t="shared" si="12"/>
        <v>0</v>
      </c>
      <c r="AB784">
        <f t="shared" si="13"/>
        <v>0</v>
      </c>
      <c r="AC784">
        <f t="shared" si="14"/>
        <v>0</v>
      </c>
      <c r="AE784">
        <f t="shared" si="0"/>
      </c>
      <c r="AV784">
        <f t="shared" si="15"/>
      </c>
      <c r="BM784">
        <f t="shared" si="16"/>
      </c>
      <c r="CD784">
        <f t="shared" si="0"/>
      </c>
      <c r="CZ784">
        <f t="shared" si="17"/>
      </c>
      <c r="DA784">
        <f t="shared" si="1"/>
      </c>
      <c r="DB784">
        <f t="shared" si="18"/>
      </c>
      <c r="DC784">
        <f t="shared" si="19"/>
      </c>
      <c r="DD784">
        <f t="shared" si="20"/>
      </c>
      <c r="DE784">
        <f t="shared" si="21"/>
      </c>
      <c r="DF784">
        <f t="shared" si="22"/>
      </c>
      <c r="DG784">
        <f t="shared" si="23"/>
      </c>
      <c r="DH784">
        <f t="shared" si="24"/>
      </c>
      <c r="DI784">
        <f t="shared" si="1"/>
      </c>
    </row>
    <row r="785" ht="15" customHeight="1">
      <c r="B785">
        <f t="shared" si="2"/>
      </c>
      <c r="R785">
        <f t="shared" si="3"/>
        <v>0</v>
      </c>
      <c r="S785">
        <f t="shared" si="4"/>
        <v>0</v>
      </c>
      <c r="T785">
        <f t="shared" si="5"/>
        <v>0</v>
      </c>
      <c r="U785">
        <f t="shared" si="6"/>
        <v>0</v>
      </c>
      <c r="V785">
        <f t="shared" si="7"/>
        <v>0</v>
      </c>
      <c r="W785">
        <f t="shared" si="8"/>
        <v>0</v>
      </c>
      <c r="X785">
        <f t="shared" si="9"/>
        <v>0</v>
      </c>
      <c r="Y785">
        <f t="shared" si="10"/>
        <v>0</v>
      </c>
      <c r="Z785">
        <f t="shared" si="11"/>
        <v>0</v>
      </c>
      <c r="AA785">
        <f t="shared" si="12"/>
        <v>0</v>
      </c>
      <c r="AB785">
        <f t="shared" si="13"/>
        <v>0</v>
      </c>
      <c r="AC785">
        <f t="shared" si="14"/>
        <v>0</v>
      </c>
      <c r="AE785">
        <f t="shared" si="0"/>
      </c>
      <c r="AV785">
        <f t="shared" si="15"/>
      </c>
      <c r="BM785">
        <f t="shared" si="16"/>
      </c>
      <c r="CD785">
        <f t="shared" si="0"/>
      </c>
      <c r="CZ785">
        <f t="shared" si="17"/>
      </c>
      <c r="DA785">
        <f t="shared" si="1"/>
      </c>
      <c r="DB785">
        <f t="shared" si="18"/>
      </c>
      <c r="DC785">
        <f t="shared" si="19"/>
      </c>
      <c r="DD785">
        <f t="shared" si="20"/>
      </c>
      <c r="DE785">
        <f t="shared" si="21"/>
      </c>
      <c r="DF785">
        <f t="shared" si="22"/>
      </c>
      <c r="DG785">
        <f t="shared" si="23"/>
      </c>
      <c r="DH785">
        <f t="shared" si="24"/>
      </c>
      <c r="DI785">
        <f t="shared" si="1"/>
      </c>
    </row>
    <row r="786" ht="15" customHeight="1">
      <c r="B786">
        <f t="shared" si="2"/>
      </c>
      <c r="R786">
        <f t="shared" si="3"/>
        <v>0</v>
      </c>
      <c r="S786">
        <f t="shared" si="4"/>
        <v>0</v>
      </c>
      <c r="T786">
        <f t="shared" si="5"/>
        <v>0</v>
      </c>
      <c r="U786">
        <f t="shared" si="6"/>
        <v>0</v>
      </c>
      <c r="V786">
        <f t="shared" si="7"/>
        <v>0</v>
      </c>
      <c r="W786">
        <f t="shared" si="8"/>
        <v>0</v>
      </c>
      <c r="X786">
        <f t="shared" si="9"/>
        <v>0</v>
      </c>
      <c r="Y786">
        <f t="shared" si="10"/>
        <v>0</v>
      </c>
      <c r="Z786">
        <f t="shared" si="11"/>
        <v>0</v>
      </c>
      <c r="AA786">
        <f t="shared" si="12"/>
        <v>0</v>
      </c>
      <c r="AB786">
        <f t="shared" si="13"/>
        <v>0</v>
      </c>
      <c r="AC786">
        <f t="shared" si="14"/>
        <v>0</v>
      </c>
      <c r="AE786">
        <f t="shared" si="0"/>
      </c>
      <c r="AV786">
        <f t="shared" si="15"/>
      </c>
      <c r="BM786">
        <f t="shared" si="16"/>
      </c>
      <c r="CD786">
        <f t="shared" si="0"/>
      </c>
      <c r="CZ786">
        <f t="shared" si="17"/>
      </c>
      <c r="DA786">
        <f t="shared" si="1"/>
      </c>
      <c r="DB786">
        <f t="shared" si="18"/>
      </c>
      <c r="DC786">
        <f t="shared" si="19"/>
      </c>
      <c r="DD786">
        <f t="shared" si="20"/>
      </c>
      <c r="DE786">
        <f t="shared" si="21"/>
      </c>
      <c r="DF786">
        <f t="shared" si="22"/>
      </c>
      <c r="DG786">
        <f t="shared" si="23"/>
      </c>
      <c r="DH786">
        <f t="shared" si="24"/>
      </c>
      <c r="DI786">
        <f t="shared" si="1"/>
      </c>
    </row>
    <row r="787" ht="15" customHeight="1">
      <c r="B787">
        <f t="shared" si="2"/>
      </c>
      <c r="R787">
        <f t="shared" si="3"/>
        <v>0</v>
      </c>
      <c r="S787">
        <f t="shared" si="4"/>
        <v>0</v>
      </c>
      <c r="T787">
        <f t="shared" si="5"/>
        <v>0</v>
      </c>
      <c r="U787">
        <f t="shared" si="6"/>
        <v>0</v>
      </c>
      <c r="V787">
        <f t="shared" si="7"/>
        <v>0</v>
      </c>
      <c r="W787">
        <f t="shared" si="8"/>
        <v>0</v>
      </c>
      <c r="X787">
        <f t="shared" si="9"/>
        <v>0</v>
      </c>
      <c r="Y787">
        <f t="shared" si="10"/>
        <v>0</v>
      </c>
      <c r="Z787">
        <f t="shared" si="11"/>
        <v>0</v>
      </c>
      <c r="AA787">
        <f t="shared" si="12"/>
        <v>0</v>
      </c>
      <c r="AB787">
        <f t="shared" si="13"/>
        <v>0</v>
      </c>
      <c r="AC787">
        <f t="shared" si="14"/>
        <v>0</v>
      </c>
      <c r="AE787">
        <f t="shared" si="0"/>
      </c>
      <c r="AV787">
        <f t="shared" si="15"/>
      </c>
      <c r="BM787">
        <f t="shared" si="16"/>
      </c>
      <c r="CD787">
        <f t="shared" si="0"/>
      </c>
      <c r="CZ787">
        <f t="shared" si="17"/>
      </c>
      <c r="DA787">
        <f t="shared" si="1"/>
      </c>
      <c r="DB787">
        <f t="shared" si="18"/>
      </c>
      <c r="DC787">
        <f t="shared" si="19"/>
      </c>
      <c r="DD787">
        <f t="shared" si="20"/>
      </c>
      <c r="DE787">
        <f t="shared" si="21"/>
      </c>
      <c r="DF787">
        <f t="shared" si="22"/>
      </c>
      <c r="DG787">
        <f t="shared" si="23"/>
      </c>
      <c r="DH787">
        <f t="shared" si="24"/>
      </c>
      <c r="DI787">
        <f t="shared" si="1"/>
      </c>
    </row>
    <row r="788" ht="15" customHeight="1">
      <c r="B788">
        <f t="shared" si="2"/>
      </c>
      <c r="R788">
        <f t="shared" si="3"/>
        <v>0</v>
      </c>
      <c r="S788">
        <f t="shared" si="4"/>
        <v>0</v>
      </c>
      <c r="T788">
        <f t="shared" si="5"/>
        <v>0</v>
      </c>
      <c r="U788">
        <f t="shared" si="6"/>
        <v>0</v>
      </c>
      <c r="V788">
        <f t="shared" si="7"/>
        <v>0</v>
      </c>
      <c r="W788">
        <f t="shared" si="8"/>
        <v>0</v>
      </c>
      <c r="X788">
        <f t="shared" si="9"/>
        <v>0</v>
      </c>
      <c r="Y788">
        <f t="shared" si="10"/>
        <v>0</v>
      </c>
      <c r="Z788">
        <f t="shared" si="11"/>
        <v>0</v>
      </c>
      <c r="AA788">
        <f t="shared" si="12"/>
        <v>0</v>
      </c>
      <c r="AB788">
        <f t="shared" si="13"/>
        <v>0</v>
      </c>
      <c r="AC788">
        <f t="shared" si="14"/>
        <v>0</v>
      </c>
      <c r="AE788">
        <f t="shared" si="0"/>
      </c>
      <c r="AV788">
        <f t="shared" si="15"/>
      </c>
      <c r="BM788">
        <f t="shared" si="16"/>
      </c>
      <c r="CD788">
        <f t="shared" si="0"/>
      </c>
      <c r="CZ788">
        <f t="shared" si="17"/>
      </c>
      <c r="DA788">
        <f t="shared" si="1"/>
      </c>
      <c r="DB788">
        <f t="shared" si="18"/>
      </c>
      <c r="DC788">
        <f t="shared" si="19"/>
      </c>
      <c r="DD788">
        <f t="shared" si="20"/>
      </c>
      <c r="DE788">
        <f t="shared" si="21"/>
      </c>
      <c r="DF788">
        <f t="shared" si="22"/>
      </c>
      <c r="DG788">
        <f t="shared" si="23"/>
      </c>
      <c r="DH788">
        <f t="shared" si="24"/>
      </c>
      <c r="DI788">
        <f t="shared" si="1"/>
      </c>
    </row>
    <row r="789" ht="15" customHeight="1">
      <c r="B789">
        <f t="shared" si="2"/>
      </c>
      <c r="R789">
        <f t="shared" si="3"/>
        <v>0</v>
      </c>
      <c r="S789">
        <f t="shared" si="4"/>
        <v>0</v>
      </c>
      <c r="T789">
        <f t="shared" si="5"/>
        <v>0</v>
      </c>
      <c r="U789">
        <f t="shared" si="6"/>
        <v>0</v>
      </c>
      <c r="V789">
        <f t="shared" si="7"/>
        <v>0</v>
      </c>
      <c r="W789">
        <f t="shared" si="8"/>
        <v>0</v>
      </c>
      <c r="X789">
        <f t="shared" si="9"/>
        <v>0</v>
      </c>
      <c r="Y789">
        <f t="shared" si="10"/>
        <v>0</v>
      </c>
      <c r="Z789">
        <f t="shared" si="11"/>
        <v>0</v>
      </c>
      <c r="AA789">
        <f t="shared" si="12"/>
        <v>0</v>
      </c>
      <c r="AB789">
        <f t="shared" si="13"/>
        <v>0</v>
      </c>
      <c r="AC789">
        <f t="shared" si="14"/>
        <v>0</v>
      </c>
      <c r="AE789">
        <f t="shared" si="0"/>
      </c>
      <c r="AV789">
        <f t="shared" si="15"/>
      </c>
      <c r="BM789">
        <f t="shared" si="16"/>
      </c>
      <c r="CD789">
        <f t="shared" si="0"/>
      </c>
      <c r="CZ789">
        <f t="shared" si="17"/>
      </c>
      <c r="DA789">
        <f t="shared" si="1"/>
      </c>
      <c r="DB789">
        <f t="shared" si="18"/>
      </c>
      <c r="DC789">
        <f t="shared" si="19"/>
      </c>
      <c r="DD789">
        <f t="shared" si="20"/>
      </c>
      <c r="DE789">
        <f t="shared" si="21"/>
      </c>
      <c r="DF789">
        <f t="shared" si="22"/>
      </c>
      <c r="DG789">
        <f t="shared" si="23"/>
      </c>
      <c r="DH789">
        <f t="shared" si="24"/>
      </c>
      <c r="DI789">
        <f t="shared" si="1"/>
      </c>
    </row>
    <row r="790" ht="15" customHeight="1">
      <c r="B790">
        <f t="shared" si="2"/>
      </c>
      <c r="R790">
        <f t="shared" si="3"/>
        <v>0</v>
      </c>
      <c r="S790">
        <f t="shared" si="4"/>
        <v>0</v>
      </c>
      <c r="T790">
        <f t="shared" si="5"/>
        <v>0</v>
      </c>
      <c r="U790">
        <f t="shared" si="6"/>
        <v>0</v>
      </c>
      <c r="V790">
        <f t="shared" si="7"/>
        <v>0</v>
      </c>
      <c r="W790">
        <f t="shared" si="8"/>
        <v>0</v>
      </c>
      <c r="X790">
        <f t="shared" si="9"/>
        <v>0</v>
      </c>
      <c r="Y790">
        <f t="shared" si="10"/>
        <v>0</v>
      </c>
      <c r="Z790">
        <f t="shared" si="11"/>
        <v>0</v>
      </c>
      <c r="AA790">
        <f t="shared" si="12"/>
        <v>0</v>
      </c>
      <c r="AB790">
        <f t="shared" si="13"/>
        <v>0</v>
      </c>
      <c r="AC790">
        <f t="shared" si="14"/>
        <v>0</v>
      </c>
      <c r="AE790">
        <f t="shared" si="0"/>
      </c>
      <c r="AV790">
        <f t="shared" si="15"/>
      </c>
      <c r="BM790">
        <f t="shared" si="16"/>
      </c>
      <c r="CD790">
        <f t="shared" si="0"/>
      </c>
      <c r="CZ790">
        <f t="shared" si="17"/>
      </c>
      <c r="DA790">
        <f t="shared" si="1"/>
      </c>
      <c r="DB790">
        <f t="shared" si="18"/>
      </c>
      <c r="DC790">
        <f t="shared" si="19"/>
      </c>
      <c r="DD790">
        <f t="shared" si="20"/>
      </c>
      <c r="DE790">
        <f t="shared" si="21"/>
      </c>
      <c r="DF790">
        <f t="shared" si="22"/>
      </c>
      <c r="DG790">
        <f t="shared" si="23"/>
      </c>
      <c r="DH790">
        <f t="shared" si="24"/>
      </c>
      <c r="DI790">
        <f t="shared" si="1"/>
      </c>
    </row>
    <row r="791" ht="15" customHeight="1">
      <c r="B791">
        <f t="shared" si="2"/>
      </c>
      <c r="R791">
        <f t="shared" si="3"/>
        <v>0</v>
      </c>
      <c r="S791">
        <f t="shared" si="4"/>
        <v>0</v>
      </c>
      <c r="T791">
        <f t="shared" si="5"/>
        <v>0</v>
      </c>
      <c r="U791">
        <f t="shared" si="6"/>
        <v>0</v>
      </c>
      <c r="V791">
        <f t="shared" si="7"/>
        <v>0</v>
      </c>
      <c r="W791">
        <f t="shared" si="8"/>
        <v>0</v>
      </c>
      <c r="X791">
        <f t="shared" si="9"/>
        <v>0</v>
      </c>
      <c r="Y791">
        <f t="shared" si="10"/>
        <v>0</v>
      </c>
      <c r="Z791">
        <f t="shared" si="11"/>
        <v>0</v>
      </c>
      <c r="AA791">
        <f t="shared" si="12"/>
        <v>0</v>
      </c>
      <c r="AB791">
        <f t="shared" si="13"/>
        <v>0</v>
      </c>
      <c r="AC791">
        <f t="shared" si="14"/>
        <v>0</v>
      </c>
      <c r="AE791">
        <f t="shared" si="0"/>
      </c>
      <c r="AV791">
        <f t="shared" si="15"/>
      </c>
      <c r="BM791">
        <f t="shared" si="16"/>
      </c>
      <c r="CD791">
        <f t="shared" si="0"/>
      </c>
      <c r="CZ791">
        <f t="shared" si="17"/>
      </c>
      <c r="DA791">
        <f t="shared" si="1"/>
      </c>
      <c r="DB791">
        <f t="shared" si="18"/>
      </c>
      <c r="DC791">
        <f t="shared" si="19"/>
      </c>
      <c r="DD791">
        <f t="shared" si="20"/>
      </c>
      <c r="DE791">
        <f t="shared" si="21"/>
      </c>
      <c r="DF791">
        <f t="shared" si="22"/>
      </c>
      <c r="DG791">
        <f t="shared" si="23"/>
      </c>
      <c r="DH791">
        <f t="shared" si="24"/>
      </c>
      <c r="DI791">
        <f t="shared" si="1"/>
      </c>
    </row>
    <row r="792" ht="15" customHeight="1">
      <c r="B792">
        <f t="shared" si="2"/>
      </c>
      <c r="R792">
        <f t="shared" si="3"/>
        <v>0</v>
      </c>
      <c r="S792">
        <f t="shared" si="4"/>
        <v>0</v>
      </c>
      <c r="T792">
        <f t="shared" si="5"/>
        <v>0</v>
      </c>
      <c r="U792">
        <f t="shared" si="6"/>
        <v>0</v>
      </c>
      <c r="V792">
        <f t="shared" si="7"/>
        <v>0</v>
      </c>
      <c r="W792">
        <f t="shared" si="8"/>
        <v>0</v>
      </c>
      <c r="X792">
        <f t="shared" si="9"/>
        <v>0</v>
      </c>
      <c r="Y792">
        <f t="shared" si="10"/>
        <v>0</v>
      </c>
      <c r="Z792">
        <f t="shared" si="11"/>
        <v>0</v>
      </c>
      <c r="AA792">
        <f t="shared" si="12"/>
        <v>0</v>
      </c>
      <c r="AB792">
        <f t="shared" si="13"/>
        <v>0</v>
      </c>
      <c r="AC792">
        <f t="shared" si="14"/>
        <v>0</v>
      </c>
      <c r="AE792">
        <f t="shared" si="0"/>
      </c>
      <c r="AV792">
        <f t="shared" si="15"/>
      </c>
      <c r="BM792">
        <f t="shared" si="16"/>
      </c>
      <c r="CD792">
        <f t="shared" si="0"/>
      </c>
      <c r="CZ792">
        <f t="shared" si="17"/>
      </c>
      <c r="DA792">
        <f t="shared" si="1"/>
      </c>
      <c r="DB792">
        <f t="shared" si="18"/>
      </c>
      <c r="DC792">
        <f t="shared" si="19"/>
      </c>
      <c r="DD792">
        <f t="shared" si="20"/>
      </c>
      <c r="DE792">
        <f t="shared" si="21"/>
      </c>
      <c r="DF792">
        <f t="shared" si="22"/>
      </c>
      <c r="DG792">
        <f t="shared" si="23"/>
      </c>
      <c r="DH792">
        <f t="shared" si="24"/>
      </c>
      <c r="DI792">
        <f t="shared" si="1"/>
      </c>
    </row>
    <row r="793" ht="15" customHeight="1">
      <c r="B793">
        <f t="shared" si="2"/>
      </c>
      <c r="R793">
        <f t="shared" si="3"/>
        <v>0</v>
      </c>
      <c r="S793">
        <f t="shared" si="4"/>
        <v>0</v>
      </c>
      <c r="T793">
        <f t="shared" si="5"/>
        <v>0</v>
      </c>
      <c r="U793">
        <f t="shared" si="6"/>
        <v>0</v>
      </c>
      <c r="V793">
        <f t="shared" si="7"/>
        <v>0</v>
      </c>
      <c r="W793">
        <f t="shared" si="8"/>
        <v>0</v>
      </c>
      <c r="X793">
        <f t="shared" si="9"/>
        <v>0</v>
      </c>
      <c r="Y793">
        <f t="shared" si="10"/>
        <v>0</v>
      </c>
      <c r="Z793">
        <f t="shared" si="11"/>
        <v>0</v>
      </c>
      <c r="AA793">
        <f t="shared" si="12"/>
        <v>0</v>
      </c>
      <c r="AB793">
        <f t="shared" si="13"/>
        <v>0</v>
      </c>
      <c r="AC793">
        <f t="shared" si="14"/>
        <v>0</v>
      </c>
      <c r="AE793">
        <f t="shared" si="0"/>
      </c>
      <c r="AV793">
        <f t="shared" si="15"/>
      </c>
      <c r="BM793">
        <f t="shared" si="16"/>
      </c>
      <c r="CD793">
        <f t="shared" si="0"/>
      </c>
      <c r="CZ793">
        <f t="shared" si="17"/>
      </c>
      <c r="DA793">
        <f t="shared" si="1"/>
      </c>
      <c r="DB793">
        <f t="shared" si="18"/>
      </c>
      <c r="DC793">
        <f t="shared" si="19"/>
      </c>
      <c r="DD793">
        <f t="shared" si="20"/>
      </c>
      <c r="DE793">
        <f t="shared" si="21"/>
      </c>
      <c r="DF793">
        <f t="shared" si="22"/>
      </c>
      <c r="DG793">
        <f t="shared" si="23"/>
      </c>
      <c r="DH793">
        <f t="shared" si="24"/>
      </c>
      <c r="DI793">
        <f t="shared" si="1"/>
      </c>
    </row>
    <row r="794" ht="15" customHeight="1">
      <c r="B794">
        <f t="shared" si="2"/>
      </c>
      <c r="R794">
        <f t="shared" si="3"/>
        <v>0</v>
      </c>
      <c r="S794">
        <f t="shared" si="4"/>
        <v>0</v>
      </c>
      <c r="T794">
        <f t="shared" si="5"/>
        <v>0</v>
      </c>
      <c r="U794">
        <f t="shared" si="6"/>
        <v>0</v>
      </c>
      <c r="V794">
        <f t="shared" si="7"/>
        <v>0</v>
      </c>
      <c r="W794">
        <f t="shared" si="8"/>
        <v>0</v>
      </c>
      <c r="X794">
        <f t="shared" si="9"/>
        <v>0</v>
      </c>
      <c r="Y794">
        <f t="shared" si="10"/>
        <v>0</v>
      </c>
      <c r="Z794">
        <f t="shared" si="11"/>
        <v>0</v>
      </c>
      <c r="AA794">
        <f t="shared" si="12"/>
        <v>0</v>
      </c>
      <c r="AB794">
        <f t="shared" si="13"/>
        <v>0</v>
      </c>
      <c r="AC794">
        <f t="shared" si="14"/>
        <v>0</v>
      </c>
      <c r="AE794">
        <f t="shared" si="0"/>
      </c>
      <c r="AV794">
        <f t="shared" si="15"/>
      </c>
      <c r="BM794">
        <f t="shared" si="16"/>
      </c>
      <c r="CD794">
        <f t="shared" si="0"/>
      </c>
      <c r="CZ794">
        <f t="shared" si="17"/>
      </c>
      <c r="DA794">
        <f t="shared" si="1"/>
      </c>
      <c r="DB794">
        <f t="shared" si="18"/>
      </c>
      <c r="DC794">
        <f t="shared" si="19"/>
      </c>
      <c r="DD794">
        <f t="shared" si="20"/>
      </c>
      <c r="DE794">
        <f t="shared" si="21"/>
      </c>
      <c r="DF794">
        <f t="shared" si="22"/>
      </c>
      <c r="DG794">
        <f t="shared" si="23"/>
      </c>
      <c r="DH794">
        <f t="shared" si="24"/>
      </c>
      <c r="DI794">
        <f t="shared" si="1"/>
      </c>
    </row>
    <row r="795" ht="15" customHeight="1">
      <c r="B795">
        <f t="shared" si="2"/>
      </c>
      <c r="R795">
        <f t="shared" si="3"/>
        <v>0</v>
      </c>
      <c r="S795">
        <f t="shared" si="4"/>
        <v>0</v>
      </c>
      <c r="T795">
        <f t="shared" si="5"/>
        <v>0</v>
      </c>
      <c r="U795">
        <f t="shared" si="6"/>
        <v>0</v>
      </c>
      <c r="V795">
        <f t="shared" si="7"/>
        <v>0</v>
      </c>
      <c r="W795">
        <f t="shared" si="8"/>
        <v>0</v>
      </c>
      <c r="X795">
        <f t="shared" si="9"/>
        <v>0</v>
      </c>
      <c r="Y795">
        <f t="shared" si="10"/>
        <v>0</v>
      </c>
      <c r="Z795">
        <f t="shared" si="11"/>
        <v>0</v>
      </c>
      <c r="AA795">
        <f t="shared" si="12"/>
        <v>0</v>
      </c>
      <c r="AB795">
        <f t="shared" si="13"/>
        <v>0</v>
      </c>
      <c r="AC795">
        <f t="shared" si="14"/>
        <v>0</v>
      </c>
      <c r="AE795">
        <f t="shared" si="0"/>
      </c>
      <c r="AV795">
        <f t="shared" si="15"/>
      </c>
      <c r="BM795">
        <f t="shared" si="16"/>
      </c>
      <c r="CD795">
        <f t="shared" si="0"/>
      </c>
      <c r="CZ795">
        <f t="shared" si="17"/>
      </c>
      <c r="DA795">
        <f t="shared" si="1"/>
      </c>
      <c r="DB795">
        <f t="shared" si="18"/>
      </c>
      <c r="DC795">
        <f t="shared" si="19"/>
      </c>
      <c r="DD795">
        <f t="shared" si="20"/>
      </c>
      <c r="DE795">
        <f t="shared" si="21"/>
      </c>
      <c r="DF795">
        <f t="shared" si="22"/>
      </c>
      <c r="DG795">
        <f t="shared" si="23"/>
      </c>
      <c r="DH795">
        <f t="shared" si="24"/>
      </c>
      <c r="DI795">
        <f t="shared" si="1"/>
      </c>
    </row>
    <row r="796" ht="15" customHeight="1">
      <c r="B796">
        <f t="shared" si="2"/>
      </c>
      <c r="R796">
        <f t="shared" si="3"/>
        <v>0</v>
      </c>
      <c r="S796">
        <f t="shared" si="4"/>
        <v>0</v>
      </c>
      <c r="T796">
        <f t="shared" si="5"/>
        <v>0</v>
      </c>
      <c r="U796">
        <f t="shared" si="6"/>
        <v>0</v>
      </c>
      <c r="V796">
        <f t="shared" si="7"/>
        <v>0</v>
      </c>
      <c r="W796">
        <f t="shared" si="8"/>
        <v>0</v>
      </c>
      <c r="X796">
        <f t="shared" si="9"/>
        <v>0</v>
      </c>
      <c r="Y796">
        <f t="shared" si="10"/>
        <v>0</v>
      </c>
      <c r="Z796">
        <f t="shared" si="11"/>
        <v>0</v>
      </c>
      <c r="AA796">
        <f t="shared" si="12"/>
        <v>0</v>
      </c>
      <c r="AB796">
        <f t="shared" si="13"/>
        <v>0</v>
      </c>
      <c r="AC796">
        <f t="shared" si="14"/>
        <v>0</v>
      </c>
      <c r="AE796">
        <f t="shared" si="0"/>
      </c>
      <c r="AV796">
        <f t="shared" si="15"/>
      </c>
      <c r="BM796">
        <f t="shared" si="16"/>
      </c>
      <c r="CD796">
        <f t="shared" si="0"/>
      </c>
      <c r="CZ796">
        <f t="shared" si="17"/>
      </c>
      <c r="DA796">
        <f t="shared" si="1"/>
      </c>
      <c r="DB796">
        <f t="shared" si="18"/>
      </c>
      <c r="DC796">
        <f t="shared" si="19"/>
      </c>
      <c r="DD796">
        <f t="shared" si="20"/>
      </c>
      <c r="DE796">
        <f t="shared" si="21"/>
      </c>
      <c r="DF796">
        <f t="shared" si="22"/>
      </c>
      <c r="DG796">
        <f t="shared" si="23"/>
      </c>
      <c r="DH796">
        <f t="shared" si="24"/>
      </c>
      <c r="DI796">
        <f t="shared" si="1"/>
      </c>
    </row>
    <row r="797" ht="15" customHeight="1">
      <c r="B797">
        <f t="shared" si="2"/>
      </c>
      <c r="R797">
        <f t="shared" si="3"/>
        <v>0</v>
      </c>
      <c r="S797">
        <f t="shared" si="4"/>
        <v>0</v>
      </c>
      <c r="T797">
        <f t="shared" si="5"/>
        <v>0</v>
      </c>
      <c r="U797">
        <f t="shared" si="6"/>
        <v>0</v>
      </c>
      <c r="V797">
        <f t="shared" si="7"/>
        <v>0</v>
      </c>
      <c r="W797">
        <f t="shared" si="8"/>
        <v>0</v>
      </c>
      <c r="X797">
        <f t="shared" si="9"/>
        <v>0</v>
      </c>
      <c r="Y797">
        <f t="shared" si="10"/>
        <v>0</v>
      </c>
      <c r="Z797">
        <f t="shared" si="11"/>
        <v>0</v>
      </c>
      <c r="AA797">
        <f t="shared" si="12"/>
        <v>0</v>
      </c>
      <c r="AB797">
        <f t="shared" si="13"/>
        <v>0</v>
      </c>
      <c r="AC797">
        <f t="shared" si="14"/>
        <v>0</v>
      </c>
      <c r="AE797">
        <f t="shared" si="0"/>
      </c>
      <c r="AV797">
        <f t="shared" si="15"/>
      </c>
      <c r="BM797">
        <f t="shared" si="16"/>
      </c>
      <c r="CD797">
        <f t="shared" si="0"/>
      </c>
      <c r="CZ797">
        <f t="shared" si="17"/>
      </c>
      <c r="DA797">
        <f t="shared" si="1"/>
      </c>
      <c r="DB797">
        <f t="shared" si="18"/>
      </c>
      <c r="DC797">
        <f t="shared" si="19"/>
      </c>
      <c r="DD797">
        <f t="shared" si="20"/>
      </c>
      <c r="DE797">
        <f t="shared" si="21"/>
      </c>
      <c r="DF797">
        <f t="shared" si="22"/>
      </c>
      <c r="DG797">
        <f t="shared" si="23"/>
      </c>
      <c r="DH797">
        <f t="shared" si="24"/>
      </c>
      <c r="DI797">
        <f t="shared" si="1"/>
      </c>
    </row>
    <row r="798" ht="15" customHeight="1">
      <c r="B798">
        <f t="shared" si="2"/>
      </c>
      <c r="R798">
        <f t="shared" si="3"/>
        <v>0</v>
      </c>
      <c r="S798">
        <f t="shared" si="4"/>
        <v>0</v>
      </c>
      <c r="T798">
        <f t="shared" si="5"/>
        <v>0</v>
      </c>
      <c r="U798">
        <f t="shared" si="6"/>
        <v>0</v>
      </c>
      <c r="V798">
        <f t="shared" si="7"/>
        <v>0</v>
      </c>
      <c r="W798">
        <f t="shared" si="8"/>
        <v>0</v>
      </c>
      <c r="X798">
        <f t="shared" si="9"/>
        <v>0</v>
      </c>
      <c r="Y798">
        <f t="shared" si="10"/>
        <v>0</v>
      </c>
      <c r="Z798">
        <f t="shared" si="11"/>
        <v>0</v>
      </c>
      <c r="AA798">
        <f t="shared" si="12"/>
        <v>0</v>
      </c>
      <c r="AB798">
        <f t="shared" si="13"/>
        <v>0</v>
      </c>
      <c r="AC798">
        <f t="shared" si="14"/>
        <v>0</v>
      </c>
      <c r="AE798">
        <f t="shared" si="0"/>
      </c>
      <c r="AV798">
        <f t="shared" si="15"/>
      </c>
      <c r="BM798">
        <f t="shared" si="16"/>
      </c>
      <c r="CD798">
        <f t="shared" si="0"/>
      </c>
      <c r="CZ798">
        <f t="shared" si="17"/>
      </c>
      <c r="DA798">
        <f t="shared" si="1"/>
      </c>
      <c r="DB798">
        <f t="shared" si="18"/>
      </c>
      <c r="DC798">
        <f t="shared" si="19"/>
      </c>
      <c r="DD798">
        <f t="shared" si="20"/>
      </c>
      <c r="DE798">
        <f t="shared" si="21"/>
      </c>
      <c r="DF798">
        <f t="shared" si="22"/>
      </c>
      <c r="DG798">
        <f t="shared" si="23"/>
      </c>
      <c r="DH798">
        <f t="shared" si="24"/>
      </c>
      <c r="DI798">
        <f t="shared" si="1"/>
      </c>
    </row>
    <row r="799" ht="15" customHeight="1">
      <c r="B799">
        <f t="shared" si="2"/>
      </c>
      <c r="R799">
        <f t="shared" si="3"/>
        <v>0</v>
      </c>
      <c r="S799">
        <f t="shared" si="4"/>
        <v>0</v>
      </c>
      <c r="T799">
        <f t="shared" si="5"/>
        <v>0</v>
      </c>
      <c r="U799">
        <f t="shared" si="6"/>
        <v>0</v>
      </c>
      <c r="V799">
        <f t="shared" si="7"/>
        <v>0</v>
      </c>
      <c r="W799">
        <f t="shared" si="8"/>
        <v>0</v>
      </c>
      <c r="X799">
        <f t="shared" si="9"/>
        <v>0</v>
      </c>
      <c r="Y799">
        <f t="shared" si="10"/>
        <v>0</v>
      </c>
      <c r="Z799">
        <f t="shared" si="11"/>
        <v>0</v>
      </c>
      <c r="AA799">
        <f t="shared" si="12"/>
        <v>0</v>
      </c>
      <c r="AB799">
        <f t="shared" si="13"/>
        <v>0</v>
      </c>
      <c r="AC799">
        <f t="shared" si="14"/>
        <v>0</v>
      </c>
      <c r="AE799">
        <f t="shared" si="0"/>
      </c>
      <c r="AV799">
        <f t="shared" si="15"/>
      </c>
      <c r="BM799">
        <f t="shared" si="16"/>
      </c>
      <c r="CD799">
        <f t="shared" si="0"/>
      </c>
      <c r="CZ799">
        <f t="shared" si="17"/>
      </c>
      <c r="DA799">
        <f t="shared" si="1"/>
      </c>
      <c r="DB799">
        <f t="shared" si="18"/>
      </c>
      <c r="DC799">
        <f t="shared" si="19"/>
      </c>
      <c r="DD799">
        <f t="shared" si="20"/>
      </c>
      <c r="DE799">
        <f t="shared" si="21"/>
      </c>
      <c r="DF799">
        <f t="shared" si="22"/>
      </c>
      <c r="DG799">
        <f t="shared" si="23"/>
      </c>
      <c r="DH799">
        <f t="shared" si="24"/>
      </c>
      <c r="DI799">
        <f t="shared" si="1"/>
      </c>
    </row>
    <row r="800" ht="15" customHeight="1">
      <c r="B800">
        <f t="shared" si="2"/>
      </c>
      <c r="R800">
        <f t="shared" si="3"/>
        <v>0</v>
      </c>
      <c r="S800">
        <f t="shared" si="4"/>
        <v>0</v>
      </c>
      <c r="T800">
        <f t="shared" si="5"/>
        <v>0</v>
      </c>
      <c r="U800">
        <f t="shared" si="6"/>
        <v>0</v>
      </c>
      <c r="V800">
        <f t="shared" si="7"/>
        <v>0</v>
      </c>
      <c r="W800">
        <f t="shared" si="8"/>
        <v>0</v>
      </c>
      <c r="X800">
        <f t="shared" si="9"/>
        <v>0</v>
      </c>
      <c r="Y800">
        <f t="shared" si="10"/>
        <v>0</v>
      </c>
      <c r="Z800">
        <f t="shared" si="11"/>
        <v>0</v>
      </c>
      <c r="AA800">
        <f t="shared" si="12"/>
        <v>0</v>
      </c>
      <c r="AB800">
        <f t="shared" si="13"/>
        <v>0</v>
      </c>
      <c r="AC800">
        <f t="shared" si="14"/>
        <v>0</v>
      </c>
      <c r="AE800">
        <f t="shared" si="0"/>
      </c>
      <c r="AV800">
        <f t="shared" si="15"/>
      </c>
      <c r="BM800">
        <f t="shared" si="16"/>
      </c>
      <c r="CD800">
        <f t="shared" si="0"/>
      </c>
      <c r="CZ800">
        <f t="shared" si="17"/>
      </c>
      <c r="DA800">
        <f t="shared" si="1"/>
      </c>
      <c r="DB800">
        <f t="shared" si="18"/>
      </c>
      <c r="DC800">
        <f t="shared" si="19"/>
      </c>
      <c r="DD800">
        <f t="shared" si="20"/>
      </c>
      <c r="DE800">
        <f t="shared" si="21"/>
      </c>
      <c r="DF800">
        <f t="shared" si="22"/>
      </c>
      <c r="DG800">
        <f t="shared" si="23"/>
      </c>
      <c r="DH800">
        <f t="shared" si="24"/>
      </c>
      <c r="DI800">
        <f t="shared" si="1"/>
      </c>
    </row>
    <row r="801" ht="15" customHeight="1">
      <c r="B801">
        <f t="shared" si="2"/>
      </c>
      <c r="R801">
        <f t="shared" si="3"/>
        <v>0</v>
      </c>
      <c r="S801">
        <f t="shared" si="4"/>
        <v>0</v>
      </c>
      <c r="T801">
        <f t="shared" si="5"/>
        <v>0</v>
      </c>
      <c r="U801">
        <f t="shared" si="6"/>
        <v>0</v>
      </c>
      <c r="V801">
        <f t="shared" si="7"/>
        <v>0</v>
      </c>
      <c r="W801">
        <f t="shared" si="8"/>
        <v>0</v>
      </c>
      <c r="X801">
        <f t="shared" si="9"/>
        <v>0</v>
      </c>
      <c r="Y801">
        <f t="shared" si="10"/>
        <v>0</v>
      </c>
      <c r="Z801">
        <f t="shared" si="11"/>
        <v>0</v>
      </c>
      <c r="AA801">
        <f t="shared" si="12"/>
        <v>0</v>
      </c>
      <c r="AB801">
        <f t="shared" si="13"/>
        <v>0</v>
      </c>
      <c r="AC801">
        <f t="shared" si="14"/>
        <v>0</v>
      </c>
      <c r="AE801">
        <f t="shared" si="0"/>
      </c>
      <c r="AV801">
        <f t="shared" si="15"/>
      </c>
      <c r="BM801">
        <f t="shared" si="16"/>
      </c>
      <c r="CD801">
        <f t="shared" si="0"/>
      </c>
      <c r="CZ801">
        <f t="shared" si="17"/>
      </c>
      <c r="DA801">
        <f t="shared" si="1"/>
      </c>
      <c r="DB801">
        <f t="shared" si="18"/>
      </c>
      <c r="DC801">
        <f t="shared" si="19"/>
      </c>
      <c r="DD801">
        <f t="shared" si="20"/>
      </c>
      <c r="DE801">
        <f t="shared" si="21"/>
      </c>
      <c r="DF801">
        <f t="shared" si="22"/>
      </c>
      <c r="DG801">
        <f t="shared" si="23"/>
      </c>
      <c r="DH801">
        <f t="shared" si="24"/>
      </c>
      <c r="DI801">
        <f t="shared" si="1"/>
      </c>
    </row>
    <row r="802" ht="15" customHeight="1">
      <c r="B802">
        <f t="shared" si="2"/>
      </c>
      <c r="R802">
        <f t="shared" si="3"/>
        <v>0</v>
      </c>
      <c r="S802">
        <f t="shared" si="4"/>
        <v>0</v>
      </c>
      <c r="T802">
        <f t="shared" si="5"/>
        <v>0</v>
      </c>
      <c r="U802">
        <f t="shared" si="6"/>
        <v>0</v>
      </c>
      <c r="V802">
        <f t="shared" si="7"/>
        <v>0</v>
      </c>
      <c r="W802">
        <f t="shared" si="8"/>
        <v>0</v>
      </c>
      <c r="X802">
        <f t="shared" si="9"/>
        <v>0</v>
      </c>
      <c r="Y802">
        <f t="shared" si="10"/>
        <v>0</v>
      </c>
      <c r="Z802">
        <f t="shared" si="11"/>
        <v>0</v>
      </c>
      <c r="AA802">
        <f t="shared" si="12"/>
        <v>0</v>
      </c>
      <c r="AB802">
        <f t="shared" si="13"/>
        <v>0</v>
      </c>
      <c r="AC802">
        <f t="shared" si="14"/>
        <v>0</v>
      </c>
      <c r="AE802">
        <f t="shared" si="0"/>
      </c>
      <c r="AV802">
        <f t="shared" si="15"/>
      </c>
      <c r="BM802">
        <f t="shared" si="16"/>
      </c>
      <c r="CD802">
        <f t="shared" si="0"/>
      </c>
      <c r="CZ802">
        <f t="shared" si="17"/>
      </c>
      <c r="DA802">
        <f t="shared" si="1"/>
      </c>
      <c r="DB802">
        <f t="shared" si="18"/>
      </c>
      <c r="DC802">
        <f t="shared" si="19"/>
      </c>
      <c r="DD802">
        <f t="shared" si="20"/>
      </c>
      <c r="DE802">
        <f t="shared" si="21"/>
      </c>
      <c r="DF802">
        <f t="shared" si="22"/>
      </c>
      <c r="DG802">
        <f t="shared" si="23"/>
      </c>
      <c r="DH802">
        <f t="shared" si="24"/>
      </c>
      <c r="DI802">
        <f t="shared" si="1"/>
      </c>
    </row>
    <row r="803" ht="15" customHeight="1">
      <c r="B803">
        <f t="shared" si="2"/>
      </c>
      <c r="R803">
        <f t="shared" si="3"/>
        <v>0</v>
      </c>
      <c r="S803">
        <f t="shared" si="4"/>
        <v>0</v>
      </c>
      <c r="T803">
        <f t="shared" si="5"/>
        <v>0</v>
      </c>
      <c r="U803">
        <f t="shared" si="6"/>
        <v>0</v>
      </c>
      <c r="V803">
        <f t="shared" si="7"/>
        <v>0</v>
      </c>
      <c r="W803">
        <f t="shared" si="8"/>
        <v>0</v>
      </c>
      <c r="X803">
        <f t="shared" si="9"/>
        <v>0</v>
      </c>
      <c r="Y803">
        <f t="shared" si="10"/>
        <v>0</v>
      </c>
      <c r="Z803">
        <f t="shared" si="11"/>
        <v>0</v>
      </c>
      <c r="AA803">
        <f t="shared" si="12"/>
        <v>0</v>
      </c>
      <c r="AB803">
        <f t="shared" si="13"/>
        <v>0</v>
      </c>
      <c r="AC803">
        <f t="shared" si="14"/>
        <v>0</v>
      </c>
      <c r="AE803">
        <f t="shared" si="0"/>
      </c>
      <c r="AV803">
        <f t="shared" si="15"/>
      </c>
      <c r="BM803">
        <f t="shared" si="16"/>
      </c>
      <c r="CD803">
        <f t="shared" si="0"/>
      </c>
      <c r="CZ803">
        <f t="shared" si="17"/>
      </c>
      <c r="DA803">
        <f t="shared" si="1"/>
      </c>
      <c r="DB803">
        <f t="shared" si="18"/>
      </c>
      <c r="DC803">
        <f t="shared" si="19"/>
      </c>
      <c r="DD803">
        <f t="shared" si="20"/>
      </c>
      <c r="DE803">
        <f t="shared" si="21"/>
      </c>
      <c r="DF803">
        <f t="shared" si="22"/>
      </c>
      <c r="DG803">
        <f t="shared" si="23"/>
      </c>
      <c r="DH803">
        <f t="shared" si="24"/>
      </c>
      <c r="DI803">
        <f t="shared" si="1"/>
      </c>
    </row>
    <row r="804" ht="15" customHeight="1">
      <c r="B804">
        <f t="shared" si="2"/>
      </c>
      <c r="R804">
        <f t="shared" si="3"/>
        <v>0</v>
      </c>
      <c r="S804">
        <f t="shared" si="4"/>
        <v>0</v>
      </c>
      <c r="T804">
        <f t="shared" si="5"/>
        <v>0</v>
      </c>
      <c r="U804">
        <f t="shared" si="6"/>
        <v>0</v>
      </c>
      <c r="V804">
        <f t="shared" si="7"/>
        <v>0</v>
      </c>
      <c r="W804">
        <f t="shared" si="8"/>
        <v>0</v>
      </c>
      <c r="X804">
        <f t="shared" si="9"/>
        <v>0</v>
      </c>
      <c r="Y804">
        <f t="shared" si="10"/>
        <v>0</v>
      </c>
      <c r="Z804">
        <f t="shared" si="11"/>
        <v>0</v>
      </c>
      <c r="AA804">
        <f t="shared" si="12"/>
        <v>0</v>
      </c>
      <c r="AB804">
        <f t="shared" si="13"/>
        <v>0</v>
      </c>
      <c r="AC804">
        <f t="shared" si="14"/>
        <v>0</v>
      </c>
      <c r="AE804">
        <f t="shared" si="0"/>
      </c>
      <c r="AV804">
        <f t="shared" si="15"/>
      </c>
      <c r="BM804">
        <f t="shared" si="16"/>
      </c>
      <c r="CD804">
        <f t="shared" si="0"/>
      </c>
      <c r="CZ804">
        <f t="shared" si="17"/>
      </c>
      <c r="DA804">
        <f t="shared" si="1"/>
      </c>
      <c r="DB804">
        <f t="shared" si="18"/>
      </c>
      <c r="DC804">
        <f t="shared" si="19"/>
      </c>
      <c r="DD804">
        <f t="shared" si="20"/>
      </c>
      <c r="DE804">
        <f t="shared" si="21"/>
      </c>
      <c r="DF804">
        <f t="shared" si="22"/>
      </c>
      <c r="DG804">
        <f t="shared" si="23"/>
      </c>
      <c r="DH804">
        <f t="shared" si="24"/>
      </c>
      <c r="DI804">
        <f t="shared" si="1"/>
      </c>
    </row>
    <row r="805" ht="15" customHeight="1">
      <c r="B805">
        <f t="shared" si="2"/>
      </c>
      <c r="R805">
        <f t="shared" si="3"/>
        <v>0</v>
      </c>
      <c r="S805">
        <f t="shared" si="4"/>
        <v>0</v>
      </c>
      <c r="T805">
        <f t="shared" si="5"/>
        <v>0</v>
      </c>
      <c r="U805">
        <f t="shared" si="6"/>
        <v>0</v>
      </c>
      <c r="V805">
        <f t="shared" si="7"/>
        <v>0</v>
      </c>
      <c r="W805">
        <f t="shared" si="8"/>
        <v>0</v>
      </c>
      <c r="X805">
        <f t="shared" si="9"/>
        <v>0</v>
      </c>
      <c r="Y805">
        <f t="shared" si="10"/>
        <v>0</v>
      </c>
      <c r="Z805">
        <f t="shared" si="11"/>
        <v>0</v>
      </c>
      <c r="AA805">
        <f t="shared" si="12"/>
        <v>0</v>
      </c>
      <c r="AB805">
        <f t="shared" si="13"/>
        <v>0</v>
      </c>
      <c r="AC805">
        <f t="shared" si="14"/>
        <v>0</v>
      </c>
      <c r="AE805">
        <f t="shared" si="0"/>
      </c>
      <c r="AV805">
        <f t="shared" si="15"/>
      </c>
      <c r="BM805">
        <f t="shared" si="16"/>
      </c>
      <c r="CD805">
        <f t="shared" si="0"/>
      </c>
      <c r="CZ805">
        <f t="shared" si="17"/>
      </c>
      <c r="DA805">
        <f t="shared" si="1"/>
      </c>
      <c r="DB805">
        <f t="shared" si="18"/>
      </c>
      <c r="DC805">
        <f t="shared" si="19"/>
      </c>
      <c r="DD805">
        <f t="shared" si="20"/>
      </c>
      <c r="DE805">
        <f t="shared" si="21"/>
      </c>
      <c r="DF805">
        <f t="shared" si="22"/>
      </c>
      <c r="DG805">
        <f t="shared" si="23"/>
      </c>
      <c r="DH805">
        <f t="shared" si="24"/>
      </c>
      <c r="DI805">
        <f t="shared" si="1"/>
      </c>
    </row>
    <row r="806" ht="15" customHeight="1">
      <c r="B806">
        <f t="shared" si="2"/>
      </c>
      <c r="R806">
        <f t="shared" si="3"/>
        <v>0</v>
      </c>
      <c r="S806">
        <f t="shared" si="4"/>
        <v>0</v>
      </c>
      <c r="T806">
        <f t="shared" si="5"/>
        <v>0</v>
      </c>
      <c r="U806">
        <f t="shared" si="6"/>
        <v>0</v>
      </c>
      <c r="V806">
        <f t="shared" si="7"/>
        <v>0</v>
      </c>
      <c r="W806">
        <f t="shared" si="8"/>
        <v>0</v>
      </c>
      <c r="X806">
        <f t="shared" si="9"/>
        <v>0</v>
      </c>
      <c r="Y806">
        <f t="shared" si="10"/>
        <v>0</v>
      </c>
      <c r="Z806">
        <f t="shared" si="11"/>
        <v>0</v>
      </c>
      <c r="AA806">
        <f t="shared" si="12"/>
        <v>0</v>
      </c>
      <c r="AB806">
        <f t="shared" si="13"/>
        <v>0</v>
      </c>
      <c r="AC806">
        <f t="shared" si="14"/>
        <v>0</v>
      </c>
      <c r="AE806">
        <f t="shared" si="0"/>
      </c>
      <c r="AV806">
        <f t="shared" si="15"/>
      </c>
      <c r="BM806">
        <f t="shared" si="16"/>
      </c>
      <c r="CD806">
        <f t="shared" si="0"/>
      </c>
      <c r="CZ806">
        <f t="shared" si="17"/>
      </c>
      <c r="DA806">
        <f t="shared" si="1"/>
      </c>
      <c r="DB806">
        <f t="shared" si="18"/>
      </c>
      <c r="DC806">
        <f t="shared" si="19"/>
      </c>
      <c r="DD806">
        <f t="shared" si="20"/>
      </c>
      <c r="DE806">
        <f t="shared" si="21"/>
      </c>
      <c r="DF806">
        <f t="shared" si="22"/>
      </c>
      <c r="DG806">
        <f t="shared" si="23"/>
      </c>
      <c r="DH806">
        <f t="shared" si="24"/>
      </c>
      <c r="DI806">
        <f t="shared" si="1"/>
      </c>
    </row>
    <row r="807" ht="15" customHeight="1">
      <c r="B807">
        <f t="shared" si="2"/>
      </c>
      <c r="R807">
        <f t="shared" si="3"/>
        <v>0</v>
      </c>
      <c r="S807">
        <f t="shared" si="4"/>
        <v>0</v>
      </c>
      <c r="T807">
        <f t="shared" si="5"/>
        <v>0</v>
      </c>
      <c r="U807">
        <f t="shared" si="6"/>
        <v>0</v>
      </c>
      <c r="V807">
        <f t="shared" si="7"/>
        <v>0</v>
      </c>
      <c r="W807">
        <f t="shared" si="8"/>
        <v>0</v>
      </c>
      <c r="X807">
        <f t="shared" si="9"/>
        <v>0</v>
      </c>
      <c r="Y807">
        <f t="shared" si="10"/>
        <v>0</v>
      </c>
      <c r="Z807">
        <f t="shared" si="11"/>
        <v>0</v>
      </c>
      <c r="AA807">
        <f t="shared" si="12"/>
        <v>0</v>
      </c>
      <c r="AB807">
        <f t="shared" si="13"/>
        <v>0</v>
      </c>
      <c r="AC807">
        <f t="shared" si="14"/>
        <v>0</v>
      </c>
      <c r="AE807">
        <f t="shared" si="0"/>
      </c>
      <c r="AV807">
        <f t="shared" si="15"/>
      </c>
      <c r="BM807">
        <f t="shared" si="16"/>
      </c>
      <c r="CD807">
        <f t="shared" si="0"/>
      </c>
      <c r="CZ807">
        <f t="shared" si="17"/>
      </c>
      <c r="DA807">
        <f t="shared" si="1"/>
      </c>
      <c r="DB807">
        <f t="shared" si="18"/>
      </c>
      <c r="DC807">
        <f t="shared" si="19"/>
      </c>
      <c r="DD807">
        <f t="shared" si="20"/>
      </c>
      <c r="DE807">
        <f t="shared" si="21"/>
      </c>
      <c r="DF807">
        <f t="shared" si="22"/>
      </c>
      <c r="DG807">
        <f t="shared" si="23"/>
      </c>
      <c r="DH807">
        <f t="shared" si="24"/>
      </c>
      <c r="DI807">
        <f t="shared" si="1"/>
      </c>
    </row>
    <row r="808" ht="15" customHeight="1">
      <c r="B808">
        <f t="shared" si="2"/>
      </c>
      <c r="R808">
        <f t="shared" si="3"/>
        <v>0</v>
      </c>
      <c r="S808">
        <f t="shared" si="4"/>
        <v>0</v>
      </c>
      <c r="T808">
        <f t="shared" si="5"/>
        <v>0</v>
      </c>
      <c r="U808">
        <f t="shared" si="6"/>
        <v>0</v>
      </c>
      <c r="V808">
        <f t="shared" si="7"/>
        <v>0</v>
      </c>
      <c r="W808">
        <f t="shared" si="8"/>
        <v>0</v>
      </c>
      <c r="X808">
        <f t="shared" si="9"/>
        <v>0</v>
      </c>
      <c r="Y808">
        <f t="shared" si="10"/>
        <v>0</v>
      </c>
      <c r="Z808">
        <f t="shared" si="11"/>
        <v>0</v>
      </c>
      <c r="AA808">
        <f t="shared" si="12"/>
        <v>0</v>
      </c>
      <c r="AB808">
        <f t="shared" si="13"/>
        <v>0</v>
      </c>
      <c r="AC808">
        <f t="shared" si="14"/>
        <v>0</v>
      </c>
      <c r="AE808">
        <f t="shared" si="0"/>
      </c>
      <c r="AV808">
        <f t="shared" si="15"/>
      </c>
      <c r="BM808">
        <f t="shared" si="16"/>
      </c>
      <c r="CD808">
        <f t="shared" si="0"/>
      </c>
      <c r="CZ808">
        <f t="shared" si="17"/>
      </c>
      <c r="DA808">
        <f t="shared" si="1"/>
      </c>
      <c r="DB808">
        <f t="shared" si="18"/>
      </c>
      <c r="DC808">
        <f t="shared" si="19"/>
      </c>
      <c r="DD808">
        <f t="shared" si="20"/>
      </c>
      <c r="DE808">
        <f t="shared" si="21"/>
      </c>
      <c r="DF808">
        <f t="shared" si="22"/>
      </c>
      <c r="DG808">
        <f t="shared" si="23"/>
      </c>
      <c r="DH808">
        <f t="shared" si="24"/>
      </c>
      <c r="DI808">
        <f t="shared" si="1"/>
      </c>
    </row>
    <row r="809" ht="15" customHeight="1">
      <c r="B809">
        <f t="shared" si="2"/>
      </c>
      <c r="R809">
        <f t="shared" si="3"/>
        <v>0</v>
      </c>
      <c r="S809">
        <f t="shared" si="4"/>
        <v>0</v>
      </c>
      <c r="T809">
        <f t="shared" si="5"/>
        <v>0</v>
      </c>
      <c r="U809">
        <f t="shared" si="6"/>
        <v>0</v>
      </c>
      <c r="V809">
        <f t="shared" si="7"/>
        <v>0</v>
      </c>
      <c r="W809">
        <f t="shared" si="8"/>
        <v>0</v>
      </c>
      <c r="X809">
        <f t="shared" si="9"/>
        <v>0</v>
      </c>
      <c r="Y809">
        <f t="shared" si="10"/>
        <v>0</v>
      </c>
      <c r="Z809">
        <f t="shared" si="11"/>
        <v>0</v>
      </c>
      <c r="AA809">
        <f t="shared" si="12"/>
        <v>0</v>
      </c>
      <c r="AB809">
        <f t="shared" si="13"/>
        <v>0</v>
      </c>
      <c r="AC809">
        <f t="shared" si="14"/>
        <v>0</v>
      </c>
      <c r="AE809">
        <f t="shared" si="0"/>
      </c>
      <c r="AV809">
        <f t="shared" si="15"/>
      </c>
      <c r="BM809">
        <f t="shared" si="16"/>
      </c>
      <c r="CD809">
        <f t="shared" si="0"/>
      </c>
      <c r="CZ809">
        <f t="shared" si="17"/>
      </c>
      <c r="DA809">
        <f t="shared" si="1"/>
      </c>
      <c r="DB809">
        <f t="shared" si="18"/>
      </c>
      <c r="DC809">
        <f t="shared" si="19"/>
      </c>
      <c r="DD809">
        <f t="shared" si="20"/>
      </c>
      <c r="DE809">
        <f t="shared" si="21"/>
      </c>
      <c r="DF809">
        <f t="shared" si="22"/>
      </c>
      <c r="DG809">
        <f t="shared" si="23"/>
      </c>
      <c r="DH809">
        <f t="shared" si="24"/>
      </c>
      <c r="DI809">
        <f t="shared" si="1"/>
      </c>
    </row>
    <row r="810" ht="15" customHeight="1">
      <c r="B810">
        <f t="shared" si="2"/>
      </c>
      <c r="R810">
        <f t="shared" si="3"/>
        <v>0</v>
      </c>
      <c r="S810">
        <f t="shared" si="4"/>
        <v>0</v>
      </c>
      <c r="T810">
        <f t="shared" si="5"/>
        <v>0</v>
      </c>
      <c r="U810">
        <f t="shared" si="6"/>
        <v>0</v>
      </c>
      <c r="V810">
        <f t="shared" si="7"/>
        <v>0</v>
      </c>
      <c r="W810">
        <f t="shared" si="8"/>
        <v>0</v>
      </c>
      <c r="X810">
        <f t="shared" si="9"/>
        <v>0</v>
      </c>
      <c r="Y810">
        <f t="shared" si="10"/>
        <v>0</v>
      </c>
      <c r="Z810">
        <f t="shared" si="11"/>
        <v>0</v>
      </c>
      <c r="AA810">
        <f t="shared" si="12"/>
        <v>0</v>
      </c>
      <c r="AB810">
        <f t="shared" si="13"/>
        <v>0</v>
      </c>
      <c r="AC810">
        <f t="shared" si="14"/>
        <v>0</v>
      </c>
      <c r="AE810">
        <f t="shared" si="0"/>
      </c>
      <c r="AV810">
        <f t="shared" si="15"/>
      </c>
      <c r="BM810">
        <f t="shared" si="16"/>
      </c>
      <c r="CD810">
        <f t="shared" si="0"/>
      </c>
      <c r="CZ810">
        <f t="shared" si="17"/>
      </c>
      <c r="DA810">
        <f t="shared" si="1"/>
      </c>
      <c r="DB810">
        <f t="shared" si="18"/>
      </c>
      <c r="DC810">
        <f t="shared" si="19"/>
      </c>
      <c r="DD810">
        <f t="shared" si="20"/>
      </c>
      <c r="DE810">
        <f t="shared" si="21"/>
      </c>
      <c r="DF810">
        <f t="shared" si="22"/>
      </c>
      <c r="DG810">
        <f t="shared" si="23"/>
      </c>
      <c r="DH810">
        <f t="shared" si="24"/>
      </c>
      <c r="DI810">
        <f t="shared" si="1"/>
      </c>
    </row>
    <row r="811" ht="15" customHeight="1">
      <c r="B811">
        <f t="shared" si="2"/>
      </c>
      <c r="R811">
        <f t="shared" si="3"/>
        <v>0</v>
      </c>
      <c r="S811">
        <f t="shared" si="4"/>
        <v>0</v>
      </c>
      <c r="T811">
        <f t="shared" si="5"/>
        <v>0</v>
      </c>
      <c r="U811">
        <f t="shared" si="6"/>
        <v>0</v>
      </c>
      <c r="V811">
        <f t="shared" si="7"/>
        <v>0</v>
      </c>
      <c r="W811">
        <f t="shared" si="8"/>
        <v>0</v>
      </c>
      <c r="X811">
        <f t="shared" si="9"/>
        <v>0</v>
      </c>
      <c r="Y811">
        <f t="shared" si="10"/>
        <v>0</v>
      </c>
      <c r="Z811">
        <f t="shared" si="11"/>
        <v>0</v>
      </c>
      <c r="AA811">
        <f t="shared" si="12"/>
        <v>0</v>
      </c>
      <c r="AB811">
        <f t="shared" si="13"/>
        <v>0</v>
      </c>
      <c r="AC811">
        <f t="shared" si="14"/>
        <v>0</v>
      </c>
      <c r="AE811">
        <f t="shared" si="0"/>
      </c>
      <c r="AV811">
        <f t="shared" si="15"/>
      </c>
      <c r="BM811">
        <f t="shared" si="16"/>
      </c>
      <c r="CD811">
        <f t="shared" si="0"/>
      </c>
      <c r="CZ811">
        <f t="shared" si="17"/>
      </c>
      <c r="DA811">
        <f t="shared" si="1"/>
      </c>
      <c r="DB811">
        <f t="shared" si="18"/>
      </c>
      <c r="DC811">
        <f t="shared" si="19"/>
      </c>
      <c r="DD811">
        <f t="shared" si="20"/>
      </c>
      <c r="DE811">
        <f t="shared" si="21"/>
      </c>
      <c r="DF811">
        <f t="shared" si="22"/>
      </c>
      <c r="DG811">
        <f t="shared" si="23"/>
      </c>
      <c r="DH811">
        <f t="shared" si="24"/>
      </c>
      <c r="DI811">
        <f t="shared" si="1"/>
      </c>
    </row>
    <row r="812" ht="15" customHeight="1">
      <c r="B812">
        <f t="shared" si="2"/>
      </c>
      <c r="R812">
        <f t="shared" si="3"/>
        <v>0</v>
      </c>
      <c r="S812">
        <f t="shared" si="4"/>
        <v>0</v>
      </c>
      <c r="T812">
        <f t="shared" si="5"/>
        <v>0</v>
      </c>
      <c r="U812">
        <f t="shared" si="6"/>
        <v>0</v>
      </c>
      <c r="V812">
        <f t="shared" si="7"/>
        <v>0</v>
      </c>
      <c r="W812">
        <f t="shared" si="8"/>
        <v>0</v>
      </c>
      <c r="X812">
        <f t="shared" si="9"/>
        <v>0</v>
      </c>
      <c r="Y812">
        <f t="shared" si="10"/>
        <v>0</v>
      </c>
      <c r="Z812">
        <f t="shared" si="11"/>
        <v>0</v>
      </c>
      <c r="AA812">
        <f t="shared" si="12"/>
        <v>0</v>
      </c>
      <c r="AB812">
        <f t="shared" si="13"/>
        <v>0</v>
      </c>
      <c r="AC812">
        <f t="shared" si="14"/>
        <v>0</v>
      </c>
      <c r="AE812">
        <f t="shared" si="0"/>
      </c>
      <c r="AV812">
        <f t="shared" si="15"/>
      </c>
      <c r="BM812">
        <f t="shared" si="16"/>
      </c>
      <c r="CD812">
        <f t="shared" si="0"/>
      </c>
      <c r="CZ812">
        <f t="shared" si="17"/>
      </c>
      <c r="DA812">
        <f t="shared" si="1"/>
      </c>
      <c r="DB812">
        <f t="shared" si="18"/>
      </c>
      <c r="DC812">
        <f t="shared" si="19"/>
      </c>
      <c r="DD812">
        <f t="shared" si="20"/>
      </c>
      <c r="DE812">
        <f t="shared" si="21"/>
      </c>
      <c r="DF812">
        <f t="shared" si="22"/>
      </c>
      <c r="DG812">
        <f t="shared" si="23"/>
      </c>
      <c r="DH812">
        <f t="shared" si="24"/>
      </c>
      <c r="DI812">
        <f t="shared" si="1"/>
      </c>
    </row>
    <row r="813" ht="15" customHeight="1">
      <c r="B813">
        <f t="shared" si="2"/>
      </c>
      <c r="R813">
        <f t="shared" si="3"/>
        <v>0</v>
      </c>
      <c r="S813">
        <f t="shared" si="4"/>
        <v>0</v>
      </c>
      <c r="T813">
        <f t="shared" si="5"/>
        <v>0</v>
      </c>
      <c r="U813">
        <f t="shared" si="6"/>
        <v>0</v>
      </c>
      <c r="V813">
        <f t="shared" si="7"/>
        <v>0</v>
      </c>
      <c r="W813">
        <f t="shared" si="8"/>
        <v>0</v>
      </c>
      <c r="X813">
        <f t="shared" si="9"/>
        <v>0</v>
      </c>
      <c r="Y813">
        <f t="shared" si="10"/>
        <v>0</v>
      </c>
      <c r="Z813">
        <f t="shared" si="11"/>
        <v>0</v>
      </c>
      <c r="AA813">
        <f t="shared" si="12"/>
        <v>0</v>
      </c>
      <c r="AB813">
        <f t="shared" si="13"/>
        <v>0</v>
      </c>
      <c r="AC813">
        <f t="shared" si="14"/>
        <v>0</v>
      </c>
      <c r="AE813">
        <f t="shared" si="0"/>
      </c>
      <c r="AV813">
        <f t="shared" si="15"/>
      </c>
      <c r="BM813">
        <f t="shared" si="16"/>
      </c>
      <c r="CD813">
        <f t="shared" si="0"/>
      </c>
      <c r="CZ813">
        <f t="shared" si="17"/>
      </c>
      <c r="DA813">
        <f t="shared" si="1"/>
      </c>
      <c r="DB813">
        <f t="shared" si="18"/>
      </c>
      <c r="DC813">
        <f t="shared" si="19"/>
      </c>
      <c r="DD813">
        <f t="shared" si="20"/>
      </c>
      <c r="DE813">
        <f t="shared" si="21"/>
      </c>
      <c r="DF813">
        <f t="shared" si="22"/>
      </c>
      <c r="DG813">
        <f t="shared" si="23"/>
      </c>
      <c r="DH813">
        <f t="shared" si="24"/>
      </c>
      <c r="DI813">
        <f t="shared" si="1"/>
      </c>
    </row>
    <row r="814" ht="15" customHeight="1">
      <c r="B814">
        <f t="shared" si="2"/>
      </c>
      <c r="R814">
        <f t="shared" si="3"/>
        <v>0</v>
      </c>
      <c r="S814">
        <f t="shared" si="4"/>
        <v>0</v>
      </c>
      <c r="T814">
        <f t="shared" si="5"/>
        <v>0</v>
      </c>
      <c r="U814">
        <f t="shared" si="6"/>
        <v>0</v>
      </c>
      <c r="V814">
        <f t="shared" si="7"/>
        <v>0</v>
      </c>
      <c r="W814">
        <f t="shared" si="8"/>
        <v>0</v>
      </c>
      <c r="X814">
        <f t="shared" si="9"/>
        <v>0</v>
      </c>
      <c r="Y814">
        <f t="shared" si="10"/>
        <v>0</v>
      </c>
      <c r="Z814">
        <f t="shared" si="11"/>
        <v>0</v>
      </c>
      <c r="AA814">
        <f t="shared" si="12"/>
        <v>0</v>
      </c>
      <c r="AB814">
        <f t="shared" si="13"/>
        <v>0</v>
      </c>
      <c r="AC814">
        <f t="shared" si="14"/>
        <v>0</v>
      </c>
      <c r="AE814">
        <f t="shared" si="0"/>
      </c>
      <c r="AV814">
        <f t="shared" si="15"/>
      </c>
      <c r="BM814">
        <f t="shared" si="16"/>
      </c>
      <c r="CD814">
        <f t="shared" si="0"/>
      </c>
      <c r="CZ814">
        <f t="shared" si="17"/>
      </c>
      <c r="DA814">
        <f t="shared" si="1"/>
      </c>
      <c r="DB814">
        <f t="shared" si="18"/>
      </c>
      <c r="DC814">
        <f t="shared" si="19"/>
      </c>
      <c r="DD814">
        <f t="shared" si="20"/>
      </c>
      <c r="DE814">
        <f t="shared" si="21"/>
      </c>
      <c r="DF814">
        <f t="shared" si="22"/>
      </c>
      <c r="DG814">
        <f t="shared" si="23"/>
      </c>
      <c r="DH814">
        <f t="shared" si="24"/>
      </c>
      <c r="DI814">
        <f t="shared" si="1"/>
      </c>
    </row>
    <row r="815" ht="15" customHeight="1">
      <c r="B815">
        <f t="shared" si="2"/>
      </c>
      <c r="R815">
        <f t="shared" si="3"/>
        <v>0</v>
      </c>
      <c r="S815">
        <f t="shared" si="4"/>
        <v>0</v>
      </c>
      <c r="T815">
        <f t="shared" si="5"/>
        <v>0</v>
      </c>
      <c r="U815">
        <f t="shared" si="6"/>
        <v>0</v>
      </c>
      <c r="V815">
        <f t="shared" si="7"/>
        <v>0</v>
      </c>
      <c r="W815">
        <f t="shared" si="8"/>
        <v>0</v>
      </c>
      <c r="X815">
        <f t="shared" si="9"/>
        <v>0</v>
      </c>
      <c r="Y815">
        <f t="shared" si="10"/>
        <v>0</v>
      </c>
      <c r="Z815">
        <f t="shared" si="11"/>
        <v>0</v>
      </c>
      <c r="AA815">
        <f t="shared" si="12"/>
        <v>0</v>
      </c>
      <c r="AB815">
        <f t="shared" si="13"/>
        <v>0</v>
      </c>
      <c r="AC815">
        <f t="shared" si="14"/>
        <v>0</v>
      </c>
      <c r="AE815">
        <f t="shared" si="0"/>
      </c>
      <c r="AV815">
        <f t="shared" si="15"/>
      </c>
      <c r="BM815">
        <f t="shared" si="16"/>
      </c>
      <c r="CD815">
        <f t="shared" si="0"/>
      </c>
      <c r="CZ815">
        <f t="shared" si="17"/>
      </c>
      <c r="DA815">
        <f t="shared" si="1"/>
      </c>
      <c r="DB815">
        <f t="shared" si="18"/>
      </c>
      <c r="DC815">
        <f t="shared" si="19"/>
      </c>
      <c r="DD815">
        <f t="shared" si="20"/>
      </c>
      <c r="DE815">
        <f t="shared" si="21"/>
      </c>
      <c r="DF815">
        <f t="shared" si="22"/>
      </c>
      <c r="DG815">
        <f t="shared" si="23"/>
      </c>
      <c r="DH815">
        <f t="shared" si="24"/>
      </c>
      <c r="DI815">
        <f t="shared" si="1"/>
      </c>
    </row>
    <row r="816" ht="15" customHeight="1">
      <c r="B816">
        <f t="shared" si="2"/>
      </c>
      <c r="R816">
        <f t="shared" si="3"/>
        <v>0</v>
      </c>
      <c r="S816">
        <f t="shared" si="4"/>
        <v>0</v>
      </c>
      <c r="T816">
        <f t="shared" si="5"/>
        <v>0</v>
      </c>
      <c r="U816">
        <f t="shared" si="6"/>
        <v>0</v>
      </c>
      <c r="V816">
        <f t="shared" si="7"/>
        <v>0</v>
      </c>
      <c r="W816">
        <f t="shared" si="8"/>
        <v>0</v>
      </c>
      <c r="X816">
        <f t="shared" si="9"/>
        <v>0</v>
      </c>
      <c r="Y816">
        <f t="shared" si="10"/>
        <v>0</v>
      </c>
      <c r="Z816">
        <f t="shared" si="11"/>
        <v>0</v>
      </c>
      <c r="AA816">
        <f t="shared" si="12"/>
        <v>0</v>
      </c>
      <c r="AB816">
        <f t="shared" si="13"/>
        <v>0</v>
      </c>
      <c r="AC816">
        <f t="shared" si="14"/>
        <v>0</v>
      </c>
      <c r="AE816">
        <f t="shared" si="0"/>
      </c>
      <c r="AV816">
        <f t="shared" si="15"/>
      </c>
      <c r="BM816">
        <f t="shared" si="16"/>
      </c>
      <c r="CD816">
        <f t="shared" si="0"/>
      </c>
      <c r="CZ816">
        <f t="shared" si="17"/>
      </c>
      <c r="DA816">
        <f t="shared" si="1"/>
      </c>
      <c r="DB816">
        <f t="shared" si="18"/>
      </c>
      <c r="DC816">
        <f t="shared" si="19"/>
      </c>
      <c r="DD816">
        <f t="shared" si="20"/>
      </c>
      <c r="DE816">
        <f t="shared" si="21"/>
      </c>
      <c r="DF816">
        <f t="shared" si="22"/>
      </c>
      <c r="DG816">
        <f t="shared" si="23"/>
      </c>
      <c r="DH816">
        <f t="shared" si="24"/>
      </c>
      <c r="DI816">
        <f t="shared" si="1"/>
      </c>
    </row>
    <row r="817" ht="15" customHeight="1">
      <c r="B817">
        <f t="shared" si="2"/>
      </c>
      <c r="R817">
        <f t="shared" si="3"/>
        <v>0</v>
      </c>
      <c r="S817">
        <f t="shared" si="4"/>
        <v>0</v>
      </c>
      <c r="T817">
        <f t="shared" si="5"/>
        <v>0</v>
      </c>
      <c r="U817">
        <f t="shared" si="6"/>
        <v>0</v>
      </c>
      <c r="V817">
        <f t="shared" si="7"/>
        <v>0</v>
      </c>
      <c r="W817">
        <f t="shared" si="8"/>
        <v>0</v>
      </c>
      <c r="X817">
        <f t="shared" si="9"/>
        <v>0</v>
      </c>
      <c r="Y817">
        <f t="shared" si="10"/>
        <v>0</v>
      </c>
      <c r="Z817">
        <f t="shared" si="11"/>
        <v>0</v>
      </c>
      <c r="AA817">
        <f t="shared" si="12"/>
        <v>0</v>
      </c>
      <c r="AB817">
        <f t="shared" si="13"/>
        <v>0</v>
      </c>
      <c r="AC817">
        <f t="shared" si="14"/>
        <v>0</v>
      </c>
      <c r="AE817">
        <f t="shared" si="0"/>
      </c>
      <c r="AV817">
        <f t="shared" si="15"/>
      </c>
      <c r="BM817">
        <f t="shared" si="16"/>
      </c>
      <c r="CD817">
        <f t="shared" si="0"/>
      </c>
      <c r="CZ817">
        <f t="shared" si="17"/>
      </c>
      <c r="DA817">
        <f t="shared" si="1"/>
      </c>
      <c r="DB817">
        <f t="shared" si="18"/>
      </c>
      <c r="DC817">
        <f t="shared" si="19"/>
      </c>
      <c r="DD817">
        <f t="shared" si="20"/>
      </c>
      <c r="DE817">
        <f t="shared" si="21"/>
      </c>
      <c r="DF817">
        <f t="shared" si="22"/>
      </c>
      <c r="DG817">
        <f t="shared" si="23"/>
      </c>
      <c r="DH817">
        <f t="shared" si="24"/>
      </c>
      <c r="DI817">
        <f t="shared" si="1"/>
      </c>
    </row>
    <row r="818" ht="15" customHeight="1">
      <c r="B818">
        <f t="shared" si="2"/>
      </c>
      <c r="R818">
        <f t="shared" si="3"/>
        <v>0</v>
      </c>
      <c r="S818">
        <f t="shared" si="4"/>
        <v>0</v>
      </c>
      <c r="T818">
        <f t="shared" si="5"/>
        <v>0</v>
      </c>
      <c r="U818">
        <f t="shared" si="6"/>
        <v>0</v>
      </c>
      <c r="V818">
        <f t="shared" si="7"/>
        <v>0</v>
      </c>
      <c r="W818">
        <f t="shared" si="8"/>
        <v>0</v>
      </c>
      <c r="X818">
        <f t="shared" si="9"/>
        <v>0</v>
      </c>
      <c r="Y818">
        <f t="shared" si="10"/>
        <v>0</v>
      </c>
      <c r="Z818">
        <f t="shared" si="11"/>
        <v>0</v>
      </c>
      <c r="AA818">
        <f t="shared" si="12"/>
        <v>0</v>
      </c>
      <c r="AB818">
        <f t="shared" si="13"/>
        <v>0</v>
      </c>
      <c r="AC818">
        <f t="shared" si="14"/>
        <v>0</v>
      </c>
      <c r="AE818">
        <f t="shared" si="0"/>
      </c>
      <c r="AV818">
        <f t="shared" si="15"/>
      </c>
      <c r="BM818">
        <f t="shared" si="16"/>
      </c>
      <c r="CD818">
        <f t="shared" si="0"/>
      </c>
      <c r="CZ818">
        <f t="shared" si="17"/>
      </c>
      <c r="DA818">
        <f t="shared" si="1"/>
      </c>
      <c r="DB818">
        <f t="shared" si="18"/>
      </c>
      <c r="DC818">
        <f t="shared" si="19"/>
      </c>
      <c r="DD818">
        <f t="shared" si="20"/>
      </c>
      <c r="DE818">
        <f t="shared" si="21"/>
      </c>
      <c r="DF818">
        <f t="shared" si="22"/>
      </c>
      <c r="DG818">
        <f t="shared" si="23"/>
      </c>
      <c r="DH818">
        <f t="shared" si="24"/>
      </c>
      <c r="DI818">
        <f t="shared" si="1"/>
      </c>
    </row>
    <row r="819" ht="15" customHeight="1">
      <c r="B819">
        <f t="shared" si="2"/>
      </c>
      <c r="R819">
        <f t="shared" si="3"/>
        <v>0</v>
      </c>
      <c r="S819">
        <f t="shared" si="4"/>
        <v>0</v>
      </c>
      <c r="T819">
        <f t="shared" si="5"/>
        <v>0</v>
      </c>
      <c r="U819">
        <f t="shared" si="6"/>
        <v>0</v>
      </c>
      <c r="V819">
        <f t="shared" si="7"/>
        <v>0</v>
      </c>
      <c r="W819">
        <f t="shared" si="8"/>
        <v>0</v>
      </c>
      <c r="X819">
        <f t="shared" si="9"/>
        <v>0</v>
      </c>
      <c r="Y819">
        <f t="shared" si="10"/>
        <v>0</v>
      </c>
      <c r="Z819">
        <f t="shared" si="11"/>
        <v>0</v>
      </c>
      <c r="AA819">
        <f t="shared" si="12"/>
        <v>0</v>
      </c>
      <c r="AB819">
        <f t="shared" si="13"/>
        <v>0</v>
      </c>
      <c r="AC819">
        <f t="shared" si="14"/>
        <v>0</v>
      </c>
      <c r="AE819">
        <f t="shared" si="0"/>
      </c>
      <c r="AV819">
        <f t="shared" si="15"/>
      </c>
      <c r="BM819">
        <f t="shared" si="16"/>
      </c>
      <c r="CD819">
        <f t="shared" si="0"/>
      </c>
      <c r="CZ819">
        <f t="shared" si="17"/>
      </c>
      <c r="DA819">
        <f t="shared" si="1"/>
      </c>
      <c r="DB819">
        <f t="shared" si="18"/>
      </c>
      <c r="DC819">
        <f t="shared" si="19"/>
      </c>
      <c r="DD819">
        <f t="shared" si="20"/>
      </c>
      <c r="DE819">
        <f t="shared" si="21"/>
      </c>
      <c r="DF819">
        <f t="shared" si="22"/>
      </c>
      <c r="DG819">
        <f t="shared" si="23"/>
      </c>
      <c r="DH819">
        <f t="shared" si="24"/>
      </c>
      <c r="DI819">
        <f t="shared" si="1"/>
      </c>
    </row>
    <row r="820" ht="15" customHeight="1">
      <c r="B820">
        <f t="shared" si="2"/>
      </c>
      <c r="R820">
        <f t="shared" si="3"/>
        <v>0</v>
      </c>
      <c r="S820">
        <f t="shared" si="4"/>
        <v>0</v>
      </c>
      <c r="T820">
        <f t="shared" si="5"/>
        <v>0</v>
      </c>
      <c r="U820">
        <f t="shared" si="6"/>
        <v>0</v>
      </c>
      <c r="V820">
        <f t="shared" si="7"/>
        <v>0</v>
      </c>
      <c r="W820">
        <f t="shared" si="8"/>
        <v>0</v>
      </c>
      <c r="X820">
        <f t="shared" si="9"/>
        <v>0</v>
      </c>
      <c r="Y820">
        <f t="shared" si="10"/>
        <v>0</v>
      </c>
      <c r="Z820">
        <f t="shared" si="11"/>
        <v>0</v>
      </c>
      <c r="AA820">
        <f t="shared" si="12"/>
        <v>0</v>
      </c>
      <c r="AB820">
        <f t="shared" si="13"/>
        <v>0</v>
      </c>
      <c r="AC820">
        <f t="shared" si="14"/>
        <v>0</v>
      </c>
      <c r="AE820">
        <f t="shared" si="0"/>
      </c>
      <c r="AV820">
        <f t="shared" si="15"/>
      </c>
      <c r="BM820">
        <f t="shared" si="16"/>
      </c>
      <c r="CD820">
        <f t="shared" si="0"/>
      </c>
      <c r="CZ820">
        <f t="shared" si="17"/>
      </c>
      <c r="DA820">
        <f t="shared" si="1"/>
      </c>
      <c r="DB820">
        <f t="shared" si="18"/>
      </c>
      <c r="DC820">
        <f t="shared" si="19"/>
      </c>
      <c r="DD820">
        <f t="shared" si="20"/>
      </c>
      <c r="DE820">
        <f t="shared" si="21"/>
      </c>
      <c r="DF820">
        <f t="shared" si="22"/>
      </c>
      <c r="DG820">
        <f t="shared" si="23"/>
      </c>
      <c r="DH820">
        <f t="shared" si="24"/>
      </c>
      <c r="DI820">
        <f t="shared" si="1"/>
      </c>
    </row>
    <row r="821" ht="15" customHeight="1">
      <c r="B821">
        <f t="shared" si="2"/>
      </c>
      <c r="R821">
        <f t="shared" si="3"/>
        <v>0</v>
      </c>
      <c r="S821">
        <f t="shared" si="4"/>
        <v>0</v>
      </c>
      <c r="T821">
        <f t="shared" si="5"/>
        <v>0</v>
      </c>
      <c r="U821">
        <f t="shared" si="6"/>
        <v>0</v>
      </c>
      <c r="V821">
        <f t="shared" si="7"/>
        <v>0</v>
      </c>
      <c r="W821">
        <f t="shared" si="8"/>
        <v>0</v>
      </c>
      <c r="X821">
        <f t="shared" si="9"/>
        <v>0</v>
      </c>
      <c r="Y821">
        <f t="shared" si="10"/>
        <v>0</v>
      </c>
      <c r="Z821">
        <f t="shared" si="11"/>
        <v>0</v>
      </c>
      <c r="AA821">
        <f t="shared" si="12"/>
        <v>0</v>
      </c>
      <c r="AB821">
        <f t="shared" si="13"/>
        <v>0</v>
      </c>
      <c r="AC821">
        <f t="shared" si="14"/>
        <v>0</v>
      </c>
      <c r="AE821">
        <f t="shared" si="0"/>
      </c>
      <c r="AV821">
        <f t="shared" si="15"/>
      </c>
      <c r="BM821">
        <f t="shared" si="16"/>
      </c>
      <c r="CD821">
        <f t="shared" si="0"/>
      </c>
      <c r="CZ821">
        <f t="shared" si="17"/>
      </c>
      <c r="DA821">
        <f t="shared" si="1"/>
      </c>
      <c r="DB821">
        <f t="shared" si="18"/>
      </c>
      <c r="DC821">
        <f t="shared" si="19"/>
      </c>
      <c r="DD821">
        <f t="shared" si="20"/>
      </c>
      <c r="DE821">
        <f t="shared" si="21"/>
      </c>
      <c r="DF821">
        <f t="shared" si="22"/>
      </c>
      <c r="DG821">
        <f t="shared" si="23"/>
      </c>
      <c r="DH821">
        <f t="shared" si="24"/>
      </c>
      <c r="DI821">
        <f t="shared" si="1"/>
      </c>
    </row>
    <row r="822" ht="15" customHeight="1">
      <c r="B822">
        <f t="shared" si="2"/>
      </c>
      <c r="R822">
        <f t="shared" si="3"/>
        <v>0</v>
      </c>
      <c r="S822">
        <f t="shared" si="4"/>
        <v>0</v>
      </c>
      <c r="T822">
        <f t="shared" si="5"/>
        <v>0</v>
      </c>
      <c r="U822">
        <f t="shared" si="6"/>
        <v>0</v>
      </c>
      <c r="V822">
        <f t="shared" si="7"/>
        <v>0</v>
      </c>
      <c r="W822">
        <f t="shared" si="8"/>
        <v>0</v>
      </c>
      <c r="X822">
        <f t="shared" si="9"/>
        <v>0</v>
      </c>
      <c r="Y822">
        <f t="shared" si="10"/>
        <v>0</v>
      </c>
      <c r="Z822">
        <f t="shared" si="11"/>
        <v>0</v>
      </c>
      <c r="AA822">
        <f t="shared" si="12"/>
        <v>0</v>
      </c>
      <c r="AB822">
        <f t="shared" si="13"/>
        <v>0</v>
      </c>
      <c r="AC822">
        <f t="shared" si="14"/>
        <v>0</v>
      </c>
      <c r="AE822">
        <f t="shared" si="0"/>
      </c>
      <c r="AV822">
        <f t="shared" si="15"/>
      </c>
      <c r="BM822">
        <f t="shared" si="16"/>
      </c>
      <c r="CD822">
        <f t="shared" si="0"/>
      </c>
      <c r="CZ822">
        <f t="shared" si="17"/>
      </c>
      <c r="DA822">
        <f t="shared" si="1"/>
      </c>
      <c r="DB822">
        <f t="shared" si="18"/>
      </c>
      <c r="DC822">
        <f t="shared" si="19"/>
      </c>
      <c r="DD822">
        <f t="shared" si="20"/>
      </c>
      <c r="DE822">
        <f t="shared" si="21"/>
      </c>
      <c r="DF822">
        <f t="shared" si="22"/>
      </c>
      <c r="DG822">
        <f t="shared" si="23"/>
      </c>
      <c r="DH822">
        <f t="shared" si="24"/>
      </c>
      <c r="DI822">
        <f t="shared" si="1"/>
      </c>
    </row>
    <row r="823" ht="15" customHeight="1">
      <c r="B823">
        <f t="shared" si="2"/>
      </c>
      <c r="R823">
        <f t="shared" si="3"/>
        <v>0</v>
      </c>
      <c r="S823">
        <f t="shared" si="4"/>
        <v>0</v>
      </c>
      <c r="T823">
        <f t="shared" si="5"/>
        <v>0</v>
      </c>
      <c r="U823">
        <f t="shared" si="6"/>
        <v>0</v>
      </c>
      <c r="V823">
        <f t="shared" si="7"/>
        <v>0</v>
      </c>
      <c r="W823">
        <f t="shared" si="8"/>
        <v>0</v>
      </c>
      <c r="X823">
        <f t="shared" si="9"/>
        <v>0</v>
      </c>
      <c r="Y823">
        <f t="shared" si="10"/>
        <v>0</v>
      </c>
      <c r="Z823">
        <f t="shared" si="11"/>
        <v>0</v>
      </c>
      <c r="AA823">
        <f t="shared" si="12"/>
        <v>0</v>
      </c>
      <c r="AB823">
        <f t="shared" si="13"/>
        <v>0</v>
      </c>
      <c r="AC823">
        <f t="shared" si="14"/>
        <v>0</v>
      </c>
      <c r="AE823">
        <f t="shared" si="0"/>
      </c>
      <c r="AV823">
        <f t="shared" si="15"/>
      </c>
      <c r="BM823">
        <f t="shared" si="16"/>
      </c>
      <c r="CD823">
        <f t="shared" si="0"/>
      </c>
      <c r="CZ823">
        <f t="shared" si="17"/>
      </c>
      <c r="DA823">
        <f t="shared" si="1"/>
      </c>
      <c r="DB823">
        <f t="shared" si="18"/>
      </c>
      <c r="DC823">
        <f t="shared" si="19"/>
      </c>
      <c r="DD823">
        <f t="shared" si="20"/>
      </c>
      <c r="DE823">
        <f t="shared" si="21"/>
      </c>
      <c r="DF823">
        <f t="shared" si="22"/>
      </c>
      <c r="DG823">
        <f t="shared" si="23"/>
      </c>
      <c r="DH823">
        <f t="shared" si="24"/>
      </c>
      <c r="DI823">
        <f t="shared" si="1"/>
      </c>
    </row>
    <row r="824" ht="15" customHeight="1">
      <c r="B824">
        <f t="shared" si="2"/>
      </c>
      <c r="R824">
        <f t="shared" si="3"/>
        <v>0</v>
      </c>
      <c r="S824">
        <f t="shared" si="4"/>
        <v>0</v>
      </c>
      <c r="T824">
        <f t="shared" si="5"/>
        <v>0</v>
      </c>
      <c r="U824">
        <f t="shared" si="6"/>
        <v>0</v>
      </c>
      <c r="V824">
        <f t="shared" si="7"/>
        <v>0</v>
      </c>
      <c r="W824">
        <f t="shared" si="8"/>
        <v>0</v>
      </c>
      <c r="X824">
        <f t="shared" si="9"/>
        <v>0</v>
      </c>
      <c r="Y824">
        <f t="shared" si="10"/>
        <v>0</v>
      </c>
      <c r="Z824">
        <f t="shared" si="11"/>
        <v>0</v>
      </c>
      <c r="AA824">
        <f t="shared" si="12"/>
        <v>0</v>
      </c>
      <c r="AB824">
        <f t="shared" si="13"/>
        <v>0</v>
      </c>
      <c r="AC824">
        <f t="shared" si="14"/>
        <v>0</v>
      </c>
      <c r="AE824">
        <f t="shared" si="0"/>
      </c>
      <c r="AV824">
        <f t="shared" si="15"/>
      </c>
      <c r="BM824">
        <f t="shared" si="16"/>
      </c>
      <c r="CD824">
        <f t="shared" si="0"/>
      </c>
      <c r="CZ824">
        <f t="shared" si="17"/>
      </c>
      <c r="DA824">
        <f t="shared" si="1"/>
      </c>
      <c r="DB824">
        <f t="shared" si="18"/>
      </c>
      <c r="DC824">
        <f t="shared" si="19"/>
      </c>
      <c r="DD824">
        <f t="shared" si="20"/>
      </c>
      <c r="DE824">
        <f t="shared" si="21"/>
      </c>
      <c r="DF824">
        <f t="shared" si="22"/>
      </c>
      <c r="DG824">
        <f t="shared" si="23"/>
      </c>
      <c r="DH824">
        <f t="shared" si="24"/>
      </c>
      <c r="DI824">
        <f t="shared" si="1"/>
      </c>
    </row>
    <row r="825" ht="15" customHeight="1">
      <c r="B825">
        <f t="shared" si="2"/>
      </c>
      <c r="R825">
        <f t="shared" si="3"/>
        <v>0</v>
      </c>
      <c r="S825">
        <f t="shared" si="4"/>
        <v>0</v>
      </c>
      <c r="T825">
        <f t="shared" si="5"/>
        <v>0</v>
      </c>
      <c r="U825">
        <f t="shared" si="6"/>
        <v>0</v>
      </c>
      <c r="V825">
        <f t="shared" si="7"/>
        <v>0</v>
      </c>
      <c r="W825">
        <f t="shared" si="8"/>
        <v>0</v>
      </c>
      <c r="X825">
        <f t="shared" si="9"/>
        <v>0</v>
      </c>
      <c r="Y825">
        <f t="shared" si="10"/>
        <v>0</v>
      </c>
      <c r="Z825">
        <f t="shared" si="11"/>
        <v>0</v>
      </c>
      <c r="AA825">
        <f t="shared" si="12"/>
        <v>0</v>
      </c>
      <c r="AB825">
        <f t="shared" si="13"/>
        <v>0</v>
      </c>
      <c r="AC825">
        <f t="shared" si="14"/>
        <v>0</v>
      </c>
      <c r="AE825">
        <f t="shared" si="0"/>
      </c>
      <c r="AV825">
        <f t="shared" si="15"/>
      </c>
      <c r="BM825">
        <f t="shared" si="16"/>
      </c>
      <c r="CD825">
        <f t="shared" si="0"/>
      </c>
      <c r="CZ825">
        <f t="shared" si="17"/>
      </c>
      <c r="DA825">
        <f t="shared" si="1"/>
      </c>
      <c r="DB825">
        <f t="shared" si="18"/>
      </c>
      <c r="DC825">
        <f t="shared" si="19"/>
      </c>
      <c r="DD825">
        <f t="shared" si="20"/>
      </c>
      <c r="DE825">
        <f t="shared" si="21"/>
      </c>
      <c r="DF825">
        <f t="shared" si="22"/>
      </c>
      <c r="DG825">
        <f t="shared" si="23"/>
      </c>
      <c r="DH825">
        <f t="shared" si="24"/>
      </c>
      <c r="DI825">
        <f t="shared" si="1"/>
      </c>
    </row>
    <row r="826" ht="15" customHeight="1">
      <c r="B826">
        <f t="shared" si="2"/>
      </c>
      <c r="R826">
        <f t="shared" si="3"/>
        <v>0</v>
      </c>
      <c r="S826">
        <f t="shared" si="4"/>
        <v>0</v>
      </c>
      <c r="T826">
        <f t="shared" si="5"/>
        <v>0</v>
      </c>
      <c r="U826">
        <f t="shared" si="6"/>
        <v>0</v>
      </c>
      <c r="V826">
        <f t="shared" si="7"/>
        <v>0</v>
      </c>
      <c r="W826">
        <f t="shared" si="8"/>
        <v>0</v>
      </c>
      <c r="X826">
        <f t="shared" si="9"/>
        <v>0</v>
      </c>
      <c r="Y826">
        <f t="shared" si="10"/>
        <v>0</v>
      </c>
      <c r="Z826">
        <f t="shared" si="11"/>
        <v>0</v>
      </c>
      <c r="AA826">
        <f t="shared" si="12"/>
        <v>0</v>
      </c>
      <c r="AB826">
        <f t="shared" si="13"/>
        <v>0</v>
      </c>
      <c r="AC826">
        <f t="shared" si="14"/>
        <v>0</v>
      </c>
      <c r="AE826">
        <f t="shared" si="0"/>
      </c>
      <c r="AV826">
        <f t="shared" si="15"/>
      </c>
      <c r="BM826">
        <f t="shared" si="16"/>
      </c>
      <c r="CD826">
        <f t="shared" si="0"/>
      </c>
      <c r="CZ826">
        <f t="shared" si="17"/>
      </c>
      <c r="DA826">
        <f t="shared" si="1"/>
      </c>
      <c r="DB826">
        <f t="shared" si="18"/>
      </c>
      <c r="DC826">
        <f t="shared" si="19"/>
      </c>
      <c r="DD826">
        <f t="shared" si="20"/>
      </c>
      <c r="DE826">
        <f t="shared" si="21"/>
      </c>
      <c r="DF826">
        <f t="shared" si="22"/>
      </c>
      <c r="DG826">
        <f t="shared" si="23"/>
      </c>
      <c r="DH826">
        <f t="shared" si="24"/>
      </c>
      <c r="DI826">
        <f t="shared" si="1"/>
      </c>
    </row>
    <row r="827" ht="15" customHeight="1">
      <c r="B827">
        <f t="shared" si="2"/>
      </c>
      <c r="R827">
        <f t="shared" si="3"/>
        <v>0</v>
      </c>
      <c r="S827">
        <f t="shared" si="4"/>
        <v>0</v>
      </c>
      <c r="T827">
        <f t="shared" si="5"/>
        <v>0</v>
      </c>
      <c r="U827">
        <f t="shared" si="6"/>
        <v>0</v>
      </c>
      <c r="V827">
        <f t="shared" si="7"/>
        <v>0</v>
      </c>
      <c r="W827">
        <f t="shared" si="8"/>
        <v>0</v>
      </c>
      <c r="X827">
        <f t="shared" si="9"/>
        <v>0</v>
      </c>
      <c r="Y827">
        <f t="shared" si="10"/>
        <v>0</v>
      </c>
      <c r="Z827">
        <f t="shared" si="11"/>
        <v>0</v>
      </c>
      <c r="AA827">
        <f t="shared" si="12"/>
        <v>0</v>
      </c>
      <c r="AB827">
        <f t="shared" si="13"/>
        <v>0</v>
      </c>
      <c r="AC827">
        <f t="shared" si="14"/>
        <v>0</v>
      </c>
      <c r="AE827">
        <f t="shared" si="0"/>
      </c>
      <c r="AV827">
        <f t="shared" si="15"/>
      </c>
      <c r="BM827">
        <f t="shared" si="16"/>
      </c>
      <c r="CD827">
        <f t="shared" si="0"/>
      </c>
      <c r="CZ827">
        <f t="shared" si="17"/>
      </c>
      <c r="DA827">
        <f t="shared" si="1"/>
      </c>
      <c r="DB827">
        <f t="shared" si="18"/>
      </c>
      <c r="DC827">
        <f t="shared" si="19"/>
      </c>
      <c r="DD827">
        <f t="shared" si="20"/>
      </c>
      <c r="DE827">
        <f t="shared" si="21"/>
      </c>
      <c r="DF827">
        <f t="shared" si="22"/>
      </c>
      <c r="DG827">
        <f t="shared" si="23"/>
      </c>
      <c r="DH827">
        <f t="shared" si="24"/>
      </c>
      <c r="DI827">
        <f t="shared" si="1"/>
      </c>
    </row>
    <row r="828" ht="15" customHeight="1">
      <c r="B828">
        <f t="shared" si="2"/>
      </c>
      <c r="R828">
        <f t="shared" si="3"/>
        <v>0</v>
      </c>
      <c r="S828">
        <f t="shared" si="4"/>
        <v>0</v>
      </c>
      <c r="T828">
        <f t="shared" si="5"/>
        <v>0</v>
      </c>
      <c r="U828">
        <f t="shared" si="6"/>
        <v>0</v>
      </c>
      <c r="V828">
        <f t="shared" si="7"/>
        <v>0</v>
      </c>
      <c r="W828">
        <f t="shared" si="8"/>
        <v>0</v>
      </c>
      <c r="X828">
        <f t="shared" si="9"/>
        <v>0</v>
      </c>
      <c r="Y828">
        <f t="shared" si="10"/>
        <v>0</v>
      </c>
      <c r="Z828">
        <f t="shared" si="11"/>
        <v>0</v>
      </c>
      <c r="AA828">
        <f t="shared" si="12"/>
        <v>0</v>
      </c>
      <c r="AB828">
        <f t="shared" si="13"/>
        <v>0</v>
      </c>
      <c r="AC828">
        <f t="shared" si="14"/>
        <v>0</v>
      </c>
      <c r="AE828">
        <f t="shared" si="0"/>
      </c>
      <c r="AV828">
        <f t="shared" si="15"/>
      </c>
      <c r="BM828">
        <f t="shared" si="16"/>
      </c>
      <c r="CD828">
        <f t="shared" si="0"/>
      </c>
      <c r="CZ828">
        <f t="shared" si="17"/>
      </c>
      <c r="DA828">
        <f t="shared" si="1"/>
      </c>
      <c r="DB828">
        <f t="shared" si="18"/>
      </c>
      <c r="DC828">
        <f t="shared" si="19"/>
      </c>
      <c r="DD828">
        <f t="shared" si="20"/>
      </c>
      <c r="DE828">
        <f t="shared" si="21"/>
      </c>
      <c r="DF828">
        <f t="shared" si="22"/>
      </c>
      <c r="DG828">
        <f t="shared" si="23"/>
      </c>
      <c r="DH828">
        <f t="shared" si="24"/>
      </c>
      <c r="DI828">
        <f t="shared" si="1"/>
      </c>
    </row>
    <row r="829" ht="15" customHeight="1">
      <c r="B829">
        <f t="shared" si="2"/>
      </c>
      <c r="R829">
        <f t="shared" si="3"/>
        <v>0</v>
      </c>
      <c r="S829">
        <f t="shared" si="4"/>
        <v>0</v>
      </c>
      <c r="T829">
        <f t="shared" si="5"/>
        <v>0</v>
      </c>
      <c r="U829">
        <f t="shared" si="6"/>
        <v>0</v>
      </c>
      <c r="V829">
        <f t="shared" si="7"/>
        <v>0</v>
      </c>
      <c r="W829">
        <f t="shared" si="8"/>
        <v>0</v>
      </c>
      <c r="X829">
        <f t="shared" si="9"/>
        <v>0</v>
      </c>
      <c r="Y829">
        <f t="shared" si="10"/>
        <v>0</v>
      </c>
      <c r="Z829">
        <f t="shared" si="11"/>
        <v>0</v>
      </c>
      <c r="AA829">
        <f t="shared" si="12"/>
        <v>0</v>
      </c>
      <c r="AB829">
        <f t="shared" si="13"/>
        <v>0</v>
      </c>
      <c r="AC829">
        <f t="shared" si="14"/>
        <v>0</v>
      </c>
      <c r="AE829">
        <f t="shared" si="0"/>
      </c>
      <c r="AV829">
        <f t="shared" si="15"/>
      </c>
      <c r="BM829">
        <f t="shared" si="16"/>
      </c>
      <c r="CD829">
        <f t="shared" si="0"/>
      </c>
      <c r="CZ829">
        <f t="shared" si="17"/>
      </c>
      <c r="DA829">
        <f t="shared" si="1"/>
      </c>
      <c r="DB829">
        <f t="shared" si="18"/>
      </c>
      <c r="DC829">
        <f t="shared" si="19"/>
      </c>
      <c r="DD829">
        <f t="shared" si="20"/>
      </c>
      <c r="DE829">
        <f t="shared" si="21"/>
      </c>
      <c r="DF829">
        <f t="shared" si="22"/>
      </c>
      <c r="DG829">
        <f t="shared" si="23"/>
      </c>
      <c r="DH829">
        <f t="shared" si="24"/>
      </c>
      <c r="DI829">
        <f t="shared" si="1"/>
      </c>
    </row>
    <row r="830" ht="15" customHeight="1">
      <c r="B830">
        <f t="shared" si="2"/>
      </c>
      <c r="R830">
        <f t="shared" si="3"/>
        <v>0</v>
      </c>
      <c r="S830">
        <f t="shared" si="4"/>
        <v>0</v>
      </c>
      <c r="T830">
        <f t="shared" si="5"/>
        <v>0</v>
      </c>
      <c r="U830">
        <f t="shared" si="6"/>
        <v>0</v>
      </c>
      <c r="V830">
        <f t="shared" si="7"/>
        <v>0</v>
      </c>
      <c r="W830">
        <f t="shared" si="8"/>
        <v>0</v>
      </c>
      <c r="X830">
        <f t="shared" si="9"/>
        <v>0</v>
      </c>
      <c r="Y830">
        <f t="shared" si="10"/>
        <v>0</v>
      </c>
      <c r="Z830">
        <f t="shared" si="11"/>
        <v>0</v>
      </c>
      <c r="AA830">
        <f t="shared" si="12"/>
        <v>0</v>
      </c>
      <c r="AB830">
        <f t="shared" si="13"/>
        <v>0</v>
      </c>
      <c r="AC830">
        <f t="shared" si="14"/>
        <v>0</v>
      </c>
      <c r="AE830">
        <f t="shared" si="0"/>
      </c>
      <c r="AV830">
        <f t="shared" si="15"/>
      </c>
      <c r="BM830">
        <f t="shared" si="16"/>
      </c>
      <c r="CD830">
        <f t="shared" si="0"/>
      </c>
      <c r="CZ830">
        <f t="shared" si="17"/>
      </c>
      <c r="DA830">
        <f t="shared" si="1"/>
      </c>
      <c r="DB830">
        <f t="shared" si="18"/>
      </c>
      <c r="DC830">
        <f t="shared" si="19"/>
      </c>
      <c r="DD830">
        <f t="shared" si="20"/>
      </c>
      <c r="DE830">
        <f t="shared" si="21"/>
      </c>
      <c r="DF830">
        <f t="shared" si="22"/>
      </c>
      <c r="DG830">
        <f t="shared" si="23"/>
      </c>
      <c r="DH830">
        <f t="shared" si="24"/>
      </c>
      <c r="DI830">
        <f t="shared" si="1"/>
      </c>
    </row>
    <row r="831" ht="15" customHeight="1">
      <c r="B831">
        <f t="shared" si="2"/>
      </c>
      <c r="R831">
        <f t="shared" si="3"/>
        <v>0</v>
      </c>
      <c r="S831">
        <f t="shared" si="4"/>
        <v>0</v>
      </c>
      <c r="T831">
        <f t="shared" si="5"/>
        <v>0</v>
      </c>
      <c r="U831">
        <f t="shared" si="6"/>
        <v>0</v>
      </c>
      <c r="V831">
        <f t="shared" si="7"/>
        <v>0</v>
      </c>
      <c r="W831">
        <f t="shared" si="8"/>
        <v>0</v>
      </c>
      <c r="X831">
        <f t="shared" si="9"/>
        <v>0</v>
      </c>
      <c r="Y831">
        <f t="shared" si="10"/>
        <v>0</v>
      </c>
      <c r="Z831">
        <f t="shared" si="11"/>
        <v>0</v>
      </c>
      <c r="AA831">
        <f t="shared" si="12"/>
        <v>0</v>
      </c>
      <c r="AB831">
        <f t="shared" si="13"/>
        <v>0</v>
      </c>
      <c r="AC831">
        <f t="shared" si="14"/>
        <v>0</v>
      </c>
      <c r="AE831">
        <f t="shared" si="0"/>
      </c>
      <c r="AV831">
        <f t="shared" si="15"/>
      </c>
      <c r="BM831">
        <f t="shared" si="16"/>
      </c>
      <c r="CD831">
        <f t="shared" si="0"/>
      </c>
      <c r="CZ831">
        <f t="shared" si="17"/>
      </c>
      <c r="DA831">
        <f t="shared" si="1"/>
      </c>
      <c r="DB831">
        <f t="shared" si="18"/>
      </c>
      <c r="DC831">
        <f t="shared" si="19"/>
      </c>
      <c r="DD831">
        <f t="shared" si="20"/>
      </c>
      <c r="DE831">
        <f t="shared" si="21"/>
      </c>
      <c r="DF831">
        <f t="shared" si="22"/>
      </c>
      <c r="DG831">
        <f t="shared" si="23"/>
      </c>
      <c r="DH831">
        <f t="shared" si="24"/>
      </c>
      <c r="DI831">
        <f t="shared" si="1"/>
      </c>
    </row>
    <row r="832" ht="15" customHeight="1">
      <c r="B832">
        <f t="shared" si="2"/>
      </c>
      <c r="R832">
        <f t="shared" si="3"/>
        <v>0</v>
      </c>
      <c r="S832">
        <f t="shared" si="4"/>
        <v>0</v>
      </c>
      <c r="T832">
        <f t="shared" si="5"/>
        <v>0</v>
      </c>
      <c r="U832">
        <f t="shared" si="6"/>
        <v>0</v>
      </c>
      <c r="V832">
        <f t="shared" si="7"/>
        <v>0</v>
      </c>
      <c r="W832">
        <f t="shared" si="8"/>
        <v>0</v>
      </c>
      <c r="X832">
        <f t="shared" si="9"/>
        <v>0</v>
      </c>
      <c r="Y832">
        <f t="shared" si="10"/>
        <v>0</v>
      </c>
      <c r="Z832">
        <f t="shared" si="11"/>
        <v>0</v>
      </c>
      <c r="AA832">
        <f t="shared" si="12"/>
        <v>0</v>
      </c>
      <c r="AB832">
        <f t="shared" si="13"/>
        <v>0</v>
      </c>
      <c r="AC832">
        <f t="shared" si="14"/>
        <v>0</v>
      </c>
      <c r="AE832">
        <f t="shared" si="0"/>
      </c>
      <c r="AV832">
        <f t="shared" si="15"/>
      </c>
      <c r="BM832">
        <f t="shared" si="16"/>
      </c>
      <c r="CD832">
        <f t="shared" si="0"/>
      </c>
      <c r="CZ832">
        <f t="shared" si="17"/>
      </c>
      <c r="DA832">
        <f t="shared" si="1"/>
      </c>
      <c r="DB832">
        <f t="shared" si="18"/>
      </c>
      <c r="DC832">
        <f t="shared" si="19"/>
      </c>
      <c r="DD832">
        <f t="shared" si="20"/>
      </c>
      <c r="DE832">
        <f t="shared" si="21"/>
      </c>
      <c r="DF832">
        <f t="shared" si="22"/>
      </c>
      <c r="DG832">
        <f t="shared" si="23"/>
      </c>
      <c r="DH832">
        <f t="shared" si="24"/>
      </c>
      <c r="DI832">
        <f t="shared" si="1"/>
      </c>
    </row>
    <row r="833" ht="15" customHeight="1">
      <c r="B833">
        <f t="shared" si="2"/>
      </c>
      <c r="R833">
        <f t="shared" si="3"/>
        <v>0</v>
      </c>
      <c r="S833">
        <f t="shared" si="4"/>
        <v>0</v>
      </c>
      <c r="T833">
        <f t="shared" si="5"/>
        <v>0</v>
      </c>
      <c r="U833">
        <f t="shared" si="6"/>
        <v>0</v>
      </c>
      <c r="V833">
        <f t="shared" si="7"/>
        <v>0</v>
      </c>
      <c r="W833">
        <f t="shared" si="8"/>
        <v>0</v>
      </c>
      <c r="X833">
        <f t="shared" si="9"/>
        <v>0</v>
      </c>
      <c r="Y833">
        <f t="shared" si="10"/>
        <v>0</v>
      </c>
      <c r="Z833">
        <f t="shared" si="11"/>
        <v>0</v>
      </c>
      <c r="AA833">
        <f t="shared" si="12"/>
        <v>0</v>
      </c>
      <c r="AB833">
        <f t="shared" si="13"/>
        <v>0</v>
      </c>
      <c r="AC833">
        <f t="shared" si="14"/>
        <v>0</v>
      </c>
      <c r="AE833">
        <f t="shared" si="0"/>
      </c>
      <c r="AV833">
        <f t="shared" si="15"/>
      </c>
      <c r="BM833">
        <f t="shared" si="16"/>
      </c>
      <c r="CD833">
        <f t="shared" si="0"/>
      </c>
      <c r="CZ833">
        <f t="shared" si="17"/>
      </c>
      <c r="DA833">
        <f t="shared" si="1"/>
      </c>
      <c r="DB833">
        <f t="shared" si="18"/>
      </c>
      <c r="DC833">
        <f t="shared" si="19"/>
      </c>
      <c r="DD833">
        <f t="shared" si="20"/>
      </c>
      <c r="DE833">
        <f t="shared" si="21"/>
      </c>
      <c r="DF833">
        <f t="shared" si="22"/>
      </c>
      <c r="DG833">
        <f t="shared" si="23"/>
      </c>
      <c r="DH833">
        <f t="shared" si="24"/>
      </c>
      <c r="DI833">
        <f t="shared" si="1"/>
      </c>
    </row>
    <row r="834" ht="15" customHeight="1">
      <c r="B834">
        <f t="shared" si="2"/>
      </c>
      <c r="R834">
        <f t="shared" si="3"/>
        <v>0</v>
      </c>
      <c r="S834">
        <f t="shared" si="4"/>
        <v>0</v>
      </c>
      <c r="T834">
        <f t="shared" si="5"/>
        <v>0</v>
      </c>
      <c r="U834">
        <f t="shared" si="6"/>
        <v>0</v>
      </c>
      <c r="V834">
        <f t="shared" si="7"/>
        <v>0</v>
      </c>
      <c r="W834">
        <f t="shared" si="8"/>
        <v>0</v>
      </c>
      <c r="X834">
        <f t="shared" si="9"/>
        <v>0</v>
      </c>
      <c r="Y834">
        <f t="shared" si="10"/>
        <v>0</v>
      </c>
      <c r="Z834">
        <f t="shared" si="11"/>
        <v>0</v>
      </c>
      <c r="AA834">
        <f t="shared" si="12"/>
        <v>0</v>
      </c>
      <c r="AB834">
        <f t="shared" si="13"/>
        <v>0</v>
      </c>
      <c r="AC834">
        <f t="shared" si="14"/>
        <v>0</v>
      </c>
      <c r="AE834">
        <f t="shared" si="0"/>
      </c>
      <c r="AV834">
        <f t="shared" si="15"/>
      </c>
      <c r="BM834">
        <f t="shared" si="16"/>
      </c>
      <c r="CD834">
        <f t="shared" si="0"/>
      </c>
      <c r="CZ834">
        <f t="shared" si="17"/>
      </c>
      <c r="DA834">
        <f t="shared" si="1"/>
      </c>
      <c r="DB834">
        <f t="shared" si="18"/>
      </c>
      <c r="DC834">
        <f t="shared" si="19"/>
      </c>
      <c r="DD834">
        <f t="shared" si="20"/>
      </c>
      <c r="DE834">
        <f t="shared" si="21"/>
      </c>
      <c r="DF834">
        <f t="shared" si="22"/>
      </c>
      <c r="DG834">
        <f t="shared" si="23"/>
      </c>
      <c r="DH834">
        <f t="shared" si="24"/>
      </c>
      <c r="DI834">
        <f t="shared" si="1"/>
      </c>
    </row>
    <row r="835" ht="15" customHeight="1">
      <c r="B835">
        <f t="shared" si="2"/>
      </c>
      <c r="R835">
        <f t="shared" si="3"/>
        <v>0</v>
      </c>
      <c r="S835">
        <f t="shared" si="4"/>
        <v>0</v>
      </c>
      <c r="T835">
        <f t="shared" si="5"/>
        <v>0</v>
      </c>
      <c r="U835">
        <f t="shared" si="6"/>
        <v>0</v>
      </c>
      <c r="V835">
        <f t="shared" si="7"/>
        <v>0</v>
      </c>
      <c r="W835">
        <f t="shared" si="8"/>
        <v>0</v>
      </c>
      <c r="X835">
        <f t="shared" si="9"/>
        <v>0</v>
      </c>
      <c r="Y835">
        <f t="shared" si="10"/>
        <v>0</v>
      </c>
      <c r="Z835">
        <f t="shared" si="11"/>
        <v>0</v>
      </c>
      <c r="AA835">
        <f t="shared" si="12"/>
        <v>0</v>
      </c>
      <c r="AB835">
        <f t="shared" si="13"/>
        <v>0</v>
      </c>
      <c r="AC835">
        <f t="shared" si="14"/>
        <v>0</v>
      </c>
      <c r="AE835">
        <f t="shared" si="0"/>
      </c>
      <c r="AV835">
        <f t="shared" si="15"/>
      </c>
      <c r="BM835">
        <f t="shared" si="16"/>
      </c>
      <c r="CD835">
        <f t="shared" si="0"/>
      </c>
      <c r="CZ835">
        <f t="shared" si="17"/>
      </c>
      <c r="DA835">
        <f t="shared" si="1"/>
      </c>
      <c r="DB835">
        <f t="shared" si="18"/>
      </c>
      <c r="DC835">
        <f t="shared" si="19"/>
      </c>
      <c r="DD835">
        <f t="shared" si="20"/>
      </c>
      <c r="DE835">
        <f t="shared" si="21"/>
      </c>
      <c r="DF835">
        <f t="shared" si="22"/>
      </c>
      <c r="DG835">
        <f t="shared" si="23"/>
      </c>
      <c r="DH835">
        <f t="shared" si="24"/>
      </c>
      <c r="DI835">
        <f t="shared" si="1"/>
      </c>
    </row>
    <row r="836" ht="15" customHeight="1">
      <c r="B836">
        <f t="shared" si="2"/>
      </c>
      <c r="R836">
        <f t="shared" si="3"/>
        <v>0</v>
      </c>
      <c r="S836">
        <f t="shared" si="4"/>
        <v>0</v>
      </c>
      <c r="T836">
        <f t="shared" si="5"/>
        <v>0</v>
      </c>
      <c r="U836">
        <f t="shared" si="6"/>
        <v>0</v>
      </c>
      <c r="V836">
        <f t="shared" si="7"/>
        <v>0</v>
      </c>
      <c r="W836">
        <f t="shared" si="8"/>
        <v>0</v>
      </c>
      <c r="X836">
        <f t="shared" si="9"/>
        <v>0</v>
      </c>
      <c r="Y836">
        <f t="shared" si="10"/>
        <v>0</v>
      </c>
      <c r="Z836">
        <f t="shared" si="11"/>
        <v>0</v>
      </c>
      <c r="AA836">
        <f t="shared" si="12"/>
        <v>0</v>
      </c>
      <c r="AB836">
        <f t="shared" si="13"/>
        <v>0</v>
      </c>
      <c r="AC836">
        <f t="shared" si="14"/>
        <v>0</v>
      </c>
      <c r="AE836">
        <f t="shared" si="0"/>
      </c>
      <c r="AV836">
        <f t="shared" si="15"/>
      </c>
      <c r="BM836">
        <f t="shared" si="16"/>
      </c>
      <c r="CD836">
        <f t="shared" si="0"/>
      </c>
      <c r="CZ836">
        <f t="shared" si="17"/>
      </c>
      <c r="DA836">
        <f t="shared" si="1"/>
      </c>
      <c r="DB836">
        <f t="shared" si="18"/>
      </c>
      <c r="DC836">
        <f t="shared" si="19"/>
      </c>
      <c r="DD836">
        <f t="shared" si="20"/>
      </c>
      <c r="DE836">
        <f t="shared" si="21"/>
      </c>
      <c r="DF836">
        <f t="shared" si="22"/>
      </c>
      <c r="DG836">
        <f t="shared" si="23"/>
      </c>
      <c r="DH836">
        <f t="shared" si="24"/>
      </c>
      <c r="DI836">
        <f t="shared" si="1"/>
      </c>
    </row>
    <row r="837" ht="15" customHeight="1">
      <c r="B837">
        <f t="shared" si="2"/>
      </c>
      <c r="R837">
        <f t="shared" si="3"/>
        <v>0</v>
      </c>
      <c r="S837">
        <f t="shared" si="4"/>
        <v>0</v>
      </c>
      <c r="T837">
        <f t="shared" si="5"/>
        <v>0</v>
      </c>
      <c r="U837">
        <f t="shared" si="6"/>
        <v>0</v>
      </c>
      <c r="V837">
        <f t="shared" si="7"/>
        <v>0</v>
      </c>
      <c r="W837">
        <f t="shared" si="8"/>
        <v>0</v>
      </c>
      <c r="X837">
        <f t="shared" si="9"/>
        <v>0</v>
      </c>
      <c r="Y837">
        <f t="shared" si="10"/>
        <v>0</v>
      </c>
      <c r="Z837">
        <f t="shared" si="11"/>
        <v>0</v>
      </c>
      <c r="AA837">
        <f t="shared" si="12"/>
        <v>0</v>
      </c>
      <c r="AB837">
        <f t="shared" si="13"/>
        <v>0</v>
      </c>
      <c r="AC837">
        <f t="shared" si="14"/>
        <v>0</v>
      </c>
      <c r="AE837">
        <f t="shared" si="0"/>
      </c>
      <c r="AV837">
        <f t="shared" si="15"/>
      </c>
      <c r="BM837">
        <f t="shared" si="16"/>
      </c>
      <c r="CD837">
        <f t="shared" si="0"/>
      </c>
      <c r="CZ837">
        <f t="shared" si="17"/>
      </c>
      <c r="DA837">
        <f t="shared" si="1"/>
      </c>
      <c r="DB837">
        <f t="shared" si="18"/>
      </c>
      <c r="DC837">
        <f t="shared" si="19"/>
      </c>
      <c r="DD837">
        <f t="shared" si="20"/>
      </c>
      <c r="DE837">
        <f t="shared" si="21"/>
      </c>
      <c r="DF837">
        <f t="shared" si="22"/>
      </c>
      <c r="DG837">
        <f t="shared" si="23"/>
      </c>
      <c r="DH837">
        <f t="shared" si="24"/>
      </c>
      <c r="DI837">
        <f t="shared" si="1"/>
      </c>
    </row>
    <row r="838" ht="15" customHeight="1">
      <c r="B838">
        <f t="shared" si="2"/>
      </c>
      <c r="R838">
        <f t="shared" si="3"/>
        <v>0</v>
      </c>
      <c r="S838">
        <f t="shared" si="4"/>
        <v>0</v>
      </c>
      <c r="T838">
        <f t="shared" si="5"/>
        <v>0</v>
      </c>
      <c r="U838">
        <f t="shared" si="6"/>
        <v>0</v>
      </c>
      <c r="V838">
        <f t="shared" si="7"/>
        <v>0</v>
      </c>
      <c r="W838">
        <f t="shared" si="8"/>
        <v>0</v>
      </c>
      <c r="X838">
        <f t="shared" si="9"/>
        <v>0</v>
      </c>
      <c r="Y838">
        <f t="shared" si="10"/>
        <v>0</v>
      </c>
      <c r="Z838">
        <f t="shared" si="11"/>
        <v>0</v>
      </c>
      <c r="AA838">
        <f t="shared" si="12"/>
        <v>0</v>
      </c>
      <c r="AB838">
        <f t="shared" si="13"/>
        <v>0</v>
      </c>
      <c r="AC838">
        <f t="shared" si="14"/>
        <v>0</v>
      </c>
      <c r="AE838">
        <f t="shared" si="0"/>
      </c>
      <c r="AV838">
        <f t="shared" si="15"/>
      </c>
      <c r="BM838">
        <f t="shared" si="16"/>
      </c>
      <c r="CD838">
        <f t="shared" si="0"/>
      </c>
      <c r="CZ838">
        <f t="shared" si="17"/>
      </c>
      <c r="DA838">
        <f t="shared" si="1"/>
      </c>
      <c r="DB838">
        <f t="shared" si="18"/>
      </c>
      <c r="DC838">
        <f t="shared" si="19"/>
      </c>
      <c r="DD838">
        <f t="shared" si="20"/>
      </c>
      <c r="DE838">
        <f t="shared" si="21"/>
      </c>
      <c r="DF838">
        <f t="shared" si="22"/>
      </c>
      <c r="DG838">
        <f t="shared" si="23"/>
      </c>
      <c r="DH838">
        <f t="shared" si="24"/>
      </c>
      <c r="DI838">
        <f t="shared" si="1"/>
      </c>
    </row>
    <row r="839" ht="15" customHeight="1">
      <c r="B839">
        <f t="shared" si="2"/>
      </c>
      <c r="R839">
        <f t="shared" si="3"/>
        <v>0</v>
      </c>
      <c r="S839">
        <f t="shared" si="4"/>
        <v>0</v>
      </c>
      <c r="T839">
        <f t="shared" si="5"/>
        <v>0</v>
      </c>
      <c r="U839">
        <f t="shared" si="6"/>
        <v>0</v>
      </c>
      <c r="V839">
        <f t="shared" si="7"/>
        <v>0</v>
      </c>
      <c r="W839">
        <f t="shared" si="8"/>
        <v>0</v>
      </c>
      <c r="X839">
        <f t="shared" si="9"/>
        <v>0</v>
      </c>
      <c r="Y839">
        <f t="shared" si="10"/>
        <v>0</v>
      </c>
      <c r="Z839">
        <f t="shared" si="11"/>
        <v>0</v>
      </c>
      <c r="AA839">
        <f t="shared" si="12"/>
        <v>0</v>
      </c>
      <c r="AB839">
        <f t="shared" si="13"/>
        <v>0</v>
      </c>
      <c r="AC839">
        <f t="shared" si="14"/>
        <v>0</v>
      </c>
      <c r="AE839">
        <f t="shared" si="0"/>
      </c>
      <c r="AV839">
        <f t="shared" si="15"/>
      </c>
      <c r="BM839">
        <f t="shared" si="16"/>
      </c>
      <c r="CD839">
        <f t="shared" si="0"/>
      </c>
      <c r="CZ839">
        <f t="shared" si="17"/>
      </c>
      <c r="DA839">
        <f t="shared" si="1"/>
      </c>
      <c r="DB839">
        <f t="shared" si="18"/>
      </c>
      <c r="DC839">
        <f t="shared" si="19"/>
      </c>
      <c r="DD839">
        <f t="shared" si="20"/>
      </c>
      <c r="DE839">
        <f t="shared" si="21"/>
      </c>
      <c r="DF839">
        <f t="shared" si="22"/>
      </c>
      <c r="DG839">
        <f t="shared" si="23"/>
      </c>
      <c r="DH839">
        <f t="shared" si="24"/>
      </c>
      <c r="DI839">
        <f t="shared" si="1"/>
      </c>
    </row>
    <row r="840" ht="15" customHeight="1">
      <c r="B840">
        <f t="shared" si="2"/>
      </c>
      <c r="R840">
        <f t="shared" si="3"/>
        <v>0</v>
      </c>
      <c r="S840">
        <f t="shared" si="4"/>
        <v>0</v>
      </c>
      <c r="T840">
        <f t="shared" si="5"/>
        <v>0</v>
      </c>
      <c r="U840">
        <f t="shared" si="6"/>
        <v>0</v>
      </c>
      <c r="V840">
        <f t="shared" si="7"/>
        <v>0</v>
      </c>
      <c r="W840">
        <f t="shared" si="8"/>
        <v>0</v>
      </c>
      <c r="X840">
        <f t="shared" si="9"/>
        <v>0</v>
      </c>
      <c r="Y840">
        <f t="shared" si="10"/>
        <v>0</v>
      </c>
      <c r="Z840">
        <f t="shared" si="11"/>
        <v>0</v>
      </c>
      <c r="AA840">
        <f t="shared" si="12"/>
        <v>0</v>
      </c>
      <c r="AB840">
        <f t="shared" si="13"/>
        <v>0</v>
      </c>
      <c r="AC840">
        <f t="shared" si="14"/>
        <v>0</v>
      </c>
      <c r="AE840">
        <f t="shared" si="0"/>
      </c>
      <c r="AV840">
        <f t="shared" si="15"/>
      </c>
      <c r="BM840">
        <f t="shared" si="16"/>
      </c>
      <c r="CD840">
        <f t="shared" si="0"/>
      </c>
      <c r="CZ840">
        <f t="shared" si="17"/>
      </c>
      <c r="DA840">
        <f t="shared" si="1"/>
      </c>
      <c r="DB840">
        <f t="shared" si="18"/>
      </c>
      <c r="DC840">
        <f t="shared" si="19"/>
      </c>
      <c r="DD840">
        <f t="shared" si="20"/>
      </c>
      <c r="DE840">
        <f t="shared" si="21"/>
      </c>
      <c r="DF840">
        <f t="shared" si="22"/>
      </c>
      <c r="DG840">
        <f t="shared" si="23"/>
      </c>
      <c r="DH840">
        <f t="shared" si="24"/>
      </c>
      <c r="DI840">
        <f t="shared" si="1"/>
      </c>
    </row>
    <row r="841" ht="15" customHeight="1">
      <c r="B841">
        <f t="shared" si="2"/>
      </c>
      <c r="R841">
        <f t="shared" si="3"/>
        <v>0</v>
      </c>
      <c r="S841">
        <f t="shared" si="4"/>
        <v>0</v>
      </c>
      <c r="T841">
        <f t="shared" si="5"/>
        <v>0</v>
      </c>
      <c r="U841">
        <f t="shared" si="6"/>
        <v>0</v>
      </c>
      <c r="V841">
        <f t="shared" si="7"/>
        <v>0</v>
      </c>
      <c r="W841">
        <f t="shared" si="8"/>
        <v>0</v>
      </c>
      <c r="X841">
        <f t="shared" si="9"/>
        <v>0</v>
      </c>
      <c r="Y841">
        <f t="shared" si="10"/>
        <v>0</v>
      </c>
      <c r="Z841">
        <f t="shared" si="11"/>
        <v>0</v>
      </c>
      <c r="AA841">
        <f t="shared" si="12"/>
        <v>0</v>
      </c>
      <c r="AB841">
        <f t="shared" si="13"/>
        <v>0</v>
      </c>
      <c r="AC841">
        <f t="shared" si="14"/>
        <v>0</v>
      </c>
      <c r="AE841">
        <f t="shared" si="0"/>
      </c>
      <c r="AV841">
        <f t="shared" si="15"/>
      </c>
      <c r="BM841">
        <f t="shared" si="16"/>
      </c>
      <c r="CD841">
        <f t="shared" si="0"/>
      </c>
      <c r="CZ841">
        <f t="shared" si="17"/>
      </c>
      <c r="DA841">
        <f t="shared" si="1"/>
      </c>
      <c r="DB841">
        <f t="shared" si="18"/>
      </c>
      <c r="DC841">
        <f t="shared" si="19"/>
      </c>
      <c r="DD841">
        <f t="shared" si="20"/>
      </c>
      <c r="DE841">
        <f t="shared" si="21"/>
      </c>
      <c r="DF841">
        <f t="shared" si="22"/>
      </c>
      <c r="DG841">
        <f t="shared" si="23"/>
      </c>
      <c r="DH841">
        <f t="shared" si="24"/>
      </c>
      <c r="DI841">
        <f t="shared" si="1"/>
      </c>
    </row>
    <row r="842" ht="15" customHeight="1">
      <c r="B842">
        <f t="shared" si="2"/>
      </c>
      <c r="R842">
        <f t="shared" si="3"/>
        <v>0</v>
      </c>
      <c r="S842">
        <f t="shared" si="4"/>
        <v>0</v>
      </c>
      <c r="T842">
        <f t="shared" si="5"/>
        <v>0</v>
      </c>
      <c r="U842">
        <f t="shared" si="6"/>
        <v>0</v>
      </c>
      <c r="V842">
        <f t="shared" si="7"/>
        <v>0</v>
      </c>
      <c r="W842">
        <f t="shared" si="8"/>
        <v>0</v>
      </c>
      <c r="X842">
        <f t="shared" si="9"/>
        <v>0</v>
      </c>
      <c r="Y842">
        <f t="shared" si="10"/>
        <v>0</v>
      </c>
      <c r="Z842">
        <f t="shared" si="11"/>
        <v>0</v>
      </c>
      <c r="AA842">
        <f t="shared" si="12"/>
        <v>0</v>
      </c>
      <c r="AB842">
        <f t="shared" si="13"/>
        <v>0</v>
      </c>
      <c r="AC842">
        <f t="shared" si="14"/>
        <v>0</v>
      </c>
      <c r="AE842">
        <f t="shared" si="0"/>
      </c>
      <c r="AV842">
        <f t="shared" si="15"/>
      </c>
      <c r="BM842">
        <f t="shared" si="16"/>
      </c>
      <c r="CD842">
        <f t="shared" si="0"/>
      </c>
      <c r="CZ842">
        <f t="shared" si="17"/>
      </c>
      <c r="DA842">
        <f t="shared" si="1"/>
      </c>
      <c r="DB842">
        <f t="shared" si="18"/>
      </c>
      <c r="DC842">
        <f t="shared" si="19"/>
      </c>
      <c r="DD842">
        <f t="shared" si="20"/>
      </c>
      <c r="DE842">
        <f t="shared" si="21"/>
      </c>
      <c r="DF842">
        <f t="shared" si="22"/>
      </c>
      <c r="DG842">
        <f t="shared" si="23"/>
      </c>
      <c r="DH842">
        <f t="shared" si="24"/>
      </c>
      <c r="DI842">
        <f t="shared" si="1"/>
      </c>
    </row>
    <row r="843" ht="15" customHeight="1">
      <c r="B843">
        <f t="shared" si="2"/>
      </c>
      <c r="R843">
        <f t="shared" si="3"/>
        <v>0</v>
      </c>
      <c r="S843">
        <f t="shared" si="4"/>
        <v>0</v>
      </c>
      <c r="T843">
        <f t="shared" si="5"/>
        <v>0</v>
      </c>
      <c r="U843">
        <f t="shared" si="6"/>
        <v>0</v>
      </c>
      <c r="V843">
        <f t="shared" si="7"/>
        <v>0</v>
      </c>
      <c r="W843">
        <f t="shared" si="8"/>
        <v>0</v>
      </c>
      <c r="X843">
        <f t="shared" si="9"/>
        <v>0</v>
      </c>
      <c r="Y843">
        <f t="shared" si="10"/>
        <v>0</v>
      </c>
      <c r="Z843">
        <f t="shared" si="11"/>
        <v>0</v>
      </c>
      <c r="AA843">
        <f t="shared" si="12"/>
        <v>0</v>
      </c>
      <c r="AB843">
        <f t="shared" si="13"/>
        <v>0</v>
      </c>
      <c r="AC843">
        <f t="shared" si="14"/>
        <v>0</v>
      </c>
      <c r="AE843">
        <f t="shared" si="0"/>
      </c>
      <c r="AV843">
        <f t="shared" si="15"/>
      </c>
      <c r="BM843">
        <f t="shared" si="16"/>
      </c>
      <c r="CD843">
        <f t="shared" si="0"/>
      </c>
      <c r="CZ843">
        <f t="shared" si="17"/>
      </c>
      <c r="DA843">
        <f t="shared" si="1"/>
      </c>
      <c r="DB843">
        <f t="shared" si="18"/>
      </c>
      <c r="DC843">
        <f t="shared" si="19"/>
      </c>
      <c r="DD843">
        <f t="shared" si="20"/>
      </c>
      <c r="DE843">
        <f t="shared" si="21"/>
      </c>
      <c r="DF843">
        <f t="shared" si="22"/>
      </c>
      <c r="DG843">
        <f t="shared" si="23"/>
      </c>
      <c r="DH843">
        <f t="shared" si="24"/>
      </c>
      <c r="DI843">
        <f t="shared" si="1"/>
      </c>
    </row>
    <row r="844" ht="15" customHeight="1">
      <c r="B844">
        <f t="shared" si="2"/>
      </c>
      <c r="R844">
        <f t="shared" si="3"/>
        <v>0</v>
      </c>
      <c r="S844">
        <f t="shared" si="4"/>
        <v>0</v>
      </c>
      <c r="T844">
        <f t="shared" si="5"/>
        <v>0</v>
      </c>
      <c r="U844">
        <f t="shared" si="6"/>
        <v>0</v>
      </c>
      <c r="V844">
        <f t="shared" si="7"/>
        <v>0</v>
      </c>
      <c r="W844">
        <f t="shared" si="8"/>
        <v>0</v>
      </c>
      <c r="X844">
        <f t="shared" si="9"/>
        <v>0</v>
      </c>
      <c r="Y844">
        <f t="shared" si="10"/>
        <v>0</v>
      </c>
      <c r="Z844">
        <f t="shared" si="11"/>
        <v>0</v>
      </c>
      <c r="AA844">
        <f t="shared" si="12"/>
        <v>0</v>
      </c>
      <c r="AB844">
        <f t="shared" si="13"/>
        <v>0</v>
      </c>
      <c r="AC844">
        <f t="shared" si="14"/>
        <v>0</v>
      </c>
      <c r="AE844">
        <f t="shared" si="0"/>
      </c>
      <c r="AV844">
        <f t="shared" si="15"/>
      </c>
      <c r="BM844">
        <f t="shared" si="16"/>
      </c>
      <c r="CD844">
        <f t="shared" si="0"/>
      </c>
      <c r="CZ844">
        <f t="shared" si="17"/>
      </c>
      <c r="DA844">
        <f t="shared" si="1"/>
      </c>
      <c r="DB844">
        <f t="shared" si="18"/>
      </c>
      <c r="DC844">
        <f t="shared" si="19"/>
      </c>
      <c r="DD844">
        <f t="shared" si="20"/>
      </c>
      <c r="DE844">
        <f t="shared" si="21"/>
      </c>
      <c r="DF844">
        <f t="shared" si="22"/>
      </c>
      <c r="DG844">
        <f t="shared" si="23"/>
      </c>
      <c r="DH844">
        <f t="shared" si="24"/>
      </c>
      <c r="DI844">
        <f t="shared" si="1"/>
      </c>
    </row>
    <row r="845" ht="15" customHeight="1">
      <c r="B845">
        <f t="shared" si="2"/>
      </c>
      <c r="R845">
        <f t="shared" si="3"/>
        <v>0</v>
      </c>
      <c r="S845">
        <f t="shared" si="4"/>
        <v>0</v>
      </c>
      <c r="T845">
        <f t="shared" si="5"/>
        <v>0</v>
      </c>
      <c r="U845">
        <f t="shared" si="6"/>
        <v>0</v>
      </c>
      <c r="V845">
        <f t="shared" si="7"/>
        <v>0</v>
      </c>
      <c r="W845">
        <f t="shared" si="8"/>
        <v>0</v>
      </c>
      <c r="X845">
        <f t="shared" si="9"/>
        <v>0</v>
      </c>
      <c r="Y845">
        <f t="shared" si="10"/>
        <v>0</v>
      </c>
      <c r="Z845">
        <f t="shared" si="11"/>
        <v>0</v>
      </c>
      <c r="AA845">
        <f t="shared" si="12"/>
        <v>0</v>
      </c>
      <c r="AB845">
        <f t="shared" si="13"/>
        <v>0</v>
      </c>
      <c r="AC845">
        <f t="shared" si="14"/>
        <v>0</v>
      </c>
      <c r="AE845">
        <f t="shared" si="0"/>
      </c>
      <c r="AV845">
        <f t="shared" si="15"/>
      </c>
      <c r="BM845">
        <f t="shared" si="16"/>
      </c>
      <c r="CD845">
        <f t="shared" si="0"/>
      </c>
      <c r="CZ845">
        <f t="shared" si="17"/>
      </c>
      <c r="DA845">
        <f t="shared" si="1"/>
      </c>
      <c r="DB845">
        <f t="shared" si="18"/>
      </c>
      <c r="DC845">
        <f t="shared" si="19"/>
      </c>
      <c r="DD845">
        <f t="shared" si="20"/>
      </c>
      <c r="DE845">
        <f t="shared" si="21"/>
      </c>
      <c r="DF845">
        <f t="shared" si="22"/>
      </c>
      <c r="DG845">
        <f t="shared" si="23"/>
      </c>
      <c r="DH845">
        <f t="shared" si="24"/>
      </c>
      <c r="DI845">
        <f t="shared" si="1"/>
      </c>
    </row>
    <row r="846" ht="15" customHeight="1">
      <c r="B846">
        <f t="shared" si="2"/>
      </c>
      <c r="R846">
        <f t="shared" si="3"/>
        <v>0</v>
      </c>
      <c r="S846">
        <f t="shared" si="4"/>
        <v>0</v>
      </c>
      <c r="T846">
        <f t="shared" si="5"/>
        <v>0</v>
      </c>
      <c r="U846">
        <f t="shared" si="6"/>
        <v>0</v>
      </c>
      <c r="V846">
        <f t="shared" si="7"/>
        <v>0</v>
      </c>
      <c r="W846">
        <f t="shared" si="8"/>
        <v>0</v>
      </c>
      <c r="X846">
        <f t="shared" si="9"/>
        <v>0</v>
      </c>
      <c r="Y846">
        <f t="shared" si="10"/>
        <v>0</v>
      </c>
      <c r="Z846">
        <f t="shared" si="11"/>
        <v>0</v>
      </c>
      <c r="AA846">
        <f t="shared" si="12"/>
        <v>0</v>
      </c>
      <c r="AB846">
        <f t="shared" si="13"/>
        <v>0</v>
      </c>
      <c r="AC846">
        <f t="shared" si="14"/>
        <v>0</v>
      </c>
      <c r="AE846">
        <f t="shared" si="0"/>
      </c>
      <c r="AV846">
        <f t="shared" si="15"/>
      </c>
      <c r="BM846">
        <f t="shared" si="16"/>
      </c>
      <c r="CD846">
        <f t="shared" si="0"/>
      </c>
      <c r="CZ846">
        <f t="shared" si="17"/>
      </c>
      <c r="DA846">
        <f t="shared" si="1"/>
      </c>
      <c r="DB846">
        <f t="shared" si="18"/>
      </c>
      <c r="DC846">
        <f t="shared" si="19"/>
      </c>
      <c r="DD846">
        <f t="shared" si="20"/>
      </c>
      <c r="DE846">
        <f t="shared" si="21"/>
      </c>
      <c r="DF846">
        <f t="shared" si="22"/>
      </c>
      <c r="DG846">
        <f t="shared" si="23"/>
      </c>
      <c r="DH846">
        <f t="shared" si="24"/>
      </c>
      <c r="DI846">
        <f t="shared" si="1"/>
      </c>
    </row>
    <row r="847" ht="15" customHeight="1">
      <c r="B847">
        <f t="shared" si="2"/>
      </c>
      <c r="R847">
        <f t="shared" si="3"/>
        <v>0</v>
      </c>
      <c r="S847">
        <f t="shared" si="4"/>
        <v>0</v>
      </c>
      <c r="T847">
        <f t="shared" si="5"/>
        <v>0</v>
      </c>
      <c r="U847">
        <f t="shared" si="6"/>
        <v>0</v>
      </c>
      <c r="V847">
        <f t="shared" si="7"/>
        <v>0</v>
      </c>
      <c r="W847">
        <f t="shared" si="8"/>
        <v>0</v>
      </c>
      <c r="X847">
        <f t="shared" si="9"/>
        <v>0</v>
      </c>
      <c r="Y847">
        <f t="shared" si="10"/>
        <v>0</v>
      </c>
      <c r="Z847">
        <f t="shared" si="11"/>
        <v>0</v>
      </c>
      <c r="AA847">
        <f t="shared" si="12"/>
        <v>0</v>
      </c>
      <c r="AB847">
        <f t="shared" si="13"/>
        <v>0</v>
      </c>
      <c r="AC847">
        <f t="shared" si="14"/>
        <v>0</v>
      </c>
      <c r="AE847">
        <f t="shared" si="0"/>
      </c>
      <c r="AV847">
        <f t="shared" si="15"/>
      </c>
      <c r="BM847">
        <f t="shared" si="16"/>
      </c>
      <c r="CD847">
        <f t="shared" si="0"/>
      </c>
      <c r="CZ847">
        <f t="shared" si="17"/>
      </c>
      <c r="DA847">
        <f t="shared" si="1"/>
      </c>
      <c r="DB847">
        <f t="shared" si="18"/>
      </c>
      <c r="DC847">
        <f t="shared" si="19"/>
      </c>
      <c r="DD847">
        <f t="shared" si="20"/>
      </c>
      <c r="DE847">
        <f t="shared" si="21"/>
      </c>
      <c r="DF847">
        <f t="shared" si="22"/>
      </c>
      <c r="DG847">
        <f t="shared" si="23"/>
      </c>
      <c r="DH847">
        <f t="shared" si="24"/>
      </c>
      <c r="DI847">
        <f t="shared" si="1"/>
      </c>
    </row>
    <row r="848" ht="15" customHeight="1">
      <c r="B848">
        <f t="shared" si="2"/>
      </c>
      <c r="R848">
        <f t="shared" si="3"/>
        <v>0</v>
      </c>
      <c r="S848">
        <f t="shared" si="4"/>
        <v>0</v>
      </c>
      <c r="T848">
        <f t="shared" si="5"/>
        <v>0</v>
      </c>
      <c r="U848">
        <f t="shared" si="6"/>
        <v>0</v>
      </c>
      <c r="V848">
        <f t="shared" si="7"/>
        <v>0</v>
      </c>
      <c r="W848">
        <f t="shared" si="8"/>
        <v>0</v>
      </c>
      <c r="X848">
        <f t="shared" si="9"/>
        <v>0</v>
      </c>
      <c r="Y848">
        <f t="shared" si="10"/>
        <v>0</v>
      </c>
      <c r="Z848">
        <f t="shared" si="11"/>
        <v>0</v>
      </c>
      <c r="AA848">
        <f t="shared" si="12"/>
        <v>0</v>
      </c>
      <c r="AB848">
        <f t="shared" si="13"/>
        <v>0</v>
      </c>
      <c r="AC848">
        <f t="shared" si="14"/>
        <v>0</v>
      </c>
      <c r="AE848">
        <f t="shared" si="0"/>
      </c>
      <c r="AV848">
        <f t="shared" si="15"/>
      </c>
      <c r="BM848">
        <f t="shared" si="16"/>
      </c>
      <c r="CD848">
        <f t="shared" si="0"/>
      </c>
      <c r="CZ848">
        <f t="shared" si="17"/>
      </c>
      <c r="DA848">
        <f t="shared" si="1"/>
      </c>
      <c r="DB848">
        <f t="shared" si="18"/>
      </c>
      <c r="DC848">
        <f t="shared" si="19"/>
      </c>
      <c r="DD848">
        <f t="shared" si="20"/>
      </c>
      <c r="DE848">
        <f t="shared" si="21"/>
      </c>
      <c r="DF848">
        <f t="shared" si="22"/>
      </c>
      <c r="DG848">
        <f t="shared" si="23"/>
      </c>
      <c r="DH848">
        <f t="shared" si="24"/>
      </c>
      <c r="DI848">
        <f t="shared" si="1"/>
      </c>
    </row>
    <row r="849" ht="15" customHeight="1">
      <c r="B849">
        <f t="shared" si="2"/>
      </c>
      <c r="R849">
        <f t="shared" si="3"/>
        <v>0</v>
      </c>
      <c r="S849">
        <f t="shared" si="4"/>
        <v>0</v>
      </c>
      <c r="T849">
        <f t="shared" si="5"/>
        <v>0</v>
      </c>
      <c r="U849">
        <f t="shared" si="6"/>
        <v>0</v>
      </c>
      <c r="V849">
        <f t="shared" si="7"/>
        <v>0</v>
      </c>
      <c r="W849">
        <f t="shared" si="8"/>
        <v>0</v>
      </c>
      <c r="X849">
        <f t="shared" si="9"/>
        <v>0</v>
      </c>
      <c r="Y849">
        <f t="shared" si="10"/>
        <v>0</v>
      </c>
      <c r="Z849">
        <f t="shared" si="11"/>
        <v>0</v>
      </c>
      <c r="AA849">
        <f t="shared" si="12"/>
        <v>0</v>
      </c>
      <c r="AB849">
        <f t="shared" si="13"/>
        <v>0</v>
      </c>
      <c r="AC849">
        <f t="shared" si="14"/>
        <v>0</v>
      </c>
      <c r="AE849">
        <f t="shared" si="0"/>
      </c>
      <c r="AV849">
        <f t="shared" si="15"/>
      </c>
      <c r="BM849">
        <f t="shared" si="16"/>
      </c>
      <c r="CD849">
        <f t="shared" si="0"/>
      </c>
      <c r="CZ849">
        <f t="shared" si="17"/>
      </c>
      <c r="DA849">
        <f t="shared" si="1"/>
      </c>
      <c r="DB849">
        <f t="shared" si="18"/>
      </c>
      <c r="DC849">
        <f t="shared" si="19"/>
      </c>
      <c r="DD849">
        <f t="shared" si="20"/>
      </c>
      <c r="DE849">
        <f t="shared" si="21"/>
      </c>
      <c r="DF849">
        <f t="shared" si="22"/>
      </c>
      <c r="DG849">
        <f t="shared" si="23"/>
      </c>
      <c r="DH849">
        <f t="shared" si="24"/>
      </c>
      <c r="DI849">
        <f t="shared" si="1"/>
      </c>
    </row>
    <row r="850" ht="15" customHeight="1">
      <c r="B850">
        <f t="shared" si="2"/>
      </c>
      <c r="R850">
        <f t="shared" si="3"/>
        <v>0</v>
      </c>
      <c r="S850">
        <f t="shared" si="4"/>
        <v>0</v>
      </c>
      <c r="T850">
        <f t="shared" si="5"/>
        <v>0</v>
      </c>
      <c r="U850">
        <f t="shared" si="6"/>
        <v>0</v>
      </c>
      <c r="V850">
        <f t="shared" si="7"/>
        <v>0</v>
      </c>
      <c r="W850">
        <f t="shared" si="8"/>
        <v>0</v>
      </c>
      <c r="X850">
        <f t="shared" si="9"/>
        <v>0</v>
      </c>
      <c r="Y850">
        <f t="shared" si="10"/>
        <v>0</v>
      </c>
      <c r="Z850">
        <f t="shared" si="11"/>
        <v>0</v>
      </c>
      <c r="AA850">
        <f t="shared" si="12"/>
        <v>0</v>
      </c>
      <c r="AB850">
        <f t="shared" si="13"/>
        <v>0</v>
      </c>
      <c r="AC850">
        <f t="shared" si="14"/>
        <v>0</v>
      </c>
      <c r="AE850">
        <f t="shared" si="0"/>
      </c>
      <c r="AV850">
        <f t="shared" si="15"/>
      </c>
      <c r="BM850">
        <f t="shared" si="16"/>
      </c>
      <c r="CD850">
        <f t="shared" si="0"/>
      </c>
      <c r="CZ850">
        <f t="shared" si="17"/>
      </c>
      <c r="DA850">
        <f t="shared" si="1"/>
      </c>
      <c r="DB850">
        <f t="shared" si="18"/>
      </c>
      <c r="DC850">
        <f t="shared" si="19"/>
      </c>
      <c r="DD850">
        <f t="shared" si="20"/>
      </c>
      <c r="DE850">
        <f t="shared" si="21"/>
      </c>
      <c r="DF850">
        <f t="shared" si="22"/>
      </c>
      <c r="DG850">
        <f t="shared" si="23"/>
      </c>
      <c r="DH850">
        <f t="shared" si="24"/>
      </c>
      <c r="DI850">
        <f t="shared" si="1"/>
      </c>
    </row>
    <row r="851" ht="15" customHeight="1">
      <c r="B851">
        <f t="shared" si="2"/>
      </c>
      <c r="R851">
        <f t="shared" si="3"/>
        <v>0</v>
      </c>
      <c r="S851">
        <f t="shared" si="4"/>
        <v>0</v>
      </c>
      <c r="T851">
        <f t="shared" si="5"/>
        <v>0</v>
      </c>
      <c r="U851">
        <f t="shared" si="6"/>
        <v>0</v>
      </c>
      <c r="V851">
        <f t="shared" si="7"/>
        <v>0</v>
      </c>
      <c r="W851">
        <f t="shared" si="8"/>
        <v>0</v>
      </c>
      <c r="X851">
        <f t="shared" si="9"/>
        <v>0</v>
      </c>
      <c r="Y851">
        <f t="shared" si="10"/>
        <v>0</v>
      </c>
      <c r="Z851">
        <f t="shared" si="11"/>
        <v>0</v>
      </c>
      <c r="AA851">
        <f t="shared" si="12"/>
        <v>0</v>
      </c>
      <c r="AB851">
        <f t="shared" si="13"/>
        <v>0</v>
      </c>
      <c r="AC851">
        <f t="shared" si="14"/>
        <v>0</v>
      </c>
      <c r="AE851">
        <f t="shared" si="0"/>
      </c>
      <c r="AV851">
        <f t="shared" si="15"/>
      </c>
      <c r="BM851">
        <f t="shared" si="16"/>
      </c>
      <c r="CD851">
        <f t="shared" si="0"/>
      </c>
      <c r="CZ851">
        <f t="shared" si="17"/>
      </c>
      <c r="DA851">
        <f t="shared" si="1"/>
      </c>
      <c r="DB851">
        <f t="shared" si="18"/>
      </c>
      <c r="DC851">
        <f t="shared" si="19"/>
      </c>
      <c r="DD851">
        <f t="shared" si="20"/>
      </c>
      <c r="DE851">
        <f t="shared" si="21"/>
      </c>
      <c r="DF851">
        <f t="shared" si="22"/>
      </c>
      <c r="DG851">
        <f t="shared" si="23"/>
      </c>
      <c r="DH851">
        <f t="shared" si="24"/>
      </c>
      <c r="DI851">
        <f t="shared" si="1"/>
      </c>
    </row>
    <row r="852" ht="15" customHeight="1">
      <c r="B852">
        <f t="shared" si="2"/>
      </c>
      <c r="R852">
        <f t="shared" si="3"/>
        <v>0</v>
      </c>
      <c r="S852">
        <f t="shared" si="4"/>
        <v>0</v>
      </c>
      <c r="T852">
        <f t="shared" si="5"/>
        <v>0</v>
      </c>
      <c r="U852">
        <f t="shared" si="6"/>
        <v>0</v>
      </c>
      <c r="V852">
        <f t="shared" si="7"/>
        <v>0</v>
      </c>
      <c r="W852">
        <f t="shared" si="8"/>
        <v>0</v>
      </c>
      <c r="X852">
        <f t="shared" si="9"/>
        <v>0</v>
      </c>
      <c r="Y852">
        <f t="shared" si="10"/>
        <v>0</v>
      </c>
      <c r="Z852">
        <f t="shared" si="11"/>
        <v>0</v>
      </c>
      <c r="AA852">
        <f t="shared" si="12"/>
        <v>0</v>
      </c>
      <c r="AB852">
        <f t="shared" si="13"/>
        <v>0</v>
      </c>
      <c r="AC852">
        <f t="shared" si="14"/>
        <v>0</v>
      </c>
      <c r="AE852">
        <f t="shared" si="0"/>
      </c>
      <c r="AV852">
        <f t="shared" si="15"/>
      </c>
      <c r="BM852">
        <f t="shared" si="16"/>
      </c>
      <c r="CD852">
        <f t="shared" si="0"/>
      </c>
      <c r="CZ852">
        <f t="shared" si="17"/>
      </c>
      <c r="DA852">
        <f t="shared" si="1"/>
      </c>
      <c r="DB852">
        <f t="shared" si="18"/>
      </c>
      <c r="DC852">
        <f t="shared" si="19"/>
      </c>
      <c r="DD852">
        <f t="shared" si="20"/>
      </c>
      <c r="DE852">
        <f t="shared" si="21"/>
      </c>
      <c r="DF852">
        <f t="shared" si="22"/>
      </c>
      <c r="DG852">
        <f t="shared" si="23"/>
      </c>
      <c r="DH852">
        <f t="shared" si="24"/>
      </c>
      <c r="DI852">
        <f t="shared" si="1"/>
      </c>
    </row>
    <row r="853" ht="15" customHeight="1">
      <c r="B853">
        <f t="shared" si="2"/>
      </c>
      <c r="R853">
        <f t="shared" si="3"/>
        <v>0</v>
      </c>
      <c r="S853">
        <f t="shared" si="4"/>
        <v>0</v>
      </c>
      <c r="T853">
        <f t="shared" si="5"/>
        <v>0</v>
      </c>
      <c r="U853">
        <f t="shared" si="6"/>
        <v>0</v>
      </c>
      <c r="V853">
        <f t="shared" si="7"/>
        <v>0</v>
      </c>
      <c r="W853">
        <f t="shared" si="8"/>
        <v>0</v>
      </c>
      <c r="X853">
        <f t="shared" si="9"/>
        <v>0</v>
      </c>
      <c r="Y853">
        <f t="shared" si="10"/>
        <v>0</v>
      </c>
      <c r="Z853">
        <f t="shared" si="11"/>
        <v>0</v>
      </c>
      <c r="AA853">
        <f t="shared" si="12"/>
        <v>0</v>
      </c>
      <c r="AB853">
        <f t="shared" si="13"/>
        <v>0</v>
      </c>
      <c r="AC853">
        <f t="shared" si="14"/>
        <v>0</v>
      </c>
      <c r="AE853">
        <f t="shared" si="0"/>
      </c>
      <c r="AV853">
        <f t="shared" si="15"/>
      </c>
      <c r="BM853">
        <f t="shared" si="16"/>
      </c>
      <c r="CD853">
        <f t="shared" si="0"/>
      </c>
      <c r="CZ853">
        <f t="shared" si="17"/>
      </c>
      <c r="DA853">
        <f t="shared" si="1"/>
      </c>
      <c r="DB853">
        <f t="shared" si="18"/>
      </c>
      <c r="DC853">
        <f t="shared" si="19"/>
      </c>
      <c r="DD853">
        <f t="shared" si="20"/>
      </c>
      <c r="DE853">
        <f t="shared" si="21"/>
      </c>
      <c r="DF853">
        <f t="shared" si="22"/>
      </c>
      <c r="DG853">
        <f t="shared" si="23"/>
      </c>
      <c r="DH853">
        <f t="shared" si="24"/>
      </c>
      <c r="DI853">
        <f t="shared" si="1"/>
      </c>
    </row>
    <row r="854" ht="15" customHeight="1">
      <c r="B854">
        <f t="shared" si="2"/>
      </c>
      <c r="R854">
        <f t="shared" si="3"/>
        <v>0</v>
      </c>
      <c r="S854">
        <f t="shared" si="4"/>
        <v>0</v>
      </c>
      <c r="T854">
        <f t="shared" si="5"/>
        <v>0</v>
      </c>
      <c r="U854">
        <f t="shared" si="6"/>
        <v>0</v>
      </c>
      <c r="V854">
        <f t="shared" si="7"/>
        <v>0</v>
      </c>
      <c r="W854">
        <f t="shared" si="8"/>
        <v>0</v>
      </c>
      <c r="X854">
        <f t="shared" si="9"/>
        <v>0</v>
      </c>
      <c r="Y854">
        <f t="shared" si="10"/>
        <v>0</v>
      </c>
      <c r="Z854">
        <f t="shared" si="11"/>
        <v>0</v>
      </c>
      <c r="AA854">
        <f t="shared" si="12"/>
        <v>0</v>
      </c>
      <c r="AB854">
        <f t="shared" si="13"/>
        <v>0</v>
      </c>
      <c r="AC854">
        <f t="shared" si="14"/>
        <v>0</v>
      </c>
      <c r="AE854">
        <f t="shared" si="0"/>
      </c>
      <c r="AV854">
        <f t="shared" si="15"/>
      </c>
      <c r="BM854">
        <f t="shared" si="16"/>
      </c>
      <c r="CD854">
        <f t="shared" si="0"/>
      </c>
      <c r="CZ854">
        <f t="shared" si="17"/>
      </c>
      <c r="DA854">
        <f t="shared" si="1"/>
      </c>
      <c r="DB854">
        <f t="shared" si="18"/>
      </c>
      <c r="DC854">
        <f t="shared" si="19"/>
      </c>
      <c r="DD854">
        <f t="shared" si="20"/>
      </c>
      <c r="DE854">
        <f t="shared" si="21"/>
      </c>
      <c r="DF854">
        <f t="shared" si="22"/>
      </c>
      <c r="DG854">
        <f t="shared" si="23"/>
      </c>
      <c r="DH854">
        <f t="shared" si="24"/>
      </c>
      <c r="DI854">
        <f t="shared" si="1"/>
      </c>
    </row>
    <row r="855" ht="15" customHeight="1">
      <c r="B855">
        <f t="shared" si="2"/>
      </c>
      <c r="R855">
        <f t="shared" si="3"/>
        <v>0</v>
      </c>
      <c r="S855">
        <f t="shared" si="4"/>
        <v>0</v>
      </c>
      <c r="T855">
        <f t="shared" si="5"/>
        <v>0</v>
      </c>
      <c r="U855">
        <f t="shared" si="6"/>
        <v>0</v>
      </c>
      <c r="V855">
        <f t="shared" si="7"/>
        <v>0</v>
      </c>
      <c r="W855">
        <f t="shared" si="8"/>
        <v>0</v>
      </c>
      <c r="X855">
        <f t="shared" si="9"/>
        <v>0</v>
      </c>
      <c r="Y855">
        <f t="shared" si="10"/>
        <v>0</v>
      </c>
      <c r="Z855">
        <f t="shared" si="11"/>
        <v>0</v>
      </c>
      <c r="AA855">
        <f t="shared" si="12"/>
        <v>0</v>
      </c>
      <c r="AB855">
        <f t="shared" si="13"/>
        <v>0</v>
      </c>
      <c r="AC855">
        <f t="shared" si="14"/>
        <v>0</v>
      </c>
      <c r="AE855">
        <f t="shared" si="0"/>
      </c>
      <c r="AV855">
        <f t="shared" si="15"/>
      </c>
      <c r="BM855">
        <f t="shared" si="16"/>
      </c>
      <c r="CD855">
        <f t="shared" si="0"/>
      </c>
      <c r="CZ855">
        <f t="shared" si="17"/>
      </c>
      <c r="DA855">
        <f t="shared" si="1"/>
      </c>
      <c r="DB855">
        <f t="shared" si="18"/>
      </c>
      <c r="DC855">
        <f t="shared" si="19"/>
      </c>
      <c r="DD855">
        <f t="shared" si="20"/>
      </c>
      <c r="DE855">
        <f t="shared" si="21"/>
      </c>
      <c r="DF855">
        <f t="shared" si="22"/>
      </c>
      <c r="DG855">
        <f t="shared" si="23"/>
      </c>
      <c r="DH855">
        <f t="shared" si="24"/>
      </c>
      <c r="DI855">
        <f t="shared" si="1"/>
      </c>
    </row>
    <row r="856" ht="15" customHeight="1">
      <c r="B856">
        <f t="shared" si="2"/>
      </c>
      <c r="R856">
        <f t="shared" si="3"/>
        <v>0</v>
      </c>
      <c r="S856">
        <f t="shared" si="4"/>
        <v>0</v>
      </c>
      <c r="T856">
        <f t="shared" si="5"/>
        <v>0</v>
      </c>
      <c r="U856">
        <f t="shared" si="6"/>
        <v>0</v>
      </c>
      <c r="V856">
        <f t="shared" si="7"/>
        <v>0</v>
      </c>
      <c r="W856">
        <f t="shared" si="8"/>
        <v>0</v>
      </c>
      <c r="X856">
        <f t="shared" si="9"/>
        <v>0</v>
      </c>
      <c r="Y856">
        <f t="shared" si="10"/>
        <v>0</v>
      </c>
      <c r="Z856">
        <f t="shared" si="11"/>
        <v>0</v>
      </c>
      <c r="AA856">
        <f t="shared" si="12"/>
        <v>0</v>
      </c>
      <c r="AB856">
        <f t="shared" si="13"/>
        <v>0</v>
      </c>
      <c r="AC856">
        <f t="shared" si="14"/>
        <v>0</v>
      </c>
      <c r="AE856">
        <f t="shared" si="0"/>
      </c>
      <c r="AV856">
        <f t="shared" si="15"/>
      </c>
      <c r="BM856">
        <f t="shared" si="16"/>
      </c>
      <c r="CD856">
        <f t="shared" si="0"/>
      </c>
      <c r="CZ856">
        <f t="shared" si="17"/>
      </c>
      <c r="DA856">
        <f t="shared" si="1"/>
      </c>
      <c r="DB856">
        <f t="shared" si="18"/>
      </c>
      <c r="DC856">
        <f t="shared" si="19"/>
      </c>
      <c r="DD856">
        <f t="shared" si="20"/>
      </c>
      <c r="DE856">
        <f t="shared" si="21"/>
      </c>
      <c r="DF856">
        <f t="shared" si="22"/>
      </c>
      <c r="DG856">
        <f t="shared" si="23"/>
      </c>
      <c r="DH856">
        <f t="shared" si="24"/>
      </c>
      <c r="DI856">
        <f t="shared" si="1"/>
      </c>
    </row>
    <row r="857" ht="15" customHeight="1">
      <c r="B857">
        <f t="shared" si="2"/>
      </c>
      <c r="R857">
        <f t="shared" si="3"/>
        <v>0</v>
      </c>
      <c r="S857">
        <f t="shared" si="4"/>
        <v>0</v>
      </c>
      <c r="T857">
        <f t="shared" si="5"/>
        <v>0</v>
      </c>
      <c r="U857">
        <f t="shared" si="6"/>
        <v>0</v>
      </c>
      <c r="V857">
        <f t="shared" si="7"/>
        <v>0</v>
      </c>
      <c r="W857">
        <f t="shared" si="8"/>
        <v>0</v>
      </c>
      <c r="X857">
        <f t="shared" si="9"/>
        <v>0</v>
      </c>
      <c r="Y857">
        <f t="shared" si="10"/>
        <v>0</v>
      </c>
      <c r="Z857">
        <f t="shared" si="11"/>
        <v>0</v>
      </c>
      <c r="AA857">
        <f t="shared" si="12"/>
        <v>0</v>
      </c>
      <c r="AB857">
        <f t="shared" si="13"/>
        <v>0</v>
      </c>
      <c r="AC857">
        <f t="shared" si="14"/>
        <v>0</v>
      </c>
      <c r="AE857">
        <f t="shared" si="0"/>
      </c>
      <c r="AV857">
        <f t="shared" si="15"/>
      </c>
      <c r="BM857">
        <f t="shared" si="16"/>
      </c>
      <c r="CD857">
        <f t="shared" si="0"/>
      </c>
      <c r="CZ857">
        <f t="shared" si="17"/>
      </c>
      <c r="DA857">
        <f t="shared" si="1"/>
      </c>
      <c r="DB857">
        <f t="shared" si="18"/>
      </c>
      <c r="DC857">
        <f t="shared" si="19"/>
      </c>
      <c r="DD857">
        <f t="shared" si="20"/>
      </c>
      <c r="DE857">
        <f t="shared" si="21"/>
      </c>
      <c r="DF857">
        <f t="shared" si="22"/>
      </c>
      <c r="DG857">
        <f t="shared" si="23"/>
      </c>
      <c r="DH857">
        <f t="shared" si="24"/>
      </c>
      <c r="DI857">
        <f t="shared" si="1"/>
      </c>
    </row>
    <row r="858" ht="15" customHeight="1">
      <c r="B858">
        <f t="shared" si="2"/>
      </c>
      <c r="R858">
        <f t="shared" si="3"/>
        <v>0</v>
      </c>
      <c r="S858">
        <f t="shared" si="4"/>
        <v>0</v>
      </c>
      <c r="T858">
        <f t="shared" si="5"/>
        <v>0</v>
      </c>
      <c r="U858">
        <f t="shared" si="6"/>
        <v>0</v>
      </c>
      <c r="V858">
        <f t="shared" si="7"/>
        <v>0</v>
      </c>
      <c r="W858">
        <f t="shared" si="8"/>
        <v>0</v>
      </c>
      <c r="X858">
        <f t="shared" si="9"/>
        <v>0</v>
      </c>
      <c r="Y858">
        <f t="shared" si="10"/>
        <v>0</v>
      </c>
      <c r="Z858">
        <f t="shared" si="11"/>
        <v>0</v>
      </c>
      <c r="AA858">
        <f t="shared" si="12"/>
        <v>0</v>
      </c>
      <c r="AB858">
        <f t="shared" si="13"/>
        <v>0</v>
      </c>
      <c r="AC858">
        <f t="shared" si="14"/>
        <v>0</v>
      </c>
      <c r="AE858">
        <f t="shared" si="0"/>
      </c>
      <c r="AV858">
        <f t="shared" si="15"/>
      </c>
      <c r="BM858">
        <f t="shared" si="16"/>
      </c>
      <c r="CD858">
        <f t="shared" si="0"/>
      </c>
      <c r="CZ858">
        <f t="shared" si="17"/>
      </c>
      <c r="DA858">
        <f t="shared" si="1"/>
      </c>
      <c r="DB858">
        <f t="shared" si="18"/>
      </c>
      <c r="DC858">
        <f t="shared" si="19"/>
      </c>
      <c r="DD858">
        <f t="shared" si="20"/>
      </c>
      <c r="DE858">
        <f t="shared" si="21"/>
      </c>
      <c r="DF858">
        <f t="shared" si="22"/>
      </c>
      <c r="DG858">
        <f t="shared" si="23"/>
      </c>
      <c r="DH858">
        <f t="shared" si="24"/>
      </c>
      <c r="DI858">
        <f t="shared" si="1"/>
      </c>
    </row>
    <row r="859" ht="15" customHeight="1">
      <c r="B859">
        <f t="shared" si="2"/>
      </c>
      <c r="R859">
        <f t="shared" si="3"/>
        <v>0</v>
      </c>
      <c r="S859">
        <f t="shared" si="4"/>
        <v>0</v>
      </c>
      <c r="T859">
        <f t="shared" si="5"/>
        <v>0</v>
      </c>
      <c r="U859">
        <f t="shared" si="6"/>
        <v>0</v>
      </c>
      <c r="V859">
        <f t="shared" si="7"/>
        <v>0</v>
      </c>
      <c r="W859">
        <f t="shared" si="8"/>
        <v>0</v>
      </c>
      <c r="X859">
        <f t="shared" si="9"/>
        <v>0</v>
      </c>
      <c r="Y859">
        <f t="shared" si="10"/>
        <v>0</v>
      </c>
      <c r="Z859">
        <f t="shared" si="11"/>
        <v>0</v>
      </c>
      <c r="AA859">
        <f t="shared" si="12"/>
        <v>0</v>
      </c>
      <c r="AB859">
        <f t="shared" si="13"/>
        <v>0</v>
      </c>
      <c r="AC859">
        <f t="shared" si="14"/>
        <v>0</v>
      </c>
      <c r="AE859">
        <f t="shared" si="0"/>
      </c>
      <c r="AV859">
        <f t="shared" si="15"/>
      </c>
      <c r="BM859">
        <f t="shared" si="16"/>
      </c>
      <c r="CD859">
        <f t="shared" si="0"/>
      </c>
      <c r="CZ859">
        <f t="shared" si="17"/>
      </c>
      <c r="DA859">
        <f t="shared" si="1"/>
      </c>
      <c r="DB859">
        <f t="shared" si="18"/>
      </c>
      <c r="DC859">
        <f t="shared" si="19"/>
      </c>
      <c r="DD859">
        <f t="shared" si="20"/>
      </c>
      <c r="DE859">
        <f t="shared" si="21"/>
      </c>
      <c r="DF859">
        <f t="shared" si="22"/>
      </c>
      <c r="DG859">
        <f t="shared" si="23"/>
      </c>
      <c r="DH859">
        <f t="shared" si="24"/>
      </c>
      <c r="DI859">
        <f t="shared" si="1"/>
      </c>
    </row>
    <row r="860" ht="15" customHeight="1">
      <c r="B860">
        <f t="shared" si="2"/>
      </c>
      <c r="R860">
        <f t="shared" si="3"/>
        <v>0</v>
      </c>
      <c r="S860">
        <f t="shared" si="4"/>
        <v>0</v>
      </c>
      <c r="T860">
        <f t="shared" si="5"/>
        <v>0</v>
      </c>
      <c r="U860">
        <f t="shared" si="6"/>
        <v>0</v>
      </c>
      <c r="V860">
        <f t="shared" si="7"/>
        <v>0</v>
      </c>
      <c r="W860">
        <f t="shared" si="8"/>
        <v>0</v>
      </c>
      <c r="X860">
        <f t="shared" si="9"/>
        <v>0</v>
      </c>
      <c r="Y860">
        <f t="shared" si="10"/>
        <v>0</v>
      </c>
      <c r="Z860">
        <f t="shared" si="11"/>
        <v>0</v>
      </c>
      <c r="AA860">
        <f t="shared" si="12"/>
        <v>0</v>
      </c>
      <c r="AB860">
        <f t="shared" si="13"/>
        <v>0</v>
      </c>
      <c r="AC860">
        <f t="shared" si="14"/>
        <v>0</v>
      </c>
      <c r="AE860">
        <f t="shared" si="0"/>
      </c>
      <c r="AV860">
        <f t="shared" si="15"/>
      </c>
      <c r="BM860">
        <f t="shared" si="16"/>
      </c>
      <c r="CD860">
        <f t="shared" si="0"/>
      </c>
      <c r="CZ860">
        <f t="shared" si="17"/>
      </c>
      <c r="DA860">
        <f t="shared" si="1"/>
      </c>
      <c r="DB860">
        <f t="shared" si="18"/>
      </c>
      <c r="DC860">
        <f t="shared" si="19"/>
      </c>
      <c r="DD860">
        <f t="shared" si="20"/>
      </c>
      <c r="DE860">
        <f t="shared" si="21"/>
      </c>
      <c r="DF860">
        <f t="shared" si="22"/>
      </c>
      <c r="DG860">
        <f t="shared" si="23"/>
      </c>
      <c r="DH860">
        <f t="shared" si="24"/>
      </c>
      <c r="DI860">
        <f t="shared" si="1"/>
      </c>
    </row>
    <row r="861" ht="15" customHeight="1">
      <c r="B861">
        <f t="shared" si="2"/>
      </c>
      <c r="R861">
        <f t="shared" si="3"/>
        <v>0</v>
      </c>
      <c r="S861">
        <f t="shared" si="4"/>
        <v>0</v>
      </c>
      <c r="T861">
        <f t="shared" si="5"/>
        <v>0</v>
      </c>
      <c r="U861">
        <f t="shared" si="6"/>
        <v>0</v>
      </c>
      <c r="V861">
        <f t="shared" si="7"/>
        <v>0</v>
      </c>
      <c r="W861">
        <f t="shared" si="8"/>
        <v>0</v>
      </c>
      <c r="X861">
        <f t="shared" si="9"/>
        <v>0</v>
      </c>
      <c r="Y861">
        <f t="shared" si="10"/>
        <v>0</v>
      </c>
      <c r="Z861">
        <f t="shared" si="11"/>
        <v>0</v>
      </c>
      <c r="AA861">
        <f t="shared" si="12"/>
        <v>0</v>
      </c>
      <c r="AB861">
        <f t="shared" si="13"/>
        <v>0</v>
      </c>
      <c r="AC861">
        <f t="shared" si="14"/>
        <v>0</v>
      </c>
      <c r="AE861">
        <f t="shared" si="0"/>
      </c>
      <c r="AV861">
        <f t="shared" si="15"/>
      </c>
      <c r="BM861">
        <f t="shared" si="16"/>
      </c>
      <c r="CD861">
        <f t="shared" si="0"/>
      </c>
      <c r="CZ861">
        <f t="shared" si="17"/>
      </c>
      <c r="DA861">
        <f t="shared" si="1"/>
      </c>
      <c r="DB861">
        <f t="shared" si="18"/>
      </c>
      <c r="DC861">
        <f t="shared" si="19"/>
      </c>
      <c r="DD861">
        <f t="shared" si="20"/>
      </c>
      <c r="DE861">
        <f t="shared" si="21"/>
      </c>
      <c r="DF861">
        <f t="shared" si="22"/>
      </c>
      <c r="DG861">
        <f t="shared" si="23"/>
      </c>
      <c r="DH861">
        <f t="shared" si="24"/>
      </c>
      <c r="DI861">
        <f t="shared" si="1"/>
      </c>
    </row>
    <row r="862" ht="15" customHeight="1">
      <c r="B862">
        <f t="shared" si="2"/>
      </c>
      <c r="R862">
        <f t="shared" si="3"/>
        <v>0</v>
      </c>
      <c r="S862">
        <f t="shared" si="4"/>
        <v>0</v>
      </c>
      <c r="T862">
        <f t="shared" si="5"/>
        <v>0</v>
      </c>
      <c r="U862">
        <f t="shared" si="6"/>
        <v>0</v>
      </c>
      <c r="V862">
        <f t="shared" si="7"/>
        <v>0</v>
      </c>
      <c r="W862">
        <f t="shared" si="8"/>
        <v>0</v>
      </c>
      <c r="X862">
        <f t="shared" si="9"/>
        <v>0</v>
      </c>
      <c r="Y862">
        <f t="shared" si="10"/>
        <v>0</v>
      </c>
      <c r="Z862">
        <f t="shared" si="11"/>
        <v>0</v>
      </c>
      <c r="AA862">
        <f t="shared" si="12"/>
        <v>0</v>
      </c>
      <c r="AB862">
        <f t="shared" si="13"/>
        <v>0</v>
      </c>
      <c r="AC862">
        <f t="shared" si="14"/>
        <v>0</v>
      </c>
      <c r="AE862">
        <f t="shared" si="0"/>
      </c>
      <c r="AV862">
        <f t="shared" si="15"/>
      </c>
      <c r="BM862">
        <f t="shared" si="16"/>
      </c>
      <c r="CD862">
        <f t="shared" si="0"/>
      </c>
      <c r="CZ862">
        <f t="shared" si="17"/>
      </c>
      <c r="DA862">
        <f t="shared" si="1"/>
      </c>
      <c r="DB862">
        <f t="shared" si="18"/>
      </c>
      <c r="DC862">
        <f t="shared" si="19"/>
      </c>
      <c r="DD862">
        <f t="shared" si="20"/>
      </c>
      <c r="DE862">
        <f t="shared" si="21"/>
      </c>
      <c r="DF862">
        <f t="shared" si="22"/>
      </c>
      <c r="DG862">
        <f t="shared" si="23"/>
      </c>
      <c r="DH862">
        <f t="shared" si="24"/>
      </c>
      <c r="DI862">
        <f t="shared" si="1"/>
      </c>
    </row>
    <row r="863" ht="15" customHeight="1">
      <c r="B863">
        <f t="shared" si="2"/>
      </c>
      <c r="R863">
        <f t="shared" si="3"/>
        <v>0</v>
      </c>
      <c r="S863">
        <f t="shared" si="4"/>
        <v>0</v>
      </c>
      <c r="T863">
        <f t="shared" si="5"/>
        <v>0</v>
      </c>
      <c r="U863">
        <f t="shared" si="6"/>
        <v>0</v>
      </c>
      <c r="V863">
        <f t="shared" si="7"/>
        <v>0</v>
      </c>
      <c r="W863">
        <f t="shared" si="8"/>
        <v>0</v>
      </c>
      <c r="X863">
        <f t="shared" si="9"/>
        <v>0</v>
      </c>
      <c r="Y863">
        <f t="shared" si="10"/>
        <v>0</v>
      </c>
      <c r="Z863">
        <f t="shared" si="11"/>
        <v>0</v>
      </c>
      <c r="AA863">
        <f t="shared" si="12"/>
        <v>0</v>
      </c>
      <c r="AB863">
        <f t="shared" si="13"/>
        <v>0</v>
      </c>
      <c r="AC863">
        <f t="shared" si="14"/>
        <v>0</v>
      </c>
      <c r="AE863">
        <f t="shared" si="0"/>
      </c>
      <c r="AV863">
        <f t="shared" si="15"/>
      </c>
      <c r="BM863">
        <f t="shared" si="16"/>
      </c>
      <c r="CD863">
        <f t="shared" si="0"/>
      </c>
      <c r="CZ863">
        <f t="shared" si="17"/>
      </c>
      <c r="DA863">
        <f t="shared" si="1"/>
      </c>
      <c r="DB863">
        <f t="shared" si="18"/>
      </c>
      <c r="DC863">
        <f t="shared" si="19"/>
      </c>
      <c r="DD863">
        <f t="shared" si="20"/>
      </c>
      <c r="DE863">
        <f t="shared" si="21"/>
      </c>
      <c r="DF863">
        <f t="shared" si="22"/>
      </c>
      <c r="DG863">
        <f t="shared" si="23"/>
      </c>
      <c r="DH863">
        <f t="shared" si="24"/>
      </c>
      <c r="DI863">
        <f t="shared" si="1"/>
      </c>
    </row>
    <row r="864" ht="15" customHeight="1">
      <c r="B864">
        <f t="shared" si="2"/>
      </c>
      <c r="R864">
        <f t="shared" si="3"/>
        <v>0</v>
      </c>
      <c r="S864">
        <f t="shared" si="4"/>
        <v>0</v>
      </c>
      <c r="T864">
        <f t="shared" si="5"/>
        <v>0</v>
      </c>
      <c r="U864">
        <f t="shared" si="6"/>
        <v>0</v>
      </c>
      <c r="V864">
        <f t="shared" si="7"/>
        <v>0</v>
      </c>
      <c r="W864">
        <f t="shared" si="8"/>
        <v>0</v>
      </c>
      <c r="X864">
        <f t="shared" si="9"/>
        <v>0</v>
      </c>
      <c r="Y864">
        <f t="shared" si="10"/>
        <v>0</v>
      </c>
      <c r="Z864">
        <f t="shared" si="11"/>
        <v>0</v>
      </c>
      <c r="AA864">
        <f t="shared" si="12"/>
        <v>0</v>
      </c>
      <c r="AB864">
        <f t="shared" si="13"/>
        <v>0</v>
      </c>
      <c r="AC864">
        <f t="shared" si="14"/>
        <v>0</v>
      </c>
      <c r="AE864">
        <f t="shared" si="0"/>
      </c>
      <c r="AV864">
        <f t="shared" si="15"/>
      </c>
      <c r="BM864">
        <f t="shared" si="16"/>
      </c>
      <c r="CD864">
        <f t="shared" si="0"/>
      </c>
      <c r="CZ864">
        <f t="shared" si="17"/>
      </c>
      <c r="DA864">
        <f t="shared" si="1"/>
      </c>
      <c r="DB864">
        <f t="shared" si="18"/>
      </c>
      <c r="DC864">
        <f t="shared" si="19"/>
      </c>
      <c r="DD864">
        <f t="shared" si="20"/>
      </c>
      <c r="DE864">
        <f t="shared" si="21"/>
      </c>
      <c r="DF864">
        <f t="shared" si="22"/>
      </c>
      <c r="DG864">
        <f t="shared" si="23"/>
      </c>
      <c r="DH864">
        <f t="shared" si="24"/>
      </c>
      <c r="DI864">
        <f t="shared" si="1"/>
      </c>
    </row>
    <row r="865" ht="15" customHeight="1">
      <c r="B865">
        <f t="shared" si="2"/>
      </c>
      <c r="R865">
        <f t="shared" si="3"/>
        <v>0</v>
      </c>
      <c r="S865">
        <f t="shared" si="4"/>
        <v>0</v>
      </c>
      <c r="T865">
        <f t="shared" si="5"/>
        <v>0</v>
      </c>
      <c r="U865">
        <f t="shared" si="6"/>
        <v>0</v>
      </c>
      <c r="V865">
        <f t="shared" si="7"/>
        <v>0</v>
      </c>
      <c r="W865">
        <f t="shared" si="8"/>
        <v>0</v>
      </c>
      <c r="X865">
        <f t="shared" si="9"/>
        <v>0</v>
      </c>
      <c r="Y865">
        <f t="shared" si="10"/>
        <v>0</v>
      </c>
      <c r="Z865">
        <f t="shared" si="11"/>
        <v>0</v>
      </c>
      <c r="AA865">
        <f t="shared" si="12"/>
        <v>0</v>
      </c>
      <c r="AB865">
        <f t="shared" si="13"/>
        <v>0</v>
      </c>
      <c r="AC865">
        <f t="shared" si="14"/>
        <v>0</v>
      </c>
      <c r="AE865">
        <f t="shared" si="0"/>
      </c>
      <c r="AV865">
        <f t="shared" si="15"/>
      </c>
      <c r="BM865">
        <f t="shared" si="16"/>
      </c>
      <c r="CD865">
        <f t="shared" si="0"/>
      </c>
      <c r="CZ865">
        <f t="shared" si="17"/>
      </c>
      <c r="DA865">
        <f t="shared" si="1"/>
      </c>
      <c r="DB865">
        <f t="shared" si="18"/>
      </c>
      <c r="DC865">
        <f t="shared" si="19"/>
      </c>
      <c r="DD865">
        <f t="shared" si="20"/>
      </c>
      <c r="DE865">
        <f t="shared" si="21"/>
      </c>
      <c r="DF865">
        <f t="shared" si="22"/>
      </c>
      <c r="DG865">
        <f t="shared" si="23"/>
      </c>
      <c r="DH865">
        <f t="shared" si="24"/>
      </c>
      <c r="DI865">
        <f t="shared" si="1"/>
      </c>
    </row>
    <row r="866" ht="15" customHeight="1">
      <c r="B866">
        <f t="shared" si="2"/>
      </c>
      <c r="R866">
        <f t="shared" si="3"/>
        <v>0</v>
      </c>
      <c r="S866">
        <f t="shared" si="4"/>
        <v>0</v>
      </c>
      <c r="T866">
        <f t="shared" si="5"/>
        <v>0</v>
      </c>
      <c r="U866">
        <f t="shared" si="6"/>
        <v>0</v>
      </c>
      <c r="V866">
        <f t="shared" si="7"/>
        <v>0</v>
      </c>
      <c r="W866">
        <f t="shared" si="8"/>
        <v>0</v>
      </c>
      <c r="X866">
        <f t="shared" si="9"/>
        <v>0</v>
      </c>
      <c r="Y866">
        <f t="shared" si="10"/>
        <v>0</v>
      </c>
      <c r="Z866">
        <f t="shared" si="11"/>
        <v>0</v>
      </c>
      <c r="AA866">
        <f t="shared" si="12"/>
        <v>0</v>
      </c>
      <c r="AB866">
        <f t="shared" si="13"/>
        <v>0</v>
      </c>
      <c r="AC866">
        <f t="shared" si="14"/>
        <v>0</v>
      </c>
      <c r="AE866">
        <f t="shared" si="0"/>
      </c>
      <c r="AV866">
        <f t="shared" si="15"/>
      </c>
      <c r="BM866">
        <f t="shared" si="16"/>
      </c>
      <c r="CD866">
        <f t="shared" si="0"/>
      </c>
      <c r="CZ866">
        <f t="shared" si="17"/>
      </c>
      <c r="DA866">
        <f t="shared" si="1"/>
      </c>
      <c r="DB866">
        <f t="shared" si="18"/>
      </c>
      <c r="DC866">
        <f t="shared" si="19"/>
      </c>
      <c r="DD866">
        <f t="shared" si="20"/>
      </c>
      <c r="DE866">
        <f t="shared" si="21"/>
      </c>
      <c r="DF866">
        <f t="shared" si="22"/>
      </c>
      <c r="DG866">
        <f t="shared" si="23"/>
      </c>
      <c r="DH866">
        <f t="shared" si="24"/>
      </c>
      <c r="DI866">
        <f t="shared" si="1"/>
      </c>
    </row>
    <row r="867" ht="15" customHeight="1">
      <c r="B867">
        <f t="shared" si="2"/>
      </c>
      <c r="R867">
        <f t="shared" si="3"/>
        <v>0</v>
      </c>
      <c r="S867">
        <f t="shared" si="4"/>
        <v>0</v>
      </c>
      <c r="T867">
        <f t="shared" si="5"/>
        <v>0</v>
      </c>
      <c r="U867">
        <f t="shared" si="6"/>
        <v>0</v>
      </c>
      <c r="V867">
        <f t="shared" si="7"/>
        <v>0</v>
      </c>
      <c r="W867">
        <f t="shared" si="8"/>
        <v>0</v>
      </c>
      <c r="X867">
        <f t="shared" si="9"/>
        <v>0</v>
      </c>
      <c r="Y867">
        <f t="shared" si="10"/>
        <v>0</v>
      </c>
      <c r="Z867">
        <f t="shared" si="11"/>
        <v>0</v>
      </c>
      <c r="AA867">
        <f t="shared" si="12"/>
        <v>0</v>
      </c>
      <c r="AB867">
        <f t="shared" si="13"/>
        <v>0</v>
      </c>
      <c r="AC867">
        <f t="shared" si="14"/>
        <v>0</v>
      </c>
      <c r="AE867">
        <f t="shared" si="0"/>
      </c>
      <c r="AV867">
        <f t="shared" si="15"/>
      </c>
      <c r="BM867">
        <f t="shared" si="16"/>
      </c>
      <c r="CD867">
        <f t="shared" si="0"/>
      </c>
      <c r="CZ867">
        <f t="shared" si="17"/>
      </c>
      <c r="DA867">
        <f t="shared" si="1"/>
      </c>
      <c r="DB867">
        <f t="shared" si="18"/>
      </c>
      <c r="DC867">
        <f t="shared" si="19"/>
      </c>
      <c r="DD867">
        <f t="shared" si="20"/>
      </c>
      <c r="DE867">
        <f t="shared" si="21"/>
      </c>
      <c r="DF867">
        <f t="shared" si="22"/>
      </c>
      <c r="DG867">
        <f t="shared" si="23"/>
      </c>
      <c r="DH867">
        <f t="shared" si="24"/>
      </c>
      <c r="DI867">
        <f t="shared" si="1"/>
      </c>
    </row>
    <row r="868" ht="15" customHeight="1">
      <c r="B868">
        <f t="shared" si="2"/>
      </c>
      <c r="R868">
        <f t="shared" si="3"/>
        <v>0</v>
      </c>
      <c r="S868">
        <f t="shared" si="4"/>
        <v>0</v>
      </c>
      <c r="T868">
        <f t="shared" si="5"/>
        <v>0</v>
      </c>
      <c r="U868">
        <f t="shared" si="6"/>
        <v>0</v>
      </c>
      <c r="V868">
        <f t="shared" si="7"/>
        <v>0</v>
      </c>
      <c r="W868">
        <f t="shared" si="8"/>
        <v>0</v>
      </c>
      <c r="X868">
        <f t="shared" si="9"/>
        <v>0</v>
      </c>
      <c r="Y868">
        <f t="shared" si="10"/>
        <v>0</v>
      </c>
      <c r="Z868">
        <f t="shared" si="11"/>
        <v>0</v>
      </c>
      <c r="AA868">
        <f t="shared" si="12"/>
        <v>0</v>
      </c>
      <c r="AB868">
        <f t="shared" si="13"/>
        <v>0</v>
      </c>
      <c r="AC868">
        <f t="shared" si="14"/>
        <v>0</v>
      </c>
      <c r="AE868">
        <f t="shared" si="0"/>
      </c>
      <c r="AV868">
        <f t="shared" si="15"/>
      </c>
      <c r="BM868">
        <f t="shared" si="16"/>
      </c>
      <c r="CD868">
        <f t="shared" si="0"/>
      </c>
      <c r="CZ868">
        <f t="shared" si="17"/>
      </c>
      <c r="DA868">
        <f t="shared" si="1"/>
      </c>
      <c r="DB868">
        <f t="shared" si="18"/>
      </c>
      <c r="DC868">
        <f t="shared" si="19"/>
      </c>
      <c r="DD868">
        <f t="shared" si="20"/>
      </c>
      <c r="DE868">
        <f t="shared" si="21"/>
      </c>
      <c r="DF868">
        <f t="shared" si="22"/>
      </c>
      <c r="DG868">
        <f t="shared" si="23"/>
      </c>
      <c r="DH868">
        <f t="shared" si="24"/>
      </c>
      <c r="DI868">
        <f t="shared" si="1"/>
      </c>
    </row>
    <row r="869" ht="15" customHeight="1">
      <c r="B869">
        <f t="shared" si="2"/>
      </c>
      <c r="R869">
        <f t="shared" si="3"/>
        <v>0</v>
      </c>
      <c r="S869">
        <f t="shared" si="4"/>
        <v>0</v>
      </c>
      <c r="T869">
        <f t="shared" si="5"/>
        <v>0</v>
      </c>
      <c r="U869">
        <f t="shared" si="6"/>
        <v>0</v>
      </c>
      <c r="V869">
        <f t="shared" si="7"/>
        <v>0</v>
      </c>
      <c r="W869">
        <f t="shared" si="8"/>
        <v>0</v>
      </c>
      <c r="X869">
        <f t="shared" si="9"/>
        <v>0</v>
      </c>
      <c r="Y869">
        <f t="shared" si="10"/>
        <v>0</v>
      </c>
      <c r="Z869">
        <f t="shared" si="11"/>
        <v>0</v>
      </c>
      <c r="AA869">
        <f t="shared" si="12"/>
        <v>0</v>
      </c>
      <c r="AB869">
        <f t="shared" si="13"/>
        <v>0</v>
      </c>
      <c r="AC869">
        <f t="shared" si="14"/>
        <v>0</v>
      </c>
      <c r="AE869">
        <f t="shared" si="0"/>
      </c>
      <c r="AV869">
        <f t="shared" si="15"/>
      </c>
      <c r="BM869">
        <f t="shared" si="16"/>
      </c>
      <c r="CD869">
        <f t="shared" si="0"/>
      </c>
      <c r="CZ869">
        <f t="shared" si="17"/>
      </c>
      <c r="DA869">
        <f t="shared" si="1"/>
      </c>
      <c r="DB869">
        <f t="shared" si="18"/>
      </c>
      <c r="DC869">
        <f t="shared" si="19"/>
      </c>
      <c r="DD869">
        <f t="shared" si="20"/>
      </c>
      <c r="DE869">
        <f t="shared" si="21"/>
      </c>
      <c r="DF869">
        <f t="shared" si="22"/>
      </c>
      <c r="DG869">
        <f t="shared" si="23"/>
      </c>
      <c r="DH869">
        <f t="shared" si="24"/>
      </c>
      <c r="DI869">
        <f t="shared" si="1"/>
      </c>
    </row>
    <row r="870" ht="15" customHeight="1">
      <c r="B870">
        <f t="shared" si="2"/>
      </c>
      <c r="R870">
        <f t="shared" si="3"/>
        <v>0</v>
      </c>
      <c r="S870">
        <f t="shared" si="4"/>
        <v>0</v>
      </c>
      <c r="T870">
        <f t="shared" si="5"/>
        <v>0</v>
      </c>
      <c r="U870">
        <f t="shared" si="6"/>
        <v>0</v>
      </c>
      <c r="V870">
        <f t="shared" si="7"/>
        <v>0</v>
      </c>
      <c r="W870">
        <f t="shared" si="8"/>
        <v>0</v>
      </c>
      <c r="X870">
        <f t="shared" si="9"/>
        <v>0</v>
      </c>
      <c r="Y870">
        <f t="shared" si="10"/>
        <v>0</v>
      </c>
      <c r="Z870">
        <f t="shared" si="11"/>
        <v>0</v>
      </c>
      <c r="AA870">
        <f t="shared" si="12"/>
        <v>0</v>
      </c>
      <c r="AB870">
        <f t="shared" si="13"/>
        <v>0</v>
      </c>
      <c r="AC870">
        <f t="shared" si="14"/>
        <v>0</v>
      </c>
      <c r="AE870">
        <f t="shared" si="0"/>
      </c>
      <c r="AV870">
        <f t="shared" si="15"/>
      </c>
      <c r="BM870">
        <f t="shared" si="16"/>
      </c>
      <c r="CD870">
        <f t="shared" si="0"/>
      </c>
      <c r="CZ870">
        <f t="shared" si="17"/>
      </c>
      <c r="DA870">
        <f t="shared" si="1"/>
      </c>
      <c r="DB870">
        <f t="shared" si="18"/>
      </c>
      <c r="DC870">
        <f t="shared" si="19"/>
      </c>
      <c r="DD870">
        <f t="shared" si="20"/>
      </c>
      <c r="DE870">
        <f t="shared" si="21"/>
      </c>
      <c r="DF870">
        <f t="shared" si="22"/>
      </c>
      <c r="DG870">
        <f t="shared" si="23"/>
      </c>
      <c r="DH870">
        <f t="shared" si="24"/>
      </c>
      <c r="DI870">
        <f t="shared" si="1"/>
      </c>
    </row>
    <row r="871" ht="15" customHeight="1">
      <c r="B871">
        <f t="shared" si="2"/>
      </c>
      <c r="R871">
        <f t="shared" si="3"/>
        <v>0</v>
      </c>
      <c r="S871">
        <f t="shared" si="4"/>
        <v>0</v>
      </c>
      <c r="T871">
        <f t="shared" si="5"/>
        <v>0</v>
      </c>
      <c r="U871">
        <f t="shared" si="6"/>
        <v>0</v>
      </c>
      <c r="V871">
        <f t="shared" si="7"/>
        <v>0</v>
      </c>
      <c r="W871">
        <f t="shared" si="8"/>
        <v>0</v>
      </c>
      <c r="X871">
        <f t="shared" si="9"/>
        <v>0</v>
      </c>
      <c r="Y871">
        <f t="shared" si="10"/>
        <v>0</v>
      </c>
      <c r="Z871">
        <f t="shared" si="11"/>
        <v>0</v>
      </c>
      <c r="AA871">
        <f t="shared" si="12"/>
        <v>0</v>
      </c>
      <c r="AB871">
        <f t="shared" si="13"/>
        <v>0</v>
      </c>
      <c r="AC871">
        <f t="shared" si="14"/>
        <v>0</v>
      </c>
      <c r="AE871">
        <f t="shared" si="0"/>
      </c>
      <c r="AV871">
        <f t="shared" si="15"/>
      </c>
      <c r="BM871">
        <f t="shared" si="16"/>
      </c>
      <c r="CD871">
        <f t="shared" si="0"/>
      </c>
      <c r="CZ871">
        <f t="shared" si="17"/>
      </c>
      <c r="DA871">
        <f t="shared" si="1"/>
      </c>
      <c r="DB871">
        <f t="shared" si="18"/>
      </c>
      <c r="DC871">
        <f t="shared" si="19"/>
      </c>
      <c r="DD871">
        <f t="shared" si="20"/>
      </c>
      <c r="DE871">
        <f t="shared" si="21"/>
      </c>
      <c r="DF871">
        <f t="shared" si="22"/>
      </c>
      <c r="DG871">
        <f t="shared" si="23"/>
      </c>
      <c r="DH871">
        <f t="shared" si="24"/>
      </c>
      <c r="DI871">
        <f t="shared" si="1"/>
      </c>
    </row>
    <row r="872" ht="15" customHeight="1">
      <c r="B872">
        <f t="shared" si="2"/>
      </c>
      <c r="R872">
        <f t="shared" si="3"/>
        <v>0</v>
      </c>
      <c r="S872">
        <f t="shared" si="4"/>
        <v>0</v>
      </c>
      <c r="T872">
        <f t="shared" si="5"/>
        <v>0</v>
      </c>
      <c r="U872">
        <f t="shared" si="6"/>
        <v>0</v>
      </c>
      <c r="V872">
        <f t="shared" si="7"/>
        <v>0</v>
      </c>
      <c r="W872">
        <f t="shared" si="8"/>
        <v>0</v>
      </c>
      <c r="X872">
        <f t="shared" si="9"/>
        <v>0</v>
      </c>
      <c r="Y872">
        <f t="shared" si="10"/>
        <v>0</v>
      </c>
      <c r="Z872">
        <f t="shared" si="11"/>
        <v>0</v>
      </c>
      <c r="AA872">
        <f t="shared" si="12"/>
        <v>0</v>
      </c>
      <c r="AB872">
        <f t="shared" si="13"/>
        <v>0</v>
      </c>
      <c r="AC872">
        <f t="shared" si="14"/>
        <v>0</v>
      </c>
      <c r="AE872">
        <f t="shared" si="0"/>
      </c>
      <c r="AV872">
        <f t="shared" si="15"/>
      </c>
      <c r="BM872">
        <f t="shared" si="16"/>
      </c>
      <c r="CD872">
        <f t="shared" si="0"/>
      </c>
      <c r="CZ872">
        <f t="shared" si="17"/>
      </c>
      <c r="DA872">
        <f t="shared" si="1"/>
      </c>
      <c r="DB872">
        <f t="shared" si="18"/>
      </c>
      <c r="DC872">
        <f t="shared" si="19"/>
      </c>
      <c r="DD872">
        <f t="shared" si="20"/>
      </c>
      <c r="DE872">
        <f t="shared" si="21"/>
      </c>
      <c r="DF872">
        <f t="shared" si="22"/>
      </c>
      <c r="DG872">
        <f t="shared" si="23"/>
      </c>
      <c r="DH872">
        <f t="shared" si="24"/>
      </c>
      <c r="DI872">
        <f t="shared" si="1"/>
      </c>
    </row>
    <row r="873" ht="15" customHeight="1">
      <c r="B873">
        <f t="shared" si="2"/>
      </c>
      <c r="R873">
        <f t="shared" si="3"/>
        <v>0</v>
      </c>
      <c r="S873">
        <f t="shared" si="4"/>
        <v>0</v>
      </c>
      <c r="T873">
        <f t="shared" si="5"/>
        <v>0</v>
      </c>
      <c r="U873">
        <f t="shared" si="6"/>
        <v>0</v>
      </c>
      <c r="V873">
        <f t="shared" si="7"/>
        <v>0</v>
      </c>
      <c r="W873">
        <f t="shared" si="8"/>
        <v>0</v>
      </c>
      <c r="X873">
        <f t="shared" si="9"/>
        <v>0</v>
      </c>
      <c r="Y873">
        <f t="shared" si="10"/>
        <v>0</v>
      </c>
      <c r="Z873">
        <f t="shared" si="11"/>
        <v>0</v>
      </c>
      <c r="AA873">
        <f t="shared" si="12"/>
        <v>0</v>
      </c>
      <c r="AB873">
        <f t="shared" si="13"/>
        <v>0</v>
      </c>
      <c r="AC873">
        <f t="shared" si="14"/>
        <v>0</v>
      </c>
      <c r="AE873">
        <f t="shared" si="0"/>
      </c>
      <c r="AV873">
        <f t="shared" si="15"/>
      </c>
      <c r="BM873">
        <f t="shared" si="16"/>
      </c>
      <c r="CD873">
        <f t="shared" si="0"/>
      </c>
      <c r="CZ873">
        <f t="shared" si="17"/>
      </c>
      <c r="DA873">
        <f t="shared" si="1"/>
      </c>
      <c r="DB873">
        <f t="shared" si="18"/>
      </c>
      <c r="DC873">
        <f t="shared" si="19"/>
      </c>
      <c r="DD873">
        <f t="shared" si="20"/>
      </c>
      <c r="DE873">
        <f t="shared" si="21"/>
      </c>
      <c r="DF873">
        <f t="shared" si="22"/>
      </c>
      <c r="DG873">
        <f t="shared" si="23"/>
      </c>
      <c r="DH873">
        <f t="shared" si="24"/>
      </c>
      <c r="DI873">
        <f t="shared" si="1"/>
      </c>
    </row>
    <row r="874" ht="15" customHeight="1">
      <c r="B874">
        <f t="shared" si="2"/>
      </c>
      <c r="R874">
        <f t="shared" si="3"/>
        <v>0</v>
      </c>
      <c r="S874">
        <f t="shared" si="4"/>
        <v>0</v>
      </c>
      <c r="T874">
        <f t="shared" si="5"/>
        <v>0</v>
      </c>
      <c r="U874">
        <f t="shared" si="6"/>
        <v>0</v>
      </c>
      <c r="V874">
        <f t="shared" si="7"/>
        <v>0</v>
      </c>
      <c r="W874">
        <f t="shared" si="8"/>
        <v>0</v>
      </c>
      <c r="X874">
        <f t="shared" si="9"/>
        <v>0</v>
      </c>
      <c r="Y874">
        <f t="shared" si="10"/>
        <v>0</v>
      </c>
      <c r="Z874">
        <f t="shared" si="11"/>
        <v>0</v>
      </c>
      <c r="AA874">
        <f t="shared" si="12"/>
        <v>0</v>
      </c>
      <c r="AB874">
        <f t="shared" si="13"/>
        <v>0</v>
      </c>
      <c r="AC874">
        <f t="shared" si="14"/>
        <v>0</v>
      </c>
      <c r="AE874">
        <f t="shared" si="0"/>
      </c>
      <c r="AV874">
        <f t="shared" si="15"/>
      </c>
      <c r="BM874">
        <f t="shared" si="16"/>
      </c>
      <c r="CD874">
        <f t="shared" si="0"/>
      </c>
      <c r="CZ874">
        <f t="shared" si="17"/>
      </c>
      <c r="DA874">
        <f t="shared" si="1"/>
      </c>
      <c r="DB874">
        <f t="shared" si="18"/>
      </c>
      <c r="DC874">
        <f t="shared" si="19"/>
      </c>
      <c r="DD874">
        <f t="shared" si="20"/>
      </c>
      <c r="DE874">
        <f t="shared" si="21"/>
      </c>
      <c r="DF874">
        <f t="shared" si="22"/>
      </c>
      <c r="DG874">
        <f t="shared" si="23"/>
      </c>
      <c r="DH874">
        <f t="shared" si="24"/>
      </c>
      <c r="DI874">
        <f t="shared" si="1"/>
      </c>
    </row>
    <row r="875" ht="15" customHeight="1">
      <c r="B875">
        <f t="shared" si="2"/>
      </c>
      <c r="R875">
        <f t="shared" si="3"/>
        <v>0</v>
      </c>
      <c r="S875">
        <f t="shared" si="4"/>
        <v>0</v>
      </c>
      <c r="T875">
        <f t="shared" si="5"/>
        <v>0</v>
      </c>
      <c r="U875">
        <f t="shared" si="6"/>
        <v>0</v>
      </c>
      <c r="V875">
        <f t="shared" si="7"/>
        <v>0</v>
      </c>
      <c r="W875">
        <f t="shared" si="8"/>
        <v>0</v>
      </c>
      <c r="X875">
        <f t="shared" si="9"/>
        <v>0</v>
      </c>
      <c r="Y875">
        <f t="shared" si="10"/>
        <v>0</v>
      </c>
      <c r="Z875">
        <f t="shared" si="11"/>
        <v>0</v>
      </c>
      <c r="AA875">
        <f t="shared" si="12"/>
        <v>0</v>
      </c>
      <c r="AB875">
        <f t="shared" si="13"/>
        <v>0</v>
      </c>
      <c r="AC875">
        <f t="shared" si="14"/>
        <v>0</v>
      </c>
      <c r="AE875">
        <f t="shared" si="0"/>
      </c>
      <c r="AV875">
        <f t="shared" si="15"/>
      </c>
      <c r="BM875">
        <f t="shared" si="16"/>
      </c>
      <c r="CD875">
        <f t="shared" si="0"/>
      </c>
      <c r="CZ875">
        <f t="shared" si="17"/>
      </c>
      <c r="DA875">
        <f t="shared" si="1"/>
      </c>
      <c r="DB875">
        <f t="shared" si="18"/>
      </c>
      <c r="DC875">
        <f t="shared" si="19"/>
      </c>
      <c r="DD875">
        <f t="shared" si="20"/>
      </c>
      <c r="DE875">
        <f t="shared" si="21"/>
      </c>
      <c r="DF875">
        <f t="shared" si="22"/>
      </c>
      <c r="DG875">
        <f t="shared" si="23"/>
      </c>
      <c r="DH875">
        <f t="shared" si="24"/>
      </c>
      <c r="DI875">
        <f t="shared" si="1"/>
      </c>
    </row>
    <row r="876" ht="15" customHeight="1">
      <c r="B876">
        <f t="shared" si="2"/>
      </c>
      <c r="R876">
        <f t="shared" si="3"/>
        <v>0</v>
      </c>
      <c r="S876">
        <f t="shared" si="4"/>
        <v>0</v>
      </c>
      <c r="T876">
        <f t="shared" si="5"/>
        <v>0</v>
      </c>
      <c r="U876">
        <f t="shared" si="6"/>
        <v>0</v>
      </c>
      <c r="V876">
        <f t="shared" si="7"/>
        <v>0</v>
      </c>
      <c r="W876">
        <f t="shared" si="8"/>
        <v>0</v>
      </c>
      <c r="X876">
        <f t="shared" si="9"/>
        <v>0</v>
      </c>
      <c r="Y876">
        <f t="shared" si="10"/>
        <v>0</v>
      </c>
      <c r="Z876">
        <f t="shared" si="11"/>
        <v>0</v>
      </c>
      <c r="AA876">
        <f t="shared" si="12"/>
        <v>0</v>
      </c>
      <c r="AB876">
        <f t="shared" si="13"/>
        <v>0</v>
      </c>
      <c r="AC876">
        <f t="shared" si="14"/>
        <v>0</v>
      </c>
      <c r="AE876">
        <f t="shared" si="0"/>
      </c>
      <c r="AV876">
        <f t="shared" si="15"/>
      </c>
      <c r="BM876">
        <f t="shared" si="16"/>
      </c>
      <c r="CD876">
        <f t="shared" si="0"/>
      </c>
      <c r="CZ876">
        <f t="shared" si="17"/>
      </c>
      <c r="DA876">
        <f t="shared" si="1"/>
      </c>
      <c r="DB876">
        <f t="shared" si="18"/>
      </c>
      <c r="DC876">
        <f t="shared" si="19"/>
      </c>
      <c r="DD876">
        <f t="shared" si="20"/>
      </c>
      <c r="DE876">
        <f t="shared" si="21"/>
      </c>
      <c r="DF876">
        <f t="shared" si="22"/>
      </c>
      <c r="DG876">
        <f t="shared" si="23"/>
      </c>
      <c r="DH876">
        <f t="shared" si="24"/>
      </c>
      <c r="DI876">
        <f t="shared" si="1"/>
      </c>
    </row>
    <row r="877" ht="15" customHeight="1">
      <c r="B877">
        <f t="shared" si="2"/>
      </c>
      <c r="R877">
        <f t="shared" si="3"/>
        <v>0</v>
      </c>
      <c r="S877">
        <f t="shared" si="4"/>
        <v>0</v>
      </c>
      <c r="T877">
        <f t="shared" si="5"/>
        <v>0</v>
      </c>
      <c r="U877">
        <f t="shared" si="6"/>
        <v>0</v>
      </c>
      <c r="V877">
        <f t="shared" si="7"/>
        <v>0</v>
      </c>
      <c r="W877">
        <f t="shared" si="8"/>
        <v>0</v>
      </c>
      <c r="X877">
        <f t="shared" si="9"/>
        <v>0</v>
      </c>
      <c r="Y877">
        <f t="shared" si="10"/>
        <v>0</v>
      </c>
      <c r="Z877">
        <f t="shared" si="11"/>
        <v>0</v>
      </c>
      <c r="AA877">
        <f t="shared" si="12"/>
        <v>0</v>
      </c>
      <c r="AB877">
        <f t="shared" si="13"/>
        <v>0</v>
      </c>
      <c r="AC877">
        <f t="shared" si="14"/>
        <v>0</v>
      </c>
      <c r="AE877">
        <f t="shared" si="0"/>
      </c>
      <c r="AV877">
        <f t="shared" si="15"/>
      </c>
      <c r="BM877">
        <f t="shared" si="16"/>
      </c>
      <c r="CD877">
        <f t="shared" si="0"/>
      </c>
      <c r="CZ877">
        <f t="shared" si="17"/>
      </c>
      <c r="DA877">
        <f t="shared" si="1"/>
      </c>
      <c r="DB877">
        <f t="shared" si="18"/>
      </c>
      <c r="DC877">
        <f t="shared" si="19"/>
      </c>
      <c r="DD877">
        <f t="shared" si="20"/>
      </c>
      <c r="DE877">
        <f t="shared" si="21"/>
      </c>
      <c r="DF877">
        <f t="shared" si="22"/>
      </c>
      <c r="DG877">
        <f t="shared" si="23"/>
      </c>
      <c r="DH877">
        <f t="shared" si="24"/>
      </c>
      <c r="DI877">
        <f t="shared" si="1"/>
      </c>
    </row>
    <row r="878" ht="15" customHeight="1">
      <c r="B878">
        <f t="shared" si="2"/>
      </c>
      <c r="R878">
        <f t="shared" si="3"/>
        <v>0</v>
      </c>
      <c r="S878">
        <f t="shared" si="4"/>
        <v>0</v>
      </c>
      <c r="T878">
        <f t="shared" si="5"/>
        <v>0</v>
      </c>
      <c r="U878">
        <f t="shared" si="6"/>
        <v>0</v>
      </c>
      <c r="V878">
        <f t="shared" si="7"/>
        <v>0</v>
      </c>
      <c r="W878">
        <f t="shared" si="8"/>
        <v>0</v>
      </c>
      <c r="X878">
        <f t="shared" si="9"/>
        <v>0</v>
      </c>
      <c r="Y878">
        <f t="shared" si="10"/>
        <v>0</v>
      </c>
      <c r="Z878">
        <f t="shared" si="11"/>
        <v>0</v>
      </c>
      <c r="AA878">
        <f t="shared" si="12"/>
        <v>0</v>
      </c>
      <c r="AB878">
        <f t="shared" si="13"/>
        <v>0</v>
      </c>
      <c r="AC878">
        <f t="shared" si="14"/>
        <v>0</v>
      </c>
      <c r="AE878">
        <f t="shared" si="0"/>
      </c>
      <c r="AV878">
        <f t="shared" si="15"/>
      </c>
      <c r="BM878">
        <f t="shared" si="16"/>
      </c>
      <c r="CD878">
        <f t="shared" si="0"/>
      </c>
      <c r="CZ878">
        <f t="shared" si="17"/>
      </c>
      <c r="DA878">
        <f t="shared" si="1"/>
      </c>
      <c r="DB878">
        <f t="shared" si="18"/>
      </c>
      <c r="DC878">
        <f t="shared" si="19"/>
      </c>
      <c r="DD878">
        <f t="shared" si="20"/>
      </c>
      <c r="DE878">
        <f t="shared" si="21"/>
      </c>
      <c r="DF878">
        <f t="shared" si="22"/>
      </c>
      <c r="DG878">
        <f t="shared" si="23"/>
      </c>
      <c r="DH878">
        <f t="shared" si="24"/>
      </c>
      <c r="DI878">
        <f t="shared" si="1"/>
      </c>
    </row>
    <row r="879" ht="15" customHeight="1">
      <c r="B879">
        <f t="shared" si="2"/>
      </c>
      <c r="R879">
        <f t="shared" si="3"/>
        <v>0</v>
      </c>
      <c r="S879">
        <f t="shared" si="4"/>
        <v>0</v>
      </c>
      <c r="T879">
        <f t="shared" si="5"/>
        <v>0</v>
      </c>
      <c r="U879">
        <f t="shared" si="6"/>
        <v>0</v>
      </c>
      <c r="V879">
        <f t="shared" si="7"/>
        <v>0</v>
      </c>
      <c r="W879">
        <f t="shared" si="8"/>
        <v>0</v>
      </c>
      <c r="X879">
        <f t="shared" si="9"/>
        <v>0</v>
      </c>
      <c r="Y879">
        <f t="shared" si="10"/>
        <v>0</v>
      </c>
      <c r="Z879">
        <f t="shared" si="11"/>
        <v>0</v>
      </c>
      <c r="AA879">
        <f t="shared" si="12"/>
        <v>0</v>
      </c>
      <c r="AB879">
        <f t="shared" si="13"/>
        <v>0</v>
      </c>
      <c r="AC879">
        <f t="shared" si="14"/>
        <v>0</v>
      </c>
      <c r="AE879">
        <f t="shared" si="0"/>
      </c>
      <c r="AV879">
        <f t="shared" si="15"/>
      </c>
      <c r="BM879">
        <f t="shared" si="16"/>
      </c>
      <c r="CD879">
        <f t="shared" si="0"/>
      </c>
      <c r="CZ879">
        <f t="shared" si="17"/>
      </c>
      <c r="DA879">
        <f t="shared" si="1"/>
      </c>
      <c r="DB879">
        <f t="shared" si="18"/>
      </c>
      <c r="DC879">
        <f t="shared" si="19"/>
      </c>
      <c r="DD879">
        <f t="shared" si="20"/>
      </c>
      <c r="DE879">
        <f t="shared" si="21"/>
      </c>
      <c r="DF879">
        <f t="shared" si="22"/>
      </c>
      <c r="DG879">
        <f t="shared" si="23"/>
      </c>
      <c r="DH879">
        <f t="shared" si="24"/>
      </c>
      <c r="DI879">
        <f t="shared" si="1"/>
      </c>
    </row>
    <row r="880" ht="15" customHeight="1">
      <c r="B880">
        <f t="shared" si="2"/>
      </c>
      <c r="R880">
        <f t="shared" si="3"/>
        <v>0</v>
      </c>
      <c r="S880">
        <f t="shared" si="4"/>
        <v>0</v>
      </c>
      <c r="T880">
        <f t="shared" si="5"/>
        <v>0</v>
      </c>
      <c r="U880">
        <f t="shared" si="6"/>
        <v>0</v>
      </c>
      <c r="V880">
        <f t="shared" si="7"/>
        <v>0</v>
      </c>
      <c r="W880">
        <f t="shared" si="8"/>
        <v>0</v>
      </c>
      <c r="X880">
        <f t="shared" si="9"/>
        <v>0</v>
      </c>
      <c r="Y880">
        <f t="shared" si="10"/>
        <v>0</v>
      </c>
      <c r="Z880">
        <f t="shared" si="11"/>
        <v>0</v>
      </c>
      <c r="AA880">
        <f t="shared" si="12"/>
        <v>0</v>
      </c>
      <c r="AB880">
        <f t="shared" si="13"/>
        <v>0</v>
      </c>
      <c r="AC880">
        <f t="shared" si="14"/>
        <v>0</v>
      </c>
      <c r="AE880">
        <f t="shared" si="0"/>
      </c>
      <c r="AV880">
        <f t="shared" si="15"/>
      </c>
      <c r="BM880">
        <f t="shared" si="16"/>
      </c>
      <c r="CD880">
        <f t="shared" si="0"/>
      </c>
      <c r="CZ880">
        <f t="shared" si="17"/>
      </c>
      <c r="DA880">
        <f t="shared" si="1"/>
      </c>
      <c r="DB880">
        <f t="shared" si="18"/>
      </c>
      <c r="DC880">
        <f t="shared" si="19"/>
      </c>
      <c r="DD880">
        <f t="shared" si="20"/>
      </c>
      <c r="DE880">
        <f t="shared" si="21"/>
      </c>
      <c r="DF880">
        <f t="shared" si="22"/>
      </c>
      <c r="DG880">
        <f t="shared" si="23"/>
      </c>
      <c r="DH880">
        <f t="shared" si="24"/>
      </c>
      <c r="DI880">
        <f t="shared" si="1"/>
      </c>
    </row>
    <row r="881" ht="15" customHeight="1">
      <c r="B881">
        <f t="shared" si="2"/>
      </c>
      <c r="R881">
        <f t="shared" si="3"/>
        <v>0</v>
      </c>
      <c r="S881">
        <f t="shared" si="4"/>
        <v>0</v>
      </c>
      <c r="T881">
        <f t="shared" si="5"/>
        <v>0</v>
      </c>
      <c r="U881">
        <f t="shared" si="6"/>
        <v>0</v>
      </c>
      <c r="V881">
        <f t="shared" si="7"/>
        <v>0</v>
      </c>
      <c r="W881">
        <f t="shared" si="8"/>
        <v>0</v>
      </c>
      <c r="X881">
        <f t="shared" si="9"/>
        <v>0</v>
      </c>
      <c r="Y881">
        <f t="shared" si="10"/>
        <v>0</v>
      </c>
      <c r="Z881">
        <f t="shared" si="11"/>
        <v>0</v>
      </c>
      <c r="AA881">
        <f t="shared" si="12"/>
        <v>0</v>
      </c>
      <c r="AB881">
        <f t="shared" si="13"/>
        <v>0</v>
      </c>
      <c r="AC881">
        <f t="shared" si="14"/>
        <v>0</v>
      </c>
      <c r="AE881">
        <f t="shared" si="0"/>
      </c>
      <c r="AV881">
        <f t="shared" si="15"/>
      </c>
      <c r="BM881">
        <f t="shared" si="16"/>
      </c>
      <c r="CD881">
        <f t="shared" si="0"/>
      </c>
      <c r="CZ881">
        <f t="shared" si="17"/>
      </c>
      <c r="DA881">
        <f t="shared" si="1"/>
      </c>
      <c r="DB881">
        <f t="shared" si="18"/>
      </c>
      <c r="DC881">
        <f t="shared" si="19"/>
      </c>
      <c r="DD881">
        <f t="shared" si="20"/>
      </c>
      <c r="DE881">
        <f t="shared" si="21"/>
      </c>
      <c r="DF881">
        <f t="shared" si="22"/>
      </c>
      <c r="DG881">
        <f t="shared" si="23"/>
      </c>
      <c r="DH881">
        <f t="shared" si="24"/>
      </c>
      <c r="DI881">
        <f t="shared" si="1"/>
      </c>
    </row>
    <row r="882" ht="15" customHeight="1">
      <c r="B882">
        <f t="shared" si="2"/>
      </c>
      <c r="R882">
        <f t="shared" si="3"/>
        <v>0</v>
      </c>
      <c r="S882">
        <f t="shared" si="4"/>
        <v>0</v>
      </c>
      <c r="T882">
        <f t="shared" si="5"/>
        <v>0</v>
      </c>
      <c r="U882">
        <f t="shared" si="6"/>
        <v>0</v>
      </c>
      <c r="V882">
        <f t="shared" si="7"/>
        <v>0</v>
      </c>
      <c r="W882">
        <f t="shared" si="8"/>
        <v>0</v>
      </c>
      <c r="X882">
        <f t="shared" si="9"/>
        <v>0</v>
      </c>
      <c r="Y882">
        <f t="shared" si="10"/>
        <v>0</v>
      </c>
      <c r="Z882">
        <f t="shared" si="11"/>
        <v>0</v>
      </c>
      <c r="AA882">
        <f t="shared" si="12"/>
        <v>0</v>
      </c>
      <c r="AB882">
        <f t="shared" si="13"/>
        <v>0</v>
      </c>
      <c r="AC882">
        <f t="shared" si="14"/>
        <v>0</v>
      </c>
      <c r="AE882">
        <f t="shared" si="0"/>
      </c>
      <c r="AV882">
        <f t="shared" si="15"/>
      </c>
      <c r="BM882">
        <f t="shared" si="16"/>
      </c>
      <c r="CD882">
        <f t="shared" si="0"/>
      </c>
      <c r="CZ882">
        <f t="shared" si="17"/>
      </c>
      <c r="DA882">
        <f t="shared" si="1"/>
      </c>
      <c r="DB882">
        <f t="shared" si="18"/>
      </c>
      <c r="DC882">
        <f t="shared" si="19"/>
      </c>
      <c r="DD882">
        <f t="shared" si="20"/>
      </c>
      <c r="DE882">
        <f t="shared" si="21"/>
      </c>
      <c r="DF882">
        <f t="shared" si="22"/>
      </c>
      <c r="DG882">
        <f t="shared" si="23"/>
      </c>
      <c r="DH882">
        <f t="shared" si="24"/>
      </c>
      <c r="DI882">
        <f t="shared" si="1"/>
      </c>
    </row>
    <row r="883" ht="15" customHeight="1">
      <c r="B883">
        <f t="shared" si="2"/>
      </c>
      <c r="R883">
        <f t="shared" si="3"/>
        <v>0</v>
      </c>
      <c r="S883">
        <f t="shared" si="4"/>
        <v>0</v>
      </c>
      <c r="T883">
        <f t="shared" si="5"/>
        <v>0</v>
      </c>
      <c r="U883">
        <f t="shared" si="6"/>
        <v>0</v>
      </c>
      <c r="V883">
        <f t="shared" si="7"/>
        <v>0</v>
      </c>
      <c r="W883">
        <f t="shared" si="8"/>
        <v>0</v>
      </c>
      <c r="X883">
        <f t="shared" si="9"/>
        <v>0</v>
      </c>
      <c r="Y883">
        <f t="shared" si="10"/>
        <v>0</v>
      </c>
      <c r="Z883">
        <f t="shared" si="11"/>
        <v>0</v>
      </c>
      <c r="AA883">
        <f t="shared" si="12"/>
        <v>0</v>
      </c>
      <c r="AB883">
        <f t="shared" si="13"/>
        <v>0</v>
      </c>
      <c r="AC883">
        <f t="shared" si="14"/>
        <v>0</v>
      </c>
      <c r="AE883">
        <f t="shared" si="0"/>
      </c>
      <c r="AV883">
        <f t="shared" si="15"/>
      </c>
      <c r="BM883">
        <f t="shared" si="16"/>
      </c>
      <c r="CD883">
        <f t="shared" si="0"/>
      </c>
      <c r="CZ883">
        <f t="shared" si="17"/>
      </c>
      <c r="DA883">
        <f t="shared" si="1"/>
      </c>
      <c r="DB883">
        <f t="shared" si="18"/>
      </c>
      <c r="DC883">
        <f t="shared" si="19"/>
      </c>
      <c r="DD883">
        <f t="shared" si="20"/>
      </c>
      <c r="DE883">
        <f t="shared" si="21"/>
      </c>
      <c r="DF883">
        <f t="shared" si="22"/>
      </c>
      <c r="DG883">
        <f t="shared" si="23"/>
      </c>
      <c r="DH883">
        <f t="shared" si="24"/>
      </c>
      <c r="DI883">
        <f t="shared" si="1"/>
      </c>
    </row>
    <row r="884" ht="15" customHeight="1">
      <c r="B884">
        <f t="shared" si="2"/>
      </c>
      <c r="R884">
        <f t="shared" si="3"/>
        <v>0</v>
      </c>
      <c r="S884">
        <f t="shared" si="4"/>
        <v>0</v>
      </c>
      <c r="T884">
        <f t="shared" si="5"/>
        <v>0</v>
      </c>
      <c r="U884">
        <f t="shared" si="6"/>
        <v>0</v>
      </c>
      <c r="V884">
        <f t="shared" si="7"/>
        <v>0</v>
      </c>
      <c r="W884">
        <f t="shared" si="8"/>
        <v>0</v>
      </c>
      <c r="X884">
        <f t="shared" si="9"/>
        <v>0</v>
      </c>
      <c r="Y884">
        <f t="shared" si="10"/>
        <v>0</v>
      </c>
      <c r="Z884">
        <f t="shared" si="11"/>
        <v>0</v>
      </c>
      <c r="AA884">
        <f t="shared" si="12"/>
        <v>0</v>
      </c>
      <c r="AB884">
        <f t="shared" si="13"/>
        <v>0</v>
      </c>
      <c r="AC884">
        <f t="shared" si="14"/>
        <v>0</v>
      </c>
      <c r="AE884">
        <f t="shared" si="0"/>
      </c>
      <c r="AV884">
        <f t="shared" si="15"/>
      </c>
      <c r="BM884">
        <f t="shared" si="16"/>
      </c>
      <c r="CD884">
        <f t="shared" si="0"/>
      </c>
      <c r="CZ884">
        <f t="shared" si="17"/>
      </c>
      <c r="DA884">
        <f t="shared" si="1"/>
      </c>
      <c r="DB884">
        <f t="shared" si="18"/>
      </c>
      <c r="DC884">
        <f t="shared" si="19"/>
      </c>
      <c r="DD884">
        <f t="shared" si="20"/>
      </c>
      <c r="DE884">
        <f t="shared" si="21"/>
      </c>
      <c r="DF884">
        <f t="shared" si="22"/>
      </c>
      <c r="DG884">
        <f t="shared" si="23"/>
      </c>
      <c r="DH884">
        <f t="shared" si="24"/>
      </c>
      <c r="DI884">
        <f t="shared" si="1"/>
      </c>
    </row>
    <row r="885" ht="15" customHeight="1">
      <c r="B885">
        <f t="shared" si="2"/>
      </c>
      <c r="R885">
        <f t="shared" si="3"/>
        <v>0</v>
      </c>
      <c r="S885">
        <f t="shared" si="4"/>
        <v>0</v>
      </c>
      <c r="T885">
        <f t="shared" si="5"/>
        <v>0</v>
      </c>
      <c r="U885">
        <f t="shared" si="6"/>
        <v>0</v>
      </c>
      <c r="V885">
        <f t="shared" si="7"/>
        <v>0</v>
      </c>
      <c r="W885">
        <f t="shared" si="8"/>
        <v>0</v>
      </c>
      <c r="X885">
        <f t="shared" si="9"/>
        <v>0</v>
      </c>
      <c r="Y885">
        <f t="shared" si="10"/>
        <v>0</v>
      </c>
      <c r="Z885">
        <f t="shared" si="11"/>
        <v>0</v>
      </c>
      <c r="AA885">
        <f t="shared" si="12"/>
        <v>0</v>
      </c>
      <c r="AB885">
        <f t="shared" si="13"/>
        <v>0</v>
      </c>
      <c r="AC885">
        <f t="shared" si="14"/>
        <v>0</v>
      </c>
      <c r="AE885">
        <f t="shared" si="0"/>
      </c>
      <c r="AV885">
        <f t="shared" si="15"/>
      </c>
      <c r="BM885">
        <f t="shared" si="16"/>
      </c>
      <c r="CD885">
        <f t="shared" si="0"/>
      </c>
      <c r="CZ885">
        <f t="shared" si="17"/>
      </c>
      <c r="DA885">
        <f t="shared" si="1"/>
      </c>
      <c r="DB885">
        <f t="shared" si="18"/>
      </c>
      <c r="DC885">
        <f t="shared" si="19"/>
      </c>
      <c r="DD885">
        <f t="shared" si="20"/>
      </c>
      <c r="DE885">
        <f t="shared" si="21"/>
      </c>
      <c r="DF885">
        <f t="shared" si="22"/>
      </c>
      <c r="DG885">
        <f t="shared" si="23"/>
      </c>
      <c r="DH885">
        <f t="shared" si="24"/>
      </c>
      <c r="DI885">
        <f t="shared" si="1"/>
      </c>
    </row>
    <row r="886" ht="15" customHeight="1">
      <c r="B886">
        <f t="shared" si="2"/>
      </c>
      <c r="R886">
        <f t="shared" si="3"/>
        <v>0</v>
      </c>
      <c r="S886">
        <f t="shared" si="4"/>
        <v>0</v>
      </c>
      <c r="T886">
        <f t="shared" si="5"/>
        <v>0</v>
      </c>
      <c r="U886">
        <f t="shared" si="6"/>
        <v>0</v>
      </c>
      <c r="V886">
        <f t="shared" si="7"/>
        <v>0</v>
      </c>
      <c r="W886">
        <f t="shared" si="8"/>
        <v>0</v>
      </c>
      <c r="X886">
        <f t="shared" si="9"/>
        <v>0</v>
      </c>
      <c r="Y886">
        <f t="shared" si="10"/>
        <v>0</v>
      </c>
      <c r="Z886">
        <f t="shared" si="11"/>
        <v>0</v>
      </c>
      <c r="AA886">
        <f t="shared" si="12"/>
        <v>0</v>
      </c>
      <c r="AB886">
        <f t="shared" si="13"/>
        <v>0</v>
      </c>
      <c r="AC886">
        <f t="shared" si="14"/>
        <v>0</v>
      </c>
      <c r="AE886">
        <f t="shared" si="0"/>
      </c>
      <c r="AV886">
        <f t="shared" si="15"/>
      </c>
      <c r="BM886">
        <f t="shared" si="16"/>
      </c>
      <c r="CD886">
        <f t="shared" si="0"/>
      </c>
      <c r="CZ886">
        <f t="shared" si="17"/>
      </c>
      <c r="DA886">
        <f t="shared" si="1"/>
      </c>
      <c r="DB886">
        <f t="shared" si="18"/>
      </c>
      <c r="DC886">
        <f t="shared" si="19"/>
      </c>
      <c r="DD886">
        <f t="shared" si="20"/>
      </c>
      <c r="DE886">
        <f t="shared" si="21"/>
      </c>
      <c r="DF886">
        <f t="shared" si="22"/>
      </c>
      <c r="DG886">
        <f t="shared" si="23"/>
      </c>
      <c r="DH886">
        <f t="shared" si="24"/>
      </c>
      <c r="DI886">
        <f t="shared" si="1"/>
      </c>
    </row>
    <row r="887" ht="15" customHeight="1">
      <c r="B887">
        <f t="shared" si="2"/>
      </c>
      <c r="R887">
        <f t="shared" si="3"/>
        <v>0</v>
      </c>
      <c r="S887">
        <f t="shared" si="4"/>
        <v>0</v>
      </c>
      <c r="T887">
        <f t="shared" si="5"/>
        <v>0</v>
      </c>
      <c r="U887">
        <f t="shared" si="6"/>
        <v>0</v>
      </c>
      <c r="V887">
        <f t="shared" si="7"/>
        <v>0</v>
      </c>
      <c r="W887">
        <f t="shared" si="8"/>
        <v>0</v>
      </c>
      <c r="X887">
        <f t="shared" si="9"/>
        <v>0</v>
      </c>
      <c r="Y887">
        <f t="shared" si="10"/>
        <v>0</v>
      </c>
      <c r="Z887">
        <f t="shared" si="11"/>
        <v>0</v>
      </c>
      <c r="AA887">
        <f t="shared" si="12"/>
        <v>0</v>
      </c>
      <c r="AB887">
        <f t="shared" si="13"/>
        <v>0</v>
      </c>
      <c r="AC887">
        <f t="shared" si="14"/>
        <v>0</v>
      </c>
      <c r="AE887">
        <f t="shared" si="0"/>
      </c>
      <c r="AV887">
        <f t="shared" si="15"/>
      </c>
      <c r="BM887">
        <f t="shared" si="16"/>
      </c>
      <c r="CD887">
        <f t="shared" si="0"/>
      </c>
      <c r="CZ887">
        <f t="shared" si="17"/>
      </c>
      <c r="DA887">
        <f t="shared" si="1"/>
      </c>
      <c r="DB887">
        <f t="shared" si="18"/>
      </c>
      <c r="DC887">
        <f t="shared" si="19"/>
      </c>
      <c r="DD887">
        <f t="shared" si="20"/>
      </c>
      <c r="DE887">
        <f t="shared" si="21"/>
      </c>
      <c r="DF887">
        <f t="shared" si="22"/>
      </c>
      <c r="DG887">
        <f t="shared" si="23"/>
      </c>
      <c r="DH887">
        <f t="shared" si="24"/>
      </c>
      <c r="DI887">
        <f t="shared" si="1"/>
      </c>
    </row>
    <row r="888" ht="15" customHeight="1">
      <c r="B888">
        <f t="shared" si="2"/>
      </c>
      <c r="R888">
        <f t="shared" si="3"/>
        <v>0</v>
      </c>
      <c r="S888">
        <f t="shared" si="4"/>
        <v>0</v>
      </c>
      <c r="T888">
        <f t="shared" si="5"/>
        <v>0</v>
      </c>
      <c r="U888">
        <f t="shared" si="6"/>
        <v>0</v>
      </c>
      <c r="V888">
        <f t="shared" si="7"/>
        <v>0</v>
      </c>
      <c r="W888">
        <f t="shared" si="8"/>
        <v>0</v>
      </c>
      <c r="X888">
        <f t="shared" si="9"/>
        <v>0</v>
      </c>
      <c r="Y888">
        <f t="shared" si="10"/>
        <v>0</v>
      </c>
      <c r="Z888">
        <f t="shared" si="11"/>
        <v>0</v>
      </c>
      <c r="AA888">
        <f t="shared" si="12"/>
        <v>0</v>
      </c>
      <c r="AB888">
        <f t="shared" si="13"/>
        <v>0</v>
      </c>
      <c r="AC888">
        <f t="shared" si="14"/>
        <v>0</v>
      </c>
      <c r="AE888">
        <f t="shared" si="0"/>
      </c>
      <c r="AV888">
        <f t="shared" si="15"/>
      </c>
      <c r="BM888">
        <f t="shared" si="16"/>
      </c>
      <c r="CD888">
        <f t="shared" si="0"/>
      </c>
      <c r="CZ888">
        <f t="shared" si="17"/>
      </c>
      <c r="DA888">
        <f t="shared" si="1"/>
      </c>
      <c r="DB888">
        <f t="shared" si="18"/>
      </c>
      <c r="DC888">
        <f t="shared" si="19"/>
      </c>
      <c r="DD888">
        <f t="shared" si="20"/>
      </c>
      <c r="DE888">
        <f t="shared" si="21"/>
      </c>
      <c r="DF888">
        <f t="shared" si="22"/>
      </c>
      <c r="DG888">
        <f t="shared" si="23"/>
      </c>
      <c r="DH888">
        <f t="shared" si="24"/>
      </c>
      <c r="DI888">
        <f t="shared" si="1"/>
      </c>
    </row>
    <row r="889" ht="15" customHeight="1">
      <c r="B889">
        <f t="shared" si="2"/>
      </c>
      <c r="R889">
        <f t="shared" si="3"/>
        <v>0</v>
      </c>
      <c r="S889">
        <f t="shared" si="4"/>
        <v>0</v>
      </c>
      <c r="T889">
        <f t="shared" si="5"/>
        <v>0</v>
      </c>
      <c r="U889">
        <f t="shared" si="6"/>
        <v>0</v>
      </c>
      <c r="V889">
        <f t="shared" si="7"/>
        <v>0</v>
      </c>
      <c r="W889">
        <f t="shared" si="8"/>
        <v>0</v>
      </c>
      <c r="X889">
        <f t="shared" si="9"/>
        <v>0</v>
      </c>
      <c r="Y889">
        <f t="shared" si="10"/>
        <v>0</v>
      </c>
      <c r="Z889">
        <f t="shared" si="11"/>
        <v>0</v>
      </c>
      <c r="AA889">
        <f t="shared" si="12"/>
        <v>0</v>
      </c>
      <c r="AB889">
        <f t="shared" si="13"/>
        <v>0</v>
      </c>
      <c r="AC889">
        <f t="shared" si="14"/>
        <v>0</v>
      </c>
      <c r="AE889">
        <f t="shared" si="0"/>
      </c>
      <c r="AV889">
        <f t="shared" si="15"/>
      </c>
      <c r="BM889">
        <f t="shared" si="16"/>
      </c>
      <c r="CD889">
        <f t="shared" si="0"/>
      </c>
      <c r="CZ889">
        <f t="shared" si="17"/>
      </c>
      <c r="DA889">
        <f t="shared" si="1"/>
      </c>
      <c r="DB889">
        <f t="shared" si="18"/>
      </c>
      <c r="DC889">
        <f t="shared" si="19"/>
      </c>
      <c r="DD889">
        <f t="shared" si="20"/>
      </c>
      <c r="DE889">
        <f t="shared" si="21"/>
      </c>
      <c r="DF889">
        <f t="shared" si="22"/>
      </c>
      <c r="DG889">
        <f t="shared" si="23"/>
      </c>
      <c r="DH889">
        <f t="shared" si="24"/>
      </c>
      <c r="DI889">
        <f t="shared" si="1"/>
      </c>
    </row>
    <row r="890" ht="15" customHeight="1">
      <c r="B890">
        <f t="shared" si="2"/>
      </c>
      <c r="R890">
        <f t="shared" si="3"/>
        <v>0</v>
      </c>
      <c r="S890">
        <f t="shared" si="4"/>
        <v>0</v>
      </c>
      <c r="T890">
        <f t="shared" si="5"/>
        <v>0</v>
      </c>
      <c r="U890">
        <f t="shared" si="6"/>
        <v>0</v>
      </c>
      <c r="V890">
        <f t="shared" si="7"/>
        <v>0</v>
      </c>
      <c r="W890">
        <f t="shared" si="8"/>
        <v>0</v>
      </c>
      <c r="X890">
        <f t="shared" si="9"/>
        <v>0</v>
      </c>
      <c r="Y890">
        <f t="shared" si="10"/>
        <v>0</v>
      </c>
      <c r="Z890">
        <f t="shared" si="11"/>
        <v>0</v>
      </c>
      <c r="AA890">
        <f t="shared" si="12"/>
        <v>0</v>
      </c>
      <c r="AB890">
        <f t="shared" si="13"/>
        <v>0</v>
      </c>
      <c r="AC890">
        <f t="shared" si="14"/>
        <v>0</v>
      </c>
      <c r="AE890">
        <f t="shared" si="0"/>
      </c>
      <c r="AV890">
        <f t="shared" si="15"/>
      </c>
      <c r="BM890">
        <f t="shared" si="16"/>
      </c>
      <c r="CD890">
        <f t="shared" si="0"/>
      </c>
      <c r="CZ890">
        <f t="shared" si="17"/>
      </c>
      <c r="DA890">
        <f t="shared" si="1"/>
      </c>
      <c r="DB890">
        <f t="shared" si="18"/>
      </c>
      <c r="DC890">
        <f t="shared" si="19"/>
      </c>
      <c r="DD890">
        <f t="shared" si="20"/>
      </c>
      <c r="DE890">
        <f t="shared" si="21"/>
      </c>
      <c r="DF890">
        <f t="shared" si="22"/>
      </c>
      <c r="DG890">
        <f t="shared" si="23"/>
      </c>
      <c r="DH890">
        <f t="shared" si="24"/>
      </c>
      <c r="DI890">
        <f t="shared" si="1"/>
      </c>
    </row>
    <row r="891" ht="15" customHeight="1">
      <c r="B891">
        <f t="shared" si="2"/>
      </c>
      <c r="R891">
        <f t="shared" si="3"/>
        <v>0</v>
      </c>
      <c r="S891">
        <f t="shared" si="4"/>
        <v>0</v>
      </c>
      <c r="T891">
        <f t="shared" si="5"/>
        <v>0</v>
      </c>
      <c r="U891">
        <f t="shared" si="6"/>
        <v>0</v>
      </c>
      <c r="V891">
        <f t="shared" si="7"/>
        <v>0</v>
      </c>
      <c r="W891">
        <f t="shared" si="8"/>
        <v>0</v>
      </c>
      <c r="X891">
        <f t="shared" si="9"/>
        <v>0</v>
      </c>
      <c r="Y891">
        <f t="shared" si="10"/>
        <v>0</v>
      </c>
      <c r="Z891">
        <f t="shared" si="11"/>
        <v>0</v>
      </c>
      <c r="AA891">
        <f t="shared" si="12"/>
        <v>0</v>
      </c>
      <c r="AB891">
        <f t="shared" si="13"/>
        <v>0</v>
      </c>
      <c r="AC891">
        <f t="shared" si="14"/>
        <v>0</v>
      </c>
      <c r="AE891">
        <f t="shared" si="0"/>
      </c>
      <c r="AV891">
        <f t="shared" si="15"/>
      </c>
      <c r="BM891">
        <f t="shared" si="16"/>
      </c>
      <c r="CD891">
        <f t="shared" si="0"/>
      </c>
      <c r="CZ891">
        <f t="shared" si="17"/>
      </c>
      <c r="DA891">
        <f t="shared" si="1"/>
      </c>
      <c r="DB891">
        <f t="shared" si="18"/>
      </c>
      <c r="DC891">
        <f t="shared" si="19"/>
      </c>
      <c r="DD891">
        <f t="shared" si="20"/>
      </c>
      <c r="DE891">
        <f t="shared" si="21"/>
      </c>
      <c r="DF891">
        <f t="shared" si="22"/>
      </c>
      <c r="DG891">
        <f t="shared" si="23"/>
      </c>
      <c r="DH891">
        <f t="shared" si="24"/>
      </c>
      <c r="DI891">
        <f t="shared" si="1"/>
      </c>
    </row>
    <row r="892" ht="15" customHeight="1">
      <c r="B892">
        <f t="shared" si="2"/>
      </c>
      <c r="R892">
        <f t="shared" si="3"/>
        <v>0</v>
      </c>
      <c r="S892">
        <f t="shared" si="4"/>
        <v>0</v>
      </c>
      <c r="T892">
        <f t="shared" si="5"/>
        <v>0</v>
      </c>
      <c r="U892">
        <f t="shared" si="6"/>
        <v>0</v>
      </c>
      <c r="V892">
        <f t="shared" si="7"/>
        <v>0</v>
      </c>
      <c r="W892">
        <f t="shared" si="8"/>
        <v>0</v>
      </c>
      <c r="X892">
        <f t="shared" si="9"/>
        <v>0</v>
      </c>
      <c r="Y892">
        <f t="shared" si="10"/>
        <v>0</v>
      </c>
      <c r="Z892">
        <f t="shared" si="11"/>
        <v>0</v>
      </c>
      <c r="AA892">
        <f t="shared" si="12"/>
        <v>0</v>
      </c>
      <c r="AB892">
        <f t="shared" si="13"/>
        <v>0</v>
      </c>
      <c r="AC892">
        <f t="shared" si="14"/>
        <v>0</v>
      </c>
      <c r="AE892">
        <f t="shared" si="0"/>
      </c>
      <c r="AV892">
        <f t="shared" si="15"/>
      </c>
      <c r="BM892">
        <f t="shared" si="16"/>
      </c>
      <c r="CD892">
        <f t="shared" si="0"/>
      </c>
      <c r="CZ892">
        <f t="shared" si="17"/>
      </c>
      <c r="DA892">
        <f t="shared" si="1"/>
      </c>
      <c r="DB892">
        <f t="shared" si="18"/>
      </c>
      <c r="DC892">
        <f t="shared" si="19"/>
      </c>
      <c r="DD892">
        <f t="shared" si="20"/>
      </c>
      <c r="DE892">
        <f t="shared" si="21"/>
      </c>
      <c r="DF892">
        <f t="shared" si="22"/>
      </c>
      <c r="DG892">
        <f t="shared" si="23"/>
      </c>
      <c r="DH892">
        <f t="shared" si="24"/>
      </c>
      <c r="DI892">
        <f t="shared" si="1"/>
      </c>
    </row>
    <row r="893" ht="15" customHeight="1">
      <c r="B893">
        <f t="shared" si="2"/>
      </c>
      <c r="R893">
        <f t="shared" si="3"/>
        <v>0</v>
      </c>
      <c r="S893">
        <f t="shared" si="4"/>
        <v>0</v>
      </c>
      <c r="T893">
        <f t="shared" si="5"/>
        <v>0</v>
      </c>
      <c r="U893">
        <f t="shared" si="6"/>
        <v>0</v>
      </c>
      <c r="V893">
        <f t="shared" si="7"/>
        <v>0</v>
      </c>
      <c r="W893">
        <f t="shared" si="8"/>
        <v>0</v>
      </c>
      <c r="X893">
        <f t="shared" si="9"/>
        <v>0</v>
      </c>
      <c r="Y893">
        <f t="shared" si="10"/>
        <v>0</v>
      </c>
      <c r="Z893">
        <f t="shared" si="11"/>
        <v>0</v>
      </c>
      <c r="AA893">
        <f t="shared" si="12"/>
        <v>0</v>
      </c>
      <c r="AB893">
        <f t="shared" si="13"/>
        <v>0</v>
      </c>
      <c r="AC893">
        <f t="shared" si="14"/>
        <v>0</v>
      </c>
      <c r="AE893">
        <f t="shared" si="0"/>
      </c>
      <c r="AV893">
        <f t="shared" si="15"/>
      </c>
      <c r="BM893">
        <f t="shared" si="16"/>
      </c>
      <c r="CD893">
        <f t="shared" si="0"/>
      </c>
      <c r="CZ893">
        <f t="shared" si="17"/>
      </c>
      <c r="DA893">
        <f t="shared" si="1"/>
      </c>
      <c r="DB893">
        <f t="shared" si="18"/>
      </c>
      <c r="DC893">
        <f t="shared" si="19"/>
      </c>
      <c r="DD893">
        <f t="shared" si="20"/>
      </c>
      <c r="DE893">
        <f t="shared" si="21"/>
      </c>
      <c r="DF893">
        <f t="shared" si="22"/>
      </c>
      <c r="DG893">
        <f t="shared" si="23"/>
      </c>
      <c r="DH893">
        <f t="shared" si="24"/>
      </c>
      <c r="DI893">
        <f t="shared" si="1"/>
      </c>
    </row>
    <row r="894" ht="15" customHeight="1">
      <c r="B894">
        <f t="shared" si="2"/>
      </c>
      <c r="R894">
        <f t="shared" si="3"/>
        <v>0</v>
      </c>
      <c r="S894">
        <f t="shared" si="4"/>
        <v>0</v>
      </c>
      <c r="T894">
        <f t="shared" si="5"/>
        <v>0</v>
      </c>
      <c r="U894">
        <f t="shared" si="6"/>
        <v>0</v>
      </c>
      <c r="V894">
        <f t="shared" si="7"/>
        <v>0</v>
      </c>
      <c r="W894">
        <f t="shared" si="8"/>
        <v>0</v>
      </c>
      <c r="X894">
        <f t="shared" si="9"/>
        <v>0</v>
      </c>
      <c r="Y894">
        <f t="shared" si="10"/>
        <v>0</v>
      </c>
      <c r="Z894">
        <f t="shared" si="11"/>
        <v>0</v>
      </c>
      <c r="AA894">
        <f t="shared" si="12"/>
        <v>0</v>
      </c>
      <c r="AB894">
        <f t="shared" si="13"/>
        <v>0</v>
      </c>
      <c r="AC894">
        <f t="shared" si="14"/>
        <v>0</v>
      </c>
      <c r="AE894">
        <f t="shared" si="0"/>
      </c>
      <c r="AV894">
        <f t="shared" si="15"/>
      </c>
      <c r="BM894">
        <f t="shared" si="16"/>
      </c>
      <c r="CD894">
        <f t="shared" si="0"/>
      </c>
      <c r="CZ894">
        <f t="shared" si="17"/>
      </c>
      <c r="DA894">
        <f t="shared" si="1"/>
      </c>
      <c r="DB894">
        <f t="shared" si="18"/>
      </c>
      <c r="DC894">
        <f t="shared" si="19"/>
      </c>
      <c r="DD894">
        <f t="shared" si="20"/>
      </c>
      <c r="DE894">
        <f t="shared" si="21"/>
      </c>
      <c r="DF894">
        <f t="shared" si="22"/>
      </c>
      <c r="DG894">
        <f t="shared" si="23"/>
      </c>
      <c r="DH894">
        <f t="shared" si="24"/>
      </c>
      <c r="DI894">
        <f t="shared" si="1"/>
      </c>
    </row>
    <row r="895" ht="15" customHeight="1">
      <c r="B895">
        <f t="shared" si="2"/>
      </c>
      <c r="R895">
        <f t="shared" si="3"/>
        <v>0</v>
      </c>
      <c r="S895">
        <f t="shared" si="4"/>
        <v>0</v>
      </c>
      <c r="T895">
        <f t="shared" si="5"/>
        <v>0</v>
      </c>
      <c r="U895">
        <f t="shared" si="6"/>
        <v>0</v>
      </c>
      <c r="V895">
        <f t="shared" si="7"/>
        <v>0</v>
      </c>
      <c r="W895">
        <f t="shared" si="8"/>
        <v>0</v>
      </c>
      <c r="X895">
        <f t="shared" si="9"/>
        <v>0</v>
      </c>
      <c r="Y895">
        <f t="shared" si="10"/>
        <v>0</v>
      </c>
      <c r="Z895">
        <f t="shared" si="11"/>
        <v>0</v>
      </c>
      <c r="AA895">
        <f t="shared" si="12"/>
        <v>0</v>
      </c>
      <c r="AB895">
        <f t="shared" si="13"/>
        <v>0</v>
      </c>
      <c r="AC895">
        <f t="shared" si="14"/>
        <v>0</v>
      </c>
      <c r="AE895">
        <f t="shared" si="0"/>
      </c>
      <c r="AV895">
        <f t="shared" si="15"/>
      </c>
      <c r="BM895">
        <f t="shared" si="16"/>
      </c>
      <c r="CD895">
        <f t="shared" si="0"/>
      </c>
      <c r="CZ895">
        <f t="shared" si="17"/>
      </c>
      <c r="DA895">
        <f t="shared" si="1"/>
      </c>
      <c r="DB895">
        <f t="shared" si="18"/>
      </c>
      <c r="DC895">
        <f t="shared" si="19"/>
      </c>
      <c r="DD895">
        <f t="shared" si="20"/>
      </c>
      <c r="DE895">
        <f t="shared" si="21"/>
      </c>
      <c r="DF895">
        <f t="shared" si="22"/>
      </c>
      <c r="DG895">
        <f t="shared" si="23"/>
      </c>
      <c r="DH895">
        <f t="shared" si="24"/>
      </c>
      <c r="DI895">
        <f t="shared" si="1"/>
      </c>
    </row>
    <row r="896" ht="15" customHeight="1">
      <c r="B896">
        <f t="shared" si="2"/>
      </c>
      <c r="R896">
        <f t="shared" si="3"/>
        <v>0</v>
      </c>
      <c r="S896">
        <f t="shared" si="4"/>
        <v>0</v>
      </c>
      <c r="T896">
        <f t="shared" si="5"/>
        <v>0</v>
      </c>
      <c r="U896">
        <f t="shared" si="6"/>
        <v>0</v>
      </c>
      <c r="V896">
        <f t="shared" si="7"/>
        <v>0</v>
      </c>
      <c r="W896">
        <f t="shared" si="8"/>
        <v>0</v>
      </c>
      <c r="X896">
        <f t="shared" si="9"/>
        <v>0</v>
      </c>
      <c r="Y896">
        <f t="shared" si="10"/>
        <v>0</v>
      </c>
      <c r="Z896">
        <f t="shared" si="11"/>
        <v>0</v>
      </c>
      <c r="AA896">
        <f t="shared" si="12"/>
        <v>0</v>
      </c>
      <c r="AB896">
        <f t="shared" si="13"/>
        <v>0</v>
      </c>
      <c r="AC896">
        <f t="shared" si="14"/>
        <v>0</v>
      </c>
      <c r="AE896">
        <f t="shared" si="0"/>
      </c>
      <c r="AV896">
        <f t="shared" si="15"/>
      </c>
      <c r="BM896">
        <f t="shared" si="16"/>
      </c>
      <c r="CD896">
        <f t="shared" si="0"/>
      </c>
      <c r="CZ896">
        <f t="shared" si="17"/>
      </c>
      <c r="DA896">
        <f t="shared" si="1"/>
      </c>
      <c r="DB896">
        <f t="shared" si="18"/>
      </c>
      <c r="DC896">
        <f t="shared" si="19"/>
      </c>
      <c r="DD896">
        <f t="shared" si="20"/>
      </c>
      <c r="DE896">
        <f t="shared" si="21"/>
      </c>
      <c r="DF896">
        <f t="shared" si="22"/>
      </c>
      <c r="DG896">
        <f t="shared" si="23"/>
      </c>
      <c r="DH896">
        <f t="shared" si="24"/>
      </c>
      <c r="DI896">
        <f t="shared" si="1"/>
      </c>
    </row>
    <row r="897" ht="15" customHeight="1">
      <c r="B897">
        <f t="shared" si="2"/>
      </c>
      <c r="R897">
        <f t="shared" si="3"/>
        <v>0</v>
      </c>
      <c r="S897">
        <f t="shared" si="4"/>
        <v>0</v>
      </c>
      <c r="T897">
        <f t="shared" si="5"/>
        <v>0</v>
      </c>
      <c r="U897">
        <f t="shared" si="6"/>
        <v>0</v>
      </c>
      <c r="V897">
        <f t="shared" si="7"/>
        <v>0</v>
      </c>
      <c r="W897">
        <f t="shared" si="8"/>
        <v>0</v>
      </c>
      <c r="X897">
        <f t="shared" si="9"/>
        <v>0</v>
      </c>
      <c r="Y897">
        <f t="shared" si="10"/>
        <v>0</v>
      </c>
      <c r="Z897">
        <f t="shared" si="11"/>
        <v>0</v>
      </c>
      <c r="AA897">
        <f t="shared" si="12"/>
        <v>0</v>
      </c>
      <c r="AB897">
        <f t="shared" si="13"/>
        <v>0</v>
      </c>
      <c r="AC897">
        <f t="shared" si="14"/>
        <v>0</v>
      </c>
      <c r="AE897">
        <f t="shared" si="0"/>
      </c>
      <c r="AV897">
        <f t="shared" si="15"/>
      </c>
      <c r="BM897">
        <f t="shared" si="16"/>
      </c>
      <c r="CD897">
        <f t="shared" si="0"/>
      </c>
      <c r="CZ897">
        <f t="shared" si="17"/>
      </c>
      <c r="DA897">
        <f t="shared" si="1"/>
      </c>
      <c r="DB897">
        <f t="shared" si="18"/>
      </c>
      <c r="DC897">
        <f t="shared" si="19"/>
      </c>
      <c r="DD897">
        <f t="shared" si="20"/>
      </c>
      <c r="DE897">
        <f t="shared" si="21"/>
      </c>
      <c r="DF897">
        <f t="shared" si="22"/>
      </c>
      <c r="DG897">
        <f t="shared" si="23"/>
      </c>
      <c r="DH897">
        <f t="shared" si="24"/>
      </c>
      <c r="DI897">
        <f t="shared" si="1"/>
      </c>
    </row>
    <row r="898" ht="15" customHeight="1">
      <c r="B898">
        <f t="shared" si="2"/>
      </c>
      <c r="R898">
        <f t="shared" si="3"/>
        <v>0</v>
      </c>
      <c r="S898">
        <f t="shared" si="4"/>
        <v>0</v>
      </c>
      <c r="T898">
        <f t="shared" si="5"/>
        <v>0</v>
      </c>
      <c r="U898">
        <f t="shared" si="6"/>
        <v>0</v>
      </c>
      <c r="V898">
        <f t="shared" si="7"/>
        <v>0</v>
      </c>
      <c r="W898">
        <f t="shared" si="8"/>
        <v>0</v>
      </c>
      <c r="X898">
        <f t="shared" si="9"/>
        <v>0</v>
      </c>
      <c r="Y898">
        <f t="shared" si="10"/>
        <v>0</v>
      </c>
      <c r="Z898">
        <f t="shared" si="11"/>
        <v>0</v>
      </c>
      <c r="AA898">
        <f t="shared" si="12"/>
        <v>0</v>
      </c>
      <c r="AB898">
        <f t="shared" si="13"/>
        <v>0</v>
      </c>
      <c r="AC898">
        <f t="shared" si="14"/>
        <v>0</v>
      </c>
      <c r="AE898">
        <f t="shared" si="0"/>
      </c>
      <c r="AV898">
        <f t="shared" si="15"/>
      </c>
      <c r="BM898">
        <f t="shared" si="16"/>
      </c>
      <c r="CD898">
        <f t="shared" si="0"/>
      </c>
      <c r="CZ898">
        <f t="shared" si="17"/>
      </c>
      <c r="DA898">
        <f t="shared" si="1"/>
      </c>
      <c r="DB898">
        <f t="shared" si="18"/>
      </c>
      <c r="DC898">
        <f t="shared" si="19"/>
      </c>
      <c r="DD898">
        <f t="shared" si="20"/>
      </c>
      <c r="DE898">
        <f t="shared" si="21"/>
      </c>
      <c r="DF898">
        <f t="shared" si="22"/>
      </c>
      <c r="DG898">
        <f t="shared" si="23"/>
      </c>
      <c r="DH898">
        <f t="shared" si="24"/>
      </c>
      <c r="DI898">
        <f t="shared" si="1"/>
      </c>
    </row>
    <row r="899" ht="15" customHeight="1">
      <c r="B899">
        <f t="shared" si="2"/>
      </c>
      <c r="R899">
        <f t="shared" si="3"/>
        <v>0</v>
      </c>
      <c r="S899">
        <f t="shared" si="4"/>
        <v>0</v>
      </c>
      <c r="T899">
        <f t="shared" si="5"/>
        <v>0</v>
      </c>
      <c r="U899">
        <f t="shared" si="6"/>
        <v>0</v>
      </c>
      <c r="V899">
        <f t="shared" si="7"/>
        <v>0</v>
      </c>
      <c r="W899">
        <f t="shared" si="8"/>
        <v>0</v>
      </c>
      <c r="X899">
        <f t="shared" si="9"/>
        <v>0</v>
      </c>
      <c r="Y899">
        <f t="shared" si="10"/>
        <v>0</v>
      </c>
      <c r="Z899">
        <f t="shared" si="11"/>
        <v>0</v>
      </c>
      <c r="AA899">
        <f t="shared" si="12"/>
        <v>0</v>
      </c>
      <c r="AB899">
        <f t="shared" si="13"/>
        <v>0</v>
      </c>
      <c r="AC899">
        <f t="shared" si="14"/>
        <v>0</v>
      </c>
      <c r="AE899">
        <f t="shared" si="0"/>
      </c>
      <c r="AV899">
        <f t="shared" si="15"/>
      </c>
      <c r="BM899">
        <f t="shared" si="16"/>
      </c>
      <c r="CD899">
        <f t="shared" si="0"/>
      </c>
      <c r="CZ899">
        <f t="shared" si="17"/>
      </c>
      <c r="DA899">
        <f t="shared" si="1"/>
      </c>
      <c r="DB899">
        <f t="shared" si="18"/>
      </c>
      <c r="DC899">
        <f t="shared" si="19"/>
      </c>
      <c r="DD899">
        <f t="shared" si="20"/>
      </c>
      <c r="DE899">
        <f t="shared" si="21"/>
      </c>
      <c r="DF899">
        <f t="shared" si="22"/>
      </c>
      <c r="DG899">
        <f t="shared" si="23"/>
      </c>
      <c r="DH899">
        <f t="shared" si="24"/>
      </c>
      <c r="DI899">
        <f t="shared" si="1"/>
      </c>
    </row>
    <row r="900" ht="15" customHeight="1">
      <c r="B900">
        <f t="shared" si="2"/>
      </c>
      <c r="R900">
        <f t="shared" si="3"/>
        <v>0</v>
      </c>
      <c r="S900">
        <f t="shared" si="4"/>
        <v>0</v>
      </c>
      <c r="T900">
        <f t="shared" si="5"/>
        <v>0</v>
      </c>
      <c r="U900">
        <f t="shared" si="6"/>
        <v>0</v>
      </c>
      <c r="V900">
        <f t="shared" si="7"/>
        <v>0</v>
      </c>
      <c r="W900">
        <f t="shared" si="8"/>
        <v>0</v>
      </c>
      <c r="X900">
        <f t="shared" si="9"/>
        <v>0</v>
      </c>
      <c r="Y900">
        <f t="shared" si="10"/>
        <v>0</v>
      </c>
      <c r="Z900">
        <f t="shared" si="11"/>
        <v>0</v>
      </c>
      <c r="AA900">
        <f t="shared" si="12"/>
        <v>0</v>
      </c>
      <c r="AB900">
        <f t="shared" si="13"/>
        <v>0</v>
      </c>
      <c r="AC900">
        <f t="shared" si="14"/>
        <v>0</v>
      </c>
      <c r="AE900">
        <f t="shared" si="0"/>
      </c>
      <c r="AV900">
        <f t="shared" si="15"/>
      </c>
      <c r="BM900">
        <f t="shared" si="16"/>
      </c>
      <c r="CD900">
        <f t="shared" si="0"/>
      </c>
      <c r="CZ900">
        <f t="shared" si="17"/>
      </c>
      <c r="DA900">
        <f t="shared" si="1"/>
      </c>
      <c r="DB900">
        <f t="shared" si="18"/>
      </c>
      <c r="DC900">
        <f t="shared" si="19"/>
      </c>
      <c r="DD900">
        <f t="shared" si="20"/>
      </c>
      <c r="DE900">
        <f t="shared" si="21"/>
      </c>
      <c r="DF900">
        <f t="shared" si="22"/>
      </c>
      <c r="DG900">
        <f t="shared" si="23"/>
      </c>
      <c r="DH900">
        <f t="shared" si="24"/>
      </c>
      <c r="DI900">
        <f t="shared" si="1"/>
      </c>
    </row>
    <row r="901" ht="15" customHeight="1">
      <c r="B901">
        <f t="shared" si="2"/>
      </c>
      <c r="R901">
        <f t="shared" si="3"/>
        <v>0</v>
      </c>
      <c r="S901">
        <f t="shared" si="4"/>
        <v>0</v>
      </c>
      <c r="T901">
        <f t="shared" si="5"/>
        <v>0</v>
      </c>
      <c r="U901">
        <f t="shared" si="6"/>
        <v>0</v>
      </c>
      <c r="V901">
        <f t="shared" si="7"/>
        <v>0</v>
      </c>
      <c r="W901">
        <f t="shared" si="8"/>
        <v>0</v>
      </c>
      <c r="X901">
        <f t="shared" si="9"/>
        <v>0</v>
      </c>
      <c r="Y901">
        <f t="shared" si="10"/>
        <v>0</v>
      </c>
      <c r="Z901">
        <f t="shared" si="11"/>
        <v>0</v>
      </c>
      <c r="AA901">
        <f t="shared" si="12"/>
        <v>0</v>
      </c>
      <c r="AB901">
        <f t="shared" si="13"/>
        <v>0</v>
      </c>
      <c r="AC901">
        <f t="shared" si="14"/>
        <v>0</v>
      </c>
      <c r="AE901">
        <f t="shared" si="0"/>
      </c>
      <c r="AV901">
        <f t="shared" si="15"/>
      </c>
      <c r="BM901">
        <f t="shared" si="16"/>
      </c>
      <c r="CD901">
        <f t="shared" si="0"/>
      </c>
      <c r="CZ901">
        <f t="shared" si="17"/>
      </c>
      <c r="DA901">
        <f t="shared" si="1"/>
      </c>
      <c r="DB901">
        <f t="shared" si="18"/>
      </c>
      <c r="DC901">
        <f t="shared" si="19"/>
      </c>
      <c r="DD901">
        <f t="shared" si="20"/>
      </c>
      <c r="DE901">
        <f t="shared" si="21"/>
      </c>
      <c r="DF901">
        <f t="shared" si="22"/>
      </c>
      <c r="DG901">
        <f t="shared" si="23"/>
      </c>
      <c r="DH901">
        <f t="shared" si="24"/>
      </c>
      <c r="DI901">
        <f t="shared" si="1"/>
      </c>
    </row>
    <row r="902" ht="15" customHeight="1">
      <c r="B902">
        <f t="shared" si="2"/>
      </c>
      <c r="R902">
        <f t="shared" si="3"/>
        <v>0</v>
      </c>
      <c r="S902">
        <f t="shared" si="4"/>
        <v>0</v>
      </c>
      <c r="T902">
        <f t="shared" si="5"/>
        <v>0</v>
      </c>
      <c r="U902">
        <f t="shared" si="6"/>
        <v>0</v>
      </c>
      <c r="V902">
        <f t="shared" si="7"/>
        <v>0</v>
      </c>
      <c r="W902">
        <f t="shared" si="8"/>
        <v>0</v>
      </c>
      <c r="X902">
        <f t="shared" si="9"/>
        <v>0</v>
      </c>
      <c r="Y902">
        <f t="shared" si="10"/>
        <v>0</v>
      </c>
      <c r="Z902">
        <f t="shared" si="11"/>
        <v>0</v>
      </c>
      <c r="AA902">
        <f t="shared" si="12"/>
        <v>0</v>
      </c>
      <c r="AB902">
        <f t="shared" si="13"/>
        <v>0</v>
      </c>
      <c r="AC902">
        <f t="shared" si="14"/>
        <v>0</v>
      </c>
      <c r="AE902">
        <f t="shared" si="0"/>
      </c>
      <c r="AV902">
        <f t="shared" si="15"/>
      </c>
      <c r="BM902">
        <f t="shared" si="16"/>
      </c>
      <c r="CD902">
        <f t="shared" si="0"/>
      </c>
      <c r="CZ902">
        <f t="shared" si="17"/>
      </c>
      <c r="DA902">
        <f t="shared" si="1"/>
      </c>
      <c r="DB902">
        <f t="shared" si="18"/>
      </c>
      <c r="DC902">
        <f t="shared" si="19"/>
      </c>
      <c r="DD902">
        <f t="shared" si="20"/>
      </c>
      <c r="DE902">
        <f t="shared" si="21"/>
      </c>
      <c r="DF902">
        <f t="shared" si="22"/>
      </c>
      <c r="DG902">
        <f t="shared" si="23"/>
      </c>
      <c r="DH902">
        <f t="shared" si="24"/>
      </c>
      <c r="DI902">
        <f t="shared" si="1"/>
      </c>
    </row>
    <row r="903" ht="15" customHeight="1">
      <c r="B903">
        <f t="shared" si="2"/>
      </c>
      <c r="R903">
        <f t="shared" si="3"/>
        <v>0</v>
      </c>
      <c r="S903">
        <f t="shared" si="4"/>
        <v>0</v>
      </c>
      <c r="T903">
        <f t="shared" si="5"/>
        <v>0</v>
      </c>
      <c r="U903">
        <f t="shared" si="6"/>
        <v>0</v>
      </c>
      <c r="V903">
        <f t="shared" si="7"/>
        <v>0</v>
      </c>
      <c r="W903">
        <f t="shared" si="8"/>
        <v>0</v>
      </c>
      <c r="X903">
        <f t="shared" si="9"/>
        <v>0</v>
      </c>
      <c r="Y903">
        <f t="shared" si="10"/>
        <v>0</v>
      </c>
      <c r="Z903">
        <f t="shared" si="11"/>
        <v>0</v>
      </c>
      <c r="AA903">
        <f t="shared" si="12"/>
        <v>0</v>
      </c>
      <c r="AB903">
        <f t="shared" si="13"/>
        <v>0</v>
      </c>
      <c r="AC903">
        <f t="shared" si="14"/>
        <v>0</v>
      </c>
      <c r="AE903">
        <f t="shared" si="0"/>
      </c>
      <c r="AV903">
        <f t="shared" si="15"/>
      </c>
      <c r="BM903">
        <f t="shared" si="16"/>
      </c>
      <c r="CD903">
        <f t="shared" si="0"/>
      </c>
      <c r="CZ903">
        <f t="shared" si="17"/>
      </c>
      <c r="DA903">
        <f t="shared" si="1"/>
      </c>
      <c r="DB903">
        <f t="shared" si="18"/>
      </c>
      <c r="DC903">
        <f t="shared" si="19"/>
      </c>
      <c r="DD903">
        <f t="shared" si="20"/>
      </c>
      <c r="DE903">
        <f t="shared" si="21"/>
      </c>
      <c r="DF903">
        <f t="shared" si="22"/>
      </c>
      <c r="DG903">
        <f t="shared" si="23"/>
      </c>
      <c r="DH903">
        <f t="shared" si="24"/>
      </c>
      <c r="DI903">
        <f t="shared" si="1"/>
      </c>
    </row>
    <row r="904" ht="15" customHeight="1">
      <c r="B904">
        <f t="shared" si="2"/>
      </c>
      <c r="R904">
        <f t="shared" si="3"/>
        <v>0</v>
      </c>
      <c r="S904">
        <f t="shared" si="4"/>
        <v>0</v>
      </c>
      <c r="T904">
        <f t="shared" si="5"/>
        <v>0</v>
      </c>
      <c r="U904">
        <f t="shared" si="6"/>
        <v>0</v>
      </c>
      <c r="V904">
        <f t="shared" si="7"/>
        <v>0</v>
      </c>
      <c r="W904">
        <f t="shared" si="8"/>
        <v>0</v>
      </c>
      <c r="X904">
        <f t="shared" si="9"/>
        <v>0</v>
      </c>
      <c r="Y904">
        <f t="shared" si="10"/>
        <v>0</v>
      </c>
      <c r="Z904">
        <f t="shared" si="11"/>
        <v>0</v>
      </c>
      <c r="AA904">
        <f t="shared" si="12"/>
        <v>0</v>
      </c>
      <c r="AB904">
        <f t="shared" si="13"/>
        <v>0</v>
      </c>
      <c r="AC904">
        <f t="shared" si="14"/>
        <v>0</v>
      </c>
      <c r="AE904">
        <f t="shared" si="0"/>
      </c>
      <c r="AV904">
        <f t="shared" si="15"/>
      </c>
      <c r="BM904">
        <f t="shared" si="16"/>
      </c>
      <c r="CD904">
        <f t="shared" si="0"/>
      </c>
      <c r="CZ904">
        <f t="shared" si="17"/>
      </c>
      <c r="DA904">
        <f t="shared" si="1"/>
      </c>
      <c r="DB904">
        <f t="shared" si="18"/>
      </c>
      <c r="DC904">
        <f t="shared" si="19"/>
      </c>
      <c r="DD904">
        <f t="shared" si="20"/>
      </c>
      <c r="DE904">
        <f t="shared" si="21"/>
      </c>
      <c r="DF904">
        <f t="shared" si="22"/>
      </c>
      <c r="DG904">
        <f t="shared" si="23"/>
      </c>
      <c r="DH904">
        <f t="shared" si="24"/>
      </c>
      <c r="DI904">
        <f t="shared" si="1"/>
      </c>
    </row>
    <row r="905" ht="15" customHeight="1">
      <c r="B905">
        <f t="shared" si="2"/>
      </c>
      <c r="R905">
        <f t="shared" si="3"/>
        <v>0</v>
      </c>
      <c r="S905">
        <f t="shared" si="4"/>
        <v>0</v>
      </c>
      <c r="T905">
        <f t="shared" si="5"/>
        <v>0</v>
      </c>
      <c r="U905">
        <f t="shared" si="6"/>
        <v>0</v>
      </c>
      <c r="V905">
        <f t="shared" si="7"/>
        <v>0</v>
      </c>
      <c r="W905">
        <f t="shared" si="8"/>
        <v>0</v>
      </c>
      <c r="X905">
        <f t="shared" si="9"/>
        <v>0</v>
      </c>
      <c r="Y905">
        <f t="shared" si="10"/>
        <v>0</v>
      </c>
      <c r="Z905">
        <f t="shared" si="11"/>
        <v>0</v>
      </c>
      <c r="AA905">
        <f t="shared" si="12"/>
        <v>0</v>
      </c>
      <c r="AB905">
        <f t="shared" si="13"/>
        <v>0</v>
      </c>
      <c r="AC905">
        <f t="shared" si="14"/>
        <v>0</v>
      </c>
      <c r="AE905">
        <f t="shared" si="0"/>
      </c>
      <c r="AV905">
        <f t="shared" si="15"/>
      </c>
      <c r="BM905">
        <f t="shared" si="16"/>
      </c>
      <c r="CD905">
        <f t="shared" si="0"/>
      </c>
      <c r="CZ905">
        <f t="shared" si="17"/>
      </c>
      <c r="DA905">
        <f t="shared" si="1"/>
      </c>
      <c r="DB905">
        <f t="shared" si="18"/>
      </c>
      <c r="DC905">
        <f t="shared" si="19"/>
      </c>
      <c r="DD905">
        <f t="shared" si="20"/>
      </c>
      <c r="DE905">
        <f t="shared" si="21"/>
      </c>
      <c r="DF905">
        <f t="shared" si="22"/>
      </c>
      <c r="DG905">
        <f t="shared" si="23"/>
      </c>
      <c r="DH905">
        <f t="shared" si="24"/>
      </c>
      <c r="DI905">
        <f t="shared" si="1"/>
      </c>
    </row>
    <row r="906" ht="15" customHeight="1">
      <c r="B906">
        <f t="shared" si="2"/>
      </c>
      <c r="R906">
        <f t="shared" si="3"/>
        <v>0</v>
      </c>
      <c r="S906">
        <f t="shared" si="4"/>
        <v>0</v>
      </c>
      <c r="T906">
        <f t="shared" si="5"/>
        <v>0</v>
      </c>
      <c r="U906">
        <f t="shared" si="6"/>
        <v>0</v>
      </c>
      <c r="V906">
        <f t="shared" si="7"/>
        <v>0</v>
      </c>
      <c r="W906">
        <f t="shared" si="8"/>
        <v>0</v>
      </c>
      <c r="X906">
        <f t="shared" si="9"/>
        <v>0</v>
      </c>
      <c r="Y906">
        <f t="shared" si="10"/>
        <v>0</v>
      </c>
      <c r="Z906">
        <f t="shared" si="11"/>
        <v>0</v>
      </c>
      <c r="AA906">
        <f t="shared" si="12"/>
        <v>0</v>
      </c>
      <c r="AB906">
        <f t="shared" si="13"/>
        <v>0</v>
      </c>
      <c r="AC906">
        <f t="shared" si="14"/>
        <v>0</v>
      </c>
      <c r="AE906">
        <f t="shared" si="0"/>
      </c>
      <c r="AV906">
        <f t="shared" si="15"/>
      </c>
      <c r="BM906">
        <f t="shared" si="16"/>
      </c>
      <c r="CD906">
        <f t="shared" si="0"/>
      </c>
      <c r="CZ906">
        <f t="shared" si="17"/>
      </c>
      <c r="DA906">
        <f t="shared" si="1"/>
      </c>
      <c r="DB906">
        <f t="shared" si="18"/>
      </c>
      <c r="DC906">
        <f t="shared" si="19"/>
      </c>
      <c r="DD906">
        <f t="shared" si="20"/>
      </c>
      <c r="DE906">
        <f t="shared" si="21"/>
      </c>
      <c r="DF906">
        <f t="shared" si="22"/>
      </c>
      <c r="DG906">
        <f t="shared" si="23"/>
      </c>
      <c r="DH906">
        <f t="shared" si="24"/>
      </c>
      <c r="DI906">
        <f t="shared" si="1"/>
      </c>
    </row>
    <row r="907" ht="15" customHeight="1">
      <c r="B907">
        <f t="shared" si="2"/>
      </c>
      <c r="R907">
        <f t="shared" si="3"/>
        <v>0</v>
      </c>
      <c r="S907">
        <f t="shared" si="4"/>
        <v>0</v>
      </c>
      <c r="T907">
        <f t="shared" si="5"/>
        <v>0</v>
      </c>
      <c r="U907">
        <f t="shared" si="6"/>
        <v>0</v>
      </c>
      <c r="V907">
        <f t="shared" si="7"/>
        <v>0</v>
      </c>
      <c r="W907">
        <f t="shared" si="8"/>
        <v>0</v>
      </c>
      <c r="X907">
        <f t="shared" si="9"/>
        <v>0</v>
      </c>
      <c r="Y907">
        <f t="shared" si="10"/>
        <v>0</v>
      </c>
      <c r="Z907">
        <f t="shared" si="11"/>
        <v>0</v>
      </c>
      <c r="AA907">
        <f t="shared" si="12"/>
        <v>0</v>
      </c>
      <c r="AB907">
        <f t="shared" si="13"/>
        <v>0</v>
      </c>
      <c r="AC907">
        <f t="shared" si="14"/>
        <v>0</v>
      </c>
      <c r="AE907">
        <f t="shared" si="0"/>
      </c>
      <c r="AV907">
        <f t="shared" si="15"/>
      </c>
      <c r="BM907">
        <f t="shared" si="16"/>
      </c>
      <c r="CD907">
        <f t="shared" si="0"/>
      </c>
      <c r="CZ907">
        <f t="shared" si="17"/>
      </c>
      <c r="DA907">
        <f t="shared" si="1"/>
      </c>
      <c r="DB907">
        <f t="shared" si="18"/>
      </c>
      <c r="DC907">
        <f t="shared" si="19"/>
      </c>
      <c r="DD907">
        <f t="shared" si="20"/>
      </c>
      <c r="DE907">
        <f t="shared" si="21"/>
      </c>
      <c r="DF907">
        <f t="shared" si="22"/>
      </c>
      <c r="DG907">
        <f t="shared" si="23"/>
      </c>
      <c r="DH907">
        <f t="shared" si="24"/>
      </c>
      <c r="DI907">
        <f t="shared" si="1"/>
      </c>
    </row>
    <row r="908" ht="15" customHeight="1">
      <c r="B908">
        <f t="shared" si="2"/>
      </c>
      <c r="R908">
        <f t="shared" si="3"/>
        <v>0</v>
      </c>
      <c r="S908">
        <f t="shared" si="4"/>
        <v>0</v>
      </c>
      <c r="T908">
        <f t="shared" si="5"/>
        <v>0</v>
      </c>
      <c r="U908">
        <f t="shared" si="6"/>
        <v>0</v>
      </c>
      <c r="V908">
        <f t="shared" si="7"/>
        <v>0</v>
      </c>
      <c r="W908">
        <f t="shared" si="8"/>
        <v>0</v>
      </c>
      <c r="X908">
        <f t="shared" si="9"/>
        <v>0</v>
      </c>
      <c r="Y908">
        <f t="shared" si="10"/>
        <v>0</v>
      </c>
      <c r="Z908">
        <f t="shared" si="11"/>
        <v>0</v>
      </c>
      <c r="AA908">
        <f t="shared" si="12"/>
        <v>0</v>
      </c>
      <c r="AB908">
        <f t="shared" si="13"/>
        <v>0</v>
      </c>
      <c r="AC908">
        <f t="shared" si="14"/>
        <v>0</v>
      </c>
      <c r="AE908">
        <f t="shared" si="0"/>
      </c>
      <c r="AV908">
        <f t="shared" si="15"/>
      </c>
      <c r="BM908">
        <f t="shared" si="16"/>
      </c>
      <c r="CD908">
        <f t="shared" si="0"/>
      </c>
      <c r="CZ908">
        <f t="shared" si="17"/>
      </c>
      <c r="DA908">
        <f t="shared" si="1"/>
      </c>
      <c r="DB908">
        <f t="shared" si="18"/>
      </c>
      <c r="DC908">
        <f t="shared" si="19"/>
      </c>
      <c r="DD908">
        <f t="shared" si="20"/>
      </c>
      <c r="DE908">
        <f t="shared" si="21"/>
      </c>
      <c r="DF908">
        <f t="shared" si="22"/>
      </c>
      <c r="DG908">
        <f t="shared" si="23"/>
      </c>
      <c r="DH908">
        <f t="shared" si="24"/>
      </c>
      <c r="DI908">
        <f t="shared" si="1"/>
      </c>
    </row>
    <row r="909" ht="15" customHeight="1">
      <c r="B909">
        <f t="shared" si="2"/>
      </c>
      <c r="R909">
        <f t="shared" si="3"/>
        <v>0</v>
      </c>
      <c r="S909">
        <f t="shared" si="4"/>
        <v>0</v>
      </c>
      <c r="T909">
        <f t="shared" si="5"/>
        <v>0</v>
      </c>
      <c r="U909">
        <f t="shared" si="6"/>
        <v>0</v>
      </c>
      <c r="V909">
        <f t="shared" si="7"/>
        <v>0</v>
      </c>
      <c r="W909">
        <f t="shared" si="8"/>
        <v>0</v>
      </c>
      <c r="X909">
        <f t="shared" si="9"/>
        <v>0</v>
      </c>
      <c r="Y909">
        <f t="shared" si="10"/>
        <v>0</v>
      </c>
      <c r="Z909">
        <f t="shared" si="11"/>
        <v>0</v>
      </c>
      <c r="AA909">
        <f t="shared" si="12"/>
        <v>0</v>
      </c>
      <c r="AB909">
        <f t="shared" si="13"/>
        <v>0</v>
      </c>
      <c r="AC909">
        <f t="shared" si="14"/>
        <v>0</v>
      </c>
      <c r="AE909">
        <f t="shared" si="0"/>
      </c>
      <c r="AV909">
        <f t="shared" si="15"/>
      </c>
      <c r="BM909">
        <f t="shared" si="16"/>
      </c>
      <c r="CD909">
        <f t="shared" si="0"/>
      </c>
      <c r="CZ909">
        <f t="shared" si="17"/>
      </c>
      <c r="DA909">
        <f t="shared" si="1"/>
      </c>
      <c r="DB909">
        <f t="shared" si="18"/>
      </c>
      <c r="DC909">
        <f t="shared" si="19"/>
      </c>
      <c r="DD909">
        <f t="shared" si="20"/>
      </c>
      <c r="DE909">
        <f t="shared" si="21"/>
      </c>
      <c r="DF909">
        <f t="shared" si="22"/>
      </c>
      <c r="DG909">
        <f t="shared" si="23"/>
      </c>
      <c r="DH909">
        <f t="shared" si="24"/>
      </c>
      <c r="DI909">
        <f t="shared" si="1"/>
      </c>
    </row>
    <row r="910" ht="15" customHeight="1">
      <c r="B910">
        <f t="shared" si="2"/>
      </c>
      <c r="R910">
        <f t="shared" si="3"/>
        <v>0</v>
      </c>
      <c r="S910">
        <f t="shared" si="4"/>
        <v>0</v>
      </c>
      <c r="T910">
        <f t="shared" si="5"/>
        <v>0</v>
      </c>
      <c r="U910">
        <f t="shared" si="6"/>
        <v>0</v>
      </c>
      <c r="V910">
        <f t="shared" si="7"/>
        <v>0</v>
      </c>
      <c r="W910">
        <f t="shared" si="8"/>
        <v>0</v>
      </c>
      <c r="X910">
        <f t="shared" si="9"/>
        <v>0</v>
      </c>
      <c r="Y910">
        <f t="shared" si="10"/>
        <v>0</v>
      </c>
      <c r="Z910">
        <f t="shared" si="11"/>
        <v>0</v>
      </c>
      <c r="AA910">
        <f t="shared" si="12"/>
        <v>0</v>
      </c>
      <c r="AB910">
        <f t="shared" si="13"/>
        <v>0</v>
      </c>
      <c r="AC910">
        <f t="shared" si="14"/>
        <v>0</v>
      </c>
      <c r="AE910">
        <f t="shared" si="0"/>
      </c>
      <c r="AV910">
        <f t="shared" si="15"/>
      </c>
      <c r="BM910">
        <f t="shared" si="16"/>
      </c>
      <c r="CD910">
        <f t="shared" si="0"/>
      </c>
      <c r="CZ910">
        <f t="shared" si="17"/>
      </c>
      <c r="DA910">
        <f t="shared" si="1"/>
      </c>
      <c r="DB910">
        <f t="shared" si="18"/>
      </c>
      <c r="DC910">
        <f t="shared" si="19"/>
      </c>
      <c r="DD910">
        <f t="shared" si="20"/>
      </c>
      <c r="DE910">
        <f t="shared" si="21"/>
      </c>
      <c r="DF910">
        <f t="shared" si="22"/>
      </c>
      <c r="DG910">
        <f t="shared" si="23"/>
      </c>
      <c r="DH910">
        <f t="shared" si="24"/>
      </c>
      <c r="DI910">
        <f t="shared" si="1"/>
      </c>
    </row>
    <row r="911" ht="15" customHeight="1">
      <c r="B911">
        <f t="shared" si="2"/>
      </c>
      <c r="R911">
        <f t="shared" si="3"/>
        <v>0</v>
      </c>
      <c r="S911">
        <f t="shared" si="4"/>
        <v>0</v>
      </c>
      <c r="T911">
        <f t="shared" si="5"/>
        <v>0</v>
      </c>
      <c r="U911">
        <f t="shared" si="6"/>
        <v>0</v>
      </c>
      <c r="V911">
        <f t="shared" si="7"/>
        <v>0</v>
      </c>
      <c r="W911">
        <f t="shared" si="8"/>
        <v>0</v>
      </c>
      <c r="X911">
        <f t="shared" si="9"/>
        <v>0</v>
      </c>
      <c r="Y911">
        <f t="shared" si="10"/>
        <v>0</v>
      </c>
      <c r="Z911">
        <f t="shared" si="11"/>
        <v>0</v>
      </c>
      <c r="AA911">
        <f t="shared" si="12"/>
        <v>0</v>
      </c>
      <c r="AB911">
        <f t="shared" si="13"/>
        <v>0</v>
      </c>
      <c r="AC911">
        <f t="shared" si="14"/>
        <v>0</v>
      </c>
      <c r="AE911">
        <f t="shared" si="0"/>
      </c>
      <c r="AV911">
        <f t="shared" si="15"/>
      </c>
      <c r="BM911">
        <f t="shared" si="16"/>
      </c>
      <c r="CD911">
        <f t="shared" si="0"/>
      </c>
      <c r="CZ911">
        <f t="shared" si="17"/>
      </c>
      <c r="DA911">
        <f t="shared" si="1"/>
      </c>
      <c r="DB911">
        <f t="shared" si="18"/>
      </c>
      <c r="DC911">
        <f t="shared" si="19"/>
      </c>
      <c r="DD911">
        <f t="shared" si="20"/>
      </c>
      <c r="DE911">
        <f t="shared" si="21"/>
      </c>
      <c r="DF911">
        <f t="shared" si="22"/>
      </c>
      <c r="DG911">
        <f t="shared" si="23"/>
      </c>
      <c r="DH911">
        <f t="shared" si="24"/>
      </c>
      <c r="DI911">
        <f t="shared" si="1"/>
      </c>
    </row>
    <row r="912" ht="15" customHeight="1">
      <c r="B912">
        <f t="shared" si="2"/>
      </c>
      <c r="R912">
        <f t="shared" si="3"/>
        <v>0</v>
      </c>
      <c r="S912">
        <f t="shared" si="4"/>
        <v>0</v>
      </c>
      <c r="T912">
        <f t="shared" si="5"/>
        <v>0</v>
      </c>
      <c r="U912">
        <f t="shared" si="6"/>
        <v>0</v>
      </c>
      <c r="V912">
        <f t="shared" si="7"/>
        <v>0</v>
      </c>
      <c r="W912">
        <f t="shared" si="8"/>
        <v>0</v>
      </c>
      <c r="X912">
        <f t="shared" si="9"/>
        <v>0</v>
      </c>
      <c r="Y912">
        <f t="shared" si="10"/>
        <v>0</v>
      </c>
      <c r="Z912">
        <f t="shared" si="11"/>
        <v>0</v>
      </c>
      <c r="AA912">
        <f t="shared" si="12"/>
        <v>0</v>
      </c>
      <c r="AB912">
        <f t="shared" si="13"/>
        <v>0</v>
      </c>
      <c r="AC912">
        <f t="shared" si="14"/>
        <v>0</v>
      </c>
      <c r="AE912">
        <f t="shared" si="0"/>
      </c>
      <c r="AV912">
        <f t="shared" si="15"/>
      </c>
      <c r="BM912">
        <f t="shared" si="16"/>
      </c>
      <c r="CD912">
        <f t="shared" si="0"/>
      </c>
      <c r="CZ912">
        <f t="shared" si="17"/>
      </c>
      <c r="DA912">
        <f t="shared" si="1"/>
      </c>
      <c r="DB912">
        <f t="shared" si="18"/>
      </c>
      <c r="DC912">
        <f t="shared" si="19"/>
      </c>
      <c r="DD912">
        <f t="shared" si="20"/>
      </c>
      <c r="DE912">
        <f t="shared" si="21"/>
      </c>
      <c r="DF912">
        <f t="shared" si="22"/>
      </c>
      <c r="DG912">
        <f t="shared" si="23"/>
      </c>
      <c r="DH912">
        <f t="shared" si="24"/>
      </c>
      <c r="DI912">
        <f t="shared" si="1"/>
      </c>
    </row>
    <row r="913" ht="15" customHeight="1">
      <c r="B913">
        <f t="shared" si="2"/>
      </c>
      <c r="R913">
        <f t="shared" si="3"/>
        <v>0</v>
      </c>
      <c r="S913">
        <f t="shared" si="4"/>
        <v>0</v>
      </c>
      <c r="T913">
        <f t="shared" si="5"/>
        <v>0</v>
      </c>
      <c r="U913">
        <f t="shared" si="6"/>
        <v>0</v>
      </c>
      <c r="V913">
        <f t="shared" si="7"/>
        <v>0</v>
      </c>
      <c r="W913">
        <f t="shared" si="8"/>
        <v>0</v>
      </c>
      <c r="X913">
        <f t="shared" si="9"/>
        <v>0</v>
      </c>
      <c r="Y913">
        <f t="shared" si="10"/>
        <v>0</v>
      </c>
      <c r="Z913">
        <f t="shared" si="11"/>
        <v>0</v>
      </c>
      <c r="AA913">
        <f t="shared" si="12"/>
        <v>0</v>
      </c>
      <c r="AB913">
        <f t="shared" si="13"/>
        <v>0</v>
      </c>
      <c r="AC913">
        <f t="shared" si="14"/>
        <v>0</v>
      </c>
      <c r="AE913">
        <f t="shared" si="0"/>
      </c>
      <c r="AV913">
        <f t="shared" si="15"/>
      </c>
      <c r="BM913">
        <f t="shared" si="16"/>
      </c>
      <c r="CD913">
        <f t="shared" si="0"/>
      </c>
      <c r="CZ913">
        <f t="shared" si="17"/>
      </c>
      <c r="DA913">
        <f t="shared" si="1"/>
      </c>
      <c r="DB913">
        <f t="shared" si="18"/>
      </c>
      <c r="DC913">
        <f t="shared" si="19"/>
      </c>
      <c r="DD913">
        <f t="shared" si="20"/>
      </c>
      <c r="DE913">
        <f t="shared" si="21"/>
      </c>
      <c r="DF913">
        <f t="shared" si="22"/>
      </c>
      <c r="DG913">
        <f t="shared" si="23"/>
      </c>
      <c r="DH913">
        <f t="shared" si="24"/>
      </c>
      <c r="DI913">
        <f t="shared" si="1"/>
      </c>
    </row>
    <row r="914" ht="15" customHeight="1">
      <c r="B914">
        <f t="shared" si="2"/>
      </c>
      <c r="R914">
        <f t="shared" si="3"/>
        <v>0</v>
      </c>
      <c r="S914">
        <f t="shared" si="4"/>
        <v>0</v>
      </c>
      <c r="T914">
        <f t="shared" si="5"/>
        <v>0</v>
      </c>
      <c r="U914">
        <f t="shared" si="6"/>
        <v>0</v>
      </c>
      <c r="V914">
        <f t="shared" si="7"/>
        <v>0</v>
      </c>
      <c r="W914">
        <f t="shared" si="8"/>
        <v>0</v>
      </c>
      <c r="X914">
        <f t="shared" si="9"/>
        <v>0</v>
      </c>
      <c r="Y914">
        <f t="shared" si="10"/>
        <v>0</v>
      </c>
      <c r="Z914">
        <f t="shared" si="11"/>
        <v>0</v>
      </c>
      <c r="AA914">
        <f t="shared" si="12"/>
        <v>0</v>
      </c>
      <c r="AB914">
        <f t="shared" si="13"/>
        <v>0</v>
      </c>
      <c r="AC914">
        <f t="shared" si="14"/>
        <v>0</v>
      </c>
      <c r="AE914">
        <f t="shared" si="0"/>
      </c>
      <c r="AV914">
        <f t="shared" si="15"/>
      </c>
      <c r="BM914">
        <f t="shared" si="16"/>
      </c>
      <c r="CD914">
        <f t="shared" si="0"/>
      </c>
      <c r="CZ914">
        <f t="shared" si="17"/>
      </c>
      <c r="DA914">
        <f t="shared" si="1"/>
      </c>
      <c r="DB914">
        <f t="shared" si="18"/>
      </c>
      <c r="DC914">
        <f t="shared" si="19"/>
      </c>
      <c r="DD914">
        <f t="shared" si="20"/>
      </c>
      <c r="DE914">
        <f t="shared" si="21"/>
      </c>
      <c r="DF914">
        <f t="shared" si="22"/>
      </c>
      <c r="DG914">
        <f t="shared" si="23"/>
      </c>
      <c r="DH914">
        <f t="shared" si="24"/>
      </c>
      <c r="DI914">
        <f t="shared" si="1"/>
      </c>
    </row>
    <row r="915" ht="15" customHeight="1">
      <c r="B915">
        <f t="shared" si="2"/>
      </c>
      <c r="R915">
        <f t="shared" si="3"/>
        <v>0</v>
      </c>
      <c r="S915">
        <f t="shared" si="4"/>
        <v>0</v>
      </c>
      <c r="T915">
        <f t="shared" si="5"/>
        <v>0</v>
      </c>
      <c r="U915">
        <f t="shared" si="6"/>
        <v>0</v>
      </c>
      <c r="V915">
        <f t="shared" si="7"/>
        <v>0</v>
      </c>
      <c r="W915">
        <f t="shared" si="8"/>
        <v>0</v>
      </c>
      <c r="X915">
        <f t="shared" si="9"/>
        <v>0</v>
      </c>
      <c r="Y915">
        <f t="shared" si="10"/>
        <v>0</v>
      </c>
      <c r="Z915">
        <f t="shared" si="11"/>
        <v>0</v>
      </c>
      <c r="AA915">
        <f t="shared" si="12"/>
        <v>0</v>
      </c>
      <c r="AB915">
        <f t="shared" si="13"/>
        <v>0</v>
      </c>
      <c r="AC915">
        <f t="shared" si="14"/>
        <v>0</v>
      </c>
      <c r="AE915">
        <f t="shared" si="0"/>
      </c>
      <c r="AV915">
        <f t="shared" si="15"/>
      </c>
      <c r="BM915">
        <f t="shared" si="16"/>
      </c>
      <c r="CD915">
        <f t="shared" si="0"/>
      </c>
      <c r="CZ915">
        <f t="shared" si="17"/>
      </c>
      <c r="DA915">
        <f t="shared" si="1"/>
      </c>
      <c r="DB915">
        <f t="shared" si="18"/>
      </c>
      <c r="DC915">
        <f t="shared" si="19"/>
      </c>
      <c r="DD915">
        <f t="shared" si="20"/>
      </c>
      <c r="DE915">
        <f t="shared" si="21"/>
      </c>
      <c r="DF915">
        <f t="shared" si="22"/>
      </c>
      <c r="DG915">
        <f t="shared" si="23"/>
      </c>
      <c r="DH915">
        <f t="shared" si="24"/>
      </c>
      <c r="DI915">
        <f t="shared" si="1"/>
      </c>
    </row>
    <row r="916" ht="15" customHeight="1">
      <c r="B916">
        <f t="shared" si="2"/>
      </c>
      <c r="R916">
        <f t="shared" si="3"/>
        <v>0</v>
      </c>
      <c r="S916">
        <f t="shared" si="4"/>
        <v>0</v>
      </c>
      <c r="T916">
        <f t="shared" si="5"/>
        <v>0</v>
      </c>
      <c r="U916">
        <f t="shared" si="6"/>
        <v>0</v>
      </c>
      <c r="V916">
        <f t="shared" si="7"/>
        <v>0</v>
      </c>
      <c r="W916">
        <f t="shared" si="8"/>
        <v>0</v>
      </c>
      <c r="X916">
        <f t="shared" si="9"/>
        <v>0</v>
      </c>
      <c r="Y916">
        <f t="shared" si="10"/>
        <v>0</v>
      </c>
      <c r="Z916">
        <f t="shared" si="11"/>
        <v>0</v>
      </c>
      <c r="AA916">
        <f t="shared" si="12"/>
        <v>0</v>
      </c>
      <c r="AB916">
        <f t="shared" si="13"/>
        <v>0</v>
      </c>
      <c r="AC916">
        <f t="shared" si="14"/>
        <v>0</v>
      </c>
      <c r="AE916">
        <f t="shared" si="0"/>
      </c>
      <c r="AV916">
        <f t="shared" si="15"/>
      </c>
      <c r="BM916">
        <f t="shared" si="16"/>
      </c>
      <c r="CD916">
        <f t="shared" si="0"/>
      </c>
      <c r="CZ916">
        <f t="shared" si="17"/>
      </c>
      <c r="DA916">
        <f t="shared" si="1"/>
      </c>
      <c r="DB916">
        <f t="shared" si="18"/>
      </c>
      <c r="DC916">
        <f t="shared" si="19"/>
      </c>
      <c r="DD916">
        <f t="shared" si="20"/>
      </c>
      <c r="DE916">
        <f t="shared" si="21"/>
      </c>
      <c r="DF916">
        <f t="shared" si="22"/>
      </c>
      <c r="DG916">
        <f t="shared" si="23"/>
      </c>
      <c r="DH916">
        <f t="shared" si="24"/>
      </c>
      <c r="DI916">
        <f t="shared" si="1"/>
      </c>
    </row>
    <row r="917" ht="15" customHeight="1">
      <c r="B917">
        <f t="shared" si="2"/>
      </c>
      <c r="R917">
        <f t="shared" si="3"/>
        <v>0</v>
      </c>
      <c r="S917">
        <f t="shared" si="4"/>
        <v>0</v>
      </c>
      <c r="T917">
        <f t="shared" si="5"/>
        <v>0</v>
      </c>
      <c r="U917">
        <f t="shared" si="6"/>
        <v>0</v>
      </c>
      <c r="V917">
        <f t="shared" si="7"/>
        <v>0</v>
      </c>
      <c r="W917">
        <f t="shared" si="8"/>
        <v>0</v>
      </c>
      <c r="X917">
        <f t="shared" si="9"/>
        <v>0</v>
      </c>
      <c r="Y917">
        <f t="shared" si="10"/>
        <v>0</v>
      </c>
      <c r="Z917">
        <f t="shared" si="11"/>
        <v>0</v>
      </c>
      <c r="AA917">
        <f t="shared" si="12"/>
        <v>0</v>
      </c>
      <c r="AB917">
        <f t="shared" si="13"/>
        <v>0</v>
      </c>
      <c r="AC917">
        <f t="shared" si="14"/>
        <v>0</v>
      </c>
      <c r="AE917">
        <f t="shared" si="0"/>
      </c>
      <c r="AV917">
        <f t="shared" si="15"/>
      </c>
      <c r="BM917">
        <f t="shared" si="16"/>
      </c>
      <c r="CD917">
        <f t="shared" si="0"/>
      </c>
      <c r="CZ917">
        <f t="shared" si="17"/>
      </c>
      <c r="DA917">
        <f t="shared" si="1"/>
      </c>
      <c r="DB917">
        <f t="shared" si="18"/>
      </c>
      <c r="DC917">
        <f t="shared" si="19"/>
      </c>
      <c r="DD917">
        <f t="shared" si="20"/>
      </c>
      <c r="DE917">
        <f t="shared" si="21"/>
      </c>
      <c r="DF917">
        <f t="shared" si="22"/>
      </c>
      <c r="DG917">
        <f t="shared" si="23"/>
      </c>
      <c r="DH917">
        <f t="shared" si="24"/>
      </c>
      <c r="DI917">
        <f t="shared" si="1"/>
      </c>
    </row>
    <row r="918" ht="15" customHeight="1">
      <c r="B918">
        <f t="shared" si="2"/>
      </c>
      <c r="R918">
        <f t="shared" si="3"/>
        <v>0</v>
      </c>
      <c r="S918">
        <f t="shared" si="4"/>
        <v>0</v>
      </c>
      <c r="T918">
        <f t="shared" si="5"/>
        <v>0</v>
      </c>
      <c r="U918">
        <f t="shared" si="6"/>
        <v>0</v>
      </c>
      <c r="V918">
        <f t="shared" si="7"/>
        <v>0</v>
      </c>
      <c r="W918">
        <f t="shared" si="8"/>
        <v>0</v>
      </c>
      <c r="X918">
        <f t="shared" si="9"/>
        <v>0</v>
      </c>
      <c r="Y918">
        <f t="shared" si="10"/>
        <v>0</v>
      </c>
      <c r="Z918">
        <f t="shared" si="11"/>
        <v>0</v>
      </c>
      <c r="AA918">
        <f t="shared" si="12"/>
        <v>0</v>
      </c>
      <c r="AB918">
        <f t="shared" si="13"/>
        <v>0</v>
      </c>
      <c r="AC918">
        <f t="shared" si="14"/>
        <v>0</v>
      </c>
      <c r="AE918">
        <f t="shared" si="0"/>
      </c>
      <c r="AV918">
        <f t="shared" si="15"/>
      </c>
      <c r="BM918">
        <f t="shared" si="16"/>
      </c>
      <c r="CD918">
        <f t="shared" si="0"/>
      </c>
      <c r="CZ918">
        <f t="shared" si="17"/>
      </c>
      <c r="DA918">
        <f t="shared" si="1"/>
      </c>
      <c r="DB918">
        <f t="shared" si="18"/>
      </c>
      <c r="DC918">
        <f t="shared" si="19"/>
      </c>
      <c r="DD918">
        <f t="shared" si="20"/>
      </c>
      <c r="DE918">
        <f t="shared" si="21"/>
      </c>
      <c r="DF918">
        <f t="shared" si="22"/>
      </c>
      <c r="DG918">
        <f t="shared" si="23"/>
      </c>
      <c r="DH918">
        <f t="shared" si="24"/>
      </c>
      <c r="DI918">
        <f t="shared" si="1"/>
      </c>
    </row>
    <row r="919" ht="15" customHeight="1">
      <c r="B919">
        <f t="shared" si="2"/>
      </c>
      <c r="R919">
        <f t="shared" si="3"/>
        <v>0</v>
      </c>
      <c r="S919">
        <f t="shared" si="4"/>
        <v>0</v>
      </c>
      <c r="T919">
        <f t="shared" si="5"/>
        <v>0</v>
      </c>
      <c r="U919">
        <f t="shared" si="6"/>
        <v>0</v>
      </c>
      <c r="V919">
        <f t="shared" si="7"/>
        <v>0</v>
      </c>
      <c r="W919">
        <f t="shared" si="8"/>
        <v>0</v>
      </c>
      <c r="X919">
        <f t="shared" si="9"/>
        <v>0</v>
      </c>
      <c r="Y919">
        <f t="shared" si="10"/>
        <v>0</v>
      </c>
      <c r="Z919">
        <f t="shared" si="11"/>
        <v>0</v>
      </c>
      <c r="AA919">
        <f t="shared" si="12"/>
        <v>0</v>
      </c>
      <c r="AB919">
        <f t="shared" si="13"/>
        <v>0</v>
      </c>
      <c r="AC919">
        <f t="shared" si="14"/>
        <v>0</v>
      </c>
      <c r="AE919">
        <f t="shared" si="0"/>
      </c>
      <c r="AV919">
        <f t="shared" si="15"/>
      </c>
      <c r="BM919">
        <f t="shared" si="16"/>
      </c>
      <c r="CD919">
        <f t="shared" si="0"/>
      </c>
      <c r="CZ919">
        <f t="shared" si="17"/>
      </c>
      <c r="DA919">
        <f t="shared" si="1"/>
      </c>
      <c r="DB919">
        <f t="shared" si="18"/>
      </c>
      <c r="DC919">
        <f t="shared" si="19"/>
      </c>
      <c r="DD919">
        <f t="shared" si="20"/>
      </c>
      <c r="DE919">
        <f t="shared" si="21"/>
      </c>
      <c r="DF919">
        <f t="shared" si="22"/>
      </c>
      <c r="DG919">
        <f t="shared" si="23"/>
      </c>
      <c r="DH919">
        <f t="shared" si="24"/>
      </c>
      <c r="DI919">
        <f t="shared" si="1"/>
      </c>
    </row>
    <row r="920" ht="15" customHeight="1">
      <c r="B920">
        <f t="shared" si="2"/>
      </c>
      <c r="R920">
        <f t="shared" si="3"/>
        <v>0</v>
      </c>
      <c r="S920">
        <f t="shared" si="4"/>
        <v>0</v>
      </c>
      <c r="T920">
        <f t="shared" si="5"/>
        <v>0</v>
      </c>
      <c r="U920">
        <f t="shared" si="6"/>
        <v>0</v>
      </c>
      <c r="V920">
        <f t="shared" si="7"/>
        <v>0</v>
      </c>
      <c r="W920">
        <f t="shared" si="8"/>
        <v>0</v>
      </c>
      <c r="X920">
        <f t="shared" si="9"/>
        <v>0</v>
      </c>
      <c r="Y920">
        <f t="shared" si="10"/>
        <v>0</v>
      </c>
      <c r="Z920">
        <f t="shared" si="11"/>
        <v>0</v>
      </c>
      <c r="AA920">
        <f t="shared" si="12"/>
        <v>0</v>
      </c>
      <c r="AB920">
        <f t="shared" si="13"/>
        <v>0</v>
      </c>
      <c r="AC920">
        <f t="shared" si="14"/>
        <v>0</v>
      </c>
      <c r="AE920">
        <f t="shared" si="0"/>
      </c>
      <c r="AV920">
        <f t="shared" si="15"/>
      </c>
      <c r="BM920">
        <f t="shared" si="16"/>
      </c>
      <c r="CD920">
        <f t="shared" si="0"/>
      </c>
      <c r="CZ920">
        <f t="shared" si="17"/>
      </c>
      <c r="DA920">
        <f t="shared" si="1"/>
      </c>
      <c r="DB920">
        <f t="shared" si="18"/>
      </c>
      <c r="DC920">
        <f t="shared" si="19"/>
      </c>
      <c r="DD920">
        <f t="shared" si="20"/>
      </c>
      <c r="DE920">
        <f t="shared" si="21"/>
      </c>
      <c r="DF920">
        <f t="shared" si="22"/>
      </c>
      <c r="DG920">
        <f t="shared" si="23"/>
      </c>
      <c r="DH920">
        <f t="shared" si="24"/>
      </c>
      <c r="DI920">
        <f t="shared" si="1"/>
      </c>
    </row>
    <row r="921" ht="15" customHeight="1">
      <c r="B921">
        <f t="shared" si="2"/>
      </c>
      <c r="R921">
        <f t="shared" si="3"/>
        <v>0</v>
      </c>
      <c r="S921">
        <f t="shared" si="4"/>
        <v>0</v>
      </c>
      <c r="T921">
        <f t="shared" si="5"/>
        <v>0</v>
      </c>
      <c r="U921">
        <f t="shared" si="6"/>
        <v>0</v>
      </c>
      <c r="V921">
        <f t="shared" si="7"/>
        <v>0</v>
      </c>
      <c r="W921">
        <f t="shared" si="8"/>
        <v>0</v>
      </c>
      <c r="X921">
        <f t="shared" si="9"/>
        <v>0</v>
      </c>
      <c r="Y921">
        <f t="shared" si="10"/>
        <v>0</v>
      </c>
      <c r="Z921">
        <f t="shared" si="11"/>
        <v>0</v>
      </c>
      <c r="AA921">
        <f t="shared" si="12"/>
        <v>0</v>
      </c>
      <c r="AB921">
        <f t="shared" si="13"/>
        <v>0</v>
      </c>
      <c r="AC921">
        <f t="shared" si="14"/>
        <v>0</v>
      </c>
      <c r="AE921">
        <f t="shared" si="0"/>
      </c>
      <c r="AV921">
        <f t="shared" si="15"/>
      </c>
      <c r="BM921">
        <f t="shared" si="16"/>
      </c>
      <c r="CD921">
        <f t="shared" si="0"/>
      </c>
      <c r="CZ921">
        <f t="shared" si="17"/>
      </c>
      <c r="DA921">
        <f t="shared" si="1"/>
      </c>
      <c r="DB921">
        <f t="shared" si="18"/>
      </c>
      <c r="DC921">
        <f t="shared" si="19"/>
      </c>
      <c r="DD921">
        <f t="shared" si="20"/>
      </c>
      <c r="DE921">
        <f t="shared" si="21"/>
      </c>
      <c r="DF921">
        <f t="shared" si="22"/>
      </c>
      <c r="DG921">
        <f t="shared" si="23"/>
      </c>
      <c r="DH921">
        <f t="shared" si="24"/>
      </c>
      <c r="DI921">
        <f t="shared" si="1"/>
      </c>
    </row>
    <row r="922" ht="15" customHeight="1">
      <c r="B922">
        <f t="shared" si="2"/>
      </c>
      <c r="R922">
        <f t="shared" si="3"/>
        <v>0</v>
      </c>
      <c r="S922">
        <f t="shared" si="4"/>
        <v>0</v>
      </c>
      <c r="T922">
        <f t="shared" si="5"/>
        <v>0</v>
      </c>
      <c r="U922">
        <f t="shared" si="6"/>
        <v>0</v>
      </c>
      <c r="V922">
        <f t="shared" si="7"/>
        <v>0</v>
      </c>
      <c r="W922">
        <f t="shared" si="8"/>
        <v>0</v>
      </c>
      <c r="X922">
        <f t="shared" si="9"/>
        <v>0</v>
      </c>
      <c r="Y922">
        <f t="shared" si="10"/>
        <v>0</v>
      </c>
      <c r="Z922">
        <f t="shared" si="11"/>
        <v>0</v>
      </c>
      <c r="AA922">
        <f t="shared" si="12"/>
        <v>0</v>
      </c>
      <c r="AB922">
        <f t="shared" si="13"/>
        <v>0</v>
      </c>
      <c r="AC922">
        <f t="shared" si="14"/>
        <v>0</v>
      </c>
      <c r="AE922">
        <f t="shared" si="0"/>
      </c>
      <c r="AV922">
        <f t="shared" si="15"/>
      </c>
      <c r="BM922">
        <f t="shared" si="16"/>
      </c>
      <c r="CD922">
        <f t="shared" si="0"/>
      </c>
      <c r="CZ922">
        <f t="shared" si="17"/>
      </c>
      <c r="DA922">
        <f t="shared" si="1"/>
      </c>
      <c r="DB922">
        <f t="shared" si="18"/>
      </c>
      <c r="DC922">
        <f t="shared" si="19"/>
      </c>
      <c r="DD922">
        <f t="shared" si="20"/>
      </c>
      <c r="DE922">
        <f t="shared" si="21"/>
      </c>
      <c r="DF922">
        <f t="shared" si="22"/>
      </c>
      <c r="DG922">
        <f t="shared" si="23"/>
      </c>
      <c r="DH922">
        <f t="shared" si="24"/>
      </c>
      <c r="DI922">
        <f t="shared" si="1"/>
      </c>
    </row>
    <row r="923" ht="15" customHeight="1">
      <c r="B923">
        <f t="shared" si="2"/>
      </c>
      <c r="R923">
        <f t="shared" si="3"/>
        <v>0</v>
      </c>
      <c r="S923">
        <f t="shared" si="4"/>
        <v>0</v>
      </c>
      <c r="T923">
        <f t="shared" si="5"/>
        <v>0</v>
      </c>
      <c r="U923">
        <f t="shared" si="6"/>
        <v>0</v>
      </c>
      <c r="V923">
        <f t="shared" si="7"/>
        <v>0</v>
      </c>
      <c r="W923">
        <f t="shared" si="8"/>
        <v>0</v>
      </c>
      <c r="X923">
        <f t="shared" si="9"/>
        <v>0</v>
      </c>
      <c r="Y923">
        <f t="shared" si="10"/>
        <v>0</v>
      </c>
      <c r="Z923">
        <f t="shared" si="11"/>
        <v>0</v>
      </c>
      <c r="AA923">
        <f t="shared" si="12"/>
        <v>0</v>
      </c>
      <c r="AB923">
        <f t="shared" si="13"/>
        <v>0</v>
      </c>
      <c r="AC923">
        <f t="shared" si="14"/>
        <v>0</v>
      </c>
      <c r="AE923">
        <f t="shared" si="0"/>
      </c>
      <c r="AV923">
        <f t="shared" si="15"/>
      </c>
      <c r="BM923">
        <f t="shared" si="16"/>
      </c>
      <c r="CD923">
        <f t="shared" si="0"/>
      </c>
      <c r="CZ923">
        <f t="shared" si="17"/>
      </c>
      <c r="DA923">
        <f t="shared" si="1"/>
      </c>
      <c r="DB923">
        <f t="shared" si="18"/>
      </c>
      <c r="DC923">
        <f t="shared" si="19"/>
      </c>
      <c r="DD923">
        <f t="shared" si="20"/>
      </c>
      <c r="DE923">
        <f t="shared" si="21"/>
      </c>
      <c r="DF923">
        <f t="shared" si="22"/>
      </c>
      <c r="DG923">
        <f t="shared" si="23"/>
      </c>
      <c r="DH923">
        <f t="shared" si="24"/>
      </c>
      <c r="DI923">
        <f t="shared" si="1"/>
      </c>
    </row>
    <row r="924" ht="15" customHeight="1">
      <c r="B924">
        <f t="shared" si="2"/>
      </c>
      <c r="R924">
        <f t="shared" si="3"/>
        <v>0</v>
      </c>
      <c r="S924">
        <f t="shared" si="4"/>
        <v>0</v>
      </c>
      <c r="T924">
        <f t="shared" si="5"/>
        <v>0</v>
      </c>
      <c r="U924">
        <f t="shared" si="6"/>
        <v>0</v>
      </c>
      <c r="V924">
        <f t="shared" si="7"/>
        <v>0</v>
      </c>
      <c r="W924">
        <f t="shared" si="8"/>
        <v>0</v>
      </c>
      <c r="X924">
        <f t="shared" si="9"/>
        <v>0</v>
      </c>
      <c r="Y924">
        <f t="shared" si="10"/>
        <v>0</v>
      </c>
      <c r="Z924">
        <f t="shared" si="11"/>
        <v>0</v>
      </c>
      <c r="AA924">
        <f t="shared" si="12"/>
        <v>0</v>
      </c>
      <c r="AB924">
        <f t="shared" si="13"/>
        <v>0</v>
      </c>
      <c r="AC924">
        <f t="shared" si="14"/>
        <v>0</v>
      </c>
      <c r="AE924">
        <f t="shared" si="0"/>
      </c>
      <c r="AV924">
        <f t="shared" si="15"/>
      </c>
      <c r="BM924">
        <f t="shared" si="16"/>
      </c>
      <c r="CD924">
        <f t="shared" si="0"/>
      </c>
      <c r="CZ924">
        <f t="shared" si="17"/>
      </c>
      <c r="DA924">
        <f t="shared" si="1"/>
      </c>
      <c r="DB924">
        <f t="shared" si="18"/>
      </c>
      <c r="DC924">
        <f t="shared" si="19"/>
      </c>
      <c r="DD924">
        <f t="shared" si="20"/>
      </c>
      <c r="DE924">
        <f t="shared" si="21"/>
      </c>
      <c r="DF924">
        <f t="shared" si="22"/>
      </c>
      <c r="DG924">
        <f t="shared" si="23"/>
      </c>
      <c r="DH924">
        <f t="shared" si="24"/>
      </c>
      <c r="DI924">
        <f t="shared" si="1"/>
      </c>
    </row>
    <row r="925" ht="15" customHeight="1">
      <c r="B925">
        <f t="shared" si="2"/>
      </c>
      <c r="R925">
        <f t="shared" si="3"/>
        <v>0</v>
      </c>
      <c r="S925">
        <f t="shared" si="4"/>
        <v>0</v>
      </c>
      <c r="T925">
        <f t="shared" si="5"/>
        <v>0</v>
      </c>
      <c r="U925">
        <f t="shared" si="6"/>
        <v>0</v>
      </c>
      <c r="V925">
        <f t="shared" si="7"/>
        <v>0</v>
      </c>
      <c r="W925">
        <f t="shared" si="8"/>
        <v>0</v>
      </c>
      <c r="X925">
        <f t="shared" si="9"/>
        <v>0</v>
      </c>
      <c r="Y925">
        <f t="shared" si="10"/>
        <v>0</v>
      </c>
      <c r="Z925">
        <f t="shared" si="11"/>
        <v>0</v>
      </c>
      <c r="AA925">
        <f t="shared" si="12"/>
        <v>0</v>
      </c>
      <c r="AB925">
        <f t="shared" si="13"/>
        <v>0</v>
      </c>
      <c r="AC925">
        <f t="shared" si="14"/>
        <v>0</v>
      </c>
      <c r="AE925">
        <f t="shared" si="0"/>
      </c>
      <c r="AV925">
        <f t="shared" si="15"/>
      </c>
      <c r="BM925">
        <f t="shared" si="16"/>
      </c>
      <c r="CD925">
        <f t="shared" si="0"/>
      </c>
      <c r="CZ925">
        <f t="shared" si="17"/>
      </c>
      <c r="DA925">
        <f t="shared" si="1"/>
      </c>
      <c r="DB925">
        <f t="shared" si="18"/>
      </c>
      <c r="DC925">
        <f t="shared" si="19"/>
      </c>
      <c r="DD925">
        <f t="shared" si="20"/>
      </c>
      <c r="DE925">
        <f t="shared" si="21"/>
      </c>
      <c r="DF925">
        <f t="shared" si="22"/>
      </c>
      <c r="DG925">
        <f t="shared" si="23"/>
      </c>
      <c r="DH925">
        <f t="shared" si="24"/>
      </c>
      <c r="DI925">
        <f t="shared" si="1"/>
      </c>
    </row>
    <row r="926" ht="15" customHeight="1">
      <c r="B926">
        <f t="shared" si="2"/>
      </c>
      <c r="R926">
        <f t="shared" si="3"/>
        <v>0</v>
      </c>
      <c r="S926">
        <f t="shared" si="4"/>
        <v>0</v>
      </c>
      <c r="T926">
        <f t="shared" si="5"/>
        <v>0</v>
      </c>
      <c r="U926">
        <f t="shared" si="6"/>
        <v>0</v>
      </c>
      <c r="V926">
        <f t="shared" si="7"/>
        <v>0</v>
      </c>
      <c r="W926">
        <f t="shared" si="8"/>
        <v>0</v>
      </c>
      <c r="X926">
        <f t="shared" si="9"/>
        <v>0</v>
      </c>
      <c r="Y926">
        <f t="shared" si="10"/>
        <v>0</v>
      </c>
      <c r="Z926">
        <f t="shared" si="11"/>
        <v>0</v>
      </c>
      <c r="AA926">
        <f t="shared" si="12"/>
        <v>0</v>
      </c>
      <c r="AB926">
        <f t="shared" si="13"/>
        <v>0</v>
      </c>
      <c r="AC926">
        <f t="shared" si="14"/>
        <v>0</v>
      </c>
      <c r="AE926">
        <f t="shared" si="0"/>
      </c>
      <c r="AV926">
        <f t="shared" si="15"/>
      </c>
      <c r="BM926">
        <f t="shared" si="16"/>
      </c>
      <c r="CD926">
        <f t="shared" si="0"/>
      </c>
      <c r="CZ926">
        <f t="shared" si="17"/>
      </c>
      <c r="DA926">
        <f t="shared" si="1"/>
      </c>
      <c r="DB926">
        <f t="shared" si="18"/>
      </c>
      <c r="DC926">
        <f t="shared" si="19"/>
      </c>
      <c r="DD926">
        <f t="shared" si="20"/>
      </c>
      <c r="DE926">
        <f t="shared" si="21"/>
      </c>
      <c r="DF926">
        <f t="shared" si="22"/>
      </c>
      <c r="DG926">
        <f t="shared" si="23"/>
      </c>
      <c r="DH926">
        <f t="shared" si="24"/>
      </c>
      <c r="DI926">
        <f t="shared" si="1"/>
      </c>
    </row>
    <row r="927" ht="15" customHeight="1">
      <c r="B927">
        <f t="shared" si="2"/>
      </c>
      <c r="R927">
        <f t="shared" si="3"/>
        <v>0</v>
      </c>
      <c r="S927">
        <f t="shared" si="4"/>
        <v>0</v>
      </c>
      <c r="T927">
        <f t="shared" si="5"/>
        <v>0</v>
      </c>
      <c r="U927">
        <f t="shared" si="6"/>
        <v>0</v>
      </c>
      <c r="V927">
        <f t="shared" si="7"/>
        <v>0</v>
      </c>
      <c r="W927">
        <f t="shared" si="8"/>
        <v>0</v>
      </c>
      <c r="X927">
        <f t="shared" si="9"/>
        <v>0</v>
      </c>
      <c r="Y927">
        <f t="shared" si="10"/>
        <v>0</v>
      </c>
      <c r="Z927">
        <f t="shared" si="11"/>
        <v>0</v>
      </c>
      <c r="AA927">
        <f t="shared" si="12"/>
        <v>0</v>
      </c>
      <c r="AB927">
        <f t="shared" si="13"/>
        <v>0</v>
      </c>
      <c r="AC927">
        <f t="shared" si="14"/>
        <v>0</v>
      </c>
      <c r="AE927">
        <f t="shared" si="0"/>
      </c>
      <c r="AV927">
        <f t="shared" si="15"/>
      </c>
      <c r="BM927">
        <f t="shared" si="16"/>
      </c>
      <c r="CD927">
        <f t="shared" si="0"/>
      </c>
      <c r="CZ927">
        <f t="shared" si="17"/>
      </c>
      <c r="DA927">
        <f t="shared" si="1"/>
      </c>
      <c r="DB927">
        <f t="shared" si="18"/>
      </c>
      <c r="DC927">
        <f t="shared" si="19"/>
      </c>
      <c r="DD927">
        <f t="shared" si="20"/>
      </c>
      <c r="DE927">
        <f t="shared" si="21"/>
      </c>
      <c r="DF927">
        <f t="shared" si="22"/>
      </c>
      <c r="DG927">
        <f t="shared" si="23"/>
      </c>
      <c r="DH927">
        <f t="shared" si="24"/>
      </c>
      <c r="DI927">
        <f t="shared" si="1"/>
      </c>
    </row>
    <row r="928" ht="15" customHeight="1">
      <c r="B928">
        <f t="shared" si="2"/>
      </c>
      <c r="R928">
        <f t="shared" si="3"/>
        <v>0</v>
      </c>
      <c r="S928">
        <f t="shared" si="4"/>
        <v>0</v>
      </c>
      <c r="T928">
        <f t="shared" si="5"/>
        <v>0</v>
      </c>
      <c r="U928">
        <f t="shared" si="6"/>
        <v>0</v>
      </c>
      <c r="V928">
        <f t="shared" si="7"/>
        <v>0</v>
      </c>
      <c r="W928">
        <f t="shared" si="8"/>
        <v>0</v>
      </c>
      <c r="X928">
        <f t="shared" si="9"/>
        <v>0</v>
      </c>
      <c r="Y928">
        <f t="shared" si="10"/>
        <v>0</v>
      </c>
      <c r="Z928">
        <f t="shared" si="11"/>
        <v>0</v>
      </c>
      <c r="AA928">
        <f t="shared" si="12"/>
        <v>0</v>
      </c>
      <c r="AB928">
        <f t="shared" si="13"/>
        <v>0</v>
      </c>
      <c r="AC928">
        <f t="shared" si="14"/>
        <v>0</v>
      </c>
      <c r="AE928">
        <f t="shared" si="0"/>
      </c>
      <c r="AV928">
        <f t="shared" si="15"/>
      </c>
      <c r="BM928">
        <f t="shared" si="16"/>
      </c>
      <c r="CD928">
        <f t="shared" si="0"/>
      </c>
      <c r="CZ928">
        <f t="shared" si="17"/>
      </c>
      <c r="DA928">
        <f t="shared" si="1"/>
      </c>
      <c r="DB928">
        <f t="shared" si="18"/>
      </c>
      <c r="DC928">
        <f t="shared" si="19"/>
      </c>
      <c r="DD928">
        <f t="shared" si="20"/>
      </c>
      <c r="DE928">
        <f t="shared" si="21"/>
      </c>
      <c r="DF928">
        <f t="shared" si="22"/>
      </c>
      <c r="DG928">
        <f t="shared" si="23"/>
      </c>
      <c r="DH928">
        <f t="shared" si="24"/>
      </c>
      <c r="DI928">
        <f t="shared" si="1"/>
      </c>
    </row>
    <row r="929" ht="15" customHeight="1">
      <c r="B929">
        <f t="shared" si="2"/>
      </c>
      <c r="R929">
        <f t="shared" si="3"/>
        <v>0</v>
      </c>
      <c r="S929">
        <f t="shared" si="4"/>
        <v>0</v>
      </c>
      <c r="T929">
        <f t="shared" si="5"/>
        <v>0</v>
      </c>
      <c r="U929">
        <f t="shared" si="6"/>
        <v>0</v>
      </c>
      <c r="V929">
        <f t="shared" si="7"/>
        <v>0</v>
      </c>
      <c r="W929">
        <f t="shared" si="8"/>
        <v>0</v>
      </c>
      <c r="X929">
        <f t="shared" si="9"/>
        <v>0</v>
      </c>
      <c r="Y929">
        <f t="shared" si="10"/>
        <v>0</v>
      </c>
      <c r="Z929">
        <f t="shared" si="11"/>
        <v>0</v>
      </c>
      <c r="AA929">
        <f t="shared" si="12"/>
        <v>0</v>
      </c>
      <c r="AB929">
        <f t="shared" si="13"/>
        <v>0</v>
      </c>
      <c r="AC929">
        <f t="shared" si="14"/>
        <v>0</v>
      </c>
      <c r="AE929">
        <f t="shared" si="0"/>
      </c>
      <c r="AV929">
        <f t="shared" si="15"/>
      </c>
      <c r="BM929">
        <f t="shared" si="16"/>
      </c>
      <c r="CD929">
        <f t="shared" si="0"/>
      </c>
      <c r="CZ929">
        <f t="shared" si="17"/>
      </c>
      <c r="DA929">
        <f t="shared" si="1"/>
      </c>
      <c r="DB929">
        <f t="shared" si="18"/>
      </c>
      <c r="DC929">
        <f t="shared" si="19"/>
      </c>
      <c r="DD929">
        <f t="shared" si="20"/>
      </c>
      <c r="DE929">
        <f t="shared" si="21"/>
      </c>
      <c r="DF929">
        <f t="shared" si="22"/>
      </c>
      <c r="DG929">
        <f t="shared" si="23"/>
      </c>
      <c r="DH929">
        <f t="shared" si="24"/>
      </c>
      <c r="DI929">
        <f t="shared" si="1"/>
      </c>
    </row>
    <row r="930" ht="15" customHeight="1">
      <c r="B930">
        <f t="shared" si="2"/>
      </c>
      <c r="R930">
        <f t="shared" si="3"/>
        <v>0</v>
      </c>
      <c r="S930">
        <f t="shared" si="4"/>
        <v>0</v>
      </c>
      <c r="T930">
        <f t="shared" si="5"/>
        <v>0</v>
      </c>
      <c r="U930">
        <f t="shared" si="6"/>
        <v>0</v>
      </c>
      <c r="V930">
        <f t="shared" si="7"/>
        <v>0</v>
      </c>
      <c r="W930">
        <f t="shared" si="8"/>
        <v>0</v>
      </c>
      <c r="X930">
        <f t="shared" si="9"/>
        <v>0</v>
      </c>
      <c r="Y930">
        <f t="shared" si="10"/>
        <v>0</v>
      </c>
      <c r="Z930">
        <f t="shared" si="11"/>
        <v>0</v>
      </c>
      <c r="AA930">
        <f t="shared" si="12"/>
        <v>0</v>
      </c>
      <c r="AB930">
        <f t="shared" si="13"/>
        <v>0</v>
      </c>
      <c r="AC930">
        <f t="shared" si="14"/>
        <v>0</v>
      </c>
      <c r="AE930">
        <f t="shared" si="0"/>
      </c>
      <c r="AV930">
        <f t="shared" si="15"/>
      </c>
      <c r="BM930">
        <f t="shared" si="16"/>
      </c>
      <c r="CD930">
        <f t="shared" si="0"/>
      </c>
      <c r="CZ930">
        <f t="shared" si="17"/>
      </c>
      <c r="DA930">
        <f t="shared" si="1"/>
      </c>
      <c r="DB930">
        <f t="shared" si="18"/>
      </c>
      <c r="DC930">
        <f t="shared" si="19"/>
      </c>
      <c r="DD930">
        <f t="shared" si="20"/>
      </c>
      <c r="DE930">
        <f t="shared" si="21"/>
      </c>
      <c r="DF930">
        <f t="shared" si="22"/>
      </c>
      <c r="DG930">
        <f t="shared" si="23"/>
      </c>
      <c r="DH930">
        <f t="shared" si="24"/>
      </c>
      <c r="DI930">
        <f t="shared" si="1"/>
      </c>
    </row>
    <row r="931" ht="15" customHeight="1">
      <c r="B931">
        <f t="shared" si="2"/>
      </c>
      <c r="R931">
        <f t="shared" si="3"/>
        <v>0</v>
      </c>
      <c r="S931">
        <f t="shared" si="4"/>
        <v>0</v>
      </c>
      <c r="T931">
        <f t="shared" si="5"/>
        <v>0</v>
      </c>
      <c r="U931">
        <f t="shared" si="6"/>
        <v>0</v>
      </c>
      <c r="V931">
        <f t="shared" si="7"/>
        <v>0</v>
      </c>
      <c r="W931">
        <f t="shared" si="8"/>
        <v>0</v>
      </c>
      <c r="X931">
        <f t="shared" si="9"/>
        <v>0</v>
      </c>
      <c r="Y931">
        <f t="shared" si="10"/>
        <v>0</v>
      </c>
      <c r="Z931">
        <f t="shared" si="11"/>
        <v>0</v>
      </c>
      <c r="AA931">
        <f t="shared" si="12"/>
        <v>0</v>
      </c>
      <c r="AB931">
        <f t="shared" si="13"/>
        <v>0</v>
      </c>
      <c r="AC931">
        <f t="shared" si="14"/>
        <v>0</v>
      </c>
      <c r="AE931">
        <f t="shared" si="0"/>
      </c>
      <c r="AV931">
        <f t="shared" si="15"/>
      </c>
      <c r="BM931">
        <f t="shared" si="16"/>
      </c>
      <c r="CD931">
        <f t="shared" si="0"/>
      </c>
      <c r="CZ931">
        <f t="shared" si="17"/>
      </c>
      <c r="DA931">
        <f t="shared" si="1"/>
      </c>
      <c r="DB931">
        <f t="shared" si="18"/>
      </c>
      <c r="DC931">
        <f t="shared" si="19"/>
      </c>
      <c r="DD931">
        <f t="shared" si="20"/>
      </c>
      <c r="DE931">
        <f t="shared" si="21"/>
      </c>
      <c r="DF931">
        <f t="shared" si="22"/>
      </c>
      <c r="DG931">
        <f t="shared" si="23"/>
      </c>
      <c r="DH931">
        <f t="shared" si="24"/>
      </c>
      <c r="DI931">
        <f t="shared" si="1"/>
      </c>
    </row>
    <row r="932" ht="15" customHeight="1">
      <c r="B932">
        <f t="shared" si="2"/>
      </c>
      <c r="R932">
        <f t="shared" si="3"/>
        <v>0</v>
      </c>
      <c r="S932">
        <f t="shared" si="4"/>
        <v>0</v>
      </c>
      <c r="T932">
        <f t="shared" si="5"/>
        <v>0</v>
      </c>
      <c r="U932">
        <f t="shared" si="6"/>
        <v>0</v>
      </c>
      <c r="V932">
        <f t="shared" si="7"/>
        <v>0</v>
      </c>
      <c r="W932">
        <f t="shared" si="8"/>
        <v>0</v>
      </c>
      <c r="X932">
        <f t="shared" si="9"/>
        <v>0</v>
      </c>
      <c r="Y932">
        <f t="shared" si="10"/>
        <v>0</v>
      </c>
      <c r="Z932">
        <f t="shared" si="11"/>
        <v>0</v>
      </c>
      <c r="AA932">
        <f t="shared" si="12"/>
        <v>0</v>
      </c>
      <c r="AB932">
        <f t="shared" si="13"/>
        <v>0</v>
      </c>
      <c r="AC932">
        <f t="shared" si="14"/>
        <v>0</v>
      </c>
      <c r="AE932">
        <f t="shared" si="0"/>
      </c>
      <c r="AV932">
        <f t="shared" si="15"/>
      </c>
      <c r="BM932">
        <f t="shared" si="16"/>
      </c>
      <c r="CD932">
        <f t="shared" si="0"/>
      </c>
      <c r="CZ932">
        <f t="shared" si="17"/>
      </c>
      <c r="DA932">
        <f t="shared" si="1"/>
      </c>
      <c r="DB932">
        <f t="shared" si="18"/>
      </c>
      <c r="DC932">
        <f t="shared" si="19"/>
      </c>
      <c r="DD932">
        <f t="shared" si="20"/>
      </c>
      <c r="DE932">
        <f t="shared" si="21"/>
      </c>
      <c r="DF932">
        <f t="shared" si="22"/>
      </c>
      <c r="DG932">
        <f t="shared" si="23"/>
      </c>
      <c r="DH932">
        <f t="shared" si="24"/>
      </c>
      <c r="DI932">
        <f t="shared" si="1"/>
      </c>
    </row>
    <row r="933" ht="15" customHeight="1">
      <c r="B933">
        <f t="shared" si="2"/>
      </c>
      <c r="R933">
        <f t="shared" si="3"/>
        <v>0</v>
      </c>
      <c r="S933">
        <f t="shared" si="4"/>
        <v>0</v>
      </c>
      <c r="T933">
        <f t="shared" si="5"/>
        <v>0</v>
      </c>
      <c r="U933">
        <f t="shared" si="6"/>
        <v>0</v>
      </c>
      <c r="V933">
        <f t="shared" si="7"/>
        <v>0</v>
      </c>
      <c r="W933">
        <f t="shared" si="8"/>
        <v>0</v>
      </c>
      <c r="X933">
        <f t="shared" si="9"/>
        <v>0</v>
      </c>
      <c r="Y933">
        <f t="shared" si="10"/>
        <v>0</v>
      </c>
      <c r="Z933">
        <f t="shared" si="11"/>
        <v>0</v>
      </c>
      <c r="AA933">
        <f t="shared" si="12"/>
        <v>0</v>
      </c>
      <c r="AB933">
        <f t="shared" si="13"/>
        <v>0</v>
      </c>
      <c r="AC933">
        <f t="shared" si="14"/>
        <v>0</v>
      </c>
      <c r="AE933">
        <f t="shared" si="0"/>
      </c>
      <c r="AV933">
        <f t="shared" si="15"/>
      </c>
      <c r="BM933">
        <f t="shared" si="16"/>
      </c>
      <c r="CD933">
        <f t="shared" si="0"/>
      </c>
      <c r="CZ933">
        <f t="shared" si="17"/>
      </c>
      <c r="DA933">
        <f t="shared" si="1"/>
      </c>
      <c r="DB933">
        <f t="shared" si="18"/>
      </c>
      <c r="DC933">
        <f t="shared" si="19"/>
      </c>
      <c r="DD933">
        <f t="shared" si="20"/>
      </c>
      <c r="DE933">
        <f t="shared" si="21"/>
      </c>
      <c r="DF933">
        <f t="shared" si="22"/>
      </c>
      <c r="DG933">
        <f t="shared" si="23"/>
      </c>
      <c r="DH933">
        <f t="shared" si="24"/>
      </c>
      <c r="DI933">
        <f t="shared" si="1"/>
      </c>
    </row>
    <row r="934" ht="15" customHeight="1">
      <c r="B934">
        <f t="shared" si="2"/>
      </c>
      <c r="R934">
        <f t="shared" si="3"/>
        <v>0</v>
      </c>
      <c r="S934">
        <f t="shared" si="4"/>
        <v>0</v>
      </c>
      <c r="T934">
        <f t="shared" si="5"/>
        <v>0</v>
      </c>
      <c r="U934">
        <f t="shared" si="6"/>
        <v>0</v>
      </c>
      <c r="V934">
        <f t="shared" si="7"/>
        <v>0</v>
      </c>
      <c r="W934">
        <f t="shared" si="8"/>
        <v>0</v>
      </c>
      <c r="X934">
        <f t="shared" si="9"/>
        <v>0</v>
      </c>
      <c r="Y934">
        <f t="shared" si="10"/>
        <v>0</v>
      </c>
      <c r="Z934">
        <f t="shared" si="11"/>
        <v>0</v>
      </c>
      <c r="AA934">
        <f t="shared" si="12"/>
        <v>0</v>
      </c>
      <c r="AB934">
        <f t="shared" si="13"/>
        <v>0</v>
      </c>
      <c r="AC934">
        <f t="shared" si="14"/>
        <v>0</v>
      </c>
      <c r="AE934">
        <f t="shared" si="0"/>
      </c>
      <c r="AV934">
        <f t="shared" si="15"/>
      </c>
      <c r="BM934">
        <f t="shared" si="16"/>
      </c>
      <c r="CD934">
        <f t="shared" si="0"/>
      </c>
      <c r="CZ934">
        <f t="shared" si="17"/>
      </c>
      <c r="DA934">
        <f t="shared" si="1"/>
      </c>
      <c r="DB934">
        <f t="shared" si="18"/>
      </c>
      <c r="DC934">
        <f t="shared" si="19"/>
      </c>
      <c r="DD934">
        <f t="shared" si="20"/>
      </c>
      <c r="DE934">
        <f t="shared" si="21"/>
      </c>
      <c r="DF934">
        <f t="shared" si="22"/>
      </c>
      <c r="DG934">
        <f t="shared" si="23"/>
      </c>
      <c r="DH934">
        <f t="shared" si="24"/>
      </c>
      <c r="DI934">
        <f t="shared" si="1"/>
      </c>
    </row>
    <row r="935" ht="15" customHeight="1">
      <c r="B935">
        <f t="shared" si="2"/>
      </c>
      <c r="R935">
        <f t="shared" si="3"/>
        <v>0</v>
      </c>
      <c r="S935">
        <f t="shared" si="4"/>
        <v>0</v>
      </c>
      <c r="T935">
        <f t="shared" si="5"/>
        <v>0</v>
      </c>
      <c r="U935">
        <f t="shared" si="6"/>
        <v>0</v>
      </c>
      <c r="V935">
        <f t="shared" si="7"/>
        <v>0</v>
      </c>
      <c r="W935">
        <f t="shared" si="8"/>
        <v>0</v>
      </c>
      <c r="X935">
        <f t="shared" si="9"/>
        <v>0</v>
      </c>
      <c r="Y935">
        <f t="shared" si="10"/>
        <v>0</v>
      </c>
      <c r="Z935">
        <f t="shared" si="11"/>
        <v>0</v>
      </c>
      <c r="AA935">
        <f t="shared" si="12"/>
        <v>0</v>
      </c>
      <c r="AB935">
        <f t="shared" si="13"/>
        <v>0</v>
      </c>
      <c r="AC935">
        <f t="shared" si="14"/>
        <v>0</v>
      </c>
      <c r="AE935">
        <f t="shared" si="0"/>
      </c>
      <c r="AV935">
        <f t="shared" si="15"/>
      </c>
      <c r="BM935">
        <f t="shared" si="16"/>
      </c>
      <c r="CD935">
        <f t="shared" si="0"/>
      </c>
      <c r="CZ935">
        <f t="shared" si="17"/>
      </c>
      <c r="DA935">
        <f t="shared" si="1"/>
      </c>
      <c r="DB935">
        <f t="shared" si="18"/>
      </c>
      <c r="DC935">
        <f t="shared" si="19"/>
      </c>
      <c r="DD935">
        <f t="shared" si="20"/>
      </c>
      <c r="DE935">
        <f t="shared" si="21"/>
      </c>
      <c r="DF935">
        <f t="shared" si="22"/>
      </c>
      <c r="DG935">
        <f t="shared" si="23"/>
      </c>
      <c r="DH935">
        <f t="shared" si="24"/>
      </c>
      <c r="DI935">
        <f t="shared" si="1"/>
      </c>
    </row>
    <row r="936" ht="15" customHeight="1">
      <c r="B936">
        <f t="shared" si="2"/>
      </c>
      <c r="R936">
        <f t="shared" si="3"/>
        <v>0</v>
      </c>
      <c r="S936">
        <f t="shared" si="4"/>
        <v>0</v>
      </c>
      <c r="T936">
        <f t="shared" si="5"/>
        <v>0</v>
      </c>
      <c r="U936">
        <f t="shared" si="6"/>
        <v>0</v>
      </c>
      <c r="V936">
        <f t="shared" si="7"/>
        <v>0</v>
      </c>
      <c r="W936">
        <f t="shared" si="8"/>
        <v>0</v>
      </c>
      <c r="X936">
        <f t="shared" si="9"/>
        <v>0</v>
      </c>
      <c r="Y936">
        <f t="shared" si="10"/>
        <v>0</v>
      </c>
      <c r="Z936">
        <f t="shared" si="11"/>
        <v>0</v>
      </c>
      <c r="AA936">
        <f t="shared" si="12"/>
        <v>0</v>
      </c>
      <c r="AB936">
        <f t="shared" si="13"/>
        <v>0</v>
      </c>
      <c r="AC936">
        <f t="shared" si="14"/>
        <v>0</v>
      </c>
      <c r="AE936">
        <f t="shared" si="0"/>
      </c>
      <c r="AV936">
        <f t="shared" si="15"/>
      </c>
      <c r="BM936">
        <f t="shared" si="16"/>
      </c>
      <c r="CD936">
        <f t="shared" si="0"/>
      </c>
      <c r="CZ936">
        <f t="shared" si="17"/>
      </c>
      <c r="DA936">
        <f t="shared" si="1"/>
      </c>
      <c r="DB936">
        <f t="shared" si="18"/>
      </c>
      <c r="DC936">
        <f t="shared" si="19"/>
      </c>
      <c r="DD936">
        <f t="shared" si="20"/>
      </c>
      <c r="DE936">
        <f t="shared" si="21"/>
      </c>
      <c r="DF936">
        <f t="shared" si="22"/>
      </c>
      <c r="DG936">
        <f t="shared" si="23"/>
      </c>
      <c r="DH936">
        <f t="shared" si="24"/>
      </c>
      <c r="DI936">
        <f t="shared" si="1"/>
      </c>
    </row>
    <row r="937" ht="15" customHeight="1">
      <c r="B937">
        <f t="shared" si="2"/>
      </c>
      <c r="R937">
        <f t="shared" si="3"/>
        <v>0</v>
      </c>
      <c r="S937">
        <f t="shared" si="4"/>
        <v>0</v>
      </c>
      <c r="T937">
        <f t="shared" si="5"/>
        <v>0</v>
      </c>
      <c r="U937">
        <f t="shared" si="6"/>
        <v>0</v>
      </c>
      <c r="V937">
        <f t="shared" si="7"/>
        <v>0</v>
      </c>
      <c r="W937">
        <f t="shared" si="8"/>
        <v>0</v>
      </c>
      <c r="X937">
        <f t="shared" si="9"/>
        <v>0</v>
      </c>
      <c r="Y937">
        <f t="shared" si="10"/>
        <v>0</v>
      </c>
      <c r="Z937">
        <f t="shared" si="11"/>
        <v>0</v>
      </c>
      <c r="AA937">
        <f t="shared" si="12"/>
        <v>0</v>
      </c>
      <c r="AB937">
        <f t="shared" si="13"/>
        <v>0</v>
      </c>
      <c r="AC937">
        <f t="shared" si="14"/>
        <v>0</v>
      </c>
      <c r="AE937">
        <f t="shared" si="0"/>
      </c>
      <c r="AV937">
        <f t="shared" si="15"/>
      </c>
      <c r="BM937">
        <f t="shared" si="16"/>
      </c>
      <c r="CD937">
        <f t="shared" si="0"/>
      </c>
      <c r="CZ937">
        <f t="shared" si="17"/>
      </c>
      <c r="DA937">
        <f t="shared" si="1"/>
      </c>
      <c r="DB937">
        <f t="shared" si="18"/>
      </c>
      <c r="DC937">
        <f t="shared" si="19"/>
      </c>
      <c r="DD937">
        <f t="shared" si="20"/>
      </c>
      <c r="DE937">
        <f t="shared" si="21"/>
      </c>
      <c r="DF937">
        <f t="shared" si="22"/>
      </c>
      <c r="DG937">
        <f t="shared" si="23"/>
      </c>
      <c r="DH937">
        <f t="shared" si="24"/>
      </c>
      <c r="DI937">
        <f t="shared" si="1"/>
      </c>
    </row>
    <row r="938" ht="15" customHeight="1">
      <c r="B938">
        <f t="shared" si="2"/>
      </c>
      <c r="R938">
        <f t="shared" si="3"/>
        <v>0</v>
      </c>
      <c r="S938">
        <f t="shared" si="4"/>
        <v>0</v>
      </c>
      <c r="T938">
        <f t="shared" si="5"/>
        <v>0</v>
      </c>
      <c r="U938">
        <f t="shared" si="6"/>
        <v>0</v>
      </c>
      <c r="V938">
        <f t="shared" si="7"/>
        <v>0</v>
      </c>
      <c r="W938">
        <f t="shared" si="8"/>
        <v>0</v>
      </c>
      <c r="X938">
        <f t="shared" si="9"/>
        <v>0</v>
      </c>
      <c r="Y938">
        <f t="shared" si="10"/>
        <v>0</v>
      </c>
      <c r="Z938">
        <f t="shared" si="11"/>
        <v>0</v>
      </c>
      <c r="AA938">
        <f t="shared" si="12"/>
        <v>0</v>
      </c>
      <c r="AB938">
        <f t="shared" si="13"/>
        <v>0</v>
      </c>
      <c r="AC938">
        <f t="shared" si="14"/>
        <v>0</v>
      </c>
      <c r="AE938">
        <f t="shared" si="0"/>
      </c>
      <c r="AV938">
        <f t="shared" si="15"/>
      </c>
      <c r="BM938">
        <f t="shared" si="16"/>
      </c>
      <c r="CD938">
        <f t="shared" si="0"/>
      </c>
      <c r="CZ938">
        <f t="shared" si="17"/>
      </c>
      <c r="DA938">
        <f t="shared" si="1"/>
      </c>
      <c r="DB938">
        <f t="shared" si="18"/>
      </c>
      <c r="DC938">
        <f t="shared" si="19"/>
      </c>
      <c r="DD938">
        <f t="shared" si="20"/>
      </c>
      <c r="DE938">
        <f t="shared" si="21"/>
      </c>
      <c r="DF938">
        <f t="shared" si="22"/>
      </c>
      <c r="DG938">
        <f t="shared" si="23"/>
      </c>
      <c r="DH938">
        <f t="shared" si="24"/>
      </c>
      <c r="DI938">
        <f t="shared" si="1"/>
      </c>
    </row>
    <row r="939" ht="15" customHeight="1">
      <c r="B939">
        <f t="shared" si="2"/>
      </c>
      <c r="R939">
        <f t="shared" si="3"/>
        <v>0</v>
      </c>
      <c r="S939">
        <f t="shared" si="4"/>
        <v>0</v>
      </c>
      <c r="T939">
        <f t="shared" si="5"/>
        <v>0</v>
      </c>
      <c r="U939">
        <f t="shared" si="6"/>
        <v>0</v>
      </c>
      <c r="V939">
        <f t="shared" si="7"/>
        <v>0</v>
      </c>
      <c r="W939">
        <f t="shared" si="8"/>
        <v>0</v>
      </c>
      <c r="X939">
        <f t="shared" si="9"/>
        <v>0</v>
      </c>
      <c r="Y939">
        <f t="shared" si="10"/>
        <v>0</v>
      </c>
      <c r="Z939">
        <f t="shared" si="11"/>
        <v>0</v>
      </c>
      <c r="AA939">
        <f t="shared" si="12"/>
        <v>0</v>
      </c>
      <c r="AB939">
        <f t="shared" si="13"/>
        <v>0</v>
      </c>
      <c r="AC939">
        <f t="shared" si="14"/>
        <v>0</v>
      </c>
      <c r="AE939">
        <f t="shared" si="0"/>
      </c>
      <c r="AV939">
        <f t="shared" si="15"/>
      </c>
      <c r="BM939">
        <f t="shared" si="16"/>
      </c>
      <c r="CD939">
        <f t="shared" si="0"/>
      </c>
      <c r="CZ939">
        <f t="shared" si="17"/>
      </c>
      <c r="DA939">
        <f t="shared" si="1"/>
      </c>
      <c r="DB939">
        <f t="shared" si="18"/>
      </c>
      <c r="DC939">
        <f t="shared" si="19"/>
      </c>
      <c r="DD939">
        <f t="shared" si="20"/>
      </c>
      <c r="DE939">
        <f t="shared" si="21"/>
      </c>
      <c r="DF939">
        <f t="shared" si="22"/>
      </c>
      <c r="DG939">
        <f t="shared" si="23"/>
      </c>
      <c r="DH939">
        <f t="shared" si="24"/>
      </c>
      <c r="DI939">
        <f t="shared" si="1"/>
      </c>
    </row>
    <row r="940" ht="15" customHeight="1">
      <c r="B940">
        <f t="shared" si="2"/>
      </c>
      <c r="R940">
        <f t="shared" si="3"/>
        <v>0</v>
      </c>
      <c r="S940">
        <f t="shared" si="4"/>
        <v>0</v>
      </c>
      <c r="T940">
        <f t="shared" si="5"/>
        <v>0</v>
      </c>
      <c r="U940">
        <f t="shared" si="6"/>
        <v>0</v>
      </c>
      <c r="V940">
        <f t="shared" si="7"/>
        <v>0</v>
      </c>
      <c r="W940">
        <f t="shared" si="8"/>
        <v>0</v>
      </c>
      <c r="X940">
        <f t="shared" si="9"/>
        <v>0</v>
      </c>
      <c r="Y940">
        <f t="shared" si="10"/>
        <v>0</v>
      </c>
      <c r="Z940">
        <f t="shared" si="11"/>
        <v>0</v>
      </c>
      <c r="AA940">
        <f t="shared" si="12"/>
        <v>0</v>
      </c>
      <c r="AB940">
        <f t="shared" si="13"/>
        <v>0</v>
      </c>
      <c r="AC940">
        <f t="shared" si="14"/>
        <v>0</v>
      </c>
      <c r="AE940">
        <f t="shared" si="0"/>
      </c>
      <c r="AV940">
        <f t="shared" si="15"/>
      </c>
      <c r="BM940">
        <f t="shared" si="16"/>
      </c>
      <c r="CD940">
        <f t="shared" si="0"/>
      </c>
      <c r="CZ940">
        <f t="shared" si="17"/>
      </c>
      <c r="DA940">
        <f t="shared" si="1"/>
      </c>
      <c r="DB940">
        <f t="shared" si="18"/>
      </c>
      <c r="DC940">
        <f t="shared" si="19"/>
      </c>
      <c r="DD940">
        <f t="shared" si="20"/>
      </c>
      <c r="DE940">
        <f t="shared" si="21"/>
      </c>
      <c r="DF940">
        <f t="shared" si="22"/>
      </c>
      <c r="DG940">
        <f t="shared" si="23"/>
      </c>
      <c r="DH940">
        <f t="shared" si="24"/>
      </c>
      <c r="DI940">
        <f t="shared" si="1"/>
      </c>
    </row>
    <row r="941" ht="15" customHeight="1">
      <c r="B941">
        <f t="shared" si="2"/>
      </c>
      <c r="R941">
        <f t="shared" si="3"/>
        <v>0</v>
      </c>
      <c r="S941">
        <f t="shared" si="4"/>
        <v>0</v>
      </c>
      <c r="T941">
        <f t="shared" si="5"/>
        <v>0</v>
      </c>
      <c r="U941">
        <f t="shared" si="6"/>
        <v>0</v>
      </c>
      <c r="V941">
        <f t="shared" si="7"/>
        <v>0</v>
      </c>
      <c r="W941">
        <f t="shared" si="8"/>
        <v>0</v>
      </c>
      <c r="X941">
        <f t="shared" si="9"/>
        <v>0</v>
      </c>
      <c r="Y941">
        <f t="shared" si="10"/>
        <v>0</v>
      </c>
      <c r="Z941">
        <f t="shared" si="11"/>
        <v>0</v>
      </c>
      <c r="AA941">
        <f t="shared" si="12"/>
        <v>0</v>
      </c>
      <c r="AB941">
        <f t="shared" si="13"/>
        <v>0</v>
      </c>
      <c r="AC941">
        <f t="shared" si="14"/>
        <v>0</v>
      </c>
      <c r="AE941">
        <f t="shared" si="0"/>
      </c>
      <c r="AV941">
        <f t="shared" si="15"/>
      </c>
      <c r="BM941">
        <f t="shared" si="16"/>
      </c>
      <c r="CD941">
        <f t="shared" si="0"/>
      </c>
      <c r="CZ941">
        <f t="shared" si="17"/>
      </c>
      <c r="DA941">
        <f t="shared" si="1"/>
      </c>
      <c r="DB941">
        <f t="shared" si="18"/>
      </c>
      <c r="DC941">
        <f t="shared" si="19"/>
      </c>
      <c r="DD941">
        <f t="shared" si="20"/>
      </c>
      <c r="DE941">
        <f t="shared" si="21"/>
      </c>
      <c r="DF941">
        <f t="shared" si="22"/>
      </c>
      <c r="DG941">
        <f t="shared" si="23"/>
      </c>
      <c r="DH941">
        <f t="shared" si="24"/>
      </c>
      <c r="DI941">
        <f t="shared" si="1"/>
      </c>
    </row>
    <row r="942" ht="15" customHeight="1">
      <c r="B942">
        <f t="shared" si="2"/>
      </c>
      <c r="R942">
        <f t="shared" si="3"/>
        <v>0</v>
      </c>
      <c r="S942">
        <f t="shared" si="4"/>
        <v>0</v>
      </c>
      <c r="T942">
        <f t="shared" si="5"/>
        <v>0</v>
      </c>
      <c r="U942">
        <f t="shared" si="6"/>
        <v>0</v>
      </c>
      <c r="V942">
        <f t="shared" si="7"/>
        <v>0</v>
      </c>
      <c r="W942">
        <f t="shared" si="8"/>
        <v>0</v>
      </c>
      <c r="X942">
        <f t="shared" si="9"/>
        <v>0</v>
      </c>
      <c r="Y942">
        <f t="shared" si="10"/>
        <v>0</v>
      </c>
      <c r="Z942">
        <f t="shared" si="11"/>
        <v>0</v>
      </c>
      <c r="AA942">
        <f t="shared" si="12"/>
        <v>0</v>
      </c>
      <c r="AB942">
        <f t="shared" si="13"/>
        <v>0</v>
      </c>
      <c r="AC942">
        <f t="shared" si="14"/>
        <v>0</v>
      </c>
      <c r="AE942">
        <f t="shared" si="0"/>
      </c>
      <c r="AV942">
        <f t="shared" si="15"/>
      </c>
      <c r="BM942">
        <f t="shared" si="16"/>
      </c>
      <c r="CD942">
        <f t="shared" si="0"/>
      </c>
      <c r="CZ942">
        <f t="shared" si="17"/>
      </c>
      <c r="DA942">
        <f t="shared" si="1"/>
      </c>
      <c r="DB942">
        <f t="shared" si="18"/>
      </c>
      <c r="DC942">
        <f t="shared" si="19"/>
      </c>
      <c r="DD942">
        <f t="shared" si="20"/>
      </c>
      <c r="DE942">
        <f t="shared" si="21"/>
      </c>
      <c r="DF942">
        <f t="shared" si="22"/>
      </c>
      <c r="DG942">
        <f t="shared" si="23"/>
      </c>
      <c r="DH942">
        <f t="shared" si="24"/>
      </c>
      <c r="DI942">
        <f t="shared" si="1"/>
      </c>
    </row>
    <row r="943" ht="15" customHeight="1">
      <c r="B943">
        <f t="shared" si="2"/>
      </c>
      <c r="R943">
        <f t="shared" si="3"/>
        <v>0</v>
      </c>
      <c r="S943">
        <f t="shared" si="4"/>
        <v>0</v>
      </c>
      <c r="T943">
        <f t="shared" si="5"/>
        <v>0</v>
      </c>
      <c r="U943">
        <f t="shared" si="6"/>
        <v>0</v>
      </c>
      <c r="V943">
        <f t="shared" si="7"/>
        <v>0</v>
      </c>
      <c r="W943">
        <f t="shared" si="8"/>
        <v>0</v>
      </c>
      <c r="X943">
        <f t="shared" si="9"/>
        <v>0</v>
      </c>
      <c r="Y943">
        <f t="shared" si="10"/>
        <v>0</v>
      </c>
      <c r="Z943">
        <f t="shared" si="11"/>
        <v>0</v>
      </c>
      <c r="AA943">
        <f t="shared" si="12"/>
        <v>0</v>
      </c>
      <c r="AB943">
        <f t="shared" si="13"/>
        <v>0</v>
      </c>
      <c r="AC943">
        <f t="shared" si="14"/>
        <v>0</v>
      </c>
      <c r="AE943">
        <f t="shared" si="0"/>
      </c>
      <c r="AV943">
        <f t="shared" si="15"/>
      </c>
      <c r="BM943">
        <f t="shared" si="16"/>
      </c>
      <c r="CD943">
        <f t="shared" si="0"/>
      </c>
      <c r="CZ943">
        <f t="shared" si="17"/>
      </c>
      <c r="DA943">
        <f t="shared" si="1"/>
      </c>
      <c r="DB943">
        <f t="shared" si="18"/>
      </c>
      <c r="DC943">
        <f t="shared" si="19"/>
      </c>
      <c r="DD943">
        <f t="shared" si="20"/>
      </c>
      <c r="DE943">
        <f t="shared" si="21"/>
      </c>
      <c r="DF943">
        <f t="shared" si="22"/>
      </c>
      <c r="DG943">
        <f t="shared" si="23"/>
      </c>
      <c r="DH943">
        <f t="shared" si="24"/>
      </c>
      <c r="DI943">
        <f t="shared" si="1"/>
      </c>
    </row>
    <row r="944" ht="15" customHeight="1">
      <c r="B944">
        <f t="shared" si="2"/>
      </c>
      <c r="R944">
        <f t="shared" si="3"/>
        <v>0</v>
      </c>
      <c r="S944">
        <f t="shared" si="4"/>
        <v>0</v>
      </c>
      <c r="T944">
        <f t="shared" si="5"/>
        <v>0</v>
      </c>
      <c r="U944">
        <f t="shared" si="6"/>
        <v>0</v>
      </c>
      <c r="V944">
        <f t="shared" si="7"/>
        <v>0</v>
      </c>
      <c r="W944">
        <f t="shared" si="8"/>
        <v>0</v>
      </c>
      <c r="X944">
        <f t="shared" si="9"/>
        <v>0</v>
      </c>
      <c r="Y944">
        <f t="shared" si="10"/>
        <v>0</v>
      </c>
      <c r="Z944">
        <f t="shared" si="11"/>
        <v>0</v>
      </c>
      <c r="AA944">
        <f t="shared" si="12"/>
        <v>0</v>
      </c>
      <c r="AB944">
        <f t="shared" si="13"/>
        <v>0</v>
      </c>
      <c r="AC944">
        <f t="shared" si="14"/>
        <v>0</v>
      </c>
      <c r="AE944">
        <f t="shared" si="0"/>
      </c>
      <c r="AV944">
        <f t="shared" si="15"/>
      </c>
      <c r="BM944">
        <f t="shared" si="16"/>
      </c>
      <c r="CD944">
        <f t="shared" si="0"/>
      </c>
      <c r="CZ944">
        <f t="shared" si="17"/>
      </c>
      <c r="DA944">
        <f t="shared" si="1"/>
      </c>
      <c r="DB944">
        <f t="shared" si="18"/>
      </c>
      <c r="DC944">
        <f t="shared" si="19"/>
      </c>
      <c r="DD944">
        <f t="shared" si="20"/>
      </c>
      <c r="DE944">
        <f t="shared" si="21"/>
      </c>
      <c r="DF944">
        <f t="shared" si="22"/>
      </c>
      <c r="DG944">
        <f t="shared" si="23"/>
      </c>
      <c r="DH944">
        <f t="shared" si="24"/>
      </c>
      <c r="DI944">
        <f t="shared" si="1"/>
      </c>
    </row>
    <row r="945" ht="15" customHeight="1">
      <c r="B945">
        <f t="shared" si="2"/>
      </c>
      <c r="R945">
        <f t="shared" si="3"/>
        <v>0</v>
      </c>
      <c r="S945">
        <f t="shared" si="4"/>
        <v>0</v>
      </c>
      <c r="T945">
        <f t="shared" si="5"/>
        <v>0</v>
      </c>
      <c r="U945">
        <f t="shared" si="6"/>
        <v>0</v>
      </c>
      <c r="V945">
        <f t="shared" si="7"/>
        <v>0</v>
      </c>
      <c r="W945">
        <f t="shared" si="8"/>
        <v>0</v>
      </c>
      <c r="X945">
        <f t="shared" si="9"/>
        <v>0</v>
      </c>
      <c r="Y945">
        <f t="shared" si="10"/>
        <v>0</v>
      </c>
      <c r="Z945">
        <f t="shared" si="11"/>
        <v>0</v>
      </c>
      <c r="AA945">
        <f t="shared" si="12"/>
        <v>0</v>
      </c>
      <c r="AB945">
        <f t="shared" si="13"/>
        <v>0</v>
      </c>
      <c r="AC945">
        <f t="shared" si="14"/>
        <v>0</v>
      </c>
      <c r="AE945">
        <f t="shared" si="0"/>
      </c>
      <c r="AV945">
        <f t="shared" si="15"/>
      </c>
      <c r="BM945">
        <f t="shared" si="16"/>
      </c>
      <c r="CD945">
        <f t="shared" si="0"/>
      </c>
      <c r="CZ945">
        <f t="shared" si="17"/>
      </c>
      <c r="DA945">
        <f t="shared" si="1"/>
      </c>
      <c r="DB945">
        <f t="shared" si="18"/>
      </c>
      <c r="DC945">
        <f t="shared" si="19"/>
      </c>
      <c r="DD945">
        <f t="shared" si="20"/>
      </c>
      <c r="DE945">
        <f t="shared" si="21"/>
      </c>
      <c r="DF945">
        <f t="shared" si="22"/>
      </c>
      <c r="DG945">
        <f t="shared" si="23"/>
      </c>
      <c r="DH945">
        <f t="shared" si="24"/>
      </c>
      <c r="DI945">
        <f t="shared" si="1"/>
      </c>
    </row>
    <row r="946" ht="15" customHeight="1">
      <c r="B946">
        <f t="shared" si="2"/>
      </c>
      <c r="R946">
        <f t="shared" si="3"/>
        <v>0</v>
      </c>
      <c r="S946">
        <f t="shared" si="4"/>
        <v>0</v>
      </c>
      <c r="T946">
        <f t="shared" si="5"/>
        <v>0</v>
      </c>
      <c r="U946">
        <f t="shared" si="6"/>
        <v>0</v>
      </c>
      <c r="V946">
        <f t="shared" si="7"/>
        <v>0</v>
      </c>
      <c r="W946">
        <f t="shared" si="8"/>
        <v>0</v>
      </c>
      <c r="X946">
        <f t="shared" si="9"/>
        <v>0</v>
      </c>
      <c r="Y946">
        <f t="shared" si="10"/>
        <v>0</v>
      </c>
      <c r="Z946">
        <f t="shared" si="11"/>
        <v>0</v>
      </c>
      <c r="AA946">
        <f t="shared" si="12"/>
        <v>0</v>
      </c>
      <c r="AB946">
        <f t="shared" si="13"/>
        <v>0</v>
      </c>
      <c r="AC946">
        <f t="shared" si="14"/>
        <v>0</v>
      </c>
      <c r="AE946">
        <f t="shared" si="0"/>
      </c>
      <c r="AV946">
        <f t="shared" si="15"/>
      </c>
      <c r="BM946">
        <f t="shared" si="16"/>
      </c>
      <c r="CD946">
        <f t="shared" si="0"/>
      </c>
      <c r="CZ946">
        <f t="shared" si="17"/>
      </c>
      <c r="DA946">
        <f t="shared" si="1"/>
      </c>
      <c r="DB946">
        <f t="shared" si="18"/>
      </c>
      <c r="DC946">
        <f t="shared" si="19"/>
      </c>
      <c r="DD946">
        <f t="shared" si="20"/>
      </c>
      <c r="DE946">
        <f t="shared" si="21"/>
      </c>
      <c r="DF946">
        <f t="shared" si="22"/>
      </c>
      <c r="DG946">
        <f t="shared" si="23"/>
      </c>
      <c r="DH946">
        <f t="shared" si="24"/>
      </c>
      <c r="DI946">
        <f t="shared" si="1"/>
      </c>
    </row>
    <row r="947" ht="15" customHeight="1">
      <c r="B947">
        <f t="shared" si="2"/>
      </c>
      <c r="R947">
        <f t="shared" si="3"/>
        <v>0</v>
      </c>
      <c r="S947">
        <f t="shared" si="4"/>
        <v>0</v>
      </c>
      <c r="T947">
        <f t="shared" si="5"/>
        <v>0</v>
      </c>
      <c r="U947">
        <f t="shared" si="6"/>
        <v>0</v>
      </c>
      <c r="V947">
        <f t="shared" si="7"/>
        <v>0</v>
      </c>
      <c r="W947">
        <f t="shared" si="8"/>
        <v>0</v>
      </c>
      <c r="X947">
        <f t="shared" si="9"/>
        <v>0</v>
      </c>
      <c r="Y947">
        <f t="shared" si="10"/>
        <v>0</v>
      </c>
      <c r="Z947">
        <f t="shared" si="11"/>
        <v>0</v>
      </c>
      <c r="AA947">
        <f t="shared" si="12"/>
        <v>0</v>
      </c>
      <c r="AB947">
        <f t="shared" si="13"/>
        <v>0</v>
      </c>
      <c r="AC947">
        <f t="shared" si="14"/>
        <v>0</v>
      </c>
      <c r="AE947">
        <f t="shared" si="0"/>
      </c>
      <c r="AV947">
        <f t="shared" si="15"/>
      </c>
      <c r="BM947">
        <f t="shared" si="16"/>
      </c>
      <c r="CD947">
        <f t="shared" si="0"/>
      </c>
      <c r="CZ947">
        <f t="shared" si="17"/>
      </c>
      <c r="DA947">
        <f t="shared" si="1"/>
      </c>
      <c r="DB947">
        <f t="shared" si="18"/>
      </c>
      <c r="DC947">
        <f t="shared" si="19"/>
      </c>
      <c r="DD947">
        <f t="shared" si="20"/>
      </c>
      <c r="DE947">
        <f t="shared" si="21"/>
      </c>
      <c r="DF947">
        <f t="shared" si="22"/>
      </c>
      <c r="DG947">
        <f t="shared" si="23"/>
      </c>
      <c r="DH947">
        <f t="shared" si="24"/>
      </c>
      <c r="DI947">
        <f t="shared" si="1"/>
      </c>
    </row>
    <row r="948" ht="15" customHeight="1">
      <c r="B948">
        <f t="shared" si="2"/>
      </c>
      <c r="R948">
        <f t="shared" si="3"/>
        <v>0</v>
      </c>
      <c r="S948">
        <f t="shared" si="4"/>
        <v>0</v>
      </c>
      <c r="T948">
        <f t="shared" si="5"/>
        <v>0</v>
      </c>
      <c r="U948">
        <f t="shared" si="6"/>
        <v>0</v>
      </c>
      <c r="V948">
        <f t="shared" si="7"/>
        <v>0</v>
      </c>
      <c r="W948">
        <f t="shared" si="8"/>
        <v>0</v>
      </c>
      <c r="X948">
        <f t="shared" si="9"/>
        <v>0</v>
      </c>
      <c r="Y948">
        <f t="shared" si="10"/>
        <v>0</v>
      </c>
      <c r="Z948">
        <f t="shared" si="11"/>
        <v>0</v>
      </c>
      <c r="AA948">
        <f t="shared" si="12"/>
        <v>0</v>
      </c>
      <c r="AB948">
        <f t="shared" si="13"/>
        <v>0</v>
      </c>
      <c r="AC948">
        <f t="shared" si="14"/>
        <v>0</v>
      </c>
      <c r="AE948">
        <f t="shared" si="0"/>
      </c>
      <c r="AV948">
        <f t="shared" si="15"/>
      </c>
      <c r="BM948">
        <f t="shared" si="16"/>
      </c>
      <c r="CD948">
        <f t="shared" si="0"/>
      </c>
      <c r="CZ948">
        <f t="shared" si="17"/>
      </c>
      <c r="DA948">
        <f t="shared" si="1"/>
      </c>
      <c r="DB948">
        <f t="shared" si="18"/>
      </c>
      <c r="DC948">
        <f t="shared" si="19"/>
      </c>
      <c r="DD948">
        <f t="shared" si="20"/>
      </c>
      <c r="DE948">
        <f t="shared" si="21"/>
      </c>
      <c r="DF948">
        <f t="shared" si="22"/>
      </c>
      <c r="DG948">
        <f t="shared" si="23"/>
      </c>
      <c r="DH948">
        <f t="shared" si="24"/>
      </c>
      <c r="DI948">
        <f t="shared" si="1"/>
      </c>
    </row>
    <row r="949" ht="15" customHeight="1">
      <c r="B949">
        <f t="shared" si="2"/>
      </c>
      <c r="R949">
        <f t="shared" si="3"/>
        <v>0</v>
      </c>
      <c r="S949">
        <f t="shared" si="4"/>
        <v>0</v>
      </c>
      <c r="T949">
        <f t="shared" si="5"/>
        <v>0</v>
      </c>
      <c r="U949">
        <f t="shared" si="6"/>
        <v>0</v>
      </c>
      <c r="V949">
        <f t="shared" si="7"/>
        <v>0</v>
      </c>
      <c r="W949">
        <f t="shared" si="8"/>
        <v>0</v>
      </c>
      <c r="X949">
        <f t="shared" si="9"/>
        <v>0</v>
      </c>
      <c r="Y949">
        <f t="shared" si="10"/>
        <v>0</v>
      </c>
      <c r="Z949">
        <f t="shared" si="11"/>
        <v>0</v>
      </c>
      <c r="AA949">
        <f t="shared" si="12"/>
        <v>0</v>
      </c>
      <c r="AB949">
        <f t="shared" si="13"/>
        <v>0</v>
      </c>
      <c r="AC949">
        <f t="shared" si="14"/>
        <v>0</v>
      </c>
      <c r="AE949">
        <f t="shared" si="0"/>
      </c>
      <c r="AV949">
        <f t="shared" si="15"/>
      </c>
      <c r="BM949">
        <f t="shared" si="16"/>
      </c>
      <c r="CD949">
        <f t="shared" si="0"/>
      </c>
      <c r="CZ949">
        <f t="shared" si="17"/>
      </c>
      <c r="DA949">
        <f t="shared" si="1"/>
      </c>
      <c r="DB949">
        <f t="shared" si="18"/>
      </c>
      <c r="DC949">
        <f t="shared" si="19"/>
      </c>
      <c r="DD949">
        <f t="shared" si="20"/>
      </c>
      <c r="DE949">
        <f t="shared" si="21"/>
      </c>
      <c r="DF949">
        <f t="shared" si="22"/>
      </c>
      <c r="DG949">
        <f t="shared" si="23"/>
      </c>
      <c r="DH949">
        <f t="shared" si="24"/>
      </c>
      <c r="DI949">
        <f t="shared" si="1"/>
      </c>
    </row>
    <row r="950" ht="15" customHeight="1">
      <c r="B950">
        <f t="shared" si="2"/>
      </c>
      <c r="R950">
        <f t="shared" si="3"/>
        <v>0</v>
      </c>
      <c r="S950">
        <f t="shared" si="4"/>
        <v>0</v>
      </c>
      <c r="T950">
        <f t="shared" si="5"/>
        <v>0</v>
      </c>
      <c r="U950">
        <f t="shared" si="6"/>
        <v>0</v>
      </c>
      <c r="V950">
        <f t="shared" si="7"/>
        <v>0</v>
      </c>
      <c r="W950">
        <f t="shared" si="8"/>
        <v>0</v>
      </c>
      <c r="X950">
        <f t="shared" si="9"/>
        <v>0</v>
      </c>
      <c r="Y950">
        <f t="shared" si="10"/>
        <v>0</v>
      </c>
      <c r="Z950">
        <f t="shared" si="11"/>
        <v>0</v>
      </c>
      <c r="AA950">
        <f t="shared" si="12"/>
        <v>0</v>
      </c>
      <c r="AB950">
        <f t="shared" si="13"/>
        <v>0</v>
      </c>
      <c r="AC950">
        <f t="shared" si="14"/>
        <v>0</v>
      </c>
      <c r="AE950">
        <f t="shared" si="0"/>
      </c>
      <c r="AV950">
        <f t="shared" si="15"/>
      </c>
      <c r="BM950">
        <f t="shared" si="16"/>
      </c>
      <c r="CD950">
        <f t="shared" si="0"/>
      </c>
      <c r="CZ950">
        <f t="shared" si="17"/>
      </c>
      <c r="DA950">
        <f t="shared" si="1"/>
      </c>
      <c r="DB950">
        <f t="shared" si="18"/>
      </c>
      <c r="DC950">
        <f t="shared" si="19"/>
      </c>
      <c r="DD950">
        <f t="shared" si="20"/>
      </c>
      <c r="DE950">
        <f t="shared" si="21"/>
      </c>
      <c r="DF950">
        <f t="shared" si="22"/>
      </c>
      <c r="DG950">
        <f t="shared" si="23"/>
      </c>
      <c r="DH950">
        <f t="shared" si="24"/>
      </c>
      <c r="DI950">
        <f t="shared" si="1"/>
      </c>
    </row>
    <row r="951" ht="15" customHeight="1">
      <c r="B951">
        <f t="shared" si="2"/>
      </c>
      <c r="R951">
        <f t="shared" si="3"/>
        <v>0</v>
      </c>
      <c r="S951">
        <f t="shared" si="4"/>
        <v>0</v>
      </c>
      <c r="T951">
        <f t="shared" si="5"/>
        <v>0</v>
      </c>
      <c r="U951">
        <f t="shared" si="6"/>
        <v>0</v>
      </c>
      <c r="V951">
        <f t="shared" si="7"/>
        <v>0</v>
      </c>
      <c r="W951">
        <f t="shared" si="8"/>
        <v>0</v>
      </c>
      <c r="X951">
        <f t="shared" si="9"/>
        <v>0</v>
      </c>
      <c r="Y951">
        <f t="shared" si="10"/>
        <v>0</v>
      </c>
      <c r="Z951">
        <f t="shared" si="11"/>
        <v>0</v>
      </c>
      <c r="AA951">
        <f t="shared" si="12"/>
        <v>0</v>
      </c>
      <c r="AB951">
        <f t="shared" si="13"/>
        <v>0</v>
      </c>
      <c r="AC951">
        <f t="shared" si="14"/>
        <v>0</v>
      </c>
      <c r="AE951">
        <f t="shared" si="0"/>
      </c>
      <c r="AV951">
        <f t="shared" si="15"/>
      </c>
      <c r="BM951">
        <f t="shared" si="16"/>
      </c>
      <c r="CD951">
        <f t="shared" si="0"/>
      </c>
      <c r="CZ951">
        <f t="shared" si="17"/>
      </c>
      <c r="DA951">
        <f t="shared" si="1"/>
      </c>
      <c r="DB951">
        <f t="shared" si="18"/>
      </c>
      <c r="DC951">
        <f t="shared" si="19"/>
      </c>
      <c r="DD951">
        <f t="shared" si="20"/>
      </c>
      <c r="DE951">
        <f t="shared" si="21"/>
      </c>
      <c r="DF951">
        <f t="shared" si="22"/>
      </c>
      <c r="DG951">
        <f t="shared" si="23"/>
      </c>
      <c r="DH951">
        <f t="shared" si="24"/>
      </c>
      <c r="DI951">
        <f t="shared" si="1"/>
      </c>
    </row>
    <row r="952" ht="15" customHeight="1">
      <c r="B952">
        <f t="shared" si="2"/>
      </c>
      <c r="R952">
        <f t="shared" si="3"/>
        <v>0</v>
      </c>
      <c r="S952">
        <f t="shared" si="4"/>
        <v>0</v>
      </c>
      <c r="T952">
        <f t="shared" si="5"/>
        <v>0</v>
      </c>
      <c r="U952">
        <f t="shared" si="6"/>
        <v>0</v>
      </c>
      <c r="V952">
        <f t="shared" si="7"/>
        <v>0</v>
      </c>
      <c r="W952">
        <f t="shared" si="8"/>
        <v>0</v>
      </c>
      <c r="X952">
        <f t="shared" si="9"/>
        <v>0</v>
      </c>
      <c r="Y952">
        <f t="shared" si="10"/>
        <v>0</v>
      </c>
      <c r="Z952">
        <f t="shared" si="11"/>
        <v>0</v>
      </c>
      <c r="AA952">
        <f t="shared" si="12"/>
        <v>0</v>
      </c>
      <c r="AB952">
        <f t="shared" si="13"/>
        <v>0</v>
      </c>
      <c r="AC952">
        <f t="shared" si="14"/>
        <v>0</v>
      </c>
      <c r="AE952">
        <f t="shared" si="0"/>
      </c>
      <c r="AV952">
        <f t="shared" si="15"/>
      </c>
      <c r="BM952">
        <f t="shared" si="16"/>
      </c>
      <c r="CD952">
        <f t="shared" si="0"/>
      </c>
      <c r="CZ952">
        <f t="shared" si="17"/>
      </c>
      <c r="DA952">
        <f t="shared" si="1"/>
      </c>
      <c r="DB952">
        <f t="shared" si="18"/>
      </c>
      <c r="DC952">
        <f t="shared" si="19"/>
      </c>
      <c r="DD952">
        <f t="shared" si="20"/>
      </c>
      <c r="DE952">
        <f t="shared" si="21"/>
      </c>
      <c r="DF952">
        <f t="shared" si="22"/>
      </c>
      <c r="DG952">
        <f t="shared" si="23"/>
      </c>
      <c r="DH952">
        <f t="shared" si="24"/>
      </c>
      <c r="DI952">
        <f t="shared" si="1"/>
      </c>
    </row>
    <row r="953" ht="15" customHeight="1">
      <c r="B953">
        <f t="shared" si="2"/>
      </c>
      <c r="R953">
        <f t="shared" si="3"/>
        <v>0</v>
      </c>
      <c r="S953">
        <f t="shared" si="4"/>
        <v>0</v>
      </c>
      <c r="T953">
        <f t="shared" si="5"/>
        <v>0</v>
      </c>
      <c r="U953">
        <f t="shared" si="6"/>
        <v>0</v>
      </c>
      <c r="V953">
        <f t="shared" si="7"/>
        <v>0</v>
      </c>
      <c r="W953">
        <f t="shared" si="8"/>
        <v>0</v>
      </c>
      <c r="X953">
        <f t="shared" si="9"/>
        <v>0</v>
      </c>
      <c r="Y953">
        <f t="shared" si="10"/>
        <v>0</v>
      </c>
      <c r="Z953">
        <f t="shared" si="11"/>
        <v>0</v>
      </c>
      <c r="AA953">
        <f t="shared" si="12"/>
        <v>0</v>
      </c>
      <c r="AB953">
        <f t="shared" si="13"/>
        <v>0</v>
      </c>
      <c r="AC953">
        <f t="shared" si="14"/>
        <v>0</v>
      </c>
      <c r="AE953">
        <f t="shared" si="0"/>
      </c>
      <c r="AV953">
        <f t="shared" si="15"/>
      </c>
      <c r="BM953">
        <f t="shared" si="16"/>
      </c>
      <c r="CD953">
        <f t="shared" si="0"/>
      </c>
      <c r="CZ953">
        <f t="shared" si="17"/>
      </c>
      <c r="DA953">
        <f t="shared" si="1"/>
      </c>
      <c r="DB953">
        <f t="shared" si="18"/>
      </c>
      <c r="DC953">
        <f t="shared" si="19"/>
      </c>
      <c r="DD953">
        <f t="shared" si="20"/>
      </c>
      <c r="DE953">
        <f t="shared" si="21"/>
      </c>
      <c r="DF953">
        <f t="shared" si="22"/>
      </c>
      <c r="DG953">
        <f t="shared" si="23"/>
      </c>
      <c r="DH953">
        <f t="shared" si="24"/>
      </c>
      <c r="DI953">
        <f t="shared" si="1"/>
      </c>
    </row>
    <row r="954" ht="15" customHeight="1">
      <c r="B954">
        <f t="shared" si="2"/>
      </c>
      <c r="R954">
        <f t="shared" si="3"/>
        <v>0</v>
      </c>
      <c r="S954">
        <f t="shared" si="4"/>
        <v>0</v>
      </c>
      <c r="T954">
        <f t="shared" si="5"/>
        <v>0</v>
      </c>
      <c r="U954">
        <f t="shared" si="6"/>
        <v>0</v>
      </c>
      <c r="V954">
        <f t="shared" si="7"/>
        <v>0</v>
      </c>
      <c r="W954">
        <f t="shared" si="8"/>
        <v>0</v>
      </c>
      <c r="X954">
        <f t="shared" si="9"/>
        <v>0</v>
      </c>
      <c r="Y954">
        <f t="shared" si="10"/>
        <v>0</v>
      </c>
      <c r="Z954">
        <f t="shared" si="11"/>
        <v>0</v>
      </c>
      <c r="AA954">
        <f t="shared" si="12"/>
        <v>0</v>
      </c>
      <c r="AB954">
        <f t="shared" si="13"/>
        <v>0</v>
      </c>
      <c r="AC954">
        <f t="shared" si="14"/>
        <v>0</v>
      </c>
      <c r="AE954">
        <f t="shared" si="0"/>
      </c>
      <c r="AV954">
        <f t="shared" si="15"/>
      </c>
      <c r="BM954">
        <f t="shared" si="16"/>
      </c>
      <c r="CD954">
        <f t="shared" si="0"/>
      </c>
      <c r="CZ954">
        <f t="shared" si="17"/>
      </c>
      <c r="DA954">
        <f t="shared" si="1"/>
      </c>
      <c r="DB954">
        <f t="shared" si="18"/>
      </c>
      <c r="DC954">
        <f t="shared" si="19"/>
      </c>
      <c r="DD954">
        <f t="shared" si="20"/>
      </c>
      <c r="DE954">
        <f t="shared" si="21"/>
      </c>
      <c r="DF954">
        <f t="shared" si="22"/>
      </c>
      <c r="DG954">
        <f t="shared" si="23"/>
      </c>
      <c r="DH954">
        <f t="shared" si="24"/>
      </c>
      <c r="DI954">
        <f t="shared" si="1"/>
      </c>
    </row>
    <row r="955" ht="15" customHeight="1">
      <c r="B955">
        <f t="shared" si="2"/>
      </c>
      <c r="R955">
        <f t="shared" si="3"/>
        <v>0</v>
      </c>
      <c r="S955">
        <f t="shared" si="4"/>
        <v>0</v>
      </c>
      <c r="T955">
        <f t="shared" si="5"/>
        <v>0</v>
      </c>
      <c r="U955">
        <f t="shared" si="6"/>
        <v>0</v>
      </c>
      <c r="V955">
        <f t="shared" si="7"/>
        <v>0</v>
      </c>
      <c r="W955">
        <f t="shared" si="8"/>
        <v>0</v>
      </c>
      <c r="X955">
        <f t="shared" si="9"/>
        <v>0</v>
      </c>
      <c r="Y955">
        <f t="shared" si="10"/>
        <v>0</v>
      </c>
      <c r="Z955">
        <f t="shared" si="11"/>
        <v>0</v>
      </c>
      <c r="AA955">
        <f t="shared" si="12"/>
        <v>0</v>
      </c>
      <c r="AB955">
        <f t="shared" si="13"/>
        <v>0</v>
      </c>
      <c r="AC955">
        <f t="shared" si="14"/>
        <v>0</v>
      </c>
      <c r="AE955">
        <f t="shared" si="0"/>
      </c>
      <c r="AV955">
        <f t="shared" si="15"/>
      </c>
      <c r="BM955">
        <f t="shared" si="16"/>
      </c>
      <c r="CD955">
        <f t="shared" si="0"/>
      </c>
      <c r="CZ955">
        <f t="shared" si="17"/>
      </c>
      <c r="DA955">
        <f t="shared" si="1"/>
      </c>
      <c r="DB955">
        <f t="shared" si="18"/>
      </c>
      <c r="DC955">
        <f t="shared" si="19"/>
      </c>
      <c r="DD955">
        <f t="shared" si="20"/>
      </c>
      <c r="DE955">
        <f t="shared" si="21"/>
      </c>
      <c r="DF955">
        <f t="shared" si="22"/>
      </c>
      <c r="DG955">
        <f t="shared" si="23"/>
      </c>
      <c r="DH955">
        <f t="shared" si="24"/>
      </c>
      <c r="DI955">
        <f t="shared" si="1"/>
      </c>
    </row>
    <row r="956" ht="15" customHeight="1">
      <c r="B956">
        <f t="shared" si="2"/>
      </c>
      <c r="R956">
        <f t="shared" si="3"/>
        <v>0</v>
      </c>
      <c r="S956">
        <f t="shared" si="4"/>
        <v>0</v>
      </c>
      <c r="T956">
        <f t="shared" si="5"/>
        <v>0</v>
      </c>
      <c r="U956">
        <f t="shared" si="6"/>
        <v>0</v>
      </c>
      <c r="V956">
        <f t="shared" si="7"/>
        <v>0</v>
      </c>
      <c r="W956">
        <f t="shared" si="8"/>
        <v>0</v>
      </c>
      <c r="X956">
        <f t="shared" si="9"/>
        <v>0</v>
      </c>
      <c r="Y956">
        <f t="shared" si="10"/>
        <v>0</v>
      </c>
      <c r="Z956">
        <f t="shared" si="11"/>
        <v>0</v>
      </c>
      <c r="AA956">
        <f t="shared" si="12"/>
        <v>0</v>
      </c>
      <c r="AB956">
        <f t="shared" si="13"/>
        <v>0</v>
      </c>
      <c r="AC956">
        <f t="shared" si="14"/>
        <v>0</v>
      </c>
      <c r="AE956">
        <f t="shared" si="0"/>
      </c>
      <c r="AV956">
        <f t="shared" si="15"/>
      </c>
      <c r="BM956">
        <f t="shared" si="16"/>
      </c>
      <c r="CD956">
        <f t="shared" si="0"/>
      </c>
      <c r="CZ956">
        <f t="shared" si="17"/>
      </c>
      <c r="DA956">
        <f t="shared" si="1"/>
      </c>
      <c r="DB956">
        <f t="shared" si="18"/>
      </c>
      <c r="DC956">
        <f t="shared" si="19"/>
      </c>
      <c r="DD956">
        <f t="shared" si="20"/>
      </c>
      <c r="DE956">
        <f t="shared" si="21"/>
      </c>
      <c r="DF956">
        <f t="shared" si="22"/>
      </c>
      <c r="DG956">
        <f t="shared" si="23"/>
      </c>
      <c r="DH956">
        <f t="shared" si="24"/>
      </c>
      <c r="DI956">
        <f t="shared" si="1"/>
      </c>
    </row>
    <row r="957" ht="15" customHeight="1">
      <c r="B957">
        <f t="shared" si="2"/>
      </c>
      <c r="R957">
        <f t="shared" si="3"/>
        <v>0</v>
      </c>
      <c r="S957">
        <f t="shared" si="4"/>
        <v>0</v>
      </c>
      <c r="T957">
        <f t="shared" si="5"/>
        <v>0</v>
      </c>
      <c r="U957">
        <f t="shared" si="6"/>
        <v>0</v>
      </c>
      <c r="V957">
        <f t="shared" si="7"/>
        <v>0</v>
      </c>
      <c r="W957">
        <f t="shared" si="8"/>
        <v>0</v>
      </c>
      <c r="X957">
        <f t="shared" si="9"/>
        <v>0</v>
      </c>
      <c r="Y957">
        <f t="shared" si="10"/>
        <v>0</v>
      </c>
      <c r="Z957">
        <f t="shared" si="11"/>
        <v>0</v>
      </c>
      <c r="AA957">
        <f t="shared" si="12"/>
        <v>0</v>
      </c>
      <c r="AB957">
        <f t="shared" si="13"/>
        <v>0</v>
      </c>
      <c r="AC957">
        <f t="shared" si="14"/>
        <v>0</v>
      </c>
      <c r="AE957">
        <f t="shared" si="0"/>
      </c>
      <c r="AV957">
        <f t="shared" si="15"/>
      </c>
      <c r="BM957">
        <f t="shared" si="16"/>
      </c>
      <c r="CD957">
        <f t="shared" si="0"/>
      </c>
      <c r="CZ957">
        <f t="shared" si="17"/>
      </c>
      <c r="DA957">
        <f t="shared" si="1"/>
      </c>
      <c r="DB957">
        <f t="shared" si="18"/>
      </c>
      <c r="DC957">
        <f t="shared" si="19"/>
      </c>
      <c r="DD957">
        <f t="shared" si="20"/>
      </c>
      <c r="DE957">
        <f t="shared" si="21"/>
      </c>
      <c r="DF957">
        <f t="shared" si="22"/>
      </c>
      <c r="DG957">
        <f t="shared" si="23"/>
      </c>
      <c r="DH957">
        <f t="shared" si="24"/>
      </c>
      <c r="DI957">
        <f t="shared" si="1"/>
      </c>
    </row>
    <row r="958" ht="15" customHeight="1">
      <c r="B958">
        <f t="shared" si="2"/>
      </c>
      <c r="R958">
        <f t="shared" si="3"/>
        <v>0</v>
      </c>
      <c r="S958">
        <f t="shared" si="4"/>
        <v>0</v>
      </c>
      <c r="T958">
        <f t="shared" si="5"/>
        <v>0</v>
      </c>
      <c r="U958">
        <f t="shared" si="6"/>
        <v>0</v>
      </c>
      <c r="V958">
        <f t="shared" si="7"/>
        <v>0</v>
      </c>
      <c r="W958">
        <f t="shared" si="8"/>
        <v>0</v>
      </c>
      <c r="X958">
        <f t="shared" si="9"/>
        <v>0</v>
      </c>
      <c r="Y958">
        <f t="shared" si="10"/>
        <v>0</v>
      </c>
      <c r="Z958">
        <f t="shared" si="11"/>
        <v>0</v>
      </c>
      <c r="AA958">
        <f t="shared" si="12"/>
        <v>0</v>
      </c>
      <c r="AB958">
        <f t="shared" si="13"/>
        <v>0</v>
      </c>
      <c r="AC958">
        <f t="shared" si="14"/>
        <v>0</v>
      </c>
      <c r="AE958">
        <f t="shared" si="0"/>
      </c>
      <c r="AV958">
        <f t="shared" si="15"/>
      </c>
      <c r="BM958">
        <f t="shared" si="16"/>
      </c>
      <c r="CD958">
        <f t="shared" si="0"/>
      </c>
      <c r="CZ958">
        <f t="shared" si="17"/>
      </c>
      <c r="DA958">
        <f t="shared" si="1"/>
      </c>
      <c r="DB958">
        <f t="shared" si="18"/>
      </c>
      <c r="DC958">
        <f t="shared" si="19"/>
      </c>
      <c r="DD958">
        <f t="shared" si="20"/>
      </c>
      <c r="DE958">
        <f t="shared" si="21"/>
      </c>
      <c r="DF958">
        <f t="shared" si="22"/>
      </c>
      <c r="DG958">
        <f t="shared" si="23"/>
      </c>
      <c r="DH958">
        <f t="shared" si="24"/>
      </c>
      <c r="DI958">
        <f t="shared" si="1"/>
      </c>
    </row>
    <row r="959" ht="15" customHeight="1">
      <c r="B959">
        <f t="shared" si="2"/>
      </c>
      <c r="R959">
        <f t="shared" si="3"/>
        <v>0</v>
      </c>
      <c r="S959">
        <f t="shared" si="4"/>
        <v>0</v>
      </c>
      <c r="T959">
        <f t="shared" si="5"/>
        <v>0</v>
      </c>
      <c r="U959">
        <f t="shared" si="6"/>
        <v>0</v>
      </c>
      <c r="V959">
        <f t="shared" si="7"/>
        <v>0</v>
      </c>
      <c r="W959">
        <f t="shared" si="8"/>
        <v>0</v>
      </c>
      <c r="X959">
        <f t="shared" si="9"/>
        <v>0</v>
      </c>
      <c r="Y959">
        <f t="shared" si="10"/>
        <v>0</v>
      </c>
      <c r="Z959">
        <f t="shared" si="11"/>
        <v>0</v>
      </c>
      <c r="AA959">
        <f t="shared" si="12"/>
        <v>0</v>
      </c>
      <c r="AB959">
        <f t="shared" si="13"/>
        <v>0</v>
      </c>
      <c r="AC959">
        <f t="shared" si="14"/>
        <v>0</v>
      </c>
      <c r="AE959">
        <f t="shared" si="0"/>
      </c>
      <c r="AV959">
        <f t="shared" si="15"/>
      </c>
      <c r="BM959">
        <f t="shared" si="16"/>
      </c>
      <c r="CD959">
        <f t="shared" si="0"/>
      </c>
      <c r="CZ959">
        <f t="shared" si="17"/>
      </c>
      <c r="DA959">
        <f t="shared" si="1"/>
      </c>
      <c r="DB959">
        <f t="shared" si="18"/>
      </c>
      <c r="DC959">
        <f t="shared" si="19"/>
      </c>
      <c r="DD959">
        <f t="shared" si="20"/>
      </c>
      <c r="DE959">
        <f t="shared" si="21"/>
      </c>
      <c r="DF959">
        <f t="shared" si="22"/>
      </c>
      <c r="DG959">
        <f t="shared" si="23"/>
      </c>
      <c r="DH959">
        <f t="shared" si="24"/>
      </c>
      <c r="DI959">
        <f t="shared" si="1"/>
      </c>
    </row>
    <row r="960" ht="15" customHeight="1">
      <c r="B960">
        <f t="shared" si="2"/>
      </c>
      <c r="R960">
        <f t="shared" si="3"/>
        <v>0</v>
      </c>
      <c r="S960">
        <f t="shared" si="4"/>
        <v>0</v>
      </c>
      <c r="T960">
        <f t="shared" si="5"/>
        <v>0</v>
      </c>
      <c r="U960">
        <f t="shared" si="6"/>
        <v>0</v>
      </c>
      <c r="V960">
        <f t="shared" si="7"/>
        <v>0</v>
      </c>
      <c r="W960">
        <f t="shared" si="8"/>
        <v>0</v>
      </c>
      <c r="X960">
        <f t="shared" si="9"/>
        <v>0</v>
      </c>
      <c r="Y960">
        <f t="shared" si="10"/>
        <v>0</v>
      </c>
      <c r="Z960">
        <f t="shared" si="11"/>
        <v>0</v>
      </c>
      <c r="AA960">
        <f t="shared" si="12"/>
        <v>0</v>
      </c>
      <c r="AB960">
        <f t="shared" si="13"/>
        <v>0</v>
      </c>
      <c r="AC960">
        <f t="shared" si="14"/>
        <v>0</v>
      </c>
      <c r="AE960">
        <f t="shared" si="0"/>
      </c>
      <c r="AV960">
        <f t="shared" si="15"/>
      </c>
      <c r="BM960">
        <f t="shared" si="16"/>
      </c>
      <c r="CD960">
        <f t="shared" si="0"/>
      </c>
      <c r="CZ960">
        <f t="shared" si="17"/>
      </c>
      <c r="DA960">
        <f t="shared" si="1"/>
      </c>
      <c r="DB960">
        <f t="shared" si="18"/>
      </c>
      <c r="DC960">
        <f t="shared" si="19"/>
      </c>
      <c r="DD960">
        <f t="shared" si="20"/>
      </c>
      <c r="DE960">
        <f t="shared" si="21"/>
      </c>
      <c r="DF960">
        <f t="shared" si="22"/>
      </c>
      <c r="DG960">
        <f t="shared" si="23"/>
      </c>
      <c r="DH960">
        <f t="shared" si="24"/>
      </c>
      <c r="DI960">
        <f t="shared" si="1"/>
      </c>
    </row>
    <row r="961" ht="15" customHeight="1">
      <c r="B961">
        <f t="shared" si="2"/>
      </c>
      <c r="R961">
        <f t="shared" si="3"/>
        <v>0</v>
      </c>
      <c r="S961">
        <f t="shared" si="4"/>
        <v>0</v>
      </c>
      <c r="T961">
        <f t="shared" si="5"/>
        <v>0</v>
      </c>
      <c r="U961">
        <f t="shared" si="6"/>
        <v>0</v>
      </c>
      <c r="V961">
        <f t="shared" si="7"/>
        <v>0</v>
      </c>
      <c r="W961">
        <f t="shared" si="8"/>
        <v>0</v>
      </c>
      <c r="X961">
        <f t="shared" si="9"/>
        <v>0</v>
      </c>
      <c r="Y961">
        <f t="shared" si="10"/>
        <v>0</v>
      </c>
      <c r="Z961">
        <f t="shared" si="11"/>
        <v>0</v>
      </c>
      <c r="AA961">
        <f t="shared" si="12"/>
        <v>0</v>
      </c>
      <c r="AB961">
        <f t="shared" si="13"/>
        <v>0</v>
      </c>
      <c r="AC961">
        <f t="shared" si="14"/>
        <v>0</v>
      </c>
      <c r="AE961">
        <f t="shared" si="0"/>
      </c>
      <c r="AV961">
        <f t="shared" si="15"/>
      </c>
      <c r="BM961">
        <f t="shared" si="16"/>
      </c>
      <c r="CD961">
        <f t="shared" si="0"/>
      </c>
      <c r="CZ961">
        <f t="shared" si="17"/>
      </c>
      <c r="DA961">
        <f t="shared" si="1"/>
      </c>
      <c r="DB961">
        <f t="shared" si="18"/>
      </c>
      <c r="DC961">
        <f t="shared" si="19"/>
      </c>
      <c r="DD961">
        <f t="shared" si="20"/>
      </c>
      <c r="DE961">
        <f t="shared" si="21"/>
      </c>
      <c r="DF961">
        <f t="shared" si="22"/>
      </c>
      <c r="DG961">
        <f t="shared" si="23"/>
      </c>
      <c r="DH961">
        <f t="shared" si="24"/>
      </c>
      <c r="DI961">
        <f t="shared" si="1"/>
      </c>
    </row>
    <row r="962" ht="15" customHeight="1">
      <c r="B962">
        <f t="shared" si="2"/>
      </c>
      <c r="R962">
        <f t="shared" si="3"/>
        <v>0</v>
      </c>
      <c r="S962">
        <f t="shared" si="4"/>
        <v>0</v>
      </c>
      <c r="T962">
        <f t="shared" si="5"/>
        <v>0</v>
      </c>
      <c r="U962">
        <f t="shared" si="6"/>
        <v>0</v>
      </c>
      <c r="V962">
        <f t="shared" si="7"/>
        <v>0</v>
      </c>
      <c r="W962">
        <f t="shared" si="8"/>
        <v>0</v>
      </c>
      <c r="X962">
        <f t="shared" si="9"/>
        <v>0</v>
      </c>
      <c r="Y962">
        <f t="shared" si="10"/>
        <v>0</v>
      </c>
      <c r="Z962">
        <f t="shared" si="11"/>
        <v>0</v>
      </c>
      <c r="AA962">
        <f t="shared" si="12"/>
        <v>0</v>
      </c>
      <c r="AB962">
        <f t="shared" si="13"/>
        <v>0</v>
      </c>
      <c r="AC962">
        <f t="shared" si="14"/>
        <v>0</v>
      </c>
      <c r="AE962">
        <f t="shared" si="0"/>
      </c>
      <c r="AV962">
        <f t="shared" si="15"/>
      </c>
      <c r="BM962">
        <f t="shared" si="16"/>
      </c>
      <c r="CD962">
        <f t="shared" si="0"/>
      </c>
      <c r="CZ962">
        <f t="shared" si="17"/>
      </c>
      <c r="DA962">
        <f t="shared" si="1"/>
      </c>
      <c r="DB962">
        <f t="shared" si="18"/>
      </c>
      <c r="DC962">
        <f t="shared" si="19"/>
      </c>
      <c r="DD962">
        <f t="shared" si="20"/>
      </c>
      <c r="DE962">
        <f t="shared" si="21"/>
      </c>
      <c r="DF962">
        <f t="shared" si="22"/>
      </c>
      <c r="DG962">
        <f t="shared" si="23"/>
      </c>
      <c r="DH962">
        <f t="shared" si="24"/>
      </c>
      <c r="DI962">
        <f t="shared" si="1"/>
      </c>
    </row>
    <row r="963" ht="15" customHeight="1">
      <c r="B963">
        <f t="shared" si="2"/>
      </c>
      <c r="R963">
        <f t="shared" si="3"/>
        <v>0</v>
      </c>
      <c r="S963">
        <f t="shared" si="4"/>
        <v>0</v>
      </c>
      <c r="T963">
        <f t="shared" si="5"/>
        <v>0</v>
      </c>
      <c r="U963">
        <f t="shared" si="6"/>
        <v>0</v>
      </c>
      <c r="V963">
        <f t="shared" si="7"/>
        <v>0</v>
      </c>
      <c r="W963">
        <f t="shared" si="8"/>
        <v>0</v>
      </c>
      <c r="X963">
        <f t="shared" si="9"/>
        <v>0</v>
      </c>
      <c r="Y963">
        <f t="shared" si="10"/>
        <v>0</v>
      </c>
      <c r="Z963">
        <f t="shared" si="11"/>
        <v>0</v>
      </c>
      <c r="AA963">
        <f t="shared" si="12"/>
        <v>0</v>
      </c>
      <c r="AB963">
        <f t="shared" si="13"/>
        <v>0</v>
      </c>
      <c r="AC963">
        <f t="shared" si="14"/>
        <v>0</v>
      </c>
      <c r="AE963">
        <f t="shared" si="0"/>
      </c>
      <c r="AV963">
        <f t="shared" si="15"/>
      </c>
      <c r="BM963">
        <f t="shared" si="16"/>
      </c>
      <c r="CD963">
        <f t="shared" si="0"/>
      </c>
      <c r="CZ963">
        <f t="shared" si="17"/>
      </c>
      <c r="DA963">
        <f t="shared" si="1"/>
      </c>
      <c r="DB963">
        <f t="shared" si="18"/>
      </c>
      <c r="DC963">
        <f t="shared" si="19"/>
      </c>
      <c r="DD963">
        <f t="shared" si="20"/>
      </c>
      <c r="DE963">
        <f t="shared" si="21"/>
      </c>
      <c r="DF963">
        <f t="shared" si="22"/>
      </c>
      <c r="DG963">
        <f t="shared" si="23"/>
      </c>
      <c r="DH963">
        <f t="shared" si="24"/>
      </c>
      <c r="DI963">
        <f t="shared" si="1"/>
      </c>
    </row>
    <row r="964" ht="15" customHeight="1">
      <c r="B964">
        <f t="shared" si="2"/>
      </c>
      <c r="R964">
        <f t="shared" si="3"/>
        <v>0</v>
      </c>
      <c r="S964">
        <f t="shared" si="4"/>
        <v>0</v>
      </c>
      <c r="T964">
        <f t="shared" si="5"/>
        <v>0</v>
      </c>
      <c r="U964">
        <f t="shared" si="6"/>
        <v>0</v>
      </c>
      <c r="V964">
        <f t="shared" si="7"/>
        <v>0</v>
      </c>
      <c r="W964">
        <f t="shared" si="8"/>
        <v>0</v>
      </c>
      <c r="X964">
        <f t="shared" si="9"/>
        <v>0</v>
      </c>
      <c r="Y964">
        <f t="shared" si="10"/>
        <v>0</v>
      </c>
      <c r="Z964">
        <f t="shared" si="11"/>
        <v>0</v>
      </c>
      <c r="AA964">
        <f t="shared" si="12"/>
        <v>0</v>
      </c>
      <c r="AB964">
        <f t="shared" si="13"/>
        <v>0</v>
      </c>
      <c r="AC964">
        <f t="shared" si="14"/>
        <v>0</v>
      </c>
      <c r="AE964">
        <f t="shared" si="0"/>
      </c>
      <c r="AV964">
        <f t="shared" si="15"/>
      </c>
      <c r="BM964">
        <f t="shared" si="16"/>
      </c>
      <c r="CD964">
        <f t="shared" si="0"/>
      </c>
      <c r="CZ964">
        <f t="shared" si="17"/>
      </c>
      <c r="DA964">
        <f t="shared" si="1"/>
      </c>
      <c r="DB964">
        <f t="shared" si="18"/>
      </c>
      <c r="DC964">
        <f t="shared" si="19"/>
      </c>
      <c r="DD964">
        <f t="shared" si="20"/>
      </c>
      <c r="DE964">
        <f t="shared" si="21"/>
      </c>
      <c r="DF964">
        <f t="shared" si="22"/>
      </c>
      <c r="DG964">
        <f t="shared" si="23"/>
      </c>
      <c r="DH964">
        <f t="shared" si="24"/>
      </c>
      <c r="DI964">
        <f t="shared" si="1"/>
      </c>
    </row>
    <row r="965" ht="15" customHeight="1">
      <c r="B965">
        <f t="shared" si="2"/>
      </c>
      <c r="R965">
        <f t="shared" si="3"/>
        <v>0</v>
      </c>
      <c r="S965">
        <f t="shared" si="4"/>
        <v>0</v>
      </c>
      <c r="T965">
        <f t="shared" si="5"/>
        <v>0</v>
      </c>
      <c r="U965">
        <f t="shared" si="6"/>
        <v>0</v>
      </c>
      <c r="V965">
        <f t="shared" si="7"/>
        <v>0</v>
      </c>
      <c r="W965">
        <f t="shared" si="8"/>
        <v>0</v>
      </c>
      <c r="X965">
        <f t="shared" si="9"/>
        <v>0</v>
      </c>
      <c r="Y965">
        <f t="shared" si="10"/>
        <v>0</v>
      </c>
      <c r="Z965">
        <f t="shared" si="11"/>
        <v>0</v>
      </c>
      <c r="AA965">
        <f t="shared" si="12"/>
        <v>0</v>
      </c>
      <c r="AB965">
        <f t="shared" si="13"/>
        <v>0</v>
      </c>
      <c r="AC965">
        <f t="shared" si="14"/>
        <v>0</v>
      </c>
      <c r="AE965">
        <f t="shared" si="0"/>
      </c>
      <c r="AV965">
        <f t="shared" si="15"/>
      </c>
      <c r="BM965">
        <f t="shared" si="16"/>
      </c>
      <c r="CD965">
        <f t="shared" si="0"/>
      </c>
      <c r="CZ965">
        <f t="shared" si="17"/>
      </c>
      <c r="DA965">
        <f t="shared" si="1"/>
      </c>
      <c r="DB965">
        <f t="shared" si="18"/>
      </c>
      <c r="DC965">
        <f t="shared" si="19"/>
      </c>
      <c r="DD965">
        <f t="shared" si="20"/>
      </c>
      <c r="DE965">
        <f t="shared" si="21"/>
      </c>
      <c r="DF965">
        <f t="shared" si="22"/>
      </c>
      <c r="DG965">
        <f t="shared" si="23"/>
      </c>
      <c r="DH965">
        <f t="shared" si="24"/>
      </c>
      <c r="DI965">
        <f t="shared" si="1"/>
      </c>
    </row>
    <row r="966" ht="15" customHeight="1">
      <c r="B966">
        <f t="shared" si="2"/>
      </c>
      <c r="R966">
        <f t="shared" si="3"/>
        <v>0</v>
      </c>
      <c r="S966">
        <f t="shared" si="4"/>
        <v>0</v>
      </c>
      <c r="T966">
        <f t="shared" si="5"/>
        <v>0</v>
      </c>
      <c r="U966">
        <f t="shared" si="6"/>
        <v>0</v>
      </c>
      <c r="V966">
        <f t="shared" si="7"/>
        <v>0</v>
      </c>
      <c r="W966">
        <f t="shared" si="8"/>
        <v>0</v>
      </c>
      <c r="X966">
        <f t="shared" si="9"/>
        <v>0</v>
      </c>
      <c r="Y966">
        <f t="shared" si="10"/>
        <v>0</v>
      </c>
      <c r="Z966">
        <f t="shared" si="11"/>
        <v>0</v>
      </c>
      <c r="AA966">
        <f t="shared" si="12"/>
        <v>0</v>
      </c>
      <c r="AB966">
        <f t="shared" si="13"/>
        <v>0</v>
      </c>
      <c r="AC966">
        <f t="shared" si="14"/>
        <v>0</v>
      </c>
      <c r="AE966">
        <f t="shared" si="0"/>
      </c>
      <c r="AV966">
        <f t="shared" si="15"/>
      </c>
      <c r="BM966">
        <f t="shared" si="16"/>
      </c>
      <c r="CD966">
        <f t="shared" si="0"/>
      </c>
      <c r="CZ966">
        <f t="shared" si="17"/>
      </c>
      <c r="DA966">
        <f t="shared" si="1"/>
      </c>
      <c r="DB966">
        <f t="shared" si="18"/>
      </c>
      <c r="DC966">
        <f t="shared" si="19"/>
      </c>
      <c r="DD966">
        <f t="shared" si="20"/>
      </c>
      <c r="DE966">
        <f t="shared" si="21"/>
      </c>
      <c r="DF966">
        <f t="shared" si="22"/>
      </c>
      <c r="DG966">
        <f t="shared" si="23"/>
      </c>
      <c r="DH966">
        <f t="shared" si="24"/>
      </c>
      <c r="DI966">
        <f t="shared" si="1"/>
      </c>
    </row>
    <row r="967" ht="15" customHeight="1">
      <c r="B967">
        <f t="shared" si="2"/>
      </c>
      <c r="R967">
        <f t="shared" si="3"/>
        <v>0</v>
      </c>
      <c r="S967">
        <f t="shared" si="4"/>
        <v>0</v>
      </c>
      <c r="T967">
        <f t="shared" si="5"/>
        <v>0</v>
      </c>
      <c r="U967">
        <f t="shared" si="6"/>
        <v>0</v>
      </c>
      <c r="V967">
        <f t="shared" si="7"/>
        <v>0</v>
      </c>
      <c r="W967">
        <f t="shared" si="8"/>
        <v>0</v>
      </c>
      <c r="X967">
        <f t="shared" si="9"/>
        <v>0</v>
      </c>
      <c r="Y967">
        <f t="shared" si="10"/>
        <v>0</v>
      </c>
      <c r="Z967">
        <f t="shared" si="11"/>
        <v>0</v>
      </c>
      <c r="AA967">
        <f t="shared" si="12"/>
        <v>0</v>
      </c>
      <c r="AB967">
        <f t="shared" si="13"/>
        <v>0</v>
      </c>
      <c r="AC967">
        <f t="shared" si="14"/>
        <v>0</v>
      </c>
      <c r="AE967">
        <f t="shared" si="0"/>
      </c>
      <c r="AV967">
        <f t="shared" si="15"/>
      </c>
      <c r="BM967">
        <f t="shared" si="16"/>
      </c>
      <c r="CD967">
        <f t="shared" si="0"/>
      </c>
      <c r="CZ967">
        <f t="shared" si="17"/>
      </c>
      <c r="DA967">
        <f t="shared" si="1"/>
      </c>
      <c r="DB967">
        <f t="shared" si="18"/>
      </c>
      <c r="DC967">
        <f t="shared" si="19"/>
      </c>
      <c r="DD967">
        <f t="shared" si="20"/>
      </c>
      <c r="DE967">
        <f t="shared" si="21"/>
      </c>
      <c r="DF967">
        <f t="shared" si="22"/>
      </c>
      <c r="DG967">
        <f t="shared" si="23"/>
      </c>
      <c r="DH967">
        <f t="shared" si="24"/>
      </c>
      <c r="DI967">
        <f t="shared" si="1"/>
      </c>
    </row>
    <row r="968" ht="15" customHeight="1">
      <c r="B968">
        <f t="shared" si="2"/>
      </c>
      <c r="R968">
        <f t="shared" si="3"/>
        <v>0</v>
      </c>
      <c r="S968">
        <f t="shared" si="4"/>
        <v>0</v>
      </c>
      <c r="T968">
        <f t="shared" si="5"/>
        <v>0</v>
      </c>
      <c r="U968">
        <f t="shared" si="6"/>
        <v>0</v>
      </c>
      <c r="V968">
        <f t="shared" si="7"/>
        <v>0</v>
      </c>
      <c r="W968">
        <f t="shared" si="8"/>
        <v>0</v>
      </c>
      <c r="X968">
        <f t="shared" si="9"/>
        <v>0</v>
      </c>
      <c r="Y968">
        <f t="shared" si="10"/>
        <v>0</v>
      </c>
      <c r="Z968">
        <f t="shared" si="11"/>
        <v>0</v>
      </c>
      <c r="AA968">
        <f t="shared" si="12"/>
        <v>0</v>
      </c>
      <c r="AB968">
        <f t="shared" si="13"/>
        <v>0</v>
      </c>
      <c r="AC968">
        <f t="shared" si="14"/>
        <v>0</v>
      </c>
      <c r="AE968">
        <f t="shared" si="0"/>
      </c>
      <c r="AV968">
        <f t="shared" si="15"/>
      </c>
      <c r="BM968">
        <f t="shared" si="16"/>
      </c>
      <c r="CD968">
        <f t="shared" si="0"/>
      </c>
      <c r="CZ968">
        <f t="shared" si="17"/>
      </c>
      <c r="DA968">
        <f t="shared" si="1"/>
      </c>
      <c r="DB968">
        <f t="shared" si="18"/>
      </c>
      <c r="DC968">
        <f t="shared" si="19"/>
      </c>
      <c r="DD968">
        <f t="shared" si="20"/>
      </c>
      <c r="DE968">
        <f t="shared" si="21"/>
      </c>
      <c r="DF968">
        <f t="shared" si="22"/>
      </c>
      <c r="DG968">
        <f t="shared" si="23"/>
      </c>
      <c r="DH968">
        <f t="shared" si="24"/>
      </c>
      <c r="DI968">
        <f t="shared" si="1"/>
      </c>
    </row>
    <row r="969" ht="15" customHeight="1">
      <c r="B969">
        <f t="shared" si="2"/>
      </c>
      <c r="R969">
        <f t="shared" si="3"/>
        <v>0</v>
      </c>
      <c r="S969">
        <f t="shared" si="4"/>
        <v>0</v>
      </c>
      <c r="T969">
        <f t="shared" si="5"/>
        <v>0</v>
      </c>
      <c r="U969">
        <f t="shared" si="6"/>
        <v>0</v>
      </c>
      <c r="V969">
        <f t="shared" si="7"/>
        <v>0</v>
      </c>
      <c r="W969">
        <f t="shared" si="8"/>
        <v>0</v>
      </c>
      <c r="X969">
        <f t="shared" si="9"/>
        <v>0</v>
      </c>
      <c r="Y969">
        <f t="shared" si="10"/>
        <v>0</v>
      </c>
      <c r="Z969">
        <f t="shared" si="11"/>
        <v>0</v>
      </c>
      <c r="AA969">
        <f t="shared" si="12"/>
        <v>0</v>
      </c>
      <c r="AB969">
        <f t="shared" si="13"/>
        <v>0</v>
      </c>
      <c r="AC969">
        <f t="shared" si="14"/>
        <v>0</v>
      </c>
      <c r="AE969">
        <f t="shared" si="0"/>
      </c>
      <c r="AV969">
        <f t="shared" si="15"/>
      </c>
      <c r="BM969">
        <f t="shared" si="16"/>
      </c>
      <c r="CD969">
        <f t="shared" si="0"/>
      </c>
      <c r="CZ969">
        <f t="shared" si="17"/>
      </c>
      <c r="DA969">
        <f t="shared" si="1"/>
      </c>
      <c r="DB969">
        <f t="shared" si="18"/>
      </c>
      <c r="DC969">
        <f t="shared" si="19"/>
      </c>
      <c r="DD969">
        <f t="shared" si="20"/>
      </c>
      <c r="DE969">
        <f t="shared" si="21"/>
      </c>
      <c r="DF969">
        <f t="shared" si="22"/>
      </c>
      <c r="DG969">
        <f t="shared" si="23"/>
      </c>
      <c r="DH969">
        <f t="shared" si="24"/>
      </c>
      <c r="DI969">
        <f t="shared" si="1"/>
      </c>
    </row>
    <row r="970" ht="15" customHeight="1">
      <c r="B970">
        <f t="shared" si="2"/>
      </c>
      <c r="R970">
        <f t="shared" si="3"/>
        <v>0</v>
      </c>
      <c r="S970">
        <f t="shared" si="4"/>
        <v>0</v>
      </c>
      <c r="T970">
        <f t="shared" si="5"/>
        <v>0</v>
      </c>
      <c r="U970">
        <f t="shared" si="6"/>
        <v>0</v>
      </c>
      <c r="V970">
        <f t="shared" si="7"/>
        <v>0</v>
      </c>
      <c r="W970">
        <f t="shared" si="8"/>
        <v>0</v>
      </c>
      <c r="X970">
        <f t="shared" si="9"/>
        <v>0</v>
      </c>
      <c r="Y970">
        <f t="shared" si="10"/>
        <v>0</v>
      </c>
      <c r="Z970">
        <f t="shared" si="11"/>
        <v>0</v>
      </c>
      <c r="AA970">
        <f t="shared" si="12"/>
        <v>0</v>
      </c>
      <c r="AB970">
        <f t="shared" si="13"/>
        <v>0</v>
      </c>
      <c r="AC970">
        <f t="shared" si="14"/>
        <v>0</v>
      </c>
      <c r="AE970">
        <f t="shared" si="0"/>
      </c>
      <c r="AV970">
        <f t="shared" si="15"/>
      </c>
      <c r="BM970">
        <f t="shared" si="16"/>
      </c>
      <c r="CD970">
        <f t="shared" si="0"/>
      </c>
      <c r="CZ970">
        <f t="shared" si="17"/>
      </c>
      <c r="DA970">
        <f t="shared" si="1"/>
      </c>
      <c r="DB970">
        <f t="shared" si="18"/>
      </c>
      <c r="DC970">
        <f t="shared" si="19"/>
      </c>
      <c r="DD970">
        <f t="shared" si="20"/>
      </c>
      <c r="DE970">
        <f t="shared" si="21"/>
      </c>
      <c r="DF970">
        <f t="shared" si="22"/>
      </c>
      <c r="DG970">
        <f t="shared" si="23"/>
      </c>
      <c r="DH970">
        <f t="shared" si="24"/>
      </c>
      <c r="DI970">
        <f t="shared" si="1"/>
      </c>
    </row>
    <row r="971" ht="15" customHeight="1">
      <c r="B971">
        <f t="shared" si="2"/>
      </c>
      <c r="R971">
        <f t="shared" si="3"/>
        <v>0</v>
      </c>
      <c r="S971">
        <f t="shared" si="4"/>
        <v>0</v>
      </c>
      <c r="T971">
        <f t="shared" si="5"/>
        <v>0</v>
      </c>
      <c r="U971">
        <f t="shared" si="6"/>
        <v>0</v>
      </c>
      <c r="V971">
        <f t="shared" si="7"/>
        <v>0</v>
      </c>
      <c r="W971">
        <f t="shared" si="8"/>
        <v>0</v>
      </c>
      <c r="X971">
        <f t="shared" si="9"/>
        <v>0</v>
      </c>
      <c r="Y971">
        <f t="shared" si="10"/>
        <v>0</v>
      </c>
      <c r="Z971">
        <f t="shared" si="11"/>
        <v>0</v>
      </c>
      <c r="AA971">
        <f t="shared" si="12"/>
        <v>0</v>
      </c>
      <c r="AB971">
        <f t="shared" si="13"/>
        <v>0</v>
      </c>
      <c r="AC971">
        <f t="shared" si="14"/>
        <v>0</v>
      </c>
      <c r="AE971">
        <f t="shared" si="0"/>
      </c>
      <c r="AV971">
        <f t="shared" si="15"/>
      </c>
      <c r="BM971">
        <f t="shared" si="16"/>
      </c>
      <c r="CD971">
        <f t="shared" si="0"/>
      </c>
      <c r="CZ971">
        <f t="shared" si="17"/>
      </c>
      <c r="DA971">
        <f t="shared" si="1"/>
      </c>
      <c r="DB971">
        <f t="shared" si="18"/>
      </c>
      <c r="DC971">
        <f t="shared" si="19"/>
      </c>
      <c r="DD971">
        <f t="shared" si="20"/>
      </c>
      <c r="DE971">
        <f t="shared" si="21"/>
      </c>
      <c r="DF971">
        <f t="shared" si="22"/>
      </c>
      <c r="DG971">
        <f t="shared" si="23"/>
      </c>
      <c r="DH971">
        <f t="shared" si="24"/>
      </c>
      <c r="DI971">
        <f t="shared" si="1"/>
      </c>
    </row>
    <row r="972" ht="15" customHeight="1">
      <c r="B972">
        <f t="shared" si="2"/>
      </c>
      <c r="R972">
        <f t="shared" si="3"/>
        <v>0</v>
      </c>
      <c r="S972">
        <f t="shared" si="4"/>
        <v>0</v>
      </c>
      <c r="T972">
        <f t="shared" si="5"/>
        <v>0</v>
      </c>
      <c r="U972">
        <f t="shared" si="6"/>
        <v>0</v>
      </c>
      <c r="V972">
        <f t="shared" si="7"/>
        <v>0</v>
      </c>
      <c r="W972">
        <f t="shared" si="8"/>
        <v>0</v>
      </c>
      <c r="X972">
        <f t="shared" si="9"/>
        <v>0</v>
      </c>
      <c r="Y972">
        <f t="shared" si="10"/>
        <v>0</v>
      </c>
      <c r="Z972">
        <f t="shared" si="11"/>
        <v>0</v>
      </c>
      <c r="AA972">
        <f t="shared" si="12"/>
        <v>0</v>
      </c>
      <c r="AB972">
        <f t="shared" si="13"/>
        <v>0</v>
      </c>
      <c r="AC972">
        <f t="shared" si="14"/>
        <v>0</v>
      </c>
      <c r="AE972">
        <f t="shared" si="0"/>
      </c>
      <c r="AV972">
        <f t="shared" si="15"/>
      </c>
      <c r="BM972">
        <f t="shared" si="16"/>
      </c>
      <c r="CD972">
        <f t="shared" si="0"/>
      </c>
      <c r="CZ972">
        <f t="shared" si="17"/>
      </c>
      <c r="DA972">
        <f t="shared" si="1"/>
      </c>
      <c r="DB972">
        <f t="shared" si="18"/>
      </c>
      <c r="DC972">
        <f t="shared" si="19"/>
      </c>
      <c r="DD972">
        <f t="shared" si="20"/>
      </c>
      <c r="DE972">
        <f t="shared" si="21"/>
      </c>
      <c r="DF972">
        <f t="shared" si="22"/>
      </c>
      <c r="DG972">
        <f t="shared" si="23"/>
      </c>
      <c r="DH972">
        <f t="shared" si="24"/>
      </c>
      <c r="DI972">
        <f t="shared" si="1"/>
      </c>
    </row>
    <row r="973" ht="15" customHeight="1">
      <c r="B973">
        <f t="shared" si="2"/>
      </c>
      <c r="R973">
        <f t="shared" si="3"/>
        <v>0</v>
      </c>
      <c r="S973">
        <f t="shared" si="4"/>
        <v>0</v>
      </c>
      <c r="T973">
        <f t="shared" si="5"/>
        <v>0</v>
      </c>
      <c r="U973">
        <f t="shared" si="6"/>
        <v>0</v>
      </c>
      <c r="V973">
        <f t="shared" si="7"/>
        <v>0</v>
      </c>
      <c r="W973">
        <f t="shared" si="8"/>
        <v>0</v>
      </c>
      <c r="X973">
        <f t="shared" si="9"/>
        <v>0</v>
      </c>
      <c r="Y973">
        <f t="shared" si="10"/>
        <v>0</v>
      </c>
      <c r="Z973">
        <f t="shared" si="11"/>
        <v>0</v>
      </c>
      <c r="AA973">
        <f t="shared" si="12"/>
        <v>0</v>
      </c>
      <c r="AB973">
        <f t="shared" si="13"/>
        <v>0</v>
      </c>
      <c r="AC973">
        <f t="shared" si="14"/>
        <v>0</v>
      </c>
      <c r="AE973">
        <f t="shared" si="0"/>
      </c>
      <c r="AV973">
        <f t="shared" si="15"/>
      </c>
      <c r="BM973">
        <f t="shared" si="16"/>
      </c>
      <c r="CD973">
        <f t="shared" si="0"/>
      </c>
      <c r="CZ973">
        <f t="shared" si="17"/>
      </c>
      <c r="DA973">
        <f t="shared" si="1"/>
      </c>
      <c r="DB973">
        <f t="shared" si="18"/>
      </c>
      <c r="DC973">
        <f t="shared" si="19"/>
      </c>
      <c r="DD973">
        <f t="shared" si="20"/>
      </c>
      <c r="DE973">
        <f t="shared" si="21"/>
      </c>
      <c r="DF973">
        <f t="shared" si="22"/>
      </c>
      <c r="DG973">
        <f t="shared" si="23"/>
      </c>
      <c r="DH973">
        <f t="shared" si="24"/>
      </c>
      <c r="DI973">
        <f t="shared" si="1"/>
      </c>
    </row>
    <row r="974" ht="15" customHeight="1">
      <c r="B974">
        <f t="shared" si="2"/>
      </c>
      <c r="R974">
        <f t="shared" si="3"/>
        <v>0</v>
      </c>
      <c r="S974">
        <f t="shared" si="4"/>
        <v>0</v>
      </c>
      <c r="T974">
        <f t="shared" si="5"/>
        <v>0</v>
      </c>
      <c r="U974">
        <f t="shared" si="6"/>
        <v>0</v>
      </c>
      <c r="V974">
        <f t="shared" si="7"/>
        <v>0</v>
      </c>
      <c r="W974">
        <f t="shared" si="8"/>
        <v>0</v>
      </c>
      <c r="X974">
        <f t="shared" si="9"/>
        <v>0</v>
      </c>
      <c r="Y974">
        <f t="shared" si="10"/>
        <v>0</v>
      </c>
      <c r="Z974">
        <f t="shared" si="11"/>
        <v>0</v>
      </c>
      <c r="AA974">
        <f t="shared" si="12"/>
        <v>0</v>
      </c>
      <c r="AB974">
        <f t="shared" si="13"/>
        <v>0</v>
      </c>
      <c r="AC974">
        <f t="shared" si="14"/>
        <v>0</v>
      </c>
      <c r="AE974">
        <f t="shared" si="0"/>
      </c>
      <c r="AV974">
        <f t="shared" si="15"/>
      </c>
      <c r="BM974">
        <f t="shared" si="16"/>
      </c>
      <c r="CD974">
        <f t="shared" si="0"/>
      </c>
      <c r="CZ974">
        <f t="shared" si="17"/>
      </c>
      <c r="DA974">
        <f t="shared" si="1"/>
      </c>
      <c r="DB974">
        <f t="shared" si="18"/>
      </c>
      <c r="DC974">
        <f t="shared" si="19"/>
      </c>
      <c r="DD974">
        <f t="shared" si="20"/>
      </c>
      <c r="DE974">
        <f t="shared" si="21"/>
      </c>
      <c r="DF974">
        <f t="shared" si="22"/>
      </c>
      <c r="DG974">
        <f t="shared" si="23"/>
      </c>
      <c r="DH974">
        <f t="shared" si="24"/>
      </c>
      <c r="DI974">
        <f t="shared" si="1"/>
      </c>
    </row>
    <row r="975" ht="15" customHeight="1">
      <c r="B975">
        <f t="shared" si="2"/>
      </c>
      <c r="R975">
        <f t="shared" si="3"/>
        <v>0</v>
      </c>
      <c r="S975">
        <f t="shared" si="4"/>
        <v>0</v>
      </c>
      <c r="T975">
        <f t="shared" si="5"/>
        <v>0</v>
      </c>
      <c r="U975">
        <f t="shared" si="6"/>
        <v>0</v>
      </c>
      <c r="V975">
        <f t="shared" si="7"/>
        <v>0</v>
      </c>
      <c r="W975">
        <f t="shared" si="8"/>
        <v>0</v>
      </c>
      <c r="X975">
        <f t="shared" si="9"/>
        <v>0</v>
      </c>
      <c r="Y975">
        <f t="shared" si="10"/>
        <v>0</v>
      </c>
      <c r="Z975">
        <f t="shared" si="11"/>
        <v>0</v>
      </c>
      <c r="AA975">
        <f t="shared" si="12"/>
        <v>0</v>
      </c>
      <c r="AB975">
        <f t="shared" si="13"/>
        <v>0</v>
      </c>
      <c r="AC975">
        <f t="shared" si="14"/>
        <v>0</v>
      </c>
      <c r="AE975">
        <f t="shared" si="0"/>
      </c>
      <c r="AV975">
        <f t="shared" si="15"/>
      </c>
      <c r="BM975">
        <f t="shared" si="16"/>
      </c>
      <c r="CD975">
        <f t="shared" si="0"/>
      </c>
      <c r="CZ975">
        <f t="shared" si="17"/>
      </c>
      <c r="DA975">
        <f t="shared" si="1"/>
      </c>
      <c r="DB975">
        <f t="shared" si="18"/>
      </c>
      <c r="DC975">
        <f t="shared" si="19"/>
      </c>
      <c r="DD975">
        <f t="shared" si="20"/>
      </c>
      <c r="DE975">
        <f t="shared" si="21"/>
      </c>
      <c r="DF975">
        <f t="shared" si="22"/>
      </c>
      <c r="DG975">
        <f t="shared" si="23"/>
      </c>
      <c r="DH975">
        <f t="shared" si="24"/>
      </c>
      <c r="DI975">
        <f t="shared" si="1"/>
      </c>
    </row>
    <row r="976" ht="15" customHeight="1">
      <c r="B976">
        <f t="shared" si="2"/>
      </c>
      <c r="R976">
        <f t="shared" si="3"/>
        <v>0</v>
      </c>
      <c r="S976">
        <f t="shared" si="4"/>
        <v>0</v>
      </c>
      <c r="T976">
        <f t="shared" si="5"/>
        <v>0</v>
      </c>
      <c r="U976">
        <f t="shared" si="6"/>
        <v>0</v>
      </c>
      <c r="V976">
        <f t="shared" si="7"/>
        <v>0</v>
      </c>
      <c r="W976">
        <f t="shared" si="8"/>
        <v>0</v>
      </c>
      <c r="X976">
        <f t="shared" si="9"/>
        <v>0</v>
      </c>
      <c r="Y976">
        <f t="shared" si="10"/>
        <v>0</v>
      </c>
      <c r="Z976">
        <f t="shared" si="11"/>
        <v>0</v>
      </c>
      <c r="AA976">
        <f t="shared" si="12"/>
        <v>0</v>
      </c>
      <c r="AB976">
        <f t="shared" si="13"/>
        <v>0</v>
      </c>
      <c r="AC976">
        <f t="shared" si="14"/>
        <v>0</v>
      </c>
      <c r="AE976">
        <f t="shared" si="0"/>
      </c>
      <c r="AV976">
        <f t="shared" si="15"/>
      </c>
      <c r="BM976">
        <f t="shared" si="16"/>
      </c>
      <c r="CD976">
        <f t="shared" si="0"/>
      </c>
      <c r="CZ976">
        <f t="shared" si="17"/>
      </c>
      <c r="DA976">
        <f t="shared" si="1"/>
      </c>
      <c r="DB976">
        <f t="shared" si="18"/>
      </c>
      <c r="DC976">
        <f t="shared" si="19"/>
      </c>
      <c r="DD976">
        <f t="shared" si="20"/>
      </c>
      <c r="DE976">
        <f t="shared" si="21"/>
      </c>
      <c r="DF976">
        <f t="shared" si="22"/>
      </c>
      <c r="DG976">
        <f t="shared" si="23"/>
      </c>
      <c r="DH976">
        <f t="shared" si="24"/>
      </c>
      <c r="DI976">
        <f t="shared" si="1"/>
      </c>
    </row>
    <row r="977" ht="15" customHeight="1">
      <c r="B977">
        <f t="shared" si="2"/>
      </c>
      <c r="R977">
        <f t="shared" si="3"/>
        <v>0</v>
      </c>
      <c r="S977">
        <f t="shared" si="4"/>
        <v>0</v>
      </c>
      <c r="T977">
        <f t="shared" si="5"/>
        <v>0</v>
      </c>
      <c r="U977">
        <f t="shared" si="6"/>
        <v>0</v>
      </c>
      <c r="V977">
        <f t="shared" si="7"/>
        <v>0</v>
      </c>
      <c r="W977">
        <f t="shared" si="8"/>
        <v>0</v>
      </c>
      <c r="X977">
        <f t="shared" si="9"/>
        <v>0</v>
      </c>
      <c r="Y977">
        <f t="shared" si="10"/>
        <v>0</v>
      </c>
      <c r="Z977">
        <f t="shared" si="11"/>
        <v>0</v>
      </c>
      <c r="AA977">
        <f t="shared" si="12"/>
        <v>0</v>
      </c>
      <c r="AB977">
        <f t="shared" si="13"/>
        <v>0</v>
      </c>
      <c r="AC977">
        <f t="shared" si="14"/>
        <v>0</v>
      </c>
      <c r="AE977">
        <f t="shared" si="0"/>
      </c>
      <c r="AV977">
        <f t="shared" si="15"/>
      </c>
      <c r="BM977">
        <f t="shared" si="16"/>
      </c>
      <c r="CD977">
        <f t="shared" si="0"/>
      </c>
      <c r="CZ977">
        <f t="shared" si="17"/>
      </c>
      <c r="DA977">
        <f t="shared" si="1"/>
      </c>
      <c r="DB977">
        <f t="shared" si="18"/>
      </c>
      <c r="DC977">
        <f t="shared" si="19"/>
      </c>
      <c r="DD977">
        <f t="shared" si="20"/>
      </c>
      <c r="DE977">
        <f t="shared" si="21"/>
      </c>
      <c r="DF977">
        <f t="shared" si="22"/>
      </c>
      <c r="DG977">
        <f t="shared" si="23"/>
      </c>
      <c r="DH977">
        <f t="shared" si="24"/>
      </c>
      <c r="DI977">
        <f t="shared" si="1"/>
      </c>
    </row>
    <row r="978" ht="15" customHeight="1">
      <c r="B978">
        <f t="shared" si="2"/>
      </c>
      <c r="R978">
        <f t="shared" si="3"/>
        <v>0</v>
      </c>
      <c r="S978">
        <f t="shared" si="4"/>
        <v>0</v>
      </c>
      <c r="T978">
        <f t="shared" si="5"/>
        <v>0</v>
      </c>
      <c r="U978">
        <f t="shared" si="6"/>
        <v>0</v>
      </c>
      <c r="V978">
        <f t="shared" si="7"/>
        <v>0</v>
      </c>
      <c r="W978">
        <f t="shared" si="8"/>
        <v>0</v>
      </c>
      <c r="X978">
        <f t="shared" si="9"/>
        <v>0</v>
      </c>
      <c r="Y978">
        <f t="shared" si="10"/>
        <v>0</v>
      </c>
      <c r="Z978">
        <f t="shared" si="11"/>
        <v>0</v>
      </c>
      <c r="AA978">
        <f t="shared" si="12"/>
        <v>0</v>
      </c>
      <c r="AB978">
        <f t="shared" si="13"/>
        <v>0</v>
      </c>
      <c r="AC978">
        <f t="shared" si="14"/>
        <v>0</v>
      </c>
      <c r="AE978">
        <f t="shared" si="0"/>
      </c>
      <c r="AV978">
        <f t="shared" si="15"/>
      </c>
      <c r="BM978">
        <f t="shared" si="16"/>
      </c>
      <c r="CD978">
        <f t="shared" si="0"/>
      </c>
      <c r="CZ978">
        <f t="shared" si="17"/>
      </c>
      <c r="DA978">
        <f t="shared" si="1"/>
      </c>
      <c r="DB978">
        <f t="shared" si="18"/>
      </c>
      <c r="DC978">
        <f t="shared" si="19"/>
      </c>
      <c r="DD978">
        <f t="shared" si="20"/>
      </c>
      <c r="DE978">
        <f t="shared" si="21"/>
      </c>
      <c r="DF978">
        <f t="shared" si="22"/>
      </c>
      <c r="DG978">
        <f t="shared" si="23"/>
      </c>
      <c r="DH978">
        <f t="shared" si="24"/>
      </c>
      <c r="DI978">
        <f t="shared" si="1"/>
      </c>
    </row>
    <row r="979" ht="15" customHeight="1">
      <c r="B979">
        <f t="shared" si="2"/>
      </c>
      <c r="R979">
        <f t="shared" si="3"/>
        <v>0</v>
      </c>
      <c r="S979">
        <f t="shared" si="4"/>
        <v>0</v>
      </c>
      <c r="T979">
        <f t="shared" si="5"/>
        <v>0</v>
      </c>
      <c r="U979">
        <f t="shared" si="6"/>
        <v>0</v>
      </c>
      <c r="V979">
        <f t="shared" si="7"/>
        <v>0</v>
      </c>
      <c r="W979">
        <f t="shared" si="8"/>
        <v>0</v>
      </c>
      <c r="X979">
        <f t="shared" si="9"/>
        <v>0</v>
      </c>
      <c r="Y979">
        <f t="shared" si="10"/>
        <v>0</v>
      </c>
      <c r="Z979">
        <f t="shared" si="11"/>
        <v>0</v>
      </c>
      <c r="AA979">
        <f t="shared" si="12"/>
        <v>0</v>
      </c>
      <c r="AB979">
        <f t="shared" si="13"/>
        <v>0</v>
      </c>
      <c r="AC979">
        <f t="shared" si="14"/>
        <v>0</v>
      </c>
      <c r="AE979">
        <f t="shared" si="0"/>
      </c>
      <c r="AV979">
        <f t="shared" si="15"/>
      </c>
      <c r="BM979">
        <f t="shared" si="16"/>
      </c>
      <c r="CD979">
        <f t="shared" si="0"/>
      </c>
      <c r="CZ979">
        <f t="shared" si="17"/>
      </c>
      <c r="DA979">
        <f t="shared" si="1"/>
      </c>
      <c r="DB979">
        <f t="shared" si="18"/>
      </c>
      <c r="DC979">
        <f t="shared" si="19"/>
      </c>
      <c r="DD979">
        <f t="shared" si="20"/>
      </c>
      <c r="DE979">
        <f t="shared" si="21"/>
      </c>
      <c r="DF979">
        <f t="shared" si="22"/>
      </c>
      <c r="DG979">
        <f t="shared" si="23"/>
      </c>
      <c r="DH979">
        <f t="shared" si="24"/>
      </c>
      <c r="DI979">
        <f t="shared" si="1"/>
      </c>
    </row>
    <row r="980" ht="15" customHeight="1">
      <c r="B980">
        <f t="shared" si="2"/>
      </c>
      <c r="R980">
        <f t="shared" si="3"/>
        <v>0</v>
      </c>
      <c r="S980">
        <f t="shared" si="4"/>
        <v>0</v>
      </c>
      <c r="T980">
        <f t="shared" si="5"/>
        <v>0</v>
      </c>
      <c r="U980">
        <f t="shared" si="6"/>
        <v>0</v>
      </c>
      <c r="V980">
        <f t="shared" si="7"/>
        <v>0</v>
      </c>
      <c r="W980">
        <f t="shared" si="8"/>
        <v>0</v>
      </c>
      <c r="X980">
        <f t="shared" si="9"/>
        <v>0</v>
      </c>
      <c r="Y980">
        <f t="shared" si="10"/>
        <v>0</v>
      </c>
      <c r="Z980">
        <f t="shared" si="11"/>
        <v>0</v>
      </c>
      <c r="AA980">
        <f t="shared" si="12"/>
        <v>0</v>
      </c>
      <c r="AB980">
        <f t="shared" si="13"/>
        <v>0</v>
      </c>
      <c r="AC980">
        <f t="shared" si="14"/>
        <v>0</v>
      </c>
      <c r="AE980">
        <f t="shared" si="0"/>
      </c>
      <c r="AV980">
        <f t="shared" si="15"/>
      </c>
      <c r="BM980">
        <f t="shared" si="16"/>
      </c>
      <c r="CD980">
        <f t="shared" si="0"/>
      </c>
      <c r="CZ980">
        <f t="shared" si="17"/>
      </c>
      <c r="DA980">
        <f t="shared" si="1"/>
      </c>
      <c r="DB980">
        <f t="shared" si="18"/>
      </c>
      <c r="DC980">
        <f t="shared" si="19"/>
      </c>
      <c r="DD980">
        <f t="shared" si="20"/>
      </c>
      <c r="DE980">
        <f t="shared" si="21"/>
      </c>
      <c r="DF980">
        <f t="shared" si="22"/>
      </c>
      <c r="DG980">
        <f t="shared" si="23"/>
      </c>
      <c r="DH980">
        <f t="shared" si="24"/>
      </c>
      <c r="DI980">
        <f t="shared" si="1"/>
      </c>
    </row>
    <row r="981" ht="15" customHeight="1">
      <c r="B981">
        <f t="shared" si="2"/>
      </c>
      <c r="R981">
        <f t="shared" si="3"/>
        <v>0</v>
      </c>
      <c r="S981">
        <f t="shared" si="4"/>
        <v>0</v>
      </c>
      <c r="T981">
        <f t="shared" si="5"/>
        <v>0</v>
      </c>
      <c r="U981">
        <f t="shared" si="6"/>
        <v>0</v>
      </c>
      <c r="V981">
        <f t="shared" si="7"/>
        <v>0</v>
      </c>
      <c r="W981">
        <f t="shared" si="8"/>
        <v>0</v>
      </c>
      <c r="X981">
        <f t="shared" si="9"/>
        <v>0</v>
      </c>
      <c r="Y981">
        <f t="shared" si="10"/>
        <v>0</v>
      </c>
      <c r="Z981">
        <f t="shared" si="11"/>
        <v>0</v>
      </c>
      <c r="AA981">
        <f t="shared" si="12"/>
        <v>0</v>
      </c>
      <c r="AB981">
        <f t="shared" si="13"/>
        <v>0</v>
      </c>
      <c r="AC981">
        <f t="shared" si="14"/>
        <v>0</v>
      </c>
      <c r="AE981">
        <f t="shared" si="0"/>
      </c>
      <c r="AV981">
        <f t="shared" si="15"/>
      </c>
      <c r="BM981">
        <f t="shared" si="16"/>
      </c>
      <c r="CD981">
        <f t="shared" si="0"/>
      </c>
      <c r="CZ981">
        <f t="shared" si="17"/>
      </c>
      <c r="DA981">
        <f t="shared" si="1"/>
      </c>
      <c r="DB981">
        <f t="shared" si="18"/>
      </c>
      <c r="DC981">
        <f t="shared" si="19"/>
      </c>
      <c r="DD981">
        <f t="shared" si="20"/>
      </c>
      <c r="DE981">
        <f t="shared" si="21"/>
      </c>
      <c r="DF981">
        <f t="shared" si="22"/>
      </c>
      <c r="DG981">
        <f t="shared" si="23"/>
      </c>
      <c r="DH981">
        <f t="shared" si="24"/>
      </c>
      <c r="DI981">
        <f t="shared" si="1"/>
      </c>
    </row>
    <row r="982" ht="15" customHeight="1">
      <c r="B982">
        <f t="shared" si="2"/>
      </c>
      <c r="R982">
        <f t="shared" si="3"/>
        <v>0</v>
      </c>
      <c r="S982">
        <f t="shared" si="4"/>
        <v>0</v>
      </c>
      <c r="T982">
        <f t="shared" si="5"/>
        <v>0</v>
      </c>
      <c r="U982">
        <f t="shared" si="6"/>
        <v>0</v>
      </c>
      <c r="V982">
        <f t="shared" si="7"/>
        <v>0</v>
      </c>
      <c r="W982">
        <f t="shared" si="8"/>
        <v>0</v>
      </c>
      <c r="X982">
        <f t="shared" si="9"/>
        <v>0</v>
      </c>
      <c r="Y982">
        <f t="shared" si="10"/>
        <v>0</v>
      </c>
      <c r="Z982">
        <f t="shared" si="11"/>
        <v>0</v>
      </c>
      <c r="AA982">
        <f t="shared" si="12"/>
        <v>0</v>
      </c>
      <c r="AB982">
        <f t="shared" si="13"/>
        <v>0</v>
      </c>
      <c r="AC982">
        <f t="shared" si="14"/>
        <v>0</v>
      </c>
      <c r="AE982">
        <f t="shared" si="0"/>
      </c>
      <c r="AV982">
        <f t="shared" si="15"/>
      </c>
      <c r="BM982">
        <f t="shared" si="16"/>
      </c>
      <c r="CD982">
        <f t="shared" si="0"/>
      </c>
      <c r="CZ982">
        <f t="shared" si="17"/>
      </c>
      <c r="DA982">
        <f t="shared" si="1"/>
      </c>
      <c r="DB982">
        <f t="shared" si="18"/>
      </c>
      <c r="DC982">
        <f t="shared" si="19"/>
      </c>
      <c r="DD982">
        <f t="shared" si="20"/>
      </c>
      <c r="DE982">
        <f t="shared" si="21"/>
      </c>
      <c r="DF982">
        <f t="shared" si="22"/>
      </c>
      <c r="DG982">
        <f t="shared" si="23"/>
      </c>
      <c r="DH982">
        <f t="shared" si="24"/>
      </c>
      <c r="DI982">
        <f t="shared" si="1"/>
      </c>
    </row>
    <row r="983" ht="15" customHeight="1">
      <c r="B983">
        <f t="shared" si="2"/>
      </c>
      <c r="R983">
        <f t="shared" si="3"/>
        <v>0</v>
      </c>
      <c r="S983">
        <f t="shared" si="4"/>
        <v>0</v>
      </c>
      <c r="T983">
        <f t="shared" si="5"/>
        <v>0</v>
      </c>
      <c r="U983">
        <f t="shared" si="6"/>
        <v>0</v>
      </c>
      <c r="V983">
        <f t="shared" si="7"/>
        <v>0</v>
      </c>
      <c r="W983">
        <f t="shared" si="8"/>
        <v>0</v>
      </c>
      <c r="X983">
        <f t="shared" si="9"/>
        <v>0</v>
      </c>
      <c r="Y983">
        <f t="shared" si="10"/>
        <v>0</v>
      </c>
      <c r="Z983">
        <f t="shared" si="11"/>
        <v>0</v>
      </c>
      <c r="AA983">
        <f t="shared" si="12"/>
        <v>0</v>
      </c>
      <c r="AB983">
        <f t="shared" si="13"/>
        <v>0</v>
      </c>
      <c r="AC983">
        <f t="shared" si="14"/>
        <v>0</v>
      </c>
      <c r="AE983">
        <f t="shared" si="0"/>
      </c>
      <c r="AV983">
        <f t="shared" si="15"/>
      </c>
      <c r="BM983">
        <f t="shared" si="16"/>
      </c>
      <c r="CD983">
        <f t="shared" si="0"/>
      </c>
      <c r="CZ983">
        <f t="shared" si="17"/>
      </c>
      <c r="DA983">
        <f t="shared" si="1"/>
      </c>
      <c r="DB983">
        <f t="shared" si="18"/>
      </c>
      <c r="DC983">
        <f t="shared" si="19"/>
      </c>
      <c r="DD983">
        <f t="shared" si="20"/>
      </c>
      <c r="DE983">
        <f t="shared" si="21"/>
      </c>
      <c r="DF983">
        <f t="shared" si="22"/>
      </c>
      <c r="DG983">
        <f t="shared" si="23"/>
      </c>
      <c r="DH983">
        <f t="shared" si="24"/>
      </c>
      <c r="DI983">
        <f t="shared" si="1"/>
      </c>
    </row>
    <row r="984" ht="15" customHeight="1">
      <c r="B984">
        <f t="shared" si="2"/>
      </c>
      <c r="R984">
        <f t="shared" si="3"/>
        <v>0</v>
      </c>
      <c r="S984">
        <f t="shared" si="4"/>
        <v>0</v>
      </c>
      <c r="T984">
        <f t="shared" si="5"/>
        <v>0</v>
      </c>
      <c r="U984">
        <f t="shared" si="6"/>
        <v>0</v>
      </c>
      <c r="V984">
        <f t="shared" si="7"/>
        <v>0</v>
      </c>
      <c r="W984">
        <f t="shared" si="8"/>
        <v>0</v>
      </c>
      <c r="X984">
        <f t="shared" si="9"/>
        <v>0</v>
      </c>
      <c r="Y984">
        <f t="shared" si="10"/>
        <v>0</v>
      </c>
      <c r="Z984">
        <f t="shared" si="11"/>
        <v>0</v>
      </c>
      <c r="AA984">
        <f t="shared" si="12"/>
        <v>0</v>
      </c>
      <c r="AB984">
        <f t="shared" si="13"/>
        <v>0</v>
      </c>
      <c r="AC984">
        <f t="shared" si="14"/>
        <v>0</v>
      </c>
      <c r="AE984">
        <f t="shared" si="0"/>
      </c>
      <c r="AV984">
        <f t="shared" si="15"/>
      </c>
      <c r="BM984">
        <f t="shared" si="16"/>
      </c>
      <c r="CD984">
        <f t="shared" si="0"/>
      </c>
      <c r="CZ984">
        <f t="shared" si="17"/>
      </c>
      <c r="DA984">
        <f t="shared" si="1"/>
      </c>
      <c r="DB984">
        <f t="shared" si="18"/>
      </c>
      <c r="DC984">
        <f t="shared" si="19"/>
      </c>
      <c r="DD984">
        <f t="shared" si="20"/>
      </c>
      <c r="DE984">
        <f t="shared" si="21"/>
      </c>
      <c r="DF984">
        <f t="shared" si="22"/>
      </c>
      <c r="DG984">
        <f t="shared" si="23"/>
      </c>
      <c r="DH984">
        <f t="shared" si="24"/>
      </c>
      <c r="DI984">
        <f t="shared" si="1"/>
      </c>
    </row>
    <row r="985" ht="15" customHeight="1">
      <c r="B985">
        <f t="shared" si="2"/>
      </c>
      <c r="R985">
        <f t="shared" si="3"/>
        <v>0</v>
      </c>
      <c r="S985">
        <f t="shared" si="4"/>
        <v>0</v>
      </c>
      <c r="T985">
        <f t="shared" si="5"/>
        <v>0</v>
      </c>
      <c r="U985">
        <f t="shared" si="6"/>
        <v>0</v>
      </c>
      <c r="V985">
        <f t="shared" si="7"/>
        <v>0</v>
      </c>
      <c r="W985">
        <f t="shared" si="8"/>
        <v>0</v>
      </c>
      <c r="X985">
        <f t="shared" si="9"/>
        <v>0</v>
      </c>
      <c r="Y985">
        <f t="shared" si="10"/>
        <v>0</v>
      </c>
      <c r="Z985">
        <f t="shared" si="11"/>
        <v>0</v>
      </c>
      <c r="AA985">
        <f t="shared" si="12"/>
        <v>0</v>
      </c>
      <c r="AB985">
        <f t="shared" si="13"/>
        <v>0</v>
      </c>
      <c r="AC985">
        <f t="shared" si="14"/>
        <v>0</v>
      </c>
      <c r="AE985">
        <f t="shared" si="0"/>
      </c>
      <c r="AV985">
        <f t="shared" si="15"/>
      </c>
      <c r="BM985">
        <f t="shared" si="16"/>
      </c>
      <c r="CD985">
        <f t="shared" si="0"/>
      </c>
      <c r="CZ985">
        <f t="shared" si="17"/>
      </c>
      <c r="DA985">
        <f t="shared" si="1"/>
      </c>
      <c r="DB985">
        <f t="shared" si="18"/>
      </c>
      <c r="DC985">
        <f t="shared" si="19"/>
      </c>
      <c r="DD985">
        <f t="shared" si="20"/>
      </c>
      <c r="DE985">
        <f t="shared" si="21"/>
      </c>
      <c r="DF985">
        <f t="shared" si="22"/>
      </c>
      <c r="DG985">
        <f t="shared" si="23"/>
      </c>
      <c r="DH985">
        <f t="shared" si="24"/>
      </c>
      <c r="DI985">
        <f t="shared" si="1"/>
      </c>
    </row>
    <row r="986" ht="15" customHeight="1">
      <c r="B986">
        <f t="shared" si="2"/>
      </c>
      <c r="R986">
        <f t="shared" si="3"/>
        <v>0</v>
      </c>
      <c r="S986">
        <f t="shared" si="4"/>
        <v>0</v>
      </c>
      <c r="T986">
        <f t="shared" si="5"/>
        <v>0</v>
      </c>
      <c r="U986">
        <f t="shared" si="6"/>
        <v>0</v>
      </c>
      <c r="V986">
        <f t="shared" si="7"/>
        <v>0</v>
      </c>
      <c r="W986">
        <f t="shared" si="8"/>
        <v>0</v>
      </c>
      <c r="X986">
        <f t="shared" si="9"/>
        <v>0</v>
      </c>
      <c r="Y986">
        <f t="shared" si="10"/>
        <v>0</v>
      </c>
      <c r="Z986">
        <f t="shared" si="11"/>
        <v>0</v>
      </c>
      <c r="AA986">
        <f t="shared" si="12"/>
        <v>0</v>
      </c>
      <c r="AB986">
        <f t="shared" si="13"/>
        <v>0</v>
      </c>
      <c r="AC986">
        <f t="shared" si="14"/>
        <v>0</v>
      </c>
      <c r="AE986">
        <f t="shared" si="0"/>
      </c>
      <c r="AV986">
        <f t="shared" si="15"/>
      </c>
      <c r="BM986">
        <f t="shared" si="16"/>
      </c>
      <c r="CD986">
        <f t="shared" si="0"/>
      </c>
      <c r="CZ986">
        <f t="shared" si="17"/>
      </c>
      <c r="DA986">
        <f t="shared" si="1"/>
      </c>
      <c r="DB986">
        <f t="shared" si="18"/>
      </c>
      <c r="DC986">
        <f t="shared" si="19"/>
      </c>
      <c r="DD986">
        <f t="shared" si="20"/>
      </c>
      <c r="DE986">
        <f t="shared" si="21"/>
      </c>
      <c r="DF986">
        <f t="shared" si="22"/>
      </c>
      <c r="DG986">
        <f t="shared" si="23"/>
      </c>
      <c r="DH986">
        <f t="shared" si="24"/>
      </c>
      <c r="DI986">
        <f t="shared" si="1"/>
      </c>
    </row>
    <row r="987" ht="15" customHeight="1">
      <c r="B987">
        <f t="shared" si="2"/>
      </c>
      <c r="R987">
        <f t="shared" si="3"/>
        <v>0</v>
      </c>
      <c r="S987">
        <f t="shared" si="4"/>
        <v>0</v>
      </c>
      <c r="T987">
        <f t="shared" si="5"/>
        <v>0</v>
      </c>
      <c r="U987">
        <f t="shared" si="6"/>
        <v>0</v>
      </c>
      <c r="V987">
        <f t="shared" si="7"/>
        <v>0</v>
      </c>
      <c r="W987">
        <f t="shared" si="8"/>
        <v>0</v>
      </c>
      <c r="X987">
        <f t="shared" si="9"/>
        <v>0</v>
      </c>
      <c r="Y987">
        <f t="shared" si="10"/>
        <v>0</v>
      </c>
      <c r="Z987">
        <f t="shared" si="11"/>
        <v>0</v>
      </c>
      <c r="AA987">
        <f t="shared" si="12"/>
        <v>0</v>
      </c>
      <c r="AB987">
        <f t="shared" si="13"/>
        <v>0</v>
      </c>
      <c r="AC987">
        <f t="shared" si="14"/>
        <v>0</v>
      </c>
      <c r="AE987">
        <f t="shared" si="0"/>
      </c>
      <c r="AV987">
        <f t="shared" si="15"/>
      </c>
      <c r="BM987">
        <f t="shared" si="16"/>
      </c>
      <c r="CD987">
        <f t="shared" si="0"/>
      </c>
      <c r="CZ987">
        <f t="shared" si="17"/>
      </c>
      <c r="DA987">
        <f t="shared" si="1"/>
      </c>
      <c r="DB987">
        <f t="shared" si="18"/>
      </c>
      <c r="DC987">
        <f t="shared" si="19"/>
      </c>
      <c r="DD987">
        <f t="shared" si="20"/>
      </c>
      <c r="DE987">
        <f t="shared" si="21"/>
      </c>
      <c r="DF987">
        <f t="shared" si="22"/>
      </c>
      <c r="DG987">
        <f t="shared" si="23"/>
      </c>
      <c r="DH987">
        <f t="shared" si="24"/>
      </c>
      <c r="DI987">
        <f t="shared" si="1"/>
      </c>
    </row>
    <row r="988" ht="15" customHeight="1">
      <c r="B988">
        <f t="shared" si="2"/>
      </c>
      <c r="R988">
        <f t="shared" si="3"/>
        <v>0</v>
      </c>
      <c r="S988">
        <f t="shared" si="4"/>
        <v>0</v>
      </c>
      <c r="T988">
        <f t="shared" si="5"/>
        <v>0</v>
      </c>
      <c r="U988">
        <f t="shared" si="6"/>
        <v>0</v>
      </c>
      <c r="V988">
        <f t="shared" si="7"/>
        <v>0</v>
      </c>
      <c r="W988">
        <f t="shared" si="8"/>
        <v>0</v>
      </c>
      <c r="X988">
        <f t="shared" si="9"/>
        <v>0</v>
      </c>
      <c r="Y988">
        <f t="shared" si="10"/>
        <v>0</v>
      </c>
      <c r="Z988">
        <f t="shared" si="11"/>
        <v>0</v>
      </c>
      <c r="AA988">
        <f t="shared" si="12"/>
        <v>0</v>
      </c>
      <c r="AB988">
        <f t="shared" si="13"/>
        <v>0</v>
      </c>
      <c r="AC988">
        <f t="shared" si="14"/>
        <v>0</v>
      </c>
      <c r="AE988">
        <f t="shared" si="0"/>
      </c>
      <c r="AV988">
        <f t="shared" si="15"/>
      </c>
      <c r="BM988">
        <f t="shared" si="16"/>
      </c>
      <c r="CD988">
        <f t="shared" si="0"/>
      </c>
      <c r="CZ988">
        <f t="shared" si="17"/>
      </c>
      <c r="DA988">
        <f t="shared" si="1"/>
      </c>
      <c r="DB988">
        <f t="shared" si="18"/>
      </c>
      <c r="DC988">
        <f t="shared" si="19"/>
      </c>
      <c r="DD988">
        <f t="shared" si="20"/>
      </c>
      <c r="DE988">
        <f t="shared" si="21"/>
      </c>
      <c r="DF988">
        <f t="shared" si="22"/>
      </c>
      <c r="DG988">
        <f t="shared" si="23"/>
      </c>
      <c r="DH988">
        <f t="shared" si="24"/>
      </c>
      <c r="DI988">
        <f t="shared" si="1"/>
      </c>
    </row>
    <row r="989" ht="15" customHeight="1">
      <c r="B989">
        <f t="shared" si="2"/>
      </c>
      <c r="R989">
        <f t="shared" si="3"/>
        <v>0</v>
      </c>
      <c r="S989">
        <f t="shared" si="4"/>
        <v>0</v>
      </c>
      <c r="T989">
        <f t="shared" si="5"/>
        <v>0</v>
      </c>
      <c r="U989">
        <f t="shared" si="6"/>
        <v>0</v>
      </c>
      <c r="V989">
        <f t="shared" si="7"/>
        <v>0</v>
      </c>
      <c r="W989">
        <f t="shared" si="8"/>
        <v>0</v>
      </c>
      <c r="X989">
        <f t="shared" si="9"/>
        <v>0</v>
      </c>
      <c r="Y989">
        <f t="shared" si="10"/>
        <v>0</v>
      </c>
      <c r="Z989">
        <f t="shared" si="11"/>
        <v>0</v>
      </c>
      <c r="AA989">
        <f t="shared" si="12"/>
        <v>0</v>
      </c>
      <c r="AB989">
        <f t="shared" si="13"/>
        <v>0</v>
      </c>
      <c r="AC989">
        <f t="shared" si="14"/>
        <v>0</v>
      </c>
      <c r="AE989">
        <f t="shared" si="0"/>
      </c>
      <c r="AV989">
        <f t="shared" si="15"/>
      </c>
      <c r="BM989">
        <f t="shared" si="16"/>
      </c>
      <c r="CD989">
        <f t="shared" si="0"/>
      </c>
      <c r="CZ989">
        <f t="shared" si="17"/>
      </c>
      <c r="DA989">
        <f t="shared" si="1"/>
      </c>
      <c r="DB989">
        <f t="shared" si="18"/>
      </c>
      <c r="DC989">
        <f t="shared" si="19"/>
      </c>
      <c r="DD989">
        <f t="shared" si="20"/>
      </c>
      <c r="DE989">
        <f t="shared" si="21"/>
      </c>
      <c r="DF989">
        <f t="shared" si="22"/>
      </c>
      <c r="DG989">
        <f t="shared" si="23"/>
      </c>
      <c r="DH989">
        <f t="shared" si="24"/>
      </c>
      <c r="DI989">
        <f t="shared" si="1"/>
      </c>
    </row>
    <row r="990" ht="15" customHeight="1">
      <c r="B990">
        <f t="shared" si="2"/>
      </c>
      <c r="R990">
        <f t="shared" si="3"/>
        <v>0</v>
      </c>
      <c r="S990">
        <f t="shared" si="4"/>
        <v>0</v>
      </c>
      <c r="T990">
        <f t="shared" si="5"/>
        <v>0</v>
      </c>
      <c r="U990">
        <f t="shared" si="6"/>
        <v>0</v>
      </c>
      <c r="V990">
        <f t="shared" si="7"/>
        <v>0</v>
      </c>
      <c r="W990">
        <f t="shared" si="8"/>
        <v>0</v>
      </c>
      <c r="X990">
        <f t="shared" si="9"/>
        <v>0</v>
      </c>
      <c r="Y990">
        <f t="shared" si="10"/>
        <v>0</v>
      </c>
      <c r="Z990">
        <f t="shared" si="11"/>
        <v>0</v>
      </c>
      <c r="AA990">
        <f t="shared" si="12"/>
        <v>0</v>
      </c>
      <c r="AB990">
        <f t="shared" si="13"/>
        <v>0</v>
      </c>
      <c r="AC990">
        <f t="shared" si="14"/>
        <v>0</v>
      </c>
      <c r="AE990">
        <f t="shared" si="0"/>
      </c>
      <c r="AV990">
        <f t="shared" si="15"/>
      </c>
      <c r="BM990">
        <f t="shared" si="16"/>
      </c>
      <c r="CD990">
        <f t="shared" si="0"/>
      </c>
      <c r="CZ990">
        <f t="shared" si="17"/>
      </c>
      <c r="DA990">
        <f t="shared" si="1"/>
      </c>
      <c r="DB990">
        <f t="shared" si="18"/>
      </c>
      <c r="DC990">
        <f t="shared" si="19"/>
      </c>
      <c r="DD990">
        <f t="shared" si="20"/>
      </c>
      <c r="DE990">
        <f t="shared" si="21"/>
      </c>
      <c r="DF990">
        <f t="shared" si="22"/>
      </c>
      <c r="DG990">
        <f t="shared" si="23"/>
      </c>
      <c r="DH990">
        <f t="shared" si="24"/>
      </c>
      <c r="DI990">
        <f t="shared" si="1"/>
      </c>
    </row>
    <row r="991" ht="15" customHeight="1">
      <c r="B991">
        <f t="shared" si="2"/>
      </c>
      <c r="R991">
        <f t="shared" si="3"/>
        <v>0</v>
      </c>
      <c r="S991">
        <f t="shared" si="4"/>
        <v>0</v>
      </c>
      <c r="T991">
        <f t="shared" si="5"/>
        <v>0</v>
      </c>
      <c r="U991">
        <f t="shared" si="6"/>
        <v>0</v>
      </c>
      <c r="V991">
        <f t="shared" si="7"/>
        <v>0</v>
      </c>
      <c r="W991">
        <f t="shared" si="8"/>
        <v>0</v>
      </c>
      <c r="X991">
        <f t="shared" si="9"/>
        <v>0</v>
      </c>
      <c r="Y991">
        <f t="shared" si="10"/>
        <v>0</v>
      </c>
      <c r="Z991">
        <f t="shared" si="11"/>
        <v>0</v>
      </c>
      <c r="AA991">
        <f t="shared" si="12"/>
        <v>0</v>
      </c>
      <c r="AB991">
        <f t="shared" si="13"/>
        <v>0</v>
      </c>
      <c r="AC991">
        <f t="shared" si="14"/>
        <v>0</v>
      </c>
      <c r="AE991">
        <f t="shared" si="0"/>
      </c>
      <c r="AV991">
        <f t="shared" si="15"/>
      </c>
      <c r="BM991">
        <f t="shared" si="16"/>
      </c>
      <c r="CD991">
        <f t="shared" si="0"/>
      </c>
      <c r="CZ991">
        <f t="shared" si="17"/>
      </c>
      <c r="DA991">
        <f t="shared" si="1"/>
      </c>
      <c r="DB991">
        <f t="shared" si="18"/>
      </c>
      <c r="DC991">
        <f t="shared" si="19"/>
      </c>
      <c r="DD991">
        <f t="shared" si="20"/>
      </c>
      <c r="DE991">
        <f t="shared" si="21"/>
      </c>
      <c r="DF991">
        <f t="shared" si="22"/>
      </c>
      <c r="DG991">
        <f t="shared" si="23"/>
      </c>
      <c r="DH991">
        <f t="shared" si="24"/>
      </c>
      <c r="DI991">
        <f t="shared" si="1"/>
      </c>
    </row>
    <row r="992" ht="15" customHeight="1">
      <c r="B992">
        <f t="shared" si="2"/>
      </c>
      <c r="R992">
        <f t="shared" si="3"/>
        <v>0</v>
      </c>
      <c r="S992">
        <f t="shared" si="4"/>
        <v>0</v>
      </c>
      <c r="T992">
        <f t="shared" si="5"/>
        <v>0</v>
      </c>
      <c r="U992">
        <f t="shared" si="6"/>
        <v>0</v>
      </c>
      <c r="V992">
        <f t="shared" si="7"/>
        <v>0</v>
      </c>
      <c r="W992">
        <f t="shared" si="8"/>
        <v>0</v>
      </c>
      <c r="X992">
        <f t="shared" si="9"/>
        <v>0</v>
      </c>
      <c r="Y992">
        <f t="shared" si="10"/>
        <v>0</v>
      </c>
      <c r="Z992">
        <f t="shared" si="11"/>
        <v>0</v>
      </c>
      <c r="AA992">
        <f t="shared" si="12"/>
        <v>0</v>
      </c>
      <c r="AB992">
        <f t="shared" si="13"/>
        <v>0</v>
      </c>
      <c r="AC992">
        <f t="shared" si="14"/>
        <v>0</v>
      </c>
      <c r="AE992">
        <f t="shared" si="0"/>
      </c>
      <c r="AV992">
        <f t="shared" si="15"/>
      </c>
      <c r="BM992">
        <f t="shared" si="16"/>
      </c>
      <c r="CD992">
        <f t="shared" si="0"/>
      </c>
      <c r="CZ992">
        <f t="shared" si="17"/>
      </c>
      <c r="DA992">
        <f t="shared" si="1"/>
      </c>
      <c r="DB992">
        <f t="shared" si="18"/>
      </c>
      <c r="DC992">
        <f t="shared" si="19"/>
      </c>
      <c r="DD992">
        <f t="shared" si="20"/>
      </c>
      <c r="DE992">
        <f t="shared" si="21"/>
      </c>
      <c r="DF992">
        <f t="shared" si="22"/>
      </c>
      <c r="DG992">
        <f t="shared" si="23"/>
      </c>
      <c r="DH992">
        <f t="shared" si="24"/>
      </c>
      <c r="DI992">
        <f t="shared" si="1"/>
      </c>
    </row>
    <row r="993" ht="15" customHeight="1">
      <c r="B993">
        <f t="shared" si="2"/>
      </c>
      <c r="R993">
        <f t="shared" si="3"/>
        <v>0</v>
      </c>
      <c r="S993">
        <f t="shared" si="4"/>
        <v>0</v>
      </c>
      <c r="T993">
        <f t="shared" si="5"/>
        <v>0</v>
      </c>
      <c r="U993">
        <f t="shared" si="6"/>
        <v>0</v>
      </c>
      <c r="V993">
        <f t="shared" si="7"/>
        <v>0</v>
      </c>
      <c r="W993">
        <f t="shared" si="8"/>
        <v>0</v>
      </c>
      <c r="X993">
        <f t="shared" si="9"/>
        <v>0</v>
      </c>
      <c r="Y993">
        <f t="shared" si="10"/>
        <v>0</v>
      </c>
      <c r="Z993">
        <f t="shared" si="11"/>
        <v>0</v>
      </c>
      <c r="AA993">
        <f t="shared" si="12"/>
        <v>0</v>
      </c>
      <c r="AB993">
        <f t="shared" si="13"/>
        <v>0</v>
      </c>
      <c r="AC993">
        <f t="shared" si="14"/>
        <v>0</v>
      </c>
      <c r="AE993">
        <f t="shared" si="0"/>
      </c>
      <c r="AV993">
        <f t="shared" si="15"/>
      </c>
      <c r="BM993">
        <f t="shared" si="16"/>
      </c>
      <c r="CD993">
        <f t="shared" si="0"/>
      </c>
      <c r="CZ993">
        <f t="shared" si="17"/>
      </c>
      <c r="DA993">
        <f t="shared" si="1"/>
      </c>
      <c r="DB993">
        <f t="shared" si="18"/>
      </c>
      <c r="DC993">
        <f t="shared" si="19"/>
      </c>
      <c r="DD993">
        <f t="shared" si="20"/>
      </c>
      <c r="DE993">
        <f t="shared" si="21"/>
      </c>
      <c r="DF993">
        <f t="shared" si="22"/>
      </c>
      <c r="DG993">
        <f t="shared" si="23"/>
      </c>
      <c r="DH993">
        <f t="shared" si="24"/>
      </c>
      <c r="DI993">
        <f t="shared" si="1"/>
      </c>
    </row>
    <row r="994" ht="15" customHeight="1">
      <c r="B994">
        <f t="shared" si="2"/>
      </c>
      <c r="R994">
        <f t="shared" si="3"/>
        <v>0</v>
      </c>
      <c r="S994">
        <f t="shared" si="4"/>
        <v>0</v>
      </c>
      <c r="T994">
        <f t="shared" si="5"/>
        <v>0</v>
      </c>
      <c r="U994">
        <f t="shared" si="6"/>
        <v>0</v>
      </c>
      <c r="V994">
        <f t="shared" si="7"/>
        <v>0</v>
      </c>
      <c r="W994">
        <f t="shared" si="8"/>
        <v>0</v>
      </c>
      <c r="X994">
        <f t="shared" si="9"/>
        <v>0</v>
      </c>
      <c r="Y994">
        <f t="shared" si="10"/>
        <v>0</v>
      </c>
      <c r="Z994">
        <f t="shared" si="11"/>
        <v>0</v>
      </c>
      <c r="AA994">
        <f t="shared" si="12"/>
        <v>0</v>
      </c>
      <c r="AB994">
        <f t="shared" si="13"/>
        <v>0</v>
      </c>
      <c r="AC994">
        <f t="shared" si="14"/>
        <v>0</v>
      </c>
      <c r="AE994">
        <f t="shared" si="0"/>
      </c>
      <c r="AV994">
        <f t="shared" si="15"/>
      </c>
      <c r="BM994">
        <f t="shared" si="16"/>
      </c>
      <c r="CD994">
        <f t="shared" si="0"/>
      </c>
      <c r="CZ994">
        <f t="shared" si="17"/>
      </c>
      <c r="DA994">
        <f t="shared" si="1"/>
      </c>
      <c r="DB994">
        <f t="shared" si="18"/>
      </c>
      <c r="DC994">
        <f t="shared" si="19"/>
      </c>
      <c r="DD994">
        <f t="shared" si="20"/>
      </c>
      <c r="DE994">
        <f t="shared" si="21"/>
      </c>
      <c r="DF994">
        <f t="shared" si="22"/>
      </c>
      <c r="DG994">
        <f t="shared" si="23"/>
      </c>
      <c r="DH994">
        <f t="shared" si="24"/>
      </c>
      <c r="DI994">
        <f t="shared" si="1"/>
      </c>
    </row>
    <row r="995" ht="15" customHeight="1">
      <c r="B995">
        <f t="shared" si="2"/>
      </c>
      <c r="R995">
        <f t="shared" si="3"/>
        <v>0</v>
      </c>
      <c r="S995">
        <f t="shared" si="4"/>
        <v>0</v>
      </c>
      <c r="T995">
        <f t="shared" si="5"/>
        <v>0</v>
      </c>
      <c r="U995">
        <f t="shared" si="6"/>
        <v>0</v>
      </c>
      <c r="V995">
        <f t="shared" si="7"/>
        <v>0</v>
      </c>
      <c r="W995">
        <f t="shared" si="8"/>
        <v>0</v>
      </c>
      <c r="X995">
        <f t="shared" si="9"/>
        <v>0</v>
      </c>
      <c r="Y995">
        <f t="shared" si="10"/>
        <v>0</v>
      </c>
      <c r="Z995">
        <f t="shared" si="11"/>
        <v>0</v>
      </c>
      <c r="AA995">
        <f t="shared" si="12"/>
        <v>0</v>
      </c>
      <c r="AB995">
        <f t="shared" si="13"/>
        <v>0</v>
      </c>
      <c r="AC995">
        <f t="shared" si="14"/>
        <v>0</v>
      </c>
      <c r="AE995">
        <f t="shared" si="0"/>
      </c>
      <c r="AV995">
        <f t="shared" si="15"/>
      </c>
      <c r="BM995">
        <f t="shared" si="16"/>
      </c>
      <c r="CD995">
        <f t="shared" si="0"/>
      </c>
      <c r="CZ995">
        <f t="shared" si="17"/>
      </c>
      <c r="DA995">
        <f t="shared" si="1"/>
      </c>
      <c r="DB995">
        <f t="shared" si="18"/>
      </c>
      <c r="DC995">
        <f t="shared" si="19"/>
      </c>
      <c r="DD995">
        <f t="shared" si="20"/>
      </c>
      <c r="DE995">
        <f t="shared" si="21"/>
      </c>
      <c r="DF995">
        <f t="shared" si="22"/>
      </c>
      <c r="DG995">
        <f t="shared" si="23"/>
      </c>
      <c r="DH995">
        <f t="shared" si="24"/>
      </c>
      <c r="DI995">
        <f t="shared" si="1"/>
      </c>
    </row>
    <row r="996" ht="15" customHeight="1">
      <c r="B996">
        <f t="shared" si="2"/>
      </c>
      <c r="R996">
        <f t="shared" si="3"/>
        <v>0</v>
      </c>
      <c r="S996">
        <f t="shared" si="4"/>
        <v>0</v>
      </c>
      <c r="T996">
        <f t="shared" si="5"/>
        <v>0</v>
      </c>
      <c r="U996">
        <f t="shared" si="6"/>
        <v>0</v>
      </c>
      <c r="V996">
        <f t="shared" si="7"/>
        <v>0</v>
      </c>
      <c r="W996">
        <f t="shared" si="8"/>
        <v>0</v>
      </c>
      <c r="X996">
        <f t="shared" si="9"/>
        <v>0</v>
      </c>
      <c r="Y996">
        <f t="shared" si="10"/>
        <v>0</v>
      </c>
      <c r="Z996">
        <f t="shared" si="11"/>
        <v>0</v>
      </c>
      <c r="AA996">
        <f t="shared" si="12"/>
        <v>0</v>
      </c>
      <c r="AB996">
        <f t="shared" si="13"/>
        <v>0</v>
      </c>
      <c r="AC996">
        <f t="shared" si="14"/>
        <v>0</v>
      </c>
      <c r="AE996">
        <f t="shared" si="0"/>
      </c>
      <c r="AV996">
        <f t="shared" si="15"/>
      </c>
      <c r="BM996">
        <f t="shared" si="16"/>
      </c>
      <c r="CD996">
        <f t="shared" si="0"/>
      </c>
      <c r="CZ996">
        <f t="shared" si="17"/>
      </c>
      <c r="DA996">
        <f t="shared" si="1"/>
      </c>
      <c r="DB996">
        <f t="shared" si="18"/>
      </c>
      <c r="DC996">
        <f t="shared" si="19"/>
      </c>
      <c r="DD996">
        <f t="shared" si="20"/>
      </c>
      <c r="DE996">
        <f t="shared" si="21"/>
      </c>
      <c r="DF996">
        <f t="shared" si="22"/>
      </c>
      <c r="DG996">
        <f t="shared" si="23"/>
      </c>
      <c r="DH996">
        <f t="shared" si="24"/>
      </c>
      <c r="DI996">
        <f t="shared" si="1"/>
      </c>
    </row>
    <row r="997" ht="15" customHeight="1">
      <c r="B997">
        <f t="shared" si="2"/>
      </c>
      <c r="R997">
        <f t="shared" si="3"/>
        <v>0</v>
      </c>
      <c r="S997">
        <f t="shared" si="4"/>
        <v>0</v>
      </c>
      <c r="T997">
        <f t="shared" si="5"/>
        <v>0</v>
      </c>
      <c r="U997">
        <f t="shared" si="6"/>
        <v>0</v>
      </c>
      <c r="V997">
        <f t="shared" si="7"/>
        <v>0</v>
      </c>
      <c r="W997">
        <f t="shared" si="8"/>
        <v>0</v>
      </c>
      <c r="X997">
        <f t="shared" si="9"/>
        <v>0</v>
      </c>
      <c r="Y997">
        <f t="shared" si="10"/>
        <v>0</v>
      </c>
      <c r="Z997">
        <f t="shared" si="11"/>
        <v>0</v>
      </c>
      <c r="AA997">
        <f t="shared" si="12"/>
        <v>0</v>
      </c>
      <c r="AB997">
        <f t="shared" si="13"/>
        <v>0</v>
      </c>
      <c r="AC997">
        <f t="shared" si="14"/>
        <v>0</v>
      </c>
      <c r="AE997">
        <f t="shared" si="0"/>
      </c>
      <c r="AV997">
        <f t="shared" si="15"/>
      </c>
      <c r="BM997">
        <f t="shared" si="16"/>
      </c>
      <c r="CD997">
        <f t="shared" si="0"/>
      </c>
      <c r="CZ997">
        <f t="shared" si="17"/>
      </c>
      <c r="DA997">
        <f t="shared" si="1"/>
      </c>
      <c r="DB997">
        <f t="shared" si="18"/>
      </c>
      <c r="DC997">
        <f t="shared" si="19"/>
      </c>
      <c r="DD997">
        <f t="shared" si="20"/>
      </c>
      <c r="DE997">
        <f t="shared" si="21"/>
      </c>
      <c r="DF997">
        <f t="shared" si="22"/>
      </c>
      <c r="DG997">
        <f t="shared" si="23"/>
      </c>
      <c r="DH997">
        <f t="shared" si="24"/>
      </c>
      <c r="DI997">
        <f t="shared" si="1"/>
      </c>
    </row>
    <row r="998" ht="15" customHeight="1">
      <c r="B998">
        <f t="shared" si="2"/>
      </c>
      <c r="R998">
        <f t="shared" si="3"/>
        <v>0</v>
      </c>
      <c r="S998">
        <f t="shared" si="4"/>
        <v>0</v>
      </c>
      <c r="T998">
        <f t="shared" si="5"/>
        <v>0</v>
      </c>
      <c r="U998">
        <f t="shared" si="6"/>
        <v>0</v>
      </c>
      <c r="V998">
        <f t="shared" si="7"/>
        <v>0</v>
      </c>
      <c r="W998">
        <f t="shared" si="8"/>
        <v>0</v>
      </c>
      <c r="X998">
        <f t="shared" si="9"/>
        <v>0</v>
      </c>
      <c r="Y998">
        <f t="shared" si="10"/>
        <v>0</v>
      </c>
      <c r="Z998">
        <f t="shared" si="11"/>
        <v>0</v>
      </c>
      <c r="AA998">
        <f t="shared" si="12"/>
        <v>0</v>
      </c>
      <c r="AB998">
        <f t="shared" si="13"/>
        <v>0</v>
      </c>
      <c r="AC998">
        <f t="shared" si="14"/>
        <v>0</v>
      </c>
      <c r="AE998">
        <f t="shared" si="0"/>
      </c>
      <c r="AV998">
        <f t="shared" si="15"/>
      </c>
      <c r="BM998">
        <f t="shared" si="16"/>
      </c>
      <c r="CD998">
        <f t="shared" si="0"/>
      </c>
      <c r="CZ998">
        <f t="shared" si="17"/>
      </c>
      <c r="DA998">
        <f t="shared" si="1"/>
      </c>
      <c r="DB998">
        <f t="shared" si="18"/>
      </c>
      <c r="DC998">
        <f t="shared" si="19"/>
      </c>
      <c r="DD998">
        <f t="shared" si="20"/>
      </c>
      <c r="DE998">
        <f t="shared" si="21"/>
      </c>
      <c r="DF998">
        <f t="shared" si="22"/>
      </c>
      <c r="DG998">
        <f t="shared" si="23"/>
      </c>
      <c r="DH998">
        <f t="shared" si="24"/>
      </c>
      <c r="DI998">
        <f t="shared" si="1"/>
      </c>
    </row>
    <row r="999" ht="15" customHeight="1">
      <c r="B999">
        <f t="shared" si="2"/>
      </c>
      <c r="R999">
        <f t="shared" si="3"/>
        <v>0</v>
      </c>
      <c r="S999">
        <f t="shared" si="4"/>
        <v>0</v>
      </c>
      <c r="T999">
        <f t="shared" si="5"/>
        <v>0</v>
      </c>
      <c r="U999">
        <f t="shared" si="6"/>
        <v>0</v>
      </c>
      <c r="V999">
        <f t="shared" si="7"/>
        <v>0</v>
      </c>
      <c r="W999">
        <f t="shared" si="8"/>
        <v>0</v>
      </c>
      <c r="X999">
        <f t="shared" si="9"/>
        <v>0</v>
      </c>
      <c r="Y999">
        <f t="shared" si="10"/>
        <v>0</v>
      </c>
      <c r="Z999">
        <f t="shared" si="11"/>
        <v>0</v>
      </c>
      <c r="AA999">
        <f t="shared" si="12"/>
        <v>0</v>
      </c>
      <c r="AB999">
        <f t="shared" si="13"/>
        <v>0</v>
      </c>
      <c r="AC999">
        <f t="shared" si="14"/>
        <v>0</v>
      </c>
      <c r="AE999">
        <f t="shared" si="0"/>
      </c>
      <c r="AV999">
        <f t="shared" si="15"/>
      </c>
      <c r="BM999">
        <f t="shared" si="16"/>
      </c>
      <c r="CD999">
        <f t="shared" si="0"/>
      </c>
      <c r="CZ999">
        <f t="shared" si="17"/>
      </c>
      <c r="DA999">
        <f t="shared" si="1"/>
      </c>
      <c r="DB999">
        <f t="shared" si="18"/>
      </c>
      <c r="DC999">
        <f t="shared" si="19"/>
      </c>
      <c r="DD999">
        <f t="shared" si="20"/>
      </c>
      <c r="DE999">
        <f t="shared" si="21"/>
      </c>
      <c r="DF999">
        <f t="shared" si="22"/>
      </c>
      <c r="DG999">
        <f t="shared" si="23"/>
      </c>
      <c r="DH999">
        <f t="shared" si="24"/>
      </c>
      <c r="DI999">
        <f t="shared" si="1"/>
      </c>
    </row>
    <row r="1000" ht="15" customHeight="1">
      <c r="B1000">
        <f t="shared" si="2"/>
      </c>
      <c r="R1000">
        <f t="shared" si="3"/>
        <v>0</v>
      </c>
      <c r="S1000">
        <f t="shared" si="4"/>
        <v>0</v>
      </c>
      <c r="T1000">
        <f t="shared" si="5"/>
        <v>0</v>
      </c>
      <c r="U1000">
        <f t="shared" si="6"/>
        <v>0</v>
      </c>
      <c r="V1000">
        <f t="shared" si="7"/>
        <v>0</v>
      </c>
      <c r="W1000">
        <f t="shared" si="8"/>
        <v>0</v>
      </c>
      <c r="X1000">
        <f t="shared" si="9"/>
        <v>0</v>
      </c>
      <c r="Y1000">
        <f t="shared" si="10"/>
        <v>0</v>
      </c>
      <c r="Z1000">
        <f t="shared" si="11"/>
        <v>0</v>
      </c>
      <c r="AA1000">
        <f t="shared" si="12"/>
        <v>0</v>
      </c>
      <c r="AB1000">
        <f t="shared" si="13"/>
        <v>0</v>
      </c>
      <c r="AC1000">
        <f t="shared" si="14"/>
        <v>0</v>
      </c>
      <c r="AE1000">
        <f t="shared" si="0"/>
      </c>
      <c r="AV1000">
        <f t="shared" si="15"/>
      </c>
      <c r="BM1000">
        <f t="shared" si="16"/>
      </c>
      <c r="CD1000">
        <f t="shared" si="0"/>
      </c>
      <c r="CZ1000">
        <f t="shared" si="17"/>
      </c>
      <c r="DA1000">
        <f t="shared" si="1"/>
      </c>
      <c r="DB1000">
        <f t="shared" si="18"/>
      </c>
      <c r="DC1000">
        <f t="shared" si="19"/>
      </c>
      <c r="DD1000">
        <f t="shared" si="20"/>
      </c>
      <c r="DE1000">
        <f t="shared" si="21"/>
      </c>
      <c r="DF1000">
        <f t="shared" si="22"/>
      </c>
      <c r="DG1000">
        <f t="shared" si="23"/>
      </c>
      <c r="DH1000">
        <f t="shared" si="24"/>
      </c>
      <c r="DI1000">
        <f t="shared" si="1"/>
      </c>
    </row>
    <row r="1001" ht="15" customHeight="1">
      <c r="B1001">
        <f t="shared" si="2"/>
      </c>
      <c r="R1001">
        <f t="shared" si="3"/>
        <v>0</v>
      </c>
      <c r="S1001">
        <f t="shared" si="4"/>
        <v>0</v>
      </c>
      <c r="T1001">
        <f t="shared" si="5"/>
        <v>0</v>
      </c>
      <c r="U1001">
        <f t="shared" si="6"/>
        <v>0</v>
      </c>
      <c r="V1001">
        <f t="shared" si="7"/>
        <v>0</v>
      </c>
      <c r="W1001">
        <f t="shared" si="8"/>
        <v>0</v>
      </c>
      <c r="X1001">
        <f t="shared" si="9"/>
        <v>0</v>
      </c>
      <c r="Y1001">
        <f t="shared" si="10"/>
        <v>0</v>
      </c>
      <c r="Z1001">
        <f t="shared" si="11"/>
        <v>0</v>
      </c>
      <c r="AA1001">
        <f t="shared" si="12"/>
        <v>0</v>
      </c>
      <c r="AB1001">
        <f t="shared" si="13"/>
        <v>0</v>
      </c>
      <c r="AC1001">
        <f t="shared" si="14"/>
        <v>0</v>
      </c>
      <c r="AE1001">
        <f t="shared" si="0"/>
      </c>
      <c r="AV1001">
        <f t="shared" si="15"/>
      </c>
      <c r="BM1001">
        <f t="shared" si="16"/>
      </c>
      <c r="CD1001">
        <f t="shared" si="0"/>
      </c>
      <c r="CZ1001">
        <f t="shared" si="17"/>
      </c>
      <c r="DA1001">
        <f t="shared" si="1"/>
      </c>
      <c r="DB1001">
        <f t="shared" si="18"/>
      </c>
      <c r="DC1001">
        <f t="shared" si="19"/>
      </c>
      <c r="DD1001">
        <f t="shared" si="20"/>
      </c>
      <c r="DE1001">
        <f t="shared" si="21"/>
      </c>
      <c r="DF1001">
        <f t="shared" si="22"/>
      </c>
      <c r="DG1001">
        <f t="shared" si="23"/>
      </c>
      <c r="DH1001">
        <f t="shared" si="24"/>
      </c>
      <c r="DI1001">
        <f t="shared" si="1"/>
      </c>
    </row>
    <row r="1002" ht="15" customHeight="1">
      <c r="B1002">
        <f t="shared" si="2"/>
      </c>
      <c r="R1002">
        <f t="shared" si="3"/>
        <v>0</v>
      </c>
      <c r="S1002">
        <f t="shared" si="4"/>
        <v>0</v>
      </c>
      <c r="T1002">
        <f t="shared" si="5"/>
        <v>0</v>
      </c>
      <c r="U1002">
        <f t="shared" si="6"/>
        <v>0</v>
      </c>
      <c r="V1002">
        <f t="shared" si="7"/>
        <v>0</v>
      </c>
      <c r="W1002">
        <f t="shared" si="8"/>
        <v>0</v>
      </c>
      <c r="X1002">
        <f t="shared" si="9"/>
        <v>0</v>
      </c>
      <c r="Y1002">
        <f t="shared" si="10"/>
        <v>0</v>
      </c>
      <c r="Z1002">
        <f t="shared" si="11"/>
        <v>0</v>
      </c>
      <c r="AA1002">
        <f t="shared" si="12"/>
        <v>0</v>
      </c>
      <c r="AB1002">
        <f t="shared" si="13"/>
        <v>0</v>
      </c>
      <c r="AC1002">
        <f t="shared" si="14"/>
        <v>0</v>
      </c>
      <c r="AE1002">
        <f t="shared" si="0"/>
      </c>
      <c r="AV1002">
        <f t="shared" si="15"/>
      </c>
      <c r="BM1002">
        <f t="shared" si="16"/>
      </c>
      <c r="CD1002">
        <f t="shared" si="0"/>
      </c>
      <c r="CU1002">
        <f>_xlfn.IFERROR(INDEX($B:$B,MATCH(CV1002,$D:$D,0)),"")</f>
      </c>
      <c r="CZ1002">
        <f t="shared" si="17"/>
      </c>
      <c r="DA1002">
        <f t="shared" si="1"/>
      </c>
      <c r="DB1002">
        <f t="shared" si="18"/>
      </c>
      <c r="DC1002">
        <f t="shared" si="19"/>
      </c>
      <c r="DD1002">
        <f t="shared" si="20"/>
      </c>
      <c r="DE1002">
        <f t="shared" si="21"/>
      </c>
      <c r="DF1002">
        <f t="shared" si="22"/>
      </c>
      <c r="DG1002">
        <f t="shared" si="23"/>
      </c>
      <c r="DH1002">
        <f t="shared" si="24"/>
      </c>
      <c r="DI1002">
        <f t="shared" si="1"/>
      </c>
    </row>
    <row r="1003" ht="14.25" customHeight="1">
      <c r="B1003">
        <f t="shared" si="2"/>
      </c>
      <c r="AE1003">
        <f t="shared" si="0"/>
      </c>
      <c r="AV1003">
        <f t="shared" si="15"/>
      </c>
      <c r="BM1003">
        <f t="shared" si="16"/>
      </c>
      <c r="CD1003">
        <f t="shared" si="0"/>
      </c>
    </row>
  </sheetData>
  <sheetProtection formatCells="0" formatColumns="0" formatRows="0" insertHyperlinks="0" deleteColumns="0" deleteRows="0" sort="0" autoFilter="0" pivotTables="0"/>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C9899035-8AC3-C8D9-EEBE-1D78F97B4C81}" mc:Ignorable="x14ac xr xr2 xr3">
  <sheetPr>
    <tabColor theme="8" tint="-0.5"/>
    <pageSetUpPr fitToPage="1"/>
  </sheetPr>
  <dimension ref="A1:AO187"/>
  <sheetViews>
    <sheetView topLeftCell="A1" zoomScale="80" workbookViewId="0">
      <selection activeCell="A1" sqref="A1"/>
    </sheetView>
  </sheetViews>
  <sheetFormatPr defaultRowHeight="14.497499999999997" defaultColWidth="8.8515625" customHeight="1"/>
  <cols>
    <col min="1" max="1" width="18.57421875" customWidth="1"/>
    <col min="2" max="2" width="32.57421875" customWidth="1"/>
    <col min="3" max="4" width="12.57421875" customWidth="1"/>
    <col min="5" max="5" width="13.57421875" customWidth="1"/>
    <col min="6" max="6" width="12.57421875" customWidth="1"/>
    <col min="7" max="7" width="9.57421875" customWidth="1"/>
    <col min="8" max="8" width="13.57421875" customWidth="1"/>
    <col min="9" max="9" width="8.57421875" customWidth="1"/>
    <col min="10" max="10" width="12.57421875" customWidth="1"/>
    <col min="11" max="11" width="7.57421875" customWidth="1"/>
    <col min="12" max="12" width="12.57421875" customWidth="1"/>
    <col min="13" max="13" width="13.57421875" customWidth="1"/>
    <col min="14" max="14" width="4.57421875" customWidth="1"/>
    <col min="15" max="16" width="14.57421875" customWidth="1"/>
    <col min="17" max="17" width="14.00390625" customWidth="1"/>
    <col min="18" max="18" width="15.00390625" customWidth="1"/>
    <col min="19" max="19" width="13.57421875" customWidth="1"/>
    <col min="20" max="20" width="2.57421875" customWidth="1"/>
    <col min="21" max="21" width="12.57421875" customWidth="1"/>
    <col min="22" max="22" width="8.57421875" customWidth="1"/>
    <col min="23" max="23" width="11.57421875" customWidth="1"/>
    <col min="24" max="24" width="12.00390625" customWidth="1"/>
    <col min="25" max="25" width="11.57421875" customWidth="1"/>
    <col min="26" max="26" width="9.00390625" customWidth="1"/>
    <col min="27" max="28" width="9.57421875" customWidth="1"/>
    <col min="29" max="30" width="11.57421875" customWidth="1"/>
    <col min="31" max="32" width="10.57421875" customWidth="1"/>
    <col min="33" max="33" width="11.140625" hidden="1" customWidth="1"/>
    <col min="34" max="34" width="5.7109375" customWidth="1"/>
    <col min="35" max="38" width="12.8515625" customWidth="1"/>
    <col min="39" max="41" width="9.57421875" customWidth="1"/>
  </cols>
  <sheetData>
    <row r="1" ht="15.75" customHeight="1">
      <c r="G1" t="s">
        <v>3009</v>
      </c>
      <c r="R1" s="1">
        <f>INT(R2)</f>
        <v>45189</v>
      </c>
      <c r="X1" t="s">
        <v>3007</v>
      </c>
    </row>
    <row r="2" ht="17.25" customHeight="1">
      <c r="G2" t="str">
        <f>PropertyName_DataPageTab</f>
        <v>XXXX</v>
      </c>
      <c r="R2" s="1">
        <f>NOW()</f>
        <v>45189.64865584491</v>
      </c>
      <c r="X2" t="s">
        <v>3008</v>
      </c>
    </row>
    <row r="3" ht="30.75" customHeight="1">
      <c r="A3" t="s">
        <v>3010</v>
      </c>
      <c r="O3" t="s">
        <v>3011</v>
      </c>
    </row>
    <row r="4" ht="15" customHeight="1">
      <c r="A4">
        <f>HOps_3YrsBack</f>
        <v>2019</v>
      </c>
      <c r="B4" t="s">
        <v>3012</v>
      </c>
      <c r="C4" t="s">
        <v>3013</v>
      </c>
      <c r="D4" t="s">
        <v>3013</v>
      </c>
      <c r="G4" t="s">
        <v>3014</v>
      </c>
      <c r="I4" t="s">
        <v>3014</v>
      </c>
      <c r="K4" t="s">
        <v>3014</v>
      </c>
      <c r="L4" t="s">
        <v>3015</v>
      </c>
      <c r="M4" t="s">
        <v>3016</v>
      </c>
      <c r="O4" t="s">
        <v>3017</v>
      </c>
      <c r="P4" t="s">
        <v>1880</v>
      </c>
      <c r="Q4" t="s">
        <v>3018</v>
      </c>
      <c r="R4" t="s">
        <v>3019</v>
      </c>
    </row>
    <row r="5" ht="15" customHeight="1">
      <c r="B5" t="s">
        <v>3020</v>
      </c>
      <c r="C5" t="s">
        <v>3021</v>
      </c>
      <c r="D5" t="s">
        <v>2679</v>
      </c>
      <c r="E5" t="s">
        <v>3022</v>
      </c>
      <c r="F5" t="s">
        <v>1742</v>
      </c>
      <c r="G5" t="s">
        <v>3020</v>
      </c>
      <c r="H5" t="s">
        <v>3023</v>
      </c>
      <c r="I5" t="s">
        <v>3020</v>
      </c>
      <c r="J5" t="s">
        <v>3024</v>
      </c>
      <c r="K5" t="s">
        <v>3020</v>
      </c>
      <c r="L5" t="s">
        <v>1248</v>
      </c>
      <c r="M5" t="s">
        <v>3025</v>
      </c>
      <c r="O5" t="s">
        <v>3026</v>
      </c>
      <c r="P5" t="s">
        <v>3024</v>
      </c>
      <c r="Q5" t="s">
        <v>1248</v>
      </c>
      <c r="R5" t="s">
        <v>3025</v>
      </c>
    </row>
    <row r="6" ht="15" customHeight="1">
      <c r="A6" t="s">
        <v>3027</v>
      </c>
      <c r="B6">
        <f>SUMIF('OS Analysis'!$BM:$BM,'Fannie Historical Ops'!$B$5,'OS Analysis'!$BP:$BP)</f>
        <v>0</v>
      </c>
      <c r="C6">
        <v>0</v>
      </c>
      <c r="D6">
        <v>0</v>
      </c>
      <c r="E6">
        <f t="shared" si="1" ref="E6:E70">SUM(B6:D6)</f>
        <v>0</v>
      </c>
      <c r="F6">
        <f>SUMIF('OS Analysis'!$BM:$BM,'Fannie Historical Ops'!$B$6,'OS Analysis'!$BP:$BP)</f>
        <v>0</v>
      </c>
      <c r="G6">
        <f t="shared" si="0" ref="G6:K70">IF($E6=0,0,(F6/$E6))</f>
        <v>0</v>
      </c>
      <c r="H6">
        <f>SUMIF('OS Analysis'!$BM:$BM,"Less Concessions (income line item)",'OS Analysis'!$BP:$BP)-SUMIF('OS Analysis'!$BM:$BM,"Less Concessions (expense line item)",'OS Analysis'!$BP:$BP)</f>
        <v>0</v>
      </c>
      <c r="I6">
        <f t="shared" si="0"/>
        <v>0</v>
      </c>
      <c r="J6">
        <f>SUMIF('OS Analysis'!$BM:$BM,'Fannie Historical Ops'!$B$7,'OS Analysis'!$BP:$BP)</f>
        <v>0</v>
      </c>
      <c r="K6">
        <f t="shared" si="0"/>
        <v>0</v>
      </c>
      <c r="L6">
        <f t="shared" si="2" ref="L6:L70">IF(E6=0,0,100%+((F6+H6+J6)/E6))</f>
        <v>0</v>
      </c>
      <c r="M6">
        <f t="shared" si="3" ref="M6:M70">SUM(E6+F6+H6+J6)</f>
        <v>0</v>
      </c>
      <c r="O6">
        <v>0</v>
      </c>
      <c r="Q6">
        <f t="shared" si="4" ref="Q6:Q70">IF(R6=0,0,R6/E6)</f>
        <v>0</v>
      </c>
      <c r="R6">
        <f t="shared" si="5" ref="R6:R70">E6+F6+H6+IF(P6="",J6,P6)+O6</f>
        <v>0</v>
      </c>
    </row>
    <row r="7" ht="15" customHeight="1">
      <c r="A7" t="s">
        <v>3028</v>
      </c>
      <c r="B7">
        <f>SUMIF('OS Analysis'!$BM:$BM,'Fannie Historical Ops'!$B$5,'OS Analysis'!$BQ:$BQ)</f>
        <v>0</v>
      </c>
      <c r="C7">
        <v>0</v>
      </c>
      <c r="D7">
        <v>0</v>
      </c>
      <c r="E7">
        <f t="shared" si="1"/>
        <v>0</v>
      </c>
      <c r="F7">
        <f>SUMIF('OS Analysis'!$BM:$BM,'Fannie Historical Ops'!$B$6,'OS Analysis'!$BQ:$BQ)</f>
        <v>0</v>
      </c>
      <c r="G7">
        <f t="shared" si="0"/>
        <v>0</v>
      </c>
      <c r="H7">
        <f>SUMIF('OS Analysis'!$BM:$BM,"Less Concessions (income line item)",'OS Analysis'!$BQ:$BQ)-SUMIF('OS Analysis'!$BM:$BM,"Less Concessions (expense line item)",'OS Analysis'!$BQ:$BQ)</f>
        <v>0</v>
      </c>
      <c r="I7">
        <f t="shared" si="0"/>
        <v>0</v>
      </c>
      <c r="J7">
        <f>SUMIF('OS Analysis'!$BM:$BM,'Fannie Historical Ops'!$B$7,'OS Analysis'!$BQ:$BQ)</f>
        <v>0</v>
      </c>
      <c r="K7">
        <f t="shared" si="0"/>
        <v>0</v>
      </c>
      <c r="L7">
        <f t="shared" si="2"/>
        <v>0</v>
      </c>
      <c r="M7">
        <f t="shared" si="3"/>
        <v>0</v>
      </c>
      <c r="O7">
        <v>0</v>
      </c>
      <c r="Q7">
        <f t="shared" si="4"/>
        <v>0</v>
      </c>
      <c r="R7">
        <f t="shared" si="5"/>
        <v>0</v>
      </c>
    </row>
    <row r="8" ht="15" customHeight="1">
      <c r="A8" t="s">
        <v>3029</v>
      </c>
      <c r="B8">
        <f>SUMIF('OS Analysis'!$BM:$BM,'Fannie Historical Ops'!$B$5,'OS Analysis'!$BR:$BR)</f>
        <v>0</v>
      </c>
      <c r="C8">
        <v>0</v>
      </c>
      <c r="D8">
        <v>0</v>
      </c>
      <c r="E8">
        <f t="shared" si="1"/>
        <v>0</v>
      </c>
      <c r="F8">
        <f>SUMIF('OS Analysis'!$BM:$BM,'Fannie Historical Ops'!$B$6,'OS Analysis'!$BR:$BR)</f>
        <v>0</v>
      </c>
      <c r="G8">
        <f t="shared" si="0"/>
        <v>0</v>
      </c>
      <c r="H8">
        <f>SUMIF('OS Analysis'!$BM:$BM,"Less Concessions (income line item)",'OS Analysis'!$BR:$BR)-SUMIF('OS Analysis'!$BM:$BM,"Less Concessions (expense line item)",'OS Analysis'!$BR:$BR)</f>
        <v>0</v>
      </c>
      <c r="I8">
        <f t="shared" si="0"/>
        <v>0</v>
      </c>
      <c r="J8">
        <f>SUMIF('OS Analysis'!$BM:$BM,'Fannie Historical Ops'!$B$7,'OS Analysis'!$BR:$BR)</f>
        <v>0</v>
      </c>
      <c r="K8">
        <f t="shared" si="0"/>
        <v>0</v>
      </c>
      <c r="L8">
        <f t="shared" si="2"/>
        <v>0</v>
      </c>
      <c r="M8">
        <f t="shared" si="3"/>
        <v>0</v>
      </c>
      <c r="O8">
        <v>0</v>
      </c>
      <c r="Q8">
        <f t="shared" si="4"/>
        <v>0</v>
      </c>
      <c r="R8">
        <f t="shared" si="5"/>
        <v>0</v>
      </c>
    </row>
    <row r="9" ht="15" customHeight="1">
      <c r="A9" t="s">
        <v>3030</v>
      </c>
      <c r="B9">
        <f>SUMIF('OS Analysis'!$BM:$BM,'Fannie Historical Ops'!$B$5,'OS Analysis'!$BS:$BS)</f>
        <v>0</v>
      </c>
      <c r="C9">
        <v>0</v>
      </c>
      <c r="D9">
        <v>0</v>
      </c>
      <c r="E9">
        <f t="shared" si="1"/>
        <v>0</v>
      </c>
      <c r="F9">
        <f>SUMIF('OS Analysis'!$BM:$BM,'Fannie Historical Ops'!$B$6,'OS Analysis'!$BS:$BS)</f>
        <v>0</v>
      </c>
      <c r="G9">
        <f t="shared" si="0"/>
        <v>0</v>
      </c>
      <c r="H9">
        <f>SUMIF('OS Analysis'!$BM:$BM,"Less Concessions (income line item)",'OS Analysis'!$BS:$BS)-SUMIF('OS Analysis'!$BM:$BM,"Less Concessions (expense line item)",'OS Analysis'!$BS:$BS)</f>
        <v>0</v>
      </c>
      <c r="I9">
        <f t="shared" si="0"/>
        <v>0</v>
      </c>
      <c r="J9">
        <f>SUMIF('OS Analysis'!$BM:$BM,'Fannie Historical Ops'!$B$7,'OS Analysis'!$BS:$BS)</f>
        <v>0</v>
      </c>
      <c r="K9">
        <f t="shared" si="0"/>
        <v>0</v>
      </c>
      <c r="L9">
        <f t="shared" si="2"/>
        <v>0</v>
      </c>
      <c r="M9">
        <f t="shared" si="3"/>
        <v>0</v>
      </c>
      <c r="O9">
        <v>0</v>
      </c>
      <c r="Q9">
        <f t="shared" si="4"/>
        <v>0</v>
      </c>
      <c r="R9">
        <f t="shared" si="5"/>
        <v>0</v>
      </c>
    </row>
    <row r="10" ht="15" customHeight="1">
      <c r="A10" t="s">
        <v>3031</v>
      </c>
      <c r="B10">
        <f>SUMIF('OS Analysis'!$BM:$BM,'Fannie Historical Ops'!$B$5,'OS Analysis'!$BT:$BT)</f>
        <v>0</v>
      </c>
      <c r="C10">
        <v>0</v>
      </c>
      <c r="D10">
        <v>0</v>
      </c>
      <c r="E10">
        <f t="shared" si="1"/>
        <v>0</v>
      </c>
      <c r="F10">
        <f>SUMIF('OS Analysis'!$BM:$BM,'Fannie Historical Ops'!$B$6,'OS Analysis'!$BT:$BT)</f>
        <v>0</v>
      </c>
      <c r="G10">
        <f t="shared" si="0"/>
        <v>0</v>
      </c>
      <c r="H10">
        <f>SUMIF('OS Analysis'!$BM:$BM,"Less Concessions (income line item)",'OS Analysis'!$BT:$BT)-SUMIF('OS Analysis'!$BM:$BM,"Less Concessions (expense line item)",'OS Analysis'!$BT:$BT)</f>
        <v>0</v>
      </c>
      <c r="I10">
        <f t="shared" si="0"/>
        <v>0</v>
      </c>
      <c r="J10">
        <f>SUMIF('OS Analysis'!$BM:$BM,'Fannie Historical Ops'!$B$7,'OS Analysis'!$BT:$BT)</f>
        <v>0</v>
      </c>
      <c r="K10">
        <f t="shared" si="0"/>
        <v>0</v>
      </c>
      <c r="L10">
        <f t="shared" si="2"/>
        <v>0</v>
      </c>
      <c r="M10">
        <f t="shared" si="3"/>
        <v>0</v>
      </c>
      <c r="O10">
        <v>0</v>
      </c>
      <c r="Q10">
        <f t="shared" si="4"/>
        <v>0</v>
      </c>
      <c r="R10">
        <f t="shared" si="5"/>
        <v>0</v>
      </c>
    </row>
    <row r="11" ht="15" customHeight="1">
      <c r="A11" t="s">
        <v>3032</v>
      </c>
      <c r="B11">
        <f>SUMIF('OS Analysis'!$BM:$BM,'Fannie Historical Ops'!$B$5,'OS Analysis'!$BU:$BU)</f>
        <v>0</v>
      </c>
      <c r="C11">
        <v>0</v>
      </c>
      <c r="D11">
        <v>0</v>
      </c>
      <c r="E11">
        <f t="shared" si="1"/>
        <v>0</v>
      </c>
      <c r="F11">
        <f>SUMIF('OS Analysis'!$BM:$BM,'Fannie Historical Ops'!$B$6,'OS Analysis'!$BU:$BU)</f>
        <v>0</v>
      </c>
      <c r="G11">
        <f t="shared" si="0"/>
        <v>0</v>
      </c>
      <c r="H11">
        <f>SUMIF('OS Analysis'!$BM:$BM,"Less Concessions (income line item)",'OS Analysis'!$BU:$BU)-SUMIF('OS Analysis'!$BM:$BM,"Less Concessions (expense line item)",'OS Analysis'!$BU:$BU)</f>
        <v>0</v>
      </c>
      <c r="I11">
        <f t="shared" si="0"/>
        <v>0</v>
      </c>
      <c r="J11">
        <f>SUMIF('OS Analysis'!$BM:$BM,'Fannie Historical Ops'!$B$7,'OS Analysis'!$BU:$BU)</f>
        <v>0</v>
      </c>
      <c r="K11">
        <f t="shared" si="0"/>
        <v>0</v>
      </c>
      <c r="L11">
        <f t="shared" si="2"/>
        <v>0</v>
      </c>
      <c r="M11">
        <f t="shared" si="3"/>
        <v>0</v>
      </c>
      <c r="O11">
        <v>0</v>
      </c>
      <c r="Q11">
        <f t="shared" si="4"/>
        <v>0</v>
      </c>
      <c r="R11">
        <f t="shared" si="5"/>
        <v>0</v>
      </c>
    </row>
    <row r="12" ht="15" customHeight="1">
      <c r="A12" t="s">
        <v>3033</v>
      </c>
      <c r="B12">
        <f>SUMIF('OS Analysis'!$BM:$BM,'Fannie Historical Ops'!$B$5,'OS Analysis'!$BV:$BV)</f>
        <v>0</v>
      </c>
      <c r="C12">
        <v>0</v>
      </c>
      <c r="D12">
        <v>0</v>
      </c>
      <c r="E12">
        <f t="shared" si="1"/>
        <v>0</v>
      </c>
      <c r="F12">
        <f>SUMIF('OS Analysis'!$BM:$BM,'Fannie Historical Ops'!$B$6,'OS Analysis'!$BV:$BV)</f>
        <v>0</v>
      </c>
      <c r="G12">
        <f t="shared" si="0"/>
        <v>0</v>
      </c>
      <c r="H12">
        <f>SUMIF('OS Analysis'!$BM:$BM,"Less Concessions (income line item)",'OS Analysis'!$BV:$BV)-SUMIF('OS Analysis'!$BM:$BM,"Less Concessions (expense line item)",'OS Analysis'!$BV:$BV)</f>
        <v>0</v>
      </c>
      <c r="I12">
        <f t="shared" si="0"/>
        <v>0</v>
      </c>
      <c r="J12">
        <f>SUMIF('OS Analysis'!$BM:$BM,'Fannie Historical Ops'!$B$7,'OS Analysis'!$BV:$BV)</f>
        <v>0</v>
      </c>
      <c r="K12">
        <f t="shared" si="0"/>
        <v>0</v>
      </c>
      <c r="L12">
        <f t="shared" si="2"/>
        <v>0</v>
      </c>
      <c r="M12">
        <f t="shared" si="3"/>
        <v>0</v>
      </c>
      <c r="O12">
        <v>0</v>
      </c>
      <c r="Q12">
        <f t="shared" si="4"/>
        <v>0</v>
      </c>
      <c r="R12">
        <f t="shared" si="5"/>
        <v>0</v>
      </c>
    </row>
    <row r="13" ht="15" customHeight="1">
      <c r="A13" t="s">
        <v>3034</v>
      </c>
      <c r="B13">
        <f>SUMIF('OS Analysis'!$BM:$BM,'Fannie Historical Ops'!$B$5,'OS Analysis'!$BW:$BW)</f>
        <v>0</v>
      </c>
      <c r="C13">
        <v>0</v>
      </c>
      <c r="D13">
        <v>0</v>
      </c>
      <c r="E13">
        <f t="shared" si="1"/>
        <v>0</v>
      </c>
      <c r="F13">
        <f>SUMIF('OS Analysis'!$BM:$BM,'Fannie Historical Ops'!$B$6,'OS Analysis'!$BW:$BW)</f>
        <v>0</v>
      </c>
      <c r="G13">
        <f t="shared" si="0"/>
        <v>0</v>
      </c>
      <c r="H13">
        <f>SUMIF('OS Analysis'!$BM:$BM,"Less Concessions (income line item)",'OS Analysis'!$BW:$BW)-SUMIF('OS Analysis'!$BM:$BM,"Less Concessions (expense line item)",'OS Analysis'!$BW:$BW)</f>
        <v>0</v>
      </c>
      <c r="I13">
        <f t="shared" si="0"/>
        <v>0</v>
      </c>
      <c r="J13">
        <f>SUMIF('OS Analysis'!$BM:$BM,'Fannie Historical Ops'!$B$7,'OS Analysis'!$BW:$BW)</f>
        <v>0</v>
      </c>
      <c r="K13">
        <f t="shared" si="0"/>
        <v>0</v>
      </c>
      <c r="L13">
        <f t="shared" si="2"/>
        <v>0</v>
      </c>
      <c r="M13">
        <f t="shared" si="3"/>
        <v>0</v>
      </c>
      <c r="O13">
        <v>0</v>
      </c>
      <c r="Q13">
        <f t="shared" si="4"/>
        <v>0</v>
      </c>
      <c r="R13">
        <f t="shared" si="5"/>
        <v>0</v>
      </c>
    </row>
    <row r="14" ht="15" customHeight="1">
      <c r="A14" t="s">
        <v>3035</v>
      </c>
      <c r="B14">
        <f>SUMIF('OS Analysis'!$BM:$BM,'Fannie Historical Ops'!$B$5,'OS Analysis'!$BX:$BX)</f>
        <v>0</v>
      </c>
      <c r="C14">
        <v>0</v>
      </c>
      <c r="D14">
        <v>0</v>
      </c>
      <c r="E14">
        <f t="shared" si="1"/>
        <v>0</v>
      </c>
      <c r="F14">
        <f>SUMIF('OS Analysis'!$BM:$BM,'Fannie Historical Ops'!$B$6,'OS Analysis'!$BX:$BX)</f>
        <v>0</v>
      </c>
      <c r="G14">
        <f t="shared" si="0"/>
        <v>0</v>
      </c>
      <c r="H14">
        <f>SUMIF('OS Analysis'!$BM:$BM,"Less Concessions (income line item)",'OS Analysis'!$BX:$BX)-SUMIF('OS Analysis'!$BM:$BM,"Less Concessions (expense line item)",'OS Analysis'!$BX:$BX)</f>
        <v>0</v>
      </c>
      <c r="I14">
        <f t="shared" si="0"/>
        <v>0</v>
      </c>
      <c r="J14">
        <f>SUMIF('OS Analysis'!$BM:$BM,'Fannie Historical Ops'!$B$7,'OS Analysis'!$BX:$BX)</f>
        <v>0</v>
      </c>
      <c r="K14">
        <f t="shared" si="0"/>
        <v>0</v>
      </c>
      <c r="L14">
        <f t="shared" si="2"/>
        <v>0</v>
      </c>
      <c r="M14">
        <f t="shared" si="3"/>
        <v>0</v>
      </c>
      <c r="O14">
        <v>0</v>
      </c>
      <c r="Q14">
        <f t="shared" si="4"/>
        <v>0</v>
      </c>
      <c r="R14">
        <f t="shared" si="5"/>
        <v>0</v>
      </c>
    </row>
    <row r="15" ht="15" customHeight="1">
      <c r="A15" t="s">
        <v>3036</v>
      </c>
      <c r="B15">
        <f>SUMIF('OS Analysis'!$BM:$BM,'Fannie Historical Ops'!$B$5,'OS Analysis'!$BY:$BY)</f>
        <v>0</v>
      </c>
      <c r="C15">
        <v>0</v>
      </c>
      <c r="D15">
        <v>0</v>
      </c>
      <c r="E15">
        <f t="shared" si="1"/>
        <v>0</v>
      </c>
      <c r="F15">
        <f>SUMIF('OS Analysis'!$BM:$BM,'Fannie Historical Ops'!$B$6,'OS Analysis'!$BY:$BY)</f>
        <v>0</v>
      </c>
      <c r="G15">
        <f t="shared" si="0"/>
        <v>0</v>
      </c>
      <c r="H15">
        <f>SUMIF('OS Analysis'!$BM:$BM,"Less Concessions (income line item)",'OS Analysis'!$BY:$BY)-SUMIF('OS Analysis'!$BM:$BM,"Less Concessions (expense line item)",'OS Analysis'!$BY:$BY)</f>
        <v>0</v>
      </c>
      <c r="I15">
        <f t="shared" si="0"/>
        <v>0</v>
      </c>
      <c r="J15">
        <f>SUMIF('OS Analysis'!$BM:$BM,'Fannie Historical Ops'!$B$7,'OS Analysis'!$BY:$BY)</f>
        <v>0</v>
      </c>
      <c r="K15">
        <f t="shared" si="0"/>
        <v>0</v>
      </c>
      <c r="L15">
        <f t="shared" si="2"/>
        <v>0</v>
      </c>
      <c r="M15">
        <f t="shared" si="3"/>
        <v>0</v>
      </c>
      <c r="O15">
        <v>0</v>
      </c>
      <c r="Q15">
        <f t="shared" si="4"/>
        <v>0</v>
      </c>
      <c r="R15">
        <f t="shared" si="5"/>
        <v>0</v>
      </c>
    </row>
    <row r="16" ht="15" customHeight="1">
      <c r="A16" t="s">
        <v>3037</v>
      </c>
      <c r="B16">
        <f>SUMIF('OS Analysis'!$BM:$BM,'Fannie Historical Ops'!$B$5,'OS Analysis'!$BZ:$BZ)</f>
        <v>0</v>
      </c>
      <c r="C16">
        <v>0</v>
      </c>
      <c r="D16">
        <v>0</v>
      </c>
      <c r="E16">
        <f t="shared" si="1"/>
        <v>0</v>
      </c>
      <c r="F16">
        <f>SUMIF('OS Analysis'!$BM:$BM,'Fannie Historical Ops'!$B$6,'OS Analysis'!$BZ:$BZ)</f>
        <v>0</v>
      </c>
      <c r="G16">
        <f t="shared" si="0"/>
        <v>0</v>
      </c>
      <c r="H16">
        <f>SUMIF('OS Analysis'!$BM:$BM,"Less Concessions (income line item)",'OS Analysis'!$BZ:$BZ)-SUMIF('OS Analysis'!$BM:$BM,"Less Concessions (expense line item)",'OS Analysis'!$BZ:$BZ)</f>
        <v>0</v>
      </c>
      <c r="I16">
        <f t="shared" si="0"/>
        <v>0</v>
      </c>
      <c r="J16">
        <f>SUMIF('OS Analysis'!$BM:$BM,'Fannie Historical Ops'!$B$7,'OS Analysis'!$BZ:$BZ)</f>
        <v>0</v>
      </c>
      <c r="K16">
        <f t="shared" si="0"/>
        <v>0</v>
      </c>
      <c r="L16">
        <f t="shared" si="2"/>
        <v>0</v>
      </c>
      <c r="M16">
        <f t="shared" si="3"/>
        <v>0</v>
      </c>
      <c r="O16">
        <v>0</v>
      </c>
      <c r="Q16">
        <f t="shared" si="4"/>
        <v>0</v>
      </c>
      <c r="R16">
        <f t="shared" si="5"/>
        <v>0</v>
      </c>
    </row>
    <row r="17" ht="15.75" customHeight="1">
      <c r="A17" t="s">
        <v>3038</v>
      </c>
      <c r="B17">
        <f>SUMIF('OS Analysis'!$BM:$BM,'Fannie Historical Ops'!$B$5,'OS Analysis'!$CA:$CA)</f>
        <v>0</v>
      </c>
      <c r="C17">
        <v>0</v>
      </c>
      <c r="D17">
        <v>0</v>
      </c>
      <c r="E17">
        <f t="shared" si="1"/>
        <v>0</v>
      </c>
      <c r="F17">
        <f>SUMIF('OS Analysis'!$BM:$BM,'Fannie Historical Ops'!$B$6,'OS Analysis'!$CA:$CA)</f>
        <v>0</v>
      </c>
      <c r="G17">
        <f t="shared" si="0"/>
        <v>0</v>
      </c>
      <c r="H17">
        <f>SUMIF('OS Analysis'!$BM:$BM,"Less Concessions (income line item)",'OS Analysis'!$CA:$CA)-SUMIF('OS Analysis'!$BM:$BM,"Less Concessions (expense line item)",'OS Analysis'!$CA:$CA)</f>
        <v>0</v>
      </c>
      <c r="I17">
        <f t="shared" si="0"/>
        <v>0</v>
      </c>
      <c r="J17">
        <f>SUMIF('OS Analysis'!$BM:$BM,'Fannie Historical Ops'!$B$7,'OS Analysis'!$CA:$CA)</f>
        <v>0</v>
      </c>
      <c r="K17">
        <f t="shared" si="0"/>
        <v>0</v>
      </c>
      <c r="L17">
        <f t="shared" si="2"/>
        <v>0</v>
      </c>
      <c r="M17">
        <f t="shared" si="3"/>
        <v>0</v>
      </c>
      <c r="O17">
        <v>0</v>
      </c>
      <c r="Q17">
        <f t="shared" si="4"/>
        <v>0</v>
      </c>
      <c r="R17">
        <f t="shared" si="5"/>
        <v>0</v>
      </c>
    </row>
    <row r="18" ht="15.75" customHeight="1">
      <c r="A18" t="s">
        <v>2968</v>
      </c>
      <c r="B18">
        <f t="shared" si="6" ref="B18:O70">SUM(B6:B17)</f>
        <v>0</v>
      </c>
      <c r="C18">
        <f t="shared" si="6"/>
        <v>0</v>
      </c>
      <c r="D18">
        <f t="shared" si="6"/>
        <v>0</v>
      </c>
      <c r="E18">
        <f t="shared" si="1"/>
        <v>0</v>
      </c>
      <c r="F18">
        <f t="shared" si="6"/>
        <v>0</v>
      </c>
      <c r="G18">
        <f t="shared" si="0"/>
        <v>0</v>
      </c>
      <c r="H18">
        <f t="shared" si="6"/>
        <v>0</v>
      </c>
      <c r="I18">
        <f t="shared" si="0"/>
        <v>0</v>
      </c>
      <c r="J18">
        <f t="shared" si="6"/>
        <v>0</v>
      </c>
      <c r="K18">
        <f t="shared" si="0"/>
        <v>0</v>
      </c>
      <c r="L18">
        <f t="shared" si="2"/>
        <v>0</v>
      </c>
      <c r="M18">
        <f t="shared" si="3"/>
        <v>0</v>
      </c>
      <c r="O18">
        <f t="shared" si="6"/>
        <v>0</v>
      </c>
      <c r="P18">
        <f t="shared" si="8" ref="P18:P70">IF(COUNTIF(P6:P17,"")=12,"",SUM(P6:P17))</f>
      </c>
      <c r="Q18">
        <f t="shared" si="4"/>
        <v>0</v>
      </c>
      <c r="R18">
        <f t="shared" si="5"/>
        <v>0</v>
      </c>
    </row>
    <row r="19" ht="15" customHeight="1">
      <c r="B19">
        <f>'Fannie Historical Ops'!D5</f>
        <v>0</v>
      </c>
      <c r="F19">
        <f>'Fannie Historical Ops'!D6</f>
        <v>0</v>
      </c>
      <c r="H19">
        <f>'Fannie Historical Ops'!D8</f>
        <v>0</v>
      </c>
      <c r="J19">
        <f>'Fannie Historical Ops'!D7</f>
        <v>0</v>
      </c>
    </row>
    <row r="20" ht="15" customHeight="1">
      <c r="A20">
        <f>HOps_2YrsBack</f>
        <v>2020</v>
      </c>
      <c r="B20" t="str">
        <f t="shared" si="7" ref="B20:R185">B4</f>
        <v>Report</v>
      </c>
      <c r="C20" t="str">
        <f t="shared" si="7"/>
        <v>Add Back</v>
      </c>
      <c r="D20" t="str">
        <f t="shared" si="7"/>
        <v>Add Back</v>
      </c>
      <c r="G20" t="s">
        <v>3014</v>
      </c>
      <c r="I20" t="str">
        <f t="shared" si="7"/>
        <v>% of </v>
      </c>
      <c r="K20" t="str">
        <f t="shared" si="7"/>
        <v>% of </v>
      </c>
      <c r="L20" t="str">
        <f t="shared" si="7"/>
        <v>Economic</v>
      </c>
      <c r="M20" t="str">
        <f t="shared" si="7"/>
        <v>Net Rental</v>
      </c>
      <c r="O20" t="str">
        <f t="shared" si="7"/>
        <v>"X"</v>
      </c>
      <c r="P20" t="str">
        <f t="shared" si="7"/>
        <v>Adjusted</v>
      </c>
      <c r="Q20" t="str">
        <f t="shared" si="7"/>
        <v>Adj. Economic</v>
      </c>
      <c r="R20" t="str">
        <f t="shared" si="7"/>
        <v>Adjusted NRI</v>
      </c>
    </row>
    <row r="21" ht="15" customHeight="1">
      <c r="B21" t="str">
        <f t="shared" si="7"/>
        <v>GPR</v>
      </c>
      <c r="C21" t="str">
        <f t="shared" si="7"/>
        <v>Model/Office</v>
      </c>
      <c r="D21" t="str">
        <f t="shared" si="7"/>
        <v>Employee</v>
      </c>
      <c r="E21" t="str">
        <f>B5</f>
        <v>GPR</v>
      </c>
      <c r="F21" t="str">
        <f t="shared" si="7"/>
        <v>Vacancy</v>
      </c>
      <c r="G21" t="s">
        <v>3020</v>
      </c>
      <c r="H21" t="str">
        <f t="shared" si="7"/>
        <v>Concessions</v>
      </c>
      <c r="I21" t="str">
        <f t="shared" si="7"/>
        <v>GPR</v>
      </c>
      <c r="J21" t="str">
        <f t="shared" si="7"/>
        <v>Bad Debt</v>
      </c>
      <c r="K21" t="str">
        <f t="shared" si="7"/>
        <v>GPR</v>
      </c>
      <c r="L21" t="str">
        <f t="shared" si="7"/>
        <v>Occupancy</v>
      </c>
      <c r="M21" t="str">
        <f t="shared" si="7"/>
        <v>Collections</v>
      </c>
      <c r="O21" t="str">
        <f t="shared" si="7"/>
        <v>Adjustment</v>
      </c>
      <c r="P21" t="str">
        <f t="shared" si="7"/>
        <v>Bad Debt</v>
      </c>
      <c r="Q21" t="str">
        <f t="shared" si="7"/>
        <v>Occupancy</v>
      </c>
      <c r="R21" t="str">
        <f t="shared" si="7"/>
        <v>Collections</v>
      </c>
    </row>
    <row r="22" ht="15" customHeight="1">
      <c r="A22" t="s">
        <v>3027</v>
      </c>
      <c r="B22">
        <f>SUMIF('OS Analysis'!$AV:$AV,'Fannie Historical Ops'!$B$5,'OS Analysis'!$AY:$AY)</f>
        <v>0</v>
      </c>
      <c r="C22">
        <v>0</v>
      </c>
      <c r="D22">
        <v>0</v>
      </c>
      <c r="E22">
        <f t="shared" si="1"/>
        <v>0</v>
      </c>
      <c r="F22">
        <f>SUMIF('OS Analysis'!$AV:$AV,'Fannie Historical Ops'!$B$6,'OS Analysis'!$AY:$AY)</f>
        <v>0</v>
      </c>
      <c r="G22">
        <f t="shared" si="0"/>
        <v>0</v>
      </c>
      <c r="H22">
        <f>SUMIF('OS Analysis'!$AV:$AV,"Less Concessions (income line item)",'OS Analysis'!$AY:$AY)-SUMIF('OS Analysis'!$AV:$AV,"Less Concessions (expense line item)",'OS Analysis'!$AY:$AY)</f>
        <v>0</v>
      </c>
      <c r="I22">
        <f t="shared" si="0"/>
        <v>0</v>
      </c>
      <c r="J22">
        <f>SUMIF('OS Analysis'!$AV:$AV,'Fannie Historical Ops'!$B$7,'OS Analysis'!$AY:$AY)</f>
        <v>0</v>
      </c>
      <c r="K22">
        <f t="shared" si="0"/>
        <v>0</v>
      </c>
      <c r="L22">
        <f t="shared" si="2"/>
        <v>0</v>
      </c>
      <c r="M22">
        <f t="shared" si="3"/>
        <v>0</v>
      </c>
      <c r="O22">
        <v>0</v>
      </c>
      <c r="Q22">
        <f t="shared" si="4"/>
        <v>0</v>
      </c>
      <c r="R22">
        <f t="shared" si="5"/>
        <v>0</v>
      </c>
    </row>
    <row r="23" ht="15" customHeight="1">
      <c r="A23" t="s">
        <v>3028</v>
      </c>
      <c r="B23">
        <f>SUMIF('OS Analysis'!$AV:$AV,'Fannie Historical Ops'!$B$5,'OS Analysis'!$AZ:$AZ)</f>
        <v>0</v>
      </c>
      <c r="C23">
        <v>0</v>
      </c>
      <c r="D23">
        <v>0</v>
      </c>
      <c r="E23">
        <f t="shared" si="1"/>
        <v>0</v>
      </c>
      <c r="F23">
        <f>SUMIF('OS Analysis'!$AV:$AV,'Fannie Historical Ops'!$B$6,'OS Analysis'!$AZ:$AZ)</f>
        <v>0</v>
      </c>
      <c r="G23">
        <f t="shared" si="0"/>
        <v>0</v>
      </c>
      <c r="H23">
        <f>SUMIF('OS Analysis'!$AV:$AV,"Less Concessions (income line item)",'OS Analysis'!$AZ:$AZ)-SUMIF('OS Analysis'!$AV:$AV,"Less Concessions (expense line item)",'OS Analysis'!$AZ:$AZ)</f>
        <v>0</v>
      </c>
      <c r="I23">
        <f t="shared" si="0"/>
        <v>0</v>
      </c>
      <c r="J23">
        <f>SUMIF('OS Analysis'!$AV:$AV,'Fannie Historical Ops'!$B$7,'OS Analysis'!$AZ:$AZ)</f>
        <v>0</v>
      </c>
      <c r="K23">
        <f t="shared" si="0"/>
        <v>0</v>
      </c>
      <c r="L23">
        <f t="shared" si="2"/>
        <v>0</v>
      </c>
      <c r="M23">
        <f t="shared" si="3"/>
        <v>0</v>
      </c>
      <c r="O23">
        <v>0</v>
      </c>
      <c r="Q23">
        <f t="shared" si="4"/>
        <v>0</v>
      </c>
      <c r="R23">
        <f t="shared" si="5"/>
        <v>0</v>
      </c>
    </row>
    <row r="24" ht="15" customHeight="1">
      <c r="A24" t="s">
        <v>3029</v>
      </c>
      <c r="B24">
        <f>SUMIF('OS Analysis'!$AV:$AV,'Fannie Historical Ops'!$B$5,'OS Analysis'!$BA:$BA)</f>
        <v>0</v>
      </c>
      <c r="C24">
        <v>0</v>
      </c>
      <c r="D24">
        <v>0</v>
      </c>
      <c r="E24">
        <f t="shared" si="1"/>
        <v>0</v>
      </c>
      <c r="F24">
        <f>SUMIF('OS Analysis'!$AV:$AV,'Fannie Historical Ops'!$B$6,'OS Analysis'!$BA:$BA)</f>
        <v>0</v>
      </c>
      <c r="G24">
        <f t="shared" si="0"/>
        <v>0</v>
      </c>
      <c r="H24">
        <f>SUMIF('OS Analysis'!$AV:$AV,"Less Concessions (income line item)",'OS Analysis'!$BA:$BA)-SUMIF('OS Analysis'!$AV:$AV,"Less Concessions (expense line item)",'OS Analysis'!$BA:$BA)</f>
        <v>0</v>
      </c>
      <c r="I24">
        <f t="shared" si="0"/>
        <v>0</v>
      </c>
      <c r="J24">
        <f>SUMIF('OS Analysis'!$AV:$AV,'Fannie Historical Ops'!$B$7,'OS Analysis'!$BA:$BA)</f>
        <v>0</v>
      </c>
      <c r="K24">
        <f t="shared" si="0"/>
        <v>0</v>
      </c>
      <c r="L24">
        <f t="shared" si="2"/>
        <v>0</v>
      </c>
      <c r="M24">
        <f t="shared" si="3"/>
        <v>0</v>
      </c>
      <c r="O24">
        <v>0</v>
      </c>
      <c r="Q24">
        <f t="shared" si="4"/>
        <v>0</v>
      </c>
      <c r="R24">
        <f t="shared" si="5"/>
        <v>0</v>
      </c>
    </row>
    <row r="25" ht="15" customHeight="1">
      <c r="A25" t="s">
        <v>3030</v>
      </c>
      <c r="B25">
        <f>SUMIF('OS Analysis'!$AV:$AV,'Fannie Historical Ops'!$B$5,'OS Analysis'!$BB:$BB)</f>
        <v>0</v>
      </c>
      <c r="C25">
        <v>0</v>
      </c>
      <c r="D25">
        <v>0</v>
      </c>
      <c r="E25">
        <f t="shared" si="1"/>
        <v>0</v>
      </c>
      <c r="F25">
        <f>SUMIF('OS Analysis'!$AV:$AV,'Fannie Historical Ops'!$B$6,'OS Analysis'!$BB:$BB)</f>
        <v>0</v>
      </c>
      <c r="G25">
        <f t="shared" si="0"/>
        <v>0</v>
      </c>
      <c r="H25">
        <f>SUMIF('OS Analysis'!$AV:$AV,"Less Concessions (income line item)",'OS Analysis'!$BB:$BB)-SUMIF('OS Analysis'!$AV:$AV,"Less Concessions (expense line item)",'OS Analysis'!$BB:$BB)</f>
        <v>0</v>
      </c>
      <c r="I25">
        <f t="shared" si="0"/>
        <v>0</v>
      </c>
      <c r="J25">
        <f>SUMIF('OS Analysis'!$AV:$AV,'Fannie Historical Ops'!$B$7,'OS Analysis'!$BB:$BB)</f>
        <v>0</v>
      </c>
      <c r="K25">
        <f t="shared" si="0"/>
        <v>0</v>
      </c>
      <c r="L25">
        <f t="shared" si="2"/>
        <v>0</v>
      </c>
      <c r="M25">
        <f t="shared" si="3"/>
        <v>0</v>
      </c>
      <c r="O25">
        <v>0</v>
      </c>
      <c r="Q25">
        <f t="shared" si="4"/>
        <v>0</v>
      </c>
      <c r="R25">
        <f t="shared" si="5"/>
        <v>0</v>
      </c>
    </row>
    <row r="26" ht="15" customHeight="1">
      <c r="A26" t="s">
        <v>3031</v>
      </c>
      <c r="B26">
        <f>SUMIF('OS Analysis'!$AV:$AV,'Fannie Historical Ops'!$B$5,'OS Analysis'!$BC:$BC)</f>
        <v>0</v>
      </c>
      <c r="C26">
        <v>0</v>
      </c>
      <c r="D26">
        <v>0</v>
      </c>
      <c r="E26">
        <f t="shared" si="1"/>
        <v>0</v>
      </c>
      <c r="F26">
        <f>SUMIF('OS Analysis'!$AV:$AV,'Fannie Historical Ops'!$B$6,'OS Analysis'!$BC:$BC)</f>
        <v>0</v>
      </c>
      <c r="G26">
        <f t="shared" si="0"/>
        <v>0</v>
      </c>
      <c r="H26">
        <f>SUMIF('OS Analysis'!$AV:$AV,"Less Concessions (income line item)",'OS Analysis'!$BC:$BC)-SUMIF('OS Analysis'!$AV:$AV,"Less Concessions (expense line item)",'OS Analysis'!$BC:$BC)</f>
        <v>0</v>
      </c>
      <c r="I26">
        <f t="shared" si="0"/>
        <v>0</v>
      </c>
      <c r="J26">
        <f>SUMIF('OS Analysis'!$AV:$AV,'Fannie Historical Ops'!$B$7,'OS Analysis'!$BC:$BC)</f>
        <v>0</v>
      </c>
      <c r="K26">
        <f t="shared" si="0"/>
        <v>0</v>
      </c>
      <c r="L26">
        <f t="shared" si="2"/>
        <v>0</v>
      </c>
      <c r="M26">
        <f t="shared" si="3"/>
        <v>0</v>
      </c>
      <c r="O26">
        <v>0</v>
      </c>
      <c r="Q26">
        <f t="shared" si="4"/>
        <v>0</v>
      </c>
      <c r="R26">
        <f t="shared" si="5"/>
        <v>0</v>
      </c>
    </row>
    <row r="27" ht="15" customHeight="1">
      <c r="A27" t="s">
        <v>3032</v>
      </c>
      <c r="B27">
        <f>SUMIF('OS Analysis'!$AV:$AV,'Fannie Historical Ops'!$B$5,'OS Analysis'!$BD:$BD)</f>
        <v>0</v>
      </c>
      <c r="C27">
        <v>0</v>
      </c>
      <c r="D27">
        <v>0</v>
      </c>
      <c r="E27">
        <f t="shared" si="1"/>
        <v>0</v>
      </c>
      <c r="F27">
        <f>SUMIF('OS Analysis'!$AV:$AV,'Fannie Historical Ops'!$B$6,'OS Analysis'!$BD:$BD)</f>
        <v>0</v>
      </c>
      <c r="G27">
        <f t="shared" si="0"/>
        <v>0</v>
      </c>
      <c r="H27">
        <f>SUMIF('OS Analysis'!$AV:$AV,"Less Concessions (income line item)",'OS Analysis'!$BD:$BD)-SUMIF('OS Analysis'!$AV:$AV,"Less Concessions (expense line item)",'OS Analysis'!$BD:$BD)</f>
        <v>0</v>
      </c>
      <c r="I27">
        <f t="shared" si="0"/>
        <v>0</v>
      </c>
      <c r="J27">
        <f>SUMIF('OS Analysis'!$AV:$AV,'Fannie Historical Ops'!$B$7,'OS Analysis'!$BD:$BD)</f>
        <v>0</v>
      </c>
      <c r="K27">
        <f t="shared" si="0"/>
        <v>0</v>
      </c>
      <c r="L27">
        <f t="shared" si="2"/>
        <v>0</v>
      </c>
      <c r="M27">
        <f t="shared" si="3"/>
        <v>0</v>
      </c>
      <c r="O27">
        <v>0</v>
      </c>
      <c r="Q27">
        <f t="shared" si="4"/>
        <v>0</v>
      </c>
      <c r="R27">
        <f t="shared" si="5"/>
        <v>0</v>
      </c>
    </row>
    <row r="28" ht="15" customHeight="1">
      <c r="A28" t="s">
        <v>3033</v>
      </c>
      <c r="B28">
        <f>SUMIF('OS Analysis'!$AV:$AV,'Fannie Historical Ops'!$B$5,'OS Analysis'!$BE:$BE)</f>
        <v>0</v>
      </c>
      <c r="C28">
        <v>0</v>
      </c>
      <c r="D28">
        <v>0</v>
      </c>
      <c r="E28">
        <f t="shared" si="1"/>
        <v>0</v>
      </c>
      <c r="F28">
        <f>SUMIF('OS Analysis'!$AV:$AV,'Fannie Historical Ops'!$B$6,'OS Analysis'!$BE:$BE)</f>
        <v>0</v>
      </c>
      <c r="G28">
        <f t="shared" si="0"/>
        <v>0</v>
      </c>
      <c r="H28">
        <f>SUMIF('OS Analysis'!$AV:$AV,"Less Concessions (income line item)",'OS Analysis'!$BE:$BE)-SUMIF('OS Analysis'!$AV:$AV,"Less Concessions (expense line item)",'OS Analysis'!$BE:$BE)</f>
        <v>0</v>
      </c>
      <c r="I28">
        <f t="shared" si="0"/>
        <v>0</v>
      </c>
      <c r="J28">
        <f>SUMIF('OS Analysis'!$AV:$AV,'Fannie Historical Ops'!$B$7,'OS Analysis'!$BE:$BE)</f>
        <v>0</v>
      </c>
      <c r="K28">
        <f t="shared" si="0"/>
        <v>0</v>
      </c>
      <c r="L28">
        <f t="shared" si="2"/>
        <v>0</v>
      </c>
      <c r="M28">
        <f t="shared" si="3"/>
        <v>0</v>
      </c>
      <c r="O28">
        <v>0</v>
      </c>
      <c r="Q28">
        <f t="shared" si="4"/>
        <v>0</v>
      </c>
      <c r="R28">
        <f t="shared" si="5"/>
        <v>0</v>
      </c>
    </row>
    <row r="29" ht="15" customHeight="1">
      <c r="A29" t="s">
        <v>3034</v>
      </c>
      <c r="B29">
        <f>SUMIF('OS Analysis'!$AV:$AV,'Fannie Historical Ops'!$B$5,'OS Analysis'!$BF:$BF)</f>
        <v>0</v>
      </c>
      <c r="C29">
        <v>0</v>
      </c>
      <c r="D29">
        <v>0</v>
      </c>
      <c r="E29">
        <f t="shared" si="1"/>
        <v>0</v>
      </c>
      <c r="F29">
        <f>SUMIF('OS Analysis'!$AV:$AV,'Fannie Historical Ops'!$B$6,'OS Analysis'!$BF:$BF)</f>
        <v>0</v>
      </c>
      <c r="G29">
        <f t="shared" si="0"/>
        <v>0</v>
      </c>
      <c r="H29">
        <f>SUMIF('OS Analysis'!$AV:$AV,"Less Concessions (income line item)",'OS Analysis'!$BF:$BF)-SUMIF('OS Analysis'!$AV:$AV,"Less Concessions (expense line item)",'OS Analysis'!$BF:$BF)</f>
        <v>0</v>
      </c>
      <c r="I29">
        <f t="shared" si="0"/>
        <v>0</v>
      </c>
      <c r="J29">
        <f>SUMIF('OS Analysis'!$AV:$AV,'Fannie Historical Ops'!$B$7,'OS Analysis'!$BF:$BF)</f>
        <v>0</v>
      </c>
      <c r="K29">
        <f t="shared" si="0"/>
        <v>0</v>
      </c>
      <c r="L29">
        <f t="shared" si="2"/>
        <v>0</v>
      </c>
      <c r="M29">
        <f t="shared" si="3"/>
        <v>0</v>
      </c>
      <c r="O29">
        <v>0</v>
      </c>
      <c r="Q29">
        <f t="shared" si="4"/>
        <v>0</v>
      </c>
      <c r="R29">
        <f t="shared" si="5"/>
        <v>0</v>
      </c>
    </row>
    <row r="30" ht="15" customHeight="1">
      <c r="A30" t="s">
        <v>3035</v>
      </c>
      <c r="B30">
        <f>SUMIF('OS Analysis'!$AV:$AV,'Fannie Historical Ops'!$B$5,'OS Analysis'!$BG:$BG)</f>
        <v>0</v>
      </c>
      <c r="C30">
        <v>0</v>
      </c>
      <c r="D30">
        <v>0</v>
      </c>
      <c r="E30">
        <f t="shared" si="1"/>
        <v>0</v>
      </c>
      <c r="F30">
        <f>SUMIF('OS Analysis'!$AV:$AV,'Fannie Historical Ops'!$B$6,'OS Analysis'!$BG:$BG)</f>
        <v>0</v>
      </c>
      <c r="G30">
        <f t="shared" si="0"/>
        <v>0</v>
      </c>
      <c r="H30">
        <f>SUMIF('OS Analysis'!$AV:$AV,"Less Concessions (income line item)",'OS Analysis'!$BG:$BG)-SUMIF('OS Analysis'!$AV:$AV,"Less Concessions (expense line item)",'OS Analysis'!$BG:$BG)</f>
        <v>0</v>
      </c>
      <c r="I30">
        <f t="shared" si="0"/>
        <v>0</v>
      </c>
      <c r="J30">
        <f>SUMIF('OS Analysis'!$AV:$AV,'Fannie Historical Ops'!$B$7,'OS Analysis'!$BG:$BG)</f>
        <v>0</v>
      </c>
      <c r="K30">
        <f t="shared" si="0"/>
        <v>0</v>
      </c>
      <c r="L30">
        <f t="shared" si="2"/>
        <v>0</v>
      </c>
      <c r="M30">
        <f t="shared" si="3"/>
        <v>0</v>
      </c>
      <c r="O30">
        <v>0</v>
      </c>
      <c r="Q30">
        <f t="shared" si="4"/>
        <v>0</v>
      </c>
      <c r="R30">
        <f t="shared" si="5"/>
        <v>0</v>
      </c>
    </row>
    <row r="31" ht="15" customHeight="1">
      <c r="A31" t="s">
        <v>3036</v>
      </c>
      <c r="B31">
        <f>SUMIF('OS Analysis'!$AV:$AV,'Fannie Historical Ops'!$B$5,'OS Analysis'!$BH:$BH)</f>
        <v>0</v>
      </c>
      <c r="C31">
        <v>0</v>
      </c>
      <c r="D31">
        <v>0</v>
      </c>
      <c r="E31">
        <f t="shared" si="1"/>
        <v>0</v>
      </c>
      <c r="F31">
        <f>SUMIF('OS Analysis'!$AV:$AV,'Fannie Historical Ops'!$B$6,'OS Analysis'!$BH:$BH)</f>
        <v>0</v>
      </c>
      <c r="G31">
        <f t="shared" si="0"/>
        <v>0</v>
      </c>
      <c r="H31">
        <f>SUMIF('OS Analysis'!$AV:$AV,"Less Concessions (income line item)",'OS Analysis'!$BH:$BH)-SUMIF('OS Analysis'!$AV:$AV,"Less Concessions (expense line item)",'OS Analysis'!$BH:$BH)</f>
        <v>0</v>
      </c>
      <c r="I31">
        <f t="shared" si="0"/>
        <v>0</v>
      </c>
      <c r="J31">
        <f>SUMIF('OS Analysis'!$AV:$AV,'Fannie Historical Ops'!$B$7,'OS Analysis'!$BH:$BH)</f>
        <v>0</v>
      </c>
      <c r="K31">
        <f t="shared" si="0"/>
        <v>0</v>
      </c>
      <c r="L31">
        <f t="shared" si="2"/>
        <v>0</v>
      </c>
      <c r="M31">
        <f t="shared" si="3"/>
        <v>0</v>
      </c>
      <c r="O31">
        <v>0</v>
      </c>
      <c r="Q31">
        <f t="shared" si="4"/>
        <v>0</v>
      </c>
      <c r="R31">
        <f t="shared" si="5"/>
        <v>0</v>
      </c>
    </row>
    <row r="32" ht="15" customHeight="1">
      <c r="A32" t="s">
        <v>3037</v>
      </c>
      <c r="B32">
        <f>SUMIF('OS Analysis'!$AV:$AV,'Fannie Historical Ops'!$B$5,'OS Analysis'!$BI:$BI)</f>
        <v>0</v>
      </c>
      <c r="C32">
        <v>0</v>
      </c>
      <c r="D32">
        <v>0</v>
      </c>
      <c r="E32">
        <f t="shared" si="1"/>
        <v>0</v>
      </c>
      <c r="F32">
        <f>SUMIF('OS Analysis'!$AV:$AV,'Fannie Historical Ops'!$B$6,'OS Analysis'!$BI:$BI)</f>
        <v>0</v>
      </c>
      <c r="G32">
        <f t="shared" si="0"/>
        <v>0</v>
      </c>
      <c r="H32">
        <f>SUMIF('OS Analysis'!$AV:$AV,"Less Concessions (income line item)",'OS Analysis'!$BI:$BI)-SUMIF('OS Analysis'!$AV:$AV,"Less Concessions (expense line item)",'OS Analysis'!$BI:$BI)</f>
        <v>0</v>
      </c>
      <c r="I32">
        <f t="shared" si="0"/>
        <v>0</v>
      </c>
      <c r="J32">
        <f>SUMIF('OS Analysis'!$AV:$AV,'Fannie Historical Ops'!$B$7,'OS Analysis'!$BI:$BI)</f>
        <v>0</v>
      </c>
      <c r="K32">
        <f t="shared" si="0"/>
        <v>0</v>
      </c>
      <c r="L32">
        <f t="shared" si="2"/>
        <v>0</v>
      </c>
      <c r="M32">
        <f t="shared" si="3"/>
        <v>0</v>
      </c>
      <c r="O32">
        <v>0</v>
      </c>
      <c r="Q32">
        <f t="shared" si="4"/>
        <v>0</v>
      </c>
      <c r="R32">
        <f t="shared" si="5"/>
        <v>0</v>
      </c>
    </row>
    <row r="33" ht="15.75" customHeight="1">
      <c r="A33" t="s">
        <v>3038</v>
      </c>
      <c r="B33">
        <f>SUMIF('OS Analysis'!$AV:$AV,'Fannie Historical Ops'!$B$5,'OS Analysis'!$BJ:$BJ)</f>
        <v>0</v>
      </c>
      <c r="C33">
        <v>0</v>
      </c>
      <c r="D33">
        <v>0</v>
      </c>
      <c r="E33">
        <f t="shared" si="1"/>
        <v>0</v>
      </c>
      <c r="F33">
        <f>SUMIF('OS Analysis'!$AV:$AV,'Fannie Historical Ops'!$B$6,'OS Analysis'!$BJ:$BJ)</f>
        <v>0</v>
      </c>
      <c r="G33">
        <f t="shared" si="0"/>
        <v>0</v>
      </c>
      <c r="H33">
        <f>SUMIF('OS Analysis'!$AV:$AV,"Less Concessions (income line item)",'OS Analysis'!$BJ:$BJ)-SUMIF('OS Analysis'!$AV:$AV,"Less Concessions (expense line item)",'OS Analysis'!$BJ:$BJ)</f>
        <v>0</v>
      </c>
      <c r="I33">
        <f t="shared" si="0"/>
        <v>0</v>
      </c>
      <c r="J33">
        <f>SUMIF('OS Analysis'!$AV:$AV,'Fannie Historical Ops'!$B$7,'OS Analysis'!$BJ:$BJ)</f>
        <v>0</v>
      </c>
      <c r="K33">
        <f t="shared" si="0"/>
        <v>0</v>
      </c>
      <c r="L33">
        <f t="shared" si="2"/>
        <v>0</v>
      </c>
      <c r="M33">
        <f t="shared" si="3"/>
        <v>0</v>
      </c>
      <c r="O33">
        <v>0</v>
      </c>
      <c r="Q33">
        <f t="shared" si="4"/>
        <v>0</v>
      </c>
      <c r="R33">
        <f t="shared" si="5"/>
        <v>0</v>
      </c>
    </row>
    <row r="34" ht="15.75" customHeight="1">
      <c r="A34" t="s">
        <v>2968</v>
      </c>
      <c r="B34">
        <f t="shared" si="6"/>
        <v>0</v>
      </c>
      <c r="C34">
        <f t="shared" si="6"/>
        <v>0</v>
      </c>
      <c r="D34">
        <f t="shared" si="6"/>
        <v>0</v>
      </c>
      <c r="E34">
        <f t="shared" si="1"/>
        <v>0</v>
      </c>
      <c r="F34">
        <f t="shared" si="6"/>
        <v>0</v>
      </c>
      <c r="G34">
        <f t="shared" si="0"/>
        <v>0</v>
      </c>
      <c r="H34">
        <f t="shared" si="6"/>
        <v>0</v>
      </c>
      <c r="I34">
        <f t="shared" si="0"/>
        <v>0</v>
      </c>
      <c r="J34">
        <f t="shared" si="6"/>
        <v>0</v>
      </c>
      <c r="K34">
        <f t="shared" si="0"/>
        <v>0</v>
      </c>
      <c r="L34">
        <f t="shared" si="2"/>
        <v>0</v>
      </c>
      <c r="M34">
        <f t="shared" si="3"/>
        <v>0</v>
      </c>
      <c r="O34">
        <f t="shared" si="6"/>
        <v>0</v>
      </c>
      <c r="P34">
        <f t="shared" si="8"/>
      </c>
      <c r="Q34">
        <f t="shared" si="4"/>
        <v>0</v>
      </c>
      <c r="R34">
        <f t="shared" si="5"/>
        <v>0</v>
      </c>
    </row>
    <row r="35" ht="15" customHeight="1">
      <c r="B35">
        <f>'Fannie Historical Ops'!F5</f>
        <v>0</v>
      </c>
      <c r="F35">
        <f>'Fannie Historical Ops'!F6</f>
        <v>0</v>
      </c>
      <c r="H35">
        <f>'Fannie Historical Ops'!F8</f>
        <v>0</v>
      </c>
      <c r="J35">
        <f>'Fannie Historical Ops'!F7</f>
        <v>0</v>
      </c>
    </row>
    <row r="36" ht="15" customHeight="1"/>
    <row r="37" ht="15.75" customHeight="1">
      <c r="A37">
        <f t="shared" si="9" ref="A37:R41">A1</f>
        <v>0</v>
      </c>
      <c r="R37" s="1">
        <f t="shared" si="9"/>
        <v>45189</v>
      </c>
    </row>
    <row r="38" ht="17.25" customHeight="1">
      <c r="A38" t="str">
        <f>G2</f>
        <v>XXXX</v>
      </c>
      <c r="R38" s="1">
        <f t="shared" si="9"/>
        <v>45189.64865584491</v>
      </c>
    </row>
    <row r="39" ht="30" customHeight="1">
      <c r="A39" t="str">
        <f t="shared" si="9"/>
        <v>Historical Collections
(Adjusted for Non-Revenue Units)</v>
      </c>
      <c r="O39" t="str">
        <f t="shared" si="9"/>
        <v>Discretionary Adjustments</v>
      </c>
    </row>
    <row r="40" ht="15" customHeight="1">
      <c r="A40">
        <f>HOps_1YrBack</f>
        <v>2021</v>
      </c>
      <c r="B40" t="str">
        <f t="shared" si="9"/>
        <v>Report</v>
      </c>
      <c r="C40" t="str">
        <f t="shared" si="9"/>
        <v>Add Back</v>
      </c>
      <c r="D40" t="str">
        <f t="shared" si="9"/>
        <v>Add Back</v>
      </c>
      <c r="G40" t="s">
        <v>3014</v>
      </c>
      <c r="I40" t="str">
        <f t="shared" si="9"/>
        <v>% of </v>
      </c>
      <c r="K40" t="str">
        <f t="shared" si="9"/>
        <v>% of </v>
      </c>
      <c r="L40" t="str">
        <f t="shared" si="9"/>
        <v>Economic</v>
      </c>
      <c r="M40" t="str">
        <f t="shared" si="9"/>
        <v>Net Rental</v>
      </c>
      <c r="O40" t="str">
        <f t="shared" si="9"/>
        <v>"X"</v>
      </c>
      <c r="P40" t="str">
        <f t="shared" si="9"/>
        <v>Adjusted</v>
      </c>
      <c r="Q40" t="str">
        <f t="shared" si="9"/>
        <v>Adj. Economic</v>
      </c>
      <c r="R40" t="str">
        <f t="shared" si="9"/>
        <v>Adjusted NRI</v>
      </c>
    </row>
    <row r="41" ht="15" customHeight="1">
      <c r="B41" t="str">
        <f t="shared" si="9"/>
        <v>GPR</v>
      </c>
      <c r="C41" t="str">
        <f t="shared" si="9"/>
        <v>Model/Office</v>
      </c>
      <c r="D41" t="str">
        <f t="shared" si="9"/>
        <v>Employee</v>
      </c>
      <c r="E41" t="str">
        <f>B5</f>
        <v>GPR</v>
      </c>
      <c r="F41" t="str">
        <f t="shared" si="9"/>
        <v>Vacancy</v>
      </c>
      <c r="G41" t="s">
        <v>3020</v>
      </c>
      <c r="H41" t="str">
        <f t="shared" si="9"/>
        <v>Concessions</v>
      </c>
      <c r="I41" t="str">
        <f t="shared" si="9"/>
        <v>GPR</v>
      </c>
      <c r="J41" t="str">
        <f t="shared" si="9"/>
        <v>Bad Debt</v>
      </c>
      <c r="K41" t="str">
        <f t="shared" si="9"/>
        <v>GPR</v>
      </c>
      <c r="L41" t="str">
        <f t="shared" si="9"/>
        <v>Occupancy</v>
      </c>
      <c r="M41" t="str">
        <f t="shared" si="9"/>
        <v>Collections</v>
      </c>
      <c r="O41" t="str">
        <f t="shared" si="9"/>
        <v>Adjustment</v>
      </c>
      <c r="P41" t="str">
        <f t="shared" si="9"/>
        <v>Bad Debt</v>
      </c>
      <c r="Q41" t="str">
        <f t="shared" si="9"/>
        <v>Occupancy</v>
      </c>
      <c r="R41" t="str">
        <f t="shared" si="9"/>
        <v>Collections</v>
      </c>
    </row>
    <row r="42" ht="15" customHeight="1">
      <c r="A42" t="s">
        <v>3027</v>
      </c>
      <c r="B42">
        <f>_xlfn.LET(_xlpm.comment,"get the Current T12's GPR by month if available; if not, get the prior year's GPR for the same month",_xlpm.os_current_yr_line_items,'OS Analysis'!$B:$B,_xlpm.gpr_line_item,'Fannie Historical Ops'!$B$5,_xlpm.os_year,$A$40,_xlpm.os_month,$A42,_xlpm.os_date,DATE(_xlpm.os_year,MONTH(DATEVALUE(_xlpm.os_month&amp;"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Analysis'!$AH:$AH,IF(_xlpm.current_yr_gpr_for_month&gt;0,_xlpm.current_yr_gpr_for_month,SUMIF(_xlpm.os_yr1_line_items,_xlpm.gpr_line_item,_xlpm.os_yr1_monthly_data)))</f>
        <v>0</v>
      </c>
      <c r="C42">
        <v>0</v>
      </c>
      <c r="D42">
        <v>0</v>
      </c>
      <c r="E42">
        <f t="shared" si="1"/>
        <v>0</v>
      </c>
      <c r="F42">
        <f>IF(_xlfn.IFERROR(SUMIF('OS Analysis'!$B:$B,'Fannie Historical Ops'!$B$6,INDEX('OS Analysis'!$E:$P,0,MATCH(DATE($A$40,MONTH(DATEVALUE(A42&amp;" 1")),1),'OS Analysis'!$E$2:$P$2,0))),0)&lt;&gt;0,_xlfn.IFERROR(SUMIF('OS Analysis'!$B:$B,'Fannie Historical Ops'!$B$6,INDEX('OS Analysis'!$E:$P,0,MATCH(DATE($A$40,MONTH(DATEVALUE(A42&amp;" 1")),1),'OS Analysis'!$E$2:$P$2,0))),0),SUMIF('OS Analysis'!$AE:$AE,'Fannie Historical Ops'!$B$6,'OS Analysis'!$AH:$AH))</f>
        <v>0</v>
      </c>
      <c r="G42">
        <f t="shared" si="0"/>
        <v>0</v>
      </c>
      <c r="H42">
        <f>IF((_xlfn.IFERROR(SUMIF('OS Analysis'!$B:$B,"Less Concessions (income line item)",INDEX('OS Analysis'!$E:$P,0,MATCH(DATE($A$40,MONTH(DATEVALUE(A42&amp;" 1")),1),'OS Analysis'!$E$2:$P$2,0))),0))-(_xlfn.IFERROR(SUMIF('OS Analysis'!$B:$B,"Less Concessions (expense line item)",INDEX('OS Analysis'!$E:$P,0,MATCH(DATE($A$40,MONTH(DATEVALUE(A42&amp;" 1")),1),'OS Analysis'!$E$2:$P$2,0))),0))&lt;&gt;0,(_xlfn.IFERROR(SUMIF('OS Analysis'!$B:$B,"Less Concessions (income line item)",INDEX('OS Analysis'!$E:$P,0,MATCH(DATE($A$40,MONTH(DATEVALUE(A42&amp;" 1")),1),'OS Analysis'!$E$2:$P$2,0))),0))-(_xlfn.IFERROR(SUMIF('OS Analysis'!$B:$B,"Less Concessions (expense line item)",INDEX('OS Analysis'!$E:$P,0,MATCH(DATE($A$40,MONTH(DATEVALUE(A42&amp;" 1")),1),'OS Analysis'!$E$2:$P$2,0))),0)),SUMIF('OS Analysis'!$AE:$AE,"Less Concessions (income line item)",'OS Analysis'!$AH:$AH)-SUMIF('OS Analysis'!$AE:$AE,"Less Concessions (expense line item)",'OS Analysis'!$AH:$AH))</f>
        <v>0</v>
      </c>
      <c r="I42">
        <f t="shared" si="0"/>
        <v>0</v>
      </c>
      <c r="J42">
        <f>IF(_xlfn.IFERROR(SUMIF('OS Analysis'!$B:$B,'Fannie Historical Ops'!$B$7,INDEX('OS Analysis'!$E:$P,0,MATCH(DATE($A$40,MONTH(DATEVALUE(A42&amp;" 1")),1),'OS Analysis'!$E$2:$P$2,0))),0)&lt;&gt;0,_xlfn.IFERROR(SUMIF('OS Analysis'!$B:$B,'Fannie Historical Ops'!$B$7,INDEX('OS Analysis'!$E:$P,0,MATCH(DATE($A$40,MONTH(DATEVALUE(A42&amp;" 1")),1),'OS Analysis'!$E$2:$P$2,0))),0),SUMIF('OS Analysis'!$AE:$AE,'Fannie Historical Ops'!$B$7,'OS Analysis'!$AH:$AH))</f>
        <v>0</v>
      </c>
      <c r="K42">
        <f t="shared" si="0"/>
        <v>0</v>
      </c>
      <c r="L42">
        <f t="shared" si="2"/>
        <v>0</v>
      </c>
      <c r="M42">
        <f t="shared" si="3"/>
        <v>0</v>
      </c>
      <c r="O42">
        <v>0</v>
      </c>
      <c r="Q42">
        <f t="shared" si="4"/>
        <v>0</v>
      </c>
      <c r="R42">
        <f t="shared" si="5"/>
        <v>0</v>
      </c>
    </row>
    <row r="43" ht="15" customHeight="1">
      <c r="A43" t="s">
        <v>3028</v>
      </c>
      <c r="B43">
        <f>_xlfn.LET(_xlpm.comment,"get the Current T12's GPR by month if available; if not, get the prior year's GPR for the same month",_xlpm.os_current_yr_line_items,'OS Analysis'!$B:$B,_xlpm.gpr_line_item,'Fannie Historical Ops'!$B$5,_xlpm.os_year,$A$40,_xlpm.os_month,$A43,_xlpm.os_date,DATE(_xlpm.os_year,MONTH(DATEVALUE(_xlpm.os_month&amp;"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Analysis'!$AI:$AI,IF(_xlpm.current_yr_gpr_for_month&gt;0,_xlpm.current_yr_gpr_for_month,SUMIF(_xlpm.os_yr1_line_items,_xlpm.gpr_line_item,_xlpm.os_yr1_monthly_data)))</f>
        <v>0</v>
      </c>
      <c r="C43">
        <v>0</v>
      </c>
      <c r="D43">
        <v>0</v>
      </c>
      <c r="E43">
        <f t="shared" si="1"/>
        <v>0</v>
      </c>
      <c r="F43">
        <f>IF(_xlfn.IFERROR(SUMIF('OS Analysis'!$B:$B,'Fannie Historical Ops'!$B$6,INDEX('OS Analysis'!$E:$P,0,MATCH(DATE($A$40,MONTH(DATEVALUE(A43&amp;" 1")),1),'OS Analysis'!$E$2:$P$2,0))),0)&lt;&gt;0,_xlfn.IFERROR(SUMIF('OS Analysis'!$B:$B,'Fannie Historical Ops'!$B$6,INDEX('OS Analysis'!$E:$P,0,MATCH(DATE($A$40,MONTH(DATEVALUE(A43&amp;" 1")),1),'OS Analysis'!$E$2:$P$2,0))),0),SUMIF('OS Analysis'!$AE:$AE,'Fannie Historical Ops'!$B$6,'OS Analysis'!$AI:$AI))</f>
        <v>0</v>
      </c>
      <c r="G43">
        <f t="shared" si="0"/>
        <v>0</v>
      </c>
      <c r="H43">
        <f>IF((_xlfn.IFERROR(SUMIF('OS Analysis'!$B:$B,"Less Concessions (income line item)",INDEX('OS Analysis'!$E:$P,0,MATCH(DATE($A$40,MONTH(DATEVALUE(A43&amp;" 1")),1),'OS Analysis'!$E$2:$P$2,0))),0))-(_xlfn.IFERROR(SUMIF('OS Analysis'!$B:$B,"Less Concessions (expense line item)",INDEX('OS Analysis'!$E:$P,0,MATCH(DATE($A$40,MONTH(DATEVALUE(A43&amp;" 1")),1),'OS Analysis'!$E$2:$P$2,0))),0))&lt;&gt;0,(_xlfn.IFERROR(SUMIF('OS Analysis'!$B:$B,"Less Concessions (income line item)",INDEX('OS Analysis'!$E:$P,0,MATCH(DATE($A$40,MONTH(DATEVALUE(A43&amp;" 1")),1),'OS Analysis'!$E$2:$P$2,0))),0))-(_xlfn.IFERROR(SUMIF('OS Analysis'!$B:$B,"Less Concessions (expense line item)",INDEX('OS Analysis'!$E:$P,0,MATCH(DATE($A$40,MONTH(DATEVALUE(A43&amp;" 1")),1),'OS Analysis'!$E$2:$P$2,0))),0)),SUMIF('OS Analysis'!$AE:$AE,"Less Concessions (income line item)",'OS Analysis'!$AI:$AI)-SUMIF('OS Analysis'!$AE:$AE,"Less Concessions (expense line item)",'OS Analysis'!$AI:$AI))</f>
        <v>0</v>
      </c>
      <c r="I43">
        <f t="shared" si="0"/>
        <v>0</v>
      </c>
      <c r="J43">
        <f>IF(_xlfn.IFERROR(SUMIF('OS Analysis'!$B:$B,'Fannie Historical Ops'!$B$7,INDEX('OS Analysis'!$E:$P,0,MATCH(DATE($A$40,MONTH(DATEVALUE(A43&amp;" 1")),1),'OS Analysis'!$E$2:$P$2,0))),0)&lt;&gt;0,_xlfn.IFERROR(SUMIF('OS Analysis'!$B:$B,'Fannie Historical Ops'!$B$7,INDEX('OS Analysis'!$E:$P,0,MATCH(DATE($A$40,MONTH(DATEVALUE(A43&amp;" 1")),1),'OS Analysis'!$E$2:$P$2,0))),0),SUMIF('OS Analysis'!$AE:$AE,'Fannie Historical Ops'!$B$7,'OS Analysis'!$AI:$AI))</f>
        <v>0</v>
      </c>
      <c r="K43">
        <f t="shared" si="0"/>
        <v>0</v>
      </c>
      <c r="L43">
        <f t="shared" si="2"/>
        <v>0</v>
      </c>
      <c r="M43">
        <f t="shared" si="3"/>
        <v>0</v>
      </c>
      <c r="O43">
        <v>0</v>
      </c>
      <c r="Q43">
        <f t="shared" si="4"/>
        <v>0</v>
      </c>
      <c r="R43">
        <f t="shared" si="5"/>
        <v>0</v>
      </c>
    </row>
    <row r="44" ht="15" customHeight="1">
      <c r="A44" t="s">
        <v>3029</v>
      </c>
      <c r="B44">
        <f>_xlfn.LET(_xlpm.comment,"get the Current T12's GPR by month if available; if not, get the prior year's GPR for the same month",_xlpm.os_current_yr_line_items,'OS Analysis'!$B:$B,_xlpm.gpr_line_item,'Fannie Historical Ops'!$B$5,_xlpm.os_year,$A$40,_xlpm.os_month,$A44,_xlpm.os_date,DATE(_xlpm.os_year,MONTH(DATEVALUE(_xlpm.os_month&amp;"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Analysis'!$AJ:$AJ,IF(_xlpm.current_yr_gpr_for_month&gt;0,_xlpm.current_yr_gpr_for_month,SUMIF(_xlpm.os_yr1_line_items,_xlpm.gpr_line_item,_xlpm.os_yr1_monthly_data)))</f>
        <v>0</v>
      </c>
      <c r="C44">
        <v>0</v>
      </c>
      <c r="D44">
        <v>0</v>
      </c>
      <c r="E44">
        <f t="shared" si="1"/>
        <v>0</v>
      </c>
      <c r="F44">
        <f>IF(_xlfn.IFERROR(SUMIF('OS Analysis'!$B:$B,'Fannie Historical Ops'!$B$6,INDEX('OS Analysis'!$E:$P,0,MATCH(DATE($A$40,MONTH(DATEVALUE(A44&amp;" 1")),1),'OS Analysis'!$E$2:$P$2,0))),0)&lt;&gt;0,_xlfn.IFERROR(SUMIF('OS Analysis'!$B:$B,'Fannie Historical Ops'!$B$6,INDEX('OS Analysis'!$E:$P,0,MATCH(DATE($A$40,MONTH(DATEVALUE(A44&amp;" 1")),1),'OS Analysis'!$E$2:$P$2,0))),0),SUMIF('OS Analysis'!$AE:$AE,'Fannie Historical Ops'!$B$6,'OS Analysis'!$AJ:$AJ))</f>
        <v>0</v>
      </c>
      <c r="G44">
        <f t="shared" si="0"/>
        <v>0</v>
      </c>
      <c r="H44">
        <f>IF((_xlfn.IFERROR(SUMIF('OS Analysis'!$B:$B,"Less Concessions (income line item)",INDEX('OS Analysis'!$E:$P,0,MATCH(DATE($A$40,MONTH(DATEVALUE(A44&amp;" 1")),1),'OS Analysis'!$E$2:$P$2,0))),0))-(_xlfn.IFERROR(SUMIF('OS Analysis'!$B:$B,"Less Concessions (expense line item)",INDEX('OS Analysis'!$E:$P,0,MATCH(DATE($A$40,MONTH(DATEVALUE(A44&amp;" 1")),1),'OS Analysis'!$E$2:$P$2,0))),0))&lt;&gt;0,(_xlfn.IFERROR(SUMIF('OS Analysis'!$B:$B,"Less Concessions (income line item)",INDEX('OS Analysis'!$E:$P,0,MATCH(DATE($A$40,MONTH(DATEVALUE(A44&amp;" 1")),1),'OS Analysis'!$E$2:$P$2,0))),0))-(_xlfn.IFERROR(SUMIF('OS Analysis'!$B:$B,"Less Concessions (expense line item)",INDEX('OS Analysis'!$E:$P,0,MATCH(DATE($A$40,MONTH(DATEVALUE(A44&amp;" 1")),1),'OS Analysis'!$E$2:$P$2,0))),0)),SUMIF('OS Analysis'!$AE:$AE,"Less Concessions (income line item)",'OS Analysis'!$AJ:$AJ)-SUMIF('OS Analysis'!$AE:$AE,"Less Concessions (expense line item)",'OS Analysis'!$AJ:$AJ))</f>
        <v>0</v>
      </c>
      <c r="I44">
        <f t="shared" si="0"/>
        <v>0</v>
      </c>
      <c r="J44">
        <f>IF(_xlfn.IFERROR(SUMIF('OS Analysis'!$B:$B,'Fannie Historical Ops'!$B$7,INDEX('OS Analysis'!$E:$P,0,MATCH(DATE($A$40,MONTH(DATEVALUE(A44&amp;" 1")),1),'OS Analysis'!$E$2:$P$2,0))),0)&lt;&gt;0,_xlfn.IFERROR(SUMIF('OS Analysis'!$B:$B,'Fannie Historical Ops'!$B$7,INDEX('OS Analysis'!$E:$P,0,MATCH(DATE($A$40,MONTH(DATEVALUE(A44&amp;" 1")),1),'OS Analysis'!$E$2:$P$2,0))),0),SUMIF('OS Analysis'!$AE:$AE,'Fannie Historical Ops'!$B$7,'OS Analysis'!$AJ:$AJ))</f>
        <v>0</v>
      </c>
      <c r="K44">
        <f t="shared" si="0"/>
        <v>0</v>
      </c>
      <c r="L44">
        <f t="shared" si="2"/>
        <v>0</v>
      </c>
      <c r="M44">
        <f t="shared" si="3"/>
        <v>0</v>
      </c>
      <c r="O44">
        <v>0</v>
      </c>
      <c r="Q44">
        <f t="shared" si="4"/>
        <v>0</v>
      </c>
      <c r="R44">
        <f t="shared" si="5"/>
        <v>0</v>
      </c>
    </row>
    <row r="45" ht="15" customHeight="1">
      <c r="A45" t="s">
        <v>3030</v>
      </c>
      <c r="B45">
        <f>_xlfn.LET(_xlpm.comment,"get the Current T12's GPR by month if available; if not, get the prior year's GPR for the same month",_xlpm.os_current_yr_line_items,'OS Analysis'!$B:$B,_xlpm.gpr_line_item,'Fannie Historical Ops'!$B$5,_xlpm.os_year,$A$40,_xlpm.os_month,$A45,_xlpm.os_date,DATE(_xlpm.os_year,MONTH(DATEVALUE(_xlpm.os_month&amp;"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Analysis'!$AK:$AK,IF(_xlpm.current_yr_gpr_for_month&gt;0,_xlpm.current_yr_gpr_for_month,SUMIF(_xlpm.os_yr1_line_items,_xlpm.gpr_line_item,_xlpm.os_yr1_monthly_data)))</f>
        <v>0</v>
      </c>
      <c r="C45">
        <v>0</v>
      </c>
      <c r="D45">
        <v>0</v>
      </c>
      <c r="E45">
        <f t="shared" si="1"/>
        <v>0</v>
      </c>
      <c r="F45">
        <f>IF(_xlfn.IFERROR(SUMIF('OS Analysis'!$B:$B,'Fannie Historical Ops'!$B$6,INDEX('OS Analysis'!$E:$P,0,MATCH(DATE($A$40,MONTH(DATEVALUE(A45&amp;" 1")),1),'OS Analysis'!$E$2:$P$2,0))),0)&lt;&gt;0,_xlfn.IFERROR(SUMIF('OS Analysis'!$B:$B,'Fannie Historical Ops'!$B$6,INDEX('OS Analysis'!$E:$P,0,MATCH(DATE($A$40,MONTH(DATEVALUE(A45&amp;" 1")),1),'OS Analysis'!$E$2:$P$2,0))),0),SUMIF('OS Analysis'!$AE:$AE,'Fannie Historical Ops'!$B$6,'OS Analysis'!$AK:$AK))</f>
        <v>0</v>
      </c>
      <c r="G45">
        <f t="shared" si="0"/>
        <v>0</v>
      </c>
      <c r="H45">
        <f>IF((_xlfn.IFERROR(SUMIF('OS Analysis'!$B:$B,"Less Concessions (income line item)",INDEX('OS Analysis'!$E:$P,0,MATCH(DATE($A$40,MONTH(DATEVALUE(A45&amp;" 1")),1),'OS Analysis'!$E$2:$P$2,0))),0))-(_xlfn.IFERROR(SUMIF('OS Analysis'!$B:$B,"Less Concessions (expense line item)",INDEX('OS Analysis'!$E:$P,0,MATCH(DATE($A$40,MONTH(DATEVALUE(A45&amp;" 1")),1),'OS Analysis'!$E$2:$P$2,0))),0))&lt;&gt;0,(_xlfn.IFERROR(SUMIF('OS Analysis'!$B:$B,"Less Concessions (income line item)",INDEX('OS Analysis'!$E:$P,0,MATCH(DATE($A$40,MONTH(DATEVALUE(A45&amp;" 1")),1),'OS Analysis'!$E$2:$P$2,0))),0))-(_xlfn.IFERROR(SUMIF('OS Analysis'!$B:$B,"Less Concessions (expense line item)",INDEX('OS Analysis'!$E:$P,0,MATCH(DATE($A$40,MONTH(DATEVALUE(A45&amp;" 1")),1),'OS Analysis'!$E$2:$P$2,0))),0)),SUMIF('OS Analysis'!$AE:$AE,"Less Concessions (income line item)",'OS Analysis'!$AK:$AK)-SUMIF('OS Analysis'!$AE:$AE,"Less Concessions (expense line item)",'OS Analysis'!$AK:$AK))</f>
        <v>0</v>
      </c>
      <c r="I45">
        <f t="shared" si="0"/>
        <v>0</v>
      </c>
      <c r="J45">
        <f>IF(_xlfn.IFERROR(SUMIF('OS Analysis'!$B:$B,'Fannie Historical Ops'!$B$7,INDEX('OS Analysis'!$E:$P,0,MATCH(DATE($A$40,MONTH(DATEVALUE(A45&amp;" 1")),1),'OS Analysis'!$E$2:$P$2,0))),0)&lt;&gt;0,_xlfn.IFERROR(SUMIF('OS Analysis'!$B:$B,'Fannie Historical Ops'!$B$7,INDEX('OS Analysis'!$E:$P,0,MATCH(DATE($A$40,MONTH(DATEVALUE(A45&amp;" 1")),1),'OS Analysis'!$E$2:$P$2,0))),0),SUMIF('OS Analysis'!$AE:$AE,'Fannie Historical Ops'!$B$7,'OS Analysis'!$AK:$AK))</f>
        <v>0</v>
      </c>
      <c r="K45">
        <f t="shared" si="0"/>
        <v>0</v>
      </c>
      <c r="L45">
        <f t="shared" si="2"/>
        <v>0</v>
      </c>
      <c r="M45">
        <f t="shared" si="3"/>
        <v>0</v>
      </c>
      <c r="O45">
        <v>0</v>
      </c>
      <c r="Q45">
        <f t="shared" si="4"/>
        <v>0</v>
      </c>
      <c r="R45">
        <f t="shared" si="5"/>
        <v>0</v>
      </c>
    </row>
    <row r="46" ht="15" customHeight="1">
      <c r="A46" t="s">
        <v>3031</v>
      </c>
      <c r="B46">
        <f>_xlfn.LET(_xlpm.comment,"get the Current T12's GPR by month if available; if not, get the prior year's GPR for the same month",_xlpm.os_current_yr_line_items,'OS Analysis'!$B:$B,_xlpm.gpr_line_item,'Fannie Historical Ops'!$B$5,_xlpm.os_year,$A$40,_xlpm.os_month,$A46,_xlpm.os_date,DATE(_xlpm.os_year,MONTH(DATEVALUE(_xlpm.os_month&amp;"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Analysis'!$AL:$AL,IF(_xlpm.current_yr_gpr_for_month&gt;0,_xlpm.current_yr_gpr_for_month,SUMIF(_xlpm.os_yr1_line_items,_xlpm.gpr_line_item,_xlpm.os_yr1_monthly_data)))</f>
        <v>0</v>
      </c>
      <c r="C46">
        <v>0</v>
      </c>
      <c r="D46">
        <v>0</v>
      </c>
      <c r="E46">
        <f t="shared" si="1"/>
        <v>0</v>
      </c>
      <c r="F46">
        <f>IF(_xlfn.IFERROR(SUMIF('OS Analysis'!$B:$B,'Fannie Historical Ops'!$B$6,INDEX('OS Analysis'!$E:$P,0,MATCH(DATE($A$40,MONTH(DATEVALUE(A46&amp;" 1")),1),'OS Analysis'!$E$2:$P$2,0))),0)&lt;&gt;0,_xlfn.IFERROR(SUMIF('OS Analysis'!$B:$B,'Fannie Historical Ops'!$B$6,INDEX('OS Analysis'!$E:$P,0,MATCH(DATE($A$40,MONTH(DATEVALUE(A46&amp;" 1")),1),'OS Analysis'!$E$2:$P$2,0))),0),SUMIF('OS Analysis'!$AE:$AE,'Fannie Historical Ops'!$B$6,'OS Analysis'!$AL:$AL))</f>
        <v>0</v>
      </c>
      <c r="G46">
        <f t="shared" si="0"/>
        <v>0</v>
      </c>
      <c r="H46">
        <f>IF((_xlfn.IFERROR(SUMIF('OS Analysis'!$B:$B,"Less Concessions (income line item)",INDEX('OS Analysis'!$E:$P,0,MATCH(DATE($A$40,MONTH(DATEVALUE(A46&amp;" 1")),1),'OS Analysis'!$E$2:$P$2,0))),0))-(_xlfn.IFERROR(SUMIF('OS Analysis'!$B:$B,"Less Concessions (expense line item)",INDEX('OS Analysis'!$E:$P,0,MATCH(DATE($A$40,MONTH(DATEVALUE(A46&amp;" 1")),1),'OS Analysis'!$E$2:$P$2,0))),0))&lt;&gt;0,(_xlfn.IFERROR(SUMIF('OS Analysis'!$B:$B,"Less Concessions (income line item)",INDEX('OS Analysis'!$E:$P,0,MATCH(DATE($A$40,MONTH(DATEVALUE(A46&amp;" 1")),1),'OS Analysis'!$E$2:$P$2,0))),0))-(_xlfn.IFERROR(SUMIF('OS Analysis'!$B:$B,"Less Concessions (expense line item)",INDEX('OS Analysis'!$E:$P,0,MATCH(DATE($A$40,MONTH(DATEVALUE(A46&amp;" 1")),1),'OS Analysis'!$E$2:$P$2,0))),0)),SUMIF('OS Analysis'!$AE:$AE,"Less Concessions (income line item)",'OS Analysis'!$AL:$AL)-SUMIF('OS Analysis'!$AE:$AE,"Less Concessions (expense line item)",'OS Analysis'!$AL:$AL))</f>
        <v>0</v>
      </c>
      <c r="I46">
        <f t="shared" si="0"/>
        <v>0</v>
      </c>
      <c r="J46">
        <f>IF(_xlfn.IFERROR(SUMIF('OS Analysis'!$B:$B,'Fannie Historical Ops'!$B$7,INDEX('OS Analysis'!$E:$P,0,MATCH(DATE($A$40,MONTH(DATEVALUE(A46&amp;" 1")),1),'OS Analysis'!$E$2:$P$2,0))),0)&lt;&gt;0,_xlfn.IFERROR(SUMIF('OS Analysis'!$B:$B,'Fannie Historical Ops'!$B$7,INDEX('OS Analysis'!$E:$P,0,MATCH(DATE($A$40,MONTH(DATEVALUE(A46&amp;" 1")),1),'OS Analysis'!$E$2:$P$2,0))),0),SUMIF('OS Analysis'!$AE:$AE,'Fannie Historical Ops'!$B$7,'OS Analysis'!$AL:$AL))</f>
        <v>0</v>
      </c>
      <c r="K46">
        <f t="shared" si="0"/>
        <v>0</v>
      </c>
      <c r="L46">
        <f t="shared" si="2"/>
        <v>0</v>
      </c>
      <c r="M46">
        <f t="shared" si="3"/>
        <v>0</v>
      </c>
      <c r="O46">
        <v>0</v>
      </c>
      <c r="Q46">
        <f t="shared" si="4"/>
        <v>0</v>
      </c>
      <c r="R46">
        <f t="shared" si="5"/>
        <v>0</v>
      </c>
    </row>
    <row r="47" ht="15" customHeight="1">
      <c r="A47" t="s">
        <v>3032</v>
      </c>
      <c r="B47">
        <f>_xlfn.LET(_xlpm.comment,"get the Current T12's GPR by month if available; if not, get the prior year's GPR for the same month",_xlpm.os_current_yr_line_items,'OS Analysis'!$B:$B,_xlpm.gpr_line_item,'Fannie Historical Ops'!$B$5,_xlpm.os_year,$A$40,_xlpm.os_month,$A47,_xlpm.os_date,DATE(_xlpm.os_year,MONTH(DATEVALUE(_xlpm.os_month&amp;"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Analysis'!$AM:$AM,IF(_xlpm.current_yr_gpr_for_month&gt;0,_xlpm.current_yr_gpr_for_month,SUMIF(_xlpm.os_yr1_line_items,_xlpm.gpr_line_item,_xlpm.os_yr1_monthly_data)))</f>
        <v>0</v>
      </c>
      <c r="C47">
        <v>0</v>
      </c>
      <c r="D47">
        <v>0</v>
      </c>
      <c r="E47">
        <f t="shared" si="1"/>
        <v>0</v>
      </c>
      <c r="F47">
        <f>IF(_xlfn.IFERROR(SUMIF('OS Analysis'!$B:$B,'Fannie Historical Ops'!$B$6,INDEX('OS Analysis'!$E:$P,0,MATCH(DATE($A$40,MONTH(DATEVALUE(A47&amp;" 1")),1),'OS Analysis'!$E$2:$P$2,0))),0)&lt;&gt;0,_xlfn.IFERROR(SUMIF('OS Analysis'!$B:$B,'Fannie Historical Ops'!$B$6,INDEX('OS Analysis'!$E:$P,0,MATCH(DATE($A$40,MONTH(DATEVALUE(A47&amp;" 1")),1),'OS Analysis'!$E$2:$P$2,0))),0),SUMIF('OS Analysis'!$AE:$AE,'Fannie Historical Ops'!$B$6,'OS Analysis'!$AM:$AM))</f>
        <v>0</v>
      </c>
      <c r="G47">
        <f t="shared" si="0"/>
        <v>0</v>
      </c>
      <c r="H47">
        <f>IF((_xlfn.IFERROR(SUMIF('OS Analysis'!$B:$B,"Less Concessions (income line item)",INDEX('OS Analysis'!$E:$P,0,MATCH(DATE($A$40,MONTH(DATEVALUE(A47&amp;" 1")),1),'OS Analysis'!$E$2:$P$2,0))),0))-(_xlfn.IFERROR(SUMIF('OS Analysis'!$B:$B,"Less Concessions (expense line item)",INDEX('OS Analysis'!$E:$P,0,MATCH(DATE($A$40,MONTH(DATEVALUE(A47&amp;" 1")),1),'OS Analysis'!$E$2:$P$2,0))),0))&lt;&gt;0,(_xlfn.IFERROR(SUMIF('OS Analysis'!$B:$B,"Less Concessions (income line item)",INDEX('OS Analysis'!$E:$P,0,MATCH(DATE($A$40,MONTH(DATEVALUE(A47&amp;" 1")),1),'OS Analysis'!$E$2:$P$2,0))),0))-(_xlfn.IFERROR(SUMIF('OS Analysis'!$B:$B,"Less Concessions (expense line item)",INDEX('OS Analysis'!$E:$P,0,MATCH(DATE($A$40,MONTH(DATEVALUE(A47&amp;" 1")),1),'OS Analysis'!$E$2:$P$2,0))),0)),SUMIF('OS Analysis'!$AE:$AE,"Less Concessions (income line item)",'OS Analysis'!$AM:$AM)-SUMIF('OS Analysis'!$AE:$AE,"Less Concessions (expense line item)",'OS Analysis'!$AM:$AM))</f>
        <v>0</v>
      </c>
      <c r="I47">
        <f t="shared" si="0"/>
        <v>0</v>
      </c>
      <c r="J47">
        <f>IF(_xlfn.IFERROR(SUMIF('OS Analysis'!$B:$B,'Fannie Historical Ops'!$B$7,INDEX('OS Analysis'!$E:$P,0,MATCH(DATE($A$40,MONTH(DATEVALUE(A47&amp;" 1")),1),'OS Analysis'!$E$2:$P$2,0))),0)&lt;&gt;0,_xlfn.IFERROR(SUMIF('OS Analysis'!$B:$B,'Fannie Historical Ops'!$B$7,INDEX('OS Analysis'!$E:$P,0,MATCH(DATE($A$40,MONTH(DATEVALUE(A47&amp;" 1")),1),'OS Analysis'!$E$2:$P$2,0))),0),SUMIF('OS Analysis'!$AE:$AE,'Fannie Historical Ops'!$B$7,'OS Analysis'!$AM:$AM))</f>
        <v>0</v>
      </c>
      <c r="K47">
        <f t="shared" si="0"/>
        <v>0</v>
      </c>
      <c r="L47">
        <f t="shared" si="2"/>
        <v>0</v>
      </c>
      <c r="M47">
        <f t="shared" si="3"/>
        <v>0</v>
      </c>
      <c r="O47">
        <v>0</v>
      </c>
      <c r="Q47">
        <f t="shared" si="4"/>
        <v>0</v>
      </c>
      <c r="R47">
        <f t="shared" si="5"/>
        <v>0</v>
      </c>
    </row>
    <row r="48" ht="15" customHeight="1">
      <c r="A48" t="s">
        <v>3033</v>
      </c>
      <c r="B48">
        <f>_xlfn.LET(_xlpm.comment,"get the Current T12's GPR by month if available; if not, get the prior year's GPR for the same month",_xlpm.os_current_yr_line_items,'OS Analysis'!$B:$B,_xlpm.gpr_line_item,'Fannie Historical Ops'!$B$5,_xlpm.os_year,$A$40,_xlpm.os_month,$A48,_xlpm.os_date,DATE(_xlpm.os_year,MONTH(DATEVALUE(_xlpm.os_month&amp;"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Analysis'!$AN:$AN,IF(_xlpm.current_yr_gpr_for_month&gt;0,_xlpm.current_yr_gpr_for_month,SUMIF(_xlpm.os_yr1_line_items,_xlpm.gpr_line_item,_xlpm.os_yr1_monthly_data)))</f>
        <v>0</v>
      </c>
      <c r="C48">
        <v>0</v>
      </c>
      <c r="D48">
        <v>0</v>
      </c>
      <c r="E48">
        <f t="shared" si="1"/>
        <v>0</v>
      </c>
      <c r="F48">
        <f>IF(_xlfn.IFERROR(SUMIF('OS Analysis'!$B:$B,'Fannie Historical Ops'!$B$6,INDEX('OS Analysis'!$E:$P,0,MATCH(DATE($A$40,MONTH(DATEVALUE(A48&amp;" 1")),1),'OS Analysis'!$E$2:$P$2,0))),0)&lt;&gt;0,_xlfn.IFERROR(SUMIF('OS Analysis'!$B:$B,'Fannie Historical Ops'!$B$6,INDEX('OS Analysis'!$E:$P,0,MATCH(DATE($A$40,MONTH(DATEVALUE(A48&amp;" 1")),1),'OS Analysis'!$E$2:$P$2,0))),0),SUMIF('OS Analysis'!$AE:$AE,'Fannie Historical Ops'!$B$6,'OS Analysis'!$AN:$AN))</f>
        <v>0</v>
      </c>
      <c r="G48">
        <f t="shared" si="0"/>
        <v>0</v>
      </c>
      <c r="H48">
        <f>IF((_xlfn.IFERROR(SUMIF('OS Analysis'!$B:$B,"Less Concessions (income line item)",INDEX('OS Analysis'!$E:$P,0,MATCH(DATE($A$40,MONTH(DATEVALUE(A48&amp;" 1")),1),'OS Analysis'!$E$2:$P$2,0))),0))-(_xlfn.IFERROR(SUMIF('OS Analysis'!$B:$B,"Less Concessions (expense line item)",INDEX('OS Analysis'!$E:$P,0,MATCH(DATE($A$40,MONTH(DATEVALUE(A48&amp;" 1")),1),'OS Analysis'!$E$2:$P$2,0))),0))&lt;&gt;0,(_xlfn.IFERROR(SUMIF('OS Analysis'!$B:$B,"Less Concessions (income line item)",INDEX('OS Analysis'!$E:$P,0,MATCH(DATE($A$40,MONTH(DATEVALUE(A48&amp;" 1")),1),'OS Analysis'!$E$2:$P$2,0))),0))-(_xlfn.IFERROR(SUMIF('OS Analysis'!$B:$B,"Less Concessions (expense line item)",INDEX('OS Analysis'!$E:$P,0,MATCH(DATE($A$40,MONTH(DATEVALUE(A48&amp;" 1")),1),'OS Analysis'!$E$2:$P$2,0))),0)),SUMIF('OS Analysis'!$AE:$AE,"Less Concessions (income line item)",'OS Analysis'!$AN:$AN)-SUMIF('OS Analysis'!$AE:$AE,"Less Concessions (expense line item)",'OS Analysis'!$AN:$AN))</f>
        <v>0</v>
      </c>
      <c r="I48">
        <f t="shared" si="0"/>
        <v>0</v>
      </c>
      <c r="J48">
        <f>IF(_xlfn.IFERROR(SUMIF('OS Analysis'!$B:$B,'Fannie Historical Ops'!$B$7,INDEX('OS Analysis'!$E:$P,0,MATCH(DATE($A$40,MONTH(DATEVALUE(A48&amp;" 1")),1),'OS Analysis'!$E$2:$P$2,0))),0)&lt;&gt;0,_xlfn.IFERROR(SUMIF('OS Analysis'!$B:$B,'Fannie Historical Ops'!$B$7,INDEX('OS Analysis'!$E:$P,0,MATCH(DATE($A$40,MONTH(DATEVALUE(A48&amp;" 1")),1),'OS Analysis'!$E$2:$P$2,0))),0),SUMIF('OS Analysis'!$AE:$AE,'Fannie Historical Ops'!$B$7,'OS Analysis'!$AN:$AN))</f>
        <v>0</v>
      </c>
      <c r="K48">
        <f t="shared" si="0"/>
        <v>0</v>
      </c>
      <c r="L48">
        <f t="shared" si="2"/>
        <v>0</v>
      </c>
      <c r="M48">
        <f t="shared" si="3"/>
        <v>0</v>
      </c>
      <c r="O48">
        <v>0</v>
      </c>
      <c r="Q48">
        <f t="shared" si="4"/>
        <v>0</v>
      </c>
      <c r="R48">
        <f t="shared" si="5"/>
        <v>0</v>
      </c>
    </row>
    <row r="49" ht="15" customHeight="1">
      <c r="A49" t="s">
        <v>3034</v>
      </c>
      <c r="B49">
        <f>_xlfn.LET(_xlpm.comment,"get the Current T12's GPR by month if available; if not, get the prior year's GPR for the same month",_xlpm.os_current_yr_line_items,'OS Analysis'!$B:$B,_xlpm.gpr_line_item,'Fannie Historical Ops'!$B$5,_xlpm.os_year,$A$40,_xlpm.os_month,$A49,_xlpm.os_date,DATE(_xlpm.os_year,MONTH(DATEVALUE(_xlpm.os_month&amp;"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Analysis'!$AO:$AO,IF(_xlpm.current_yr_gpr_for_month&gt;0,_xlpm.current_yr_gpr_for_month,SUMIF(_xlpm.os_yr1_line_items,_xlpm.gpr_line_item,_xlpm.os_yr1_monthly_data)))</f>
        <v>0</v>
      </c>
      <c r="C49">
        <v>0</v>
      </c>
      <c r="D49">
        <v>0</v>
      </c>
      <c r="E49">
        <f t="shared" si="1"/>
        <v>0</v>
      </c>
      <c r="F49">
        <f>IF(_xlfn.IFERROR(SUMIF('OS Analysis'!$B:$B,'Fannie Historical Ops'!$B$6,INDEX('OS Analysis'!$E:$P,0,MATCH(DATE($A$40,MONTH(DATEVALUE(A49&amp;" 1")),1),'OS Analysis'!$E$2:$P$2,0))),0)&lt;&gt;0,_xlfn.IFERROR(SUMIF('OS Analysis'!$B:$B,'Fannie Historical Ops'!$B$6,INDEX('OS Analysis'!$E:$P,0,MATCH(DATE($A$40,MONTH(DATEVALUE(A49&amp;" 1")),1),'OS Analysis'!$E$2:$P$2,0))),0),SUMIF('OS Analysis'!$AE:$AE,'Fannie Historical Ops'!$B$6,'OS Analysis'!$AO:$AO))</f>
        <v>0</v>
      </c>
      <c r="G49">
        <f t="shared" si="0"/>
        <v>0</v>
      </c>
      <c r="H49">
        <f>IF((_xlfn.IFERROR(SUMIF('OS Analysis'!$B:$B,"Less Concessions (income line item)",INDEX('OS Analysis'!$E:$P,0,MATCH(DATE($A$40,MONTH(DATEVALUE(A49&amp;" 1")),1),'OS Analysis'!$E$2:$P$2,0))),0))-(_xlfn.IFERROR(SUMIF('OS Analysis'!$B:$B,"Less Concessions (expense line item)",INDEX('OS Analysis'!$E:$P,0,MATCH(DATE($A$40,MONTH(DATEVALUE(A49&amp;" 1")),1),'OS Analysis'!$E$2:$P$2,0))),0))&lt;&gt;0,(_xlfn.IFERROR(SUMIF('OS Analysis'!$B:$B,"Less Concessions (income line item)",INDEX('OS Analysis'!$E:$P,0,MATCH(DATE($A$40,MONTH(DATEVALUE(A49&amp;" 1")),1),'OS Analysis'!$E$2:$P$2,0))),0))-(_xlfn.IFERROR(SUMIF('OS Analysis'!$B:$B,"Less Concessions (expense line item)",INDEX('OS Analysis'!$E:$P,0,MATCH(DATE($A$40,MONTH(DATEVALUE(A49&amp;" 1")),1),'OS Analysis'!$E$2:$P$2,0))),0)),SUMIF('OS Analysis'!$AE:$AE,"Less Concessions (income line item)",'OS Analysis'!$AO:$AO)-SUMIF('OS Analysis'!$AE:$AE,"Less Concessions (expense line item)",'OS Analysis'!$AO:$AO))</f>
        <v>0</v>
      </c>
      <c r="I49">
        <f t="shared" si="0"/>
        <v>0</v>
      </c>
      <c r="J49">
        <f>IF(_xlfn.IFERROR(SUMIF('OS Analysis'!$B:$B,'Fannie Historical Ops'!$B$7,INDEX('OS Analysis'!$E:$P,0,MATCH(DATE($A$40,MONTH(DATEVALUE(A49&amp;" 1")),1),'OS Analysis'!$E$2:$P$2,0))),0)&lt;&gt;0,_xlfn.IFERROR(SUMIF('OS Analysis'!$B:$B,'Fannie Historical Ops'!$B$7,INDEX('OS Analysis'!$E:$P,0,MATCH(DATE($A$40,MONTH(DATEVALUE(A49&amp;" 1")),1),'OS Analysis'!$E$2:$P$2,0))),0),SUMIF('OS Analysis'!$AE:$AE,'Fannie Historical Ops'!$B$7,'OS Analysis'!$AO:$AO))</f>
        <v>0</v>
      </c>
      <c r="K49">
        <f t="shared" si="0"/>
        <v>0</v>
      </c>
      <c r="L49">
        <f t="shared" si="2"/>
        <v>0</v>
      </c>
      <c r="M49">
        <f t="shared" si="3"/>
        <v>0</v>
      </c>
      <c r="O49">
        <v>0</v>
      </c>
      <c r="Q49">
        <f t="shared" si="4"/>
        <v>0</v>
      </c>
      <c r="R49">
        <f t="shared" si="5"/>
        <v>0</v>
      </c>
    </row>
    <row r="50" ht="15" customHeight="1">
      <c r="A50" t="s">
        <v>3035</v>
      </c>
      <c r="B50">
        <f>_xlfn.LET(_xlpm.comment,"get the Current T12's GPR by month if available; if not, get the prior year's GPR for the same month",_xlpm.os_current_yr_line_items,'OS Analysis'!$B:$B,_xlpm.gpr_line_item,'Fannie Historical Ops'!$B$5,_xlpm.os_year,$A$40,_xlpm.os_month,$A50,_xlpm.os_date,DATE(_xlpm.os_year,MONTH(DATEVALUE(_xlpm.os_month&amp;"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Analysis'!$AP:$AP,IF(_xlpm.current_yr_gpr_for_month&gt;0,_xlpm.current_yr_gpr_for_month,SUMIF(_xlpm.os_yr1_line_items,_xlpm.gpr_line_item,_xlpm.os_yr1_monthly_data)))</f>
        <v>0</v>
      </c>
      <c r="C50">
        <v>0</v>
      </c>
      <c r="D50">
        <v>0</v>
      </c>
      <c r="E50">
        <f t="shared" si="1"/>
        <v>0</v>
      </c>
      <c r="F50">
        <f>IF(_xlfn.IFERROR(SUMIF('OS Analysis'!$B:$B,'Fannie Historical Ops'!$B$6,INDEX('OS Analysis'!$E:$P,0,MATCH(DATE($A$40,MONTH(DATEVALUE(A50&amp;" 1")),1),'OS Analysis'!$E$2:$P$2,0))),0)&lt;&gt;0,_xlfn.IFERROR(SUMIF('OS Analysis'!$B:$B,'Fannie Historical Ops'!$B$6,INDEX('OS Analysis'!$E:$P,0,MATCH(DATE($A$40,MONTH(DATEVALUE(A50&amp;" 1")),1),'OS Analysis'!$E$2:$P$2,0))),0),SUMIF('OS Analysis'!$AE:$AE,'Fannie Historical Ops'!$B$6,'OS Analysis'!$AP:$AP))</f>
        <v>0</v>
      </c>
      <c r="G50">
        <f t="shared" si="0"/>
        <v>0</v>
      </c>
      <c r="H50">
        <f>IF((_xlfn.IFERROR(SUMIF('OS Analysis'!$B:$B,"Less Concessions (income line item)",INDEX('OS Analysis'!$E:$P,0,MATCH(DATE($A$40,MONTH(DATEVALUE(A50&amp;" 1")),1),'OS Analysis'!$E$2:$P$2,0))),0))-(_xlfn.IFERROR(SUMIF('OS Analysis'!$B:$B,"Less Concessions (expense line item)",INDEX('OS Analysis'!$E:$P,0,MATCH(DATE($A$40,MONTH(DATEVALUE(A50&amp;" 1")),1),'OS Analysis'!$E$2:$P$2,0))),0))&lt;&gt;0,(_xlfn.IFERROR(SUMIF('OS Analysis'!$B:$B,"Less Concessions (income line item)",INDEX('OS Analysis'!$E:$P,0,MATCH(DATE($A$40,MONTH(DATEVALUE(A50&amp;" 1")),1),'OS Analysis'!$E$2:$P$2,0))),0))-(_xlfn.IFERROR(SUMIF('OS Analysis'!$B:$B,"Less Concessions (expense line item)",INDEX('OS Analysis'!$E:$P,0,MATCH(DATE($A$40,MONTH(DATEVALUE(A50&amp;" 1")),1),'OS Analysis'!$E$2:$P$2,0))),0)),SUMIF('OS Analysis'!$AE:$AE,"Less Concessions (income line item)",'OS Analysis'!$AP:$AP)-SUMIF('OS Analysis'!$AE:$AE,"Less Concessions (expense line item)",'OS Analysis'!$AP:$AP))</f>
        <v>0</v>
      </c>
      <c r="I50">
        <f t="shared" si="0"/>
        <v>0</v>
      </c>
      <c r="J50">
        <f>IF(_xlfn.IFERROR(SUMIF('OS Analysis'!$B:$B,'Fannie Historical Ops'!$B$7,INDEX('OS Analysis'!$E:$P,0,MATCH(DATE($A$40,MONTH(DATEVALUE(A50&amp;" 1")),1),'OS Analysis'!$E$2:$P$2,0))),0)&lt;&gt;0,_xlfn.IFERROR(SUMIF('OS Analysis'!$B:$B,'Fannie Historical Ops'!$B$7,INDEX('OS Analysis'!$E:$P,0,MATCH(DATE($A$40,MONTH(DATEVALUE(A50&amp;" 1")),1),'OS Analysis'!$E$2:$P$2,0))),0),SUMIF('OS Analysis'!$AE:$AE,'Fannie Historical Ops'!$B$7,'OS Analysis'!$AP:$AP))</f>
        <v>0</v>
      </c>
      <c r="K50">
        <f t="shared" si="0"/>
        <v>0</v>
      </c>
      <c r="L50">
        <f t="shared" si="2"/>
        <v>0</v>
      </c>
      <c r="M50">
        <f t="shared" si="3"/>
        <v>0</v>
      </c>
      <c r="O50">
        <v>0</v>
      </c>
      <c r="Q50">
        <f t="shared" si="4"/>
        <v>0</v>
      </c>
      <c r="R50">
        <f t="shared" si="5"/>
        <v>0</v>
      </c>
    </row>
    <row r="51" ht="15" customHeight="1">
      <c r="A51" t="s">
        <v>3036</v>
      </c>
      <c r="B51">
        <f>_xlfn.LET(_xlpm.comment,"get the Current T12's GPR by month if available; if not, get the prior year's GPR for the same month",_xlpm.os_current_yr_line_items,'OS Analysis'!$B:$B,_xlpm.gpr_line_item,'Fannie Historical Ops'!$B$5,_xlpm.os_year,$A$40,_xlpm.os_month,$A51,_xlpm.os_date,DATE(_xlpm.os_year,MONTH(DATEVALUE(_xlpm.os_month&amp;"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Analysis'!$AQ:$AQ,IF(_xlpm.current_yr_gpr_for_month&gt;0,_xlpm.current_yr_gpr_for_month,SUMIF(_xlpm.os_yr1_line_items,_xlpm.gpr_line_item,_xlpm.os_yr1_monthly_data)))</f>
        <v>423358</v>
      </c>
      <c r="C51">
        <v>0</v>
      </c>
      <c r="D51">
        <v>0</v>
      </c>
      <c r="E51">
        <f t="shared" si="1"/>
        <v>423358</v>
      </c>
      <c r="F51">
        <f>IF(_xlfn.IFERROR(SUMIF('OS Analysis'!$B:$B,'Fannie Historical Ops'!$B$6,INDEX('OS Analysis'!$E:$P,0,MATCH(DATE($A$40,MONTH(DATEVALUE(A51&amp;" 1")),1),'OS Analysis'!$E$2:$P$2,0))),0)&lt;&gt;0,_xlfn.IFERROR(SUMIF('OS Analysis'!$B:$B,'Fannie Historical Ops'!$B$6,INDEX('OS Analysis'!$E:$P,0,MATCH(DATE($A$40,MONTH(DATEVALUE(A51&amp;" 1")),1),'OS Analysis'!$E$2:$P$2,0))),0),SUMIF('OS Analysis'!$AE:$AE,'Fannie Historical Ops'!$B$6,'OS Analysis'!$AQ:$AQ))</f>
        <v>-15246</v>
      </c>
      <c r="G51">
        <f t="shared" si="0"/>
        <v>-0.03601207488697509</v>
      </c>
      <c r="H51">
        <f>IF((_xlfn.IFERROR(SUMIF('OS Analysis'!$B:$B,"Less Concessions (income line item)",INDEX('OS Analysis'!$E:$P,0,MATCH(DATE($A$40,MONTH(DATEVALUE(A51&amp;" 1")),1),'OS Analysis'!$E$2:$P$2,0))),0))-(_xlfn.IFERROR(SUMIF('OS Analysis'!$B:$B,"Less Concessions (expense line item)",INDEX('OS Analysis'!$E:$P,0,MATCH(DATE($A$40,MONTH(DATEVALUE(A51&amp;" 1")),1),'OS Analysis'!$E$2:$P$2,0))),0))&lt;&gt;0,(_xlfn.IFERROR(SUMIF('OS Analysis'!$B:$B,"Less Concessions (income line item)",INDEX('OS Analysis'!$E:$P,0,MATCH(DATE($A$40,MONTH(DATEVALUE(A51&amp;" 1")),1),'OS Analysis'!$E$2:$P$2,0))),0))-(_xlfn.IFERROR(SUMIF('OS Analysis'!$B:$B,"Less Concessions (expense line item)",INDEX('OS Analysis'!$E:$P,0,MATCH(DATE($A$40,MONTH(DATEVALUE(A51&amp;" 1")),1),'OS Analysis'!$E$2:$P$2,0))),0)),SUMIF('OS Analysis'!$AE:$AE,"Less Concessions (income line item)",'OS Analysis'!$AQ:$AQ)-SUMIF('OS Analysis'!$AE:$AE,"Less Concessions (expense line item)",'OS Analysis'!$AQ:$AQ))</f>
        <v>0</v>
      </c>
      <c r="I51">
        <f t="shared" si="0"/>
        <v>0</v>
      </c>
      <c r="J51">
        <f>IF(_xlfn.IFERROR(SUMIF('OS Analysis'!$B:$B,'Fannie Historical Ops'!$B$7,INDEX('OS Analysis'!$E:$P,0,MATCH(DATE($A$40,MONTH(DATEVALUE(A51&amp;" 1")),1),'OS Analysis'!$E$2:$P$2,0))),0)&lt;&gt;0,_xlfn.IFERROR(SUMIF('OS Analysis'!$B:$B,'Fannie Historical Ops'!$B$7,INDEX('OS Analysis'!$E:$P,0,MATCH(DATE($A$40,MONTH(DATEVALUE(A51&amp;" 1")),1),'OS Analysis'!$E$2:$P$2,0))),0),SUMIF('OS Analysis'!$AE:$AE,'Fannie Historical Ops'!$B$7,'OS Analysis'!$AQ:$AQ))</f>
        <v>21</v>
      </c>
      <c r="K51">
        <f t="shared" si="0"/>
        <v>0.000049603408935227395</v>
      </c>
      <c r="L51">
        <f t="shared" si="2"/>
        <v>0.9640375285219601</v>
      </c>
      <c r="M51">
        <f t="shared" si="3"/>
        <v>408133</v>
      </c>
      <c r="O51">
        <v>0</v>
      </c>
      <c r="Q51">
        <f t="shared" si="4"/>
        <v>0.9640375285219601</v>
      </c>
      <c r="R51">
        <f t="shared" si="5"/>
        <v>408133</v>
      </c>
    </row>
    <row r="52" ht="15" customHeight="1">
      <c r="A52" t="s">
        <v>3037</v>
      </c>
      <c r="B52">
        <f>_xlfn.LET(_xlpm.comment,"get the Current T12's GPR by month if available; if not, get the prior year's GPR for the same month",_xlpm.os_current_yr_line_items,'OS Analysis'!$B:$B,_xlpm.gpr_line_item,'Fannie Historical Ops'!$B$5,_xlpm.os_year,$A$40,_xlpm.os_month,$A52,_xlpm.os_date,DATE(_xlpm.os_year,MONTH(DATEVALUE(_xlpm.os_month&amp;"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Analysis'!$AR:$AR,IF(_xlpm.current_yr_gpr_for_month&gt;0,_xlpm.current_yr_gpr_for_month,SUMIF(_xlpm.os_yr1_line_items,_xlpm.gpr_line_item,_xlpm.os_yr1_monthly_data)))</f>
        <v>421974</v>
      </c>
      <c r="C52">
        <v>0</v>
      </c>
      <c r="D52">
        <v>0</v>
      </c>
      <c r="E52">
        <f t="shared" si="1"/>
        <v>421974</v>
      </c>
      <c r="F52">
        <f>IF(_xlfn.IFERROR(SUMIF('OS Analysis'!$B:$B,'Fannie Historical Ops'!$B$6,INDEX('OS Analysis'!$E:$P,0,MATCH(DATE($A$40,MONTH(DATEVALUE(A52&amp;" 1")),1),'OS Analysis'!$E$2:$P$2,0))),0)&lt;&gt;0,_xlfn.IFERROR(SUMIF('OS Analysis'!$B:$B,'Fannie Historical Ops'!$B$6,INDEX('OS Analysis'!$E:$P,0,MATCH(DATE($A$40,MONTH(DATEVALUE(A52&amp;" 1")),1),'OS Analysis'!$E$2:$P$2,0))),0),SUMIF('OS Analysis'!$AE:$AE,'Fannie Historical Ops'!$B$6,'OS Analysis'!$AR:$AR))</f>
        <v>-20081</v>
      </c>
      <c r="G52">
        <f t="shared" si="0"/>
        <v>-0.047588240033746156</v>
      </c>
      <c r="H52">
        <f>IF((_xlfn.IFERROR(SUMIF('OS Analysis'!$B:$B,"Less Concessions (income line item)",INDEX('OS Analysis'!$E:$P,0,MATCH(DATE($A$40,MONTH(DATEVALUE(A52&amp;" 1")),1),'OS Analysis'!$E$2:$P$2,0))),0))-(_xlfn.IFERROR(SUMIF('OS Analysis'!$B:$B,"Less Concessions (expense line item)",INDEX('OS Analysis'!$E:$P,0,MATCH(DATE($A$40,MONTH(DATEVALUE(A52&amp;" 1")),1),'OS Analysis'!$E$2:$P$2,0))),0))&lt;&gt;0,(_xlfn.IFERROR(SUMIF('OS Analysis'!$B:$B,"Less Concessions (income line item)",INDEX('OS Analysis'!$E:$P,0,MATCH(DATE($A$40,MONTH(DATEVALUE(A52&amp;" 1")),1),'OS Analysis'!$E$2:$P$2,0))),0))-(_xlfn.IFERROR(SUMIF('OS Analysis'!$B:$B,"Less Concessions (expense line item)",INDEX('OS Analysis'!$E:$P,0,MATCH(DATE($A$40,MONTH(DATEVALUE(A52&amp;" 1")),1),'OS Analysis'!$E$2:$P$2,0))),0)),SUMIF('OS Analysis'!$AE:$AE,"Less Concessions (income line item)",'OS Analysis'!$AR:$AR)-SUMIF('OS Analysis'!$AE:$AE,"Less Concessions (expense line item)",'OS Analysis'!$AR:$AR))</f>
        <v>0</v>
      </c>
      <c r="I52">
        <f t="shared" si="0"/>
        <v>0</v>
      </c>
      <c r="J52">
        <f>IF(_xlfn.IFERROR(SUMIF('OS Analysis'!$B:$B,'Fannie Historical Ops'!$B$7,INDEX('OS Analysis'!$E:$P,0,MATCH(DATE($A$40,MONTH(DATEVALUE(A52&amp;" 1")),1),'OS Analysis'!$E$2:$P$2,0))),0)&lt;&gt;0,_xlfn.IFERROR(SUMIF('OS Analysis'!$B:$B,'Fannie Historical Ops'!$B$7,INDEX('OS Analysis'!$E:$P,0,MATCH(DATE($A$40,MONTH(DATEVALUE(A52&amp;" 1")),1),'OS Analysis'!$E$2:$P$2,0))),0),SUMIF('OS Analysis'!$AE:$AE,'Fannie Historical Ops'!$B$7,'OS Analysis'!$AR:$AR))</f>
        <v>327</v>
      </c>
      <c r="K52">
        <f t="shared" si="0"/>
        <v>0.0007749292610445194</v>
      </c>
      <c r="L52">
        <f t="shared" si="2"/>
        <v>0.9531866892272983</v>
      </c>
      <c r="M52">
        <f t="shared" si="3"/>
        <v>402220</v>
      </c>
      <c r="O52">
        <v>0</v>
      </c>
      <c r="Q52">
        <f t="shared" si="4"/>
        <v>0.9531866892272983</v>
      </c>
      <c r="R52">
        <f t="shared" si="5"/>
        <v>402220</v>
      </c>
    </row>
    <row r="53" ht="15.75" customHeight="1">
      <c r="A53" t="s">
        <v>3038</v>
      </c>
      <c r="B53">
        <f>_xlfn.LET(_xlpm.comment,"get the Current T12's GPR by month if available; if not, get the prior year's GPR for the same month",_xlpm.os_current_yr_line_items,'OS Analysis'!$B:$B,_xlpm.gpr_line_item,'Fannie Historical Ops'!$B$5,_xlpm.os_year,$A$40,_xlpm.os_month,$A53,_xlpm.os_date,DATE(_xlpm.os_year,MONTH(DATEVALUE(_xlpm.os_month&amp;" 1")),1),_xlpm.os_current_yr_monthly_data,'OS Analysis'!$E:$P,_xlpm.os_month_dates,'OS Analysis'!$E$2:$P$2,_xlpm.current_yr_gpr_for_month,_xlfn.IFERROR(SUMIF(_xlpm.os_current_yr_line_items,_xlpm.gpr_line_item,INDEX(_xlpm.os_current_yr_monthly_data,0,MATCH(_xlpm.os_date,_xlpm.os_month_dates,0))),0),_xlpm.os_yr1_line_items,'OS Analysis'!$AE:$AE,_xlpm.os_yr1_monthly_data,'OS Analysis'!$AS:$AS,IF(_xlpm.current_yr_gpr_for_month&gt;0,_xlpm.current_yr_gpr_for_month,SUMIF(_xlpm.os_yr1_line_items,_xlpm.gpr_line_item,_xlpm.os_yr1_monthly_data)))</f>
        <v>391571</v>
      </c>
      <c r="C53">
        <v>0</v>
      </c>
      <c r="D53">
        <v>0</v>
      </c>
      <c r="E53">
        <f t="shared" si="1"/>
        <v>391571</v>
      </c>
      <c r="F53">
        <f>IF(_xlfn.IFERROR(SUMIF('OS Analysis'!$B:$B,'Fannie Historical Ops'!$B$6,INDEX('OS Analysis'!$E:$P,0,MATCH(DATE($A$40,MONTH(DATEVALUE(A53&amp;" 1")),1),'OS Analysis'!$E$2:$P$2,0))),0)&lt;&gt;0,_xlfn.IFERROR(SUMIF('OS Analysis'!$B:$B,'Fannie Historical Ops'!$B$6,INDEX('OS Analysis'!$E:$P,0,MATCH(DATE($A$40,MONTH(DATEVALUE(A53&amp;" 1")),1),'OS Analysis'!$E$2:$P$2,0))),0),SUMIF('OS Analysis'!$AE:$AE,'Fannie Historical Ops'!$B$6,'OS Analysis'!$AS:$AS))</f>
        <v>-15238</v>
      </c>
      <c r="G53">
        <f t="shared" si="0"/>
        <v>-0.03891503711970498</v>
      </c>
      <c r="H53">
        <f>IF((_xlfn.IFERROR(SUMIF('OS Analysis'!$B:$B,"Less Concessions (income line item)",INDEX('OS Analysis'!$E:$P,0,MATCH(DATE($A$40,MONTH(DATEVALUE(A53&amp;" 1")),1),'OS Analysis'!$E$2:$P$2,0))),0))-(_xlfn.IFERROR(SUMIF('OS Analysis'!$B:$B,"Less Concessions (expense line item)",INDEX('OS Analysis'!$E:$P,0,MATCH(DATE($A$40,MONTH(DATEVALUE(A53&amp;" 1")),1),'OS Analysis'!$E$2:$P$2,0))),0))&lt;&gt;0,(_xlfn.IFERROR(SUMIF('OS Analysis'!$B:$B,"Less Concessions (income line item)",INDEX('OS Analysis'!$E:$P,0,MATCH(DATE($A$40,MONTH(DATEVALUE(A53&amp;" 1")),1),'OS Analysis'!$E$2:$P$2,0))),0))-(_xlfn.IFERROR(SUMIF('OS Analysis'!$B:$B,"Less Concessions (expense line item)",INDEX('OS Analysis'!$E:$P,0,MATCH(DATE($A$40,MONTH(DATEVALUE(A53&amp;" 1")),1),'OS Analysis'!$E$2:$P$2,0))),0)),SUMIF('OS Analysis'!$AE:$AE,"Less Concessions (income line item)",'OS Analysis'!$AS:$AS)-SUMIF('OS Analysis'!$AE:$AE,"Less Concessions (expense line item)",'OS Analysis'!$AS:$AS))</f>
        <v>0</v>
      </c>
      <c r="I53">
        <f t="shared" si="0"/>
        <v>0</v>
      </c>
      <c r="J53">
        <f>IF(_xlfn.IFERROR(SUMIF('OS Analysis'!$B:$B,'Fannie Historical Ops'!$B$7,INDEX('OS Analysis'!$E:$P,0,MATCH(DATE($A$40,MONTH(DATEVALUE(A53&amp;" 1")),1),'OS Analysis'!$E$2:$P$2,0))),0)&lt;&gt;0,_xlfn.IFERROR(SUMIF('OS Analysis'!$B:$B,'Fannie Historical Ops'!$B$7,INDEX('OS Analysis'!$E:$P,0,MATCH(DATE($A$40,MONTH(DATEVALUE(A53&amp;" 1")),1),'OS Analysis'!$E$2:$P$2,0))),0),SUMIF('OS Analysis'!$AE:$AE,'Fannie Historical Ops'!$B$7,'OS Analysis'!$AS:$AS))</f>
        <v>-2555</v>
      </c>
      <c r="K53">
        <f t="shared" si="0"/>
        <v>-0.006524998020793164</v>
      </c>
      <c r="L53">
        <f t="shared" si="2"/>
        <v>0.9545599648595019</v>
      </c>
      <c r="M53">
        <f t="shared" si="3"/>
        <v>373778</v>
      </c>
      <c r="O53">
        <v>0</v>
      </c>
      <c r="Q53">
        <f t="shared" si="4"/>
        <v>0.9545599648595019</v>
      </c>
      <c r="R53">
        <f t="shared" si="5"/>
        <v>373778</v>
      </c>
    </row>
    <row r="54" ht="15.75" customHeight="1">
      <c r="A54" t="s">
        <v>2968</v>
      </c>
      <c r="B54">
        <f t="shared" si="6"/>
        <v>1236903</v>
      </c>
      <c r="C54">
        <f t="shared" si="6"/>
        <v>0</v>
      </c>
      <c r="D54">
        <f t="shared" si="6"/>
        <v>0</v>
      </c>
      <c r="E54">
        <f t="shared" si="1"/>
        <v>1236903</v>
      </c>
      <c r="F54">
        <f t="shared" si="6"/>
        <v>-50565</v>
      </c>
      <c r="G54">
        <f t="shared" si="0"/>
        <v>-0.040880327721737275</v>
      </c>
      <c r="H54">
        <f t="shared" si="6"/>
        <v>0</v>
      </c>
      <c r="I54">
        <f t="shared" si="0"/>
        <v>0</v>
      </c>
      <c r="J54">
        <f t="shared" si="6"/>
        <v>-2207</v>
      </c>
      <c r="K54">
        <f t="shared" si="0"/>
        <v>-0.0017842951306610139</v>
      </c>
      <c r="L54">
        <f t="shared" si="2"/>
        <v>0.9573353771476018</v>
      </c>
      <c r="M54">
        <f t="shared" si="3"/>
        <v>1184131</v>
      </c>
      <c r="O54">
        <f t="shared" si="6"/>
        <v>0</v>
      </c>
      <c r="P54">
        <f t="shared" si="8"/>
      </c>
      <c r="Q54">
        <f t="shared" si="4"/>
        <v>0.9573353771476018</v>
      </c>
      <c r="R54">
        <f t="shared" si="5"/>
        <v>1184131</v>
      </c>
    </row>
    <row r="55" ht="15" customHeight="1">
      <c r="B55">
        <f>'Fannie Historical Ops'!H5</f>
        <v>0</v>
      </c>
      <c r="F55">
        <f>'Fannie Historical Ops'!H6</f>
        <v>0</v>
      </c>
      <c r="H55">
        <f>'Fannie Historical Ops'!H8</f>
        <v>0</v>
      </c>
      <c r="J55">
        <f>'Fannie Historical Ops'!H7</f>
        <v>0</v>
      </c>
    </row>
    <row r="56" ht="15" customHeight="1">
      <c r="A56">
        <f>A40+1</f>
        <v>2022</v>
      </c>
      <c r="B56" t="str">
        <f t="shared" si="10" ref="B56:R57">B4</f>
        <v>Report</v>
      </c>
      <c r="C56" t="str">
        <f t="shared" si="10"/>
        <v>Add Back</v>
      </c>
      <c r="D56" t="str">
        <f t="shared" si="10"/>
        <v>Add Back</v>
      </c>
      <c r="G56" t="s">
        <v>3014</v>
      </c>
      <c r="I56" t="str">
        <f t="shared" si="10"/>
        <v>% of </v>
      </c>
      <c r="K56" t="str">
        <f t="shared" si="10"/>
        <v>% of </v>
      </c>
      <c r="L56" t="str">
        <f t="shared" si="10"/>
        <v>Economic</v>
      </c>
      <c r="M56" t="str">
        <f t="shared" si="10"/>
        <v>Net Rental</v>
      </c>
      <c r="O56" t="str">
        <f t="shared" si="10"/>
        <v>"X"</v>
      </c>
      <c r="P56" t="str">
        <f t="shared" si="10"/>
        <v>Adjusted</v>
      </c>
      <c r="Q56" t="str">
        <f t="shared" si="10"/>
        <v>Adj. Economic</v>
      </c>
      <c r="R56" t="str">
        <f t="shared" si="10"/>
        <v>Adjusted NRI</v>
      </c>
    </row>
    <row r="57" ht="15" customHeight="1">
      <c r="B57" t="str">
        <f t="shared" si="10"/>
        <v>GPR</v>
      </c>
      <c r="C57" t="str">
        <f t="shared" si="10"/>
        <v>Model/Office</v>
      </c>
      <c r="D57" t="str">
        <f t="shared" si="10"/>
        <v>Employee</v>
      </c>
      <c r="E57" t="str">
        <f>B5</f>
        <v>GPR</v>
      </c>
      <c r="F57" t="str">
        <f t="shared" si="10"/>
        <v>Vacancy</v>
      </c>
      <c r="G57" t="s">
        <v>3020</v>
      </c>
      <c r="H57" t="str">
        <f t="shared" si="10"/>
        <v>Concessions</v>
      </c>
      <c r="I57" t="str">
        <f t="shared" si="10"/>
        <v>GPR</v>
      </c>
      <c r="J57" t="str">
        <f t="shared" si="10"/>
        <v>Bad Debt</v>
      </c>
      <c r="K57" t="str">
        <f t="shared" si="10"/>
        <v>GPR</v>
      </c>
      <c r="L57" t="str">
        <f t="shared" si="10"/>
        <v>Occupancy</v>
      </c>
      <c r="M57" t="str">
        <f t="shared" si="10"/>
        <v>Collections</v>
      </c>
      <c r="O57" t="str">
        <f t="shared" si="10"/>
        <v>Adjustment</v>
      </c>
      <c r="P57" t="str">
        <f t="shared" si="10"/>
        <v>Bad Debt</v>
      </c>
      <c r="Q57" t="str">
        <f t="shared" si="10"/>
        <v>Occupancy</v>
      </c>
      <c r="R57" t="str">
        <f t="shared" si="10"/>
        <v>Collections</v>
      </c>
      <c r="AG57" t="s">
        <v>3039</v>
      </c>
      <c r="AI57" t="s">
        <v>3020</v>
      </c>
      <c r="AJ57" t="s">
        <v>1742</v>
      </c>
      <c r="AK57" t="s">
        <v>3040</v>
      </c>
      <c r="AL57" t="s">
        <v>3041</v>
      </c>
    </row>
    <row r="58" ht="15" customHeight="1">
      <c r="A58" t="s">
        <v>3027</v>
      </c>
      <c r="B58">
        <f>_xlfn.IFERROR(SUMIF('OS Analysis'!$B:$B,'Fannie Historical Ops'!$B$5,INDEX('OS Analysis'!$E:$P,0,MATCH(DATE($A$56,MONTH(DATEVALUE(A58&amp;" 1")),1),'OS Analysis'!$E$2:$P$2,0))),0)</f>
        <v>420163</v>
      </c>
      <c r="C58">
        <v>0</v>
      </c>
      <c r="D58">
        <v>0</v>
      </c>
      <c r="E58">
        <f t="shared" si="1"/>
        <v>420163</v>
      </c>
      <c r="F58">
        <f>_xlfn.IFERROR(SUMIF('OS Analysis'!$B:$B,'Fannie Historical Ops'!$B$6,INDEX('OS Analysis'!$E:$P,0,MATCH(DATE($A$56,MONTH(DATEVALUE(A58&amp;" 1")),1),'OS Analysis'!$E$2:$P$2,0))),0)</f>
        <v>-23382</v>
      </c>
      <c r="G58">
        <f t="shared" si="0"/>
        <v>-0.055649831136963514</v>
      </c>
      <c r="H58">
        <f>(_xlfn.IFERROR(SUMIF('OS Analysis'!$B:$B,"Less Concessions (income line item)",INDEX('OS Analysis'!$E:$P,0,MATCH(DATE($A$56,MONTH(DATEVALUE(A58&amp;" 1")),1),'OS Analysis'!$E$2:$P$2,0))),0))-(_xlfn.IFERROR(SUMIF('OS Analysis'!$B:$B,"Less Concessions (expense line item)",INDEX('OS Analysis'!$E:$P,0,MATCH(DATE($A$56,MONTH(DATEVALUE(A58&amp;" 1")),1),'OS Analysis'!$E$2:$P$2,0))),0))</f>
        <v>0</v>
      </c>
      <c r="I58">
        <f t="shared" si="0"/>
        <v>0</v>
      </c>
      <c r="J58">
        <f>_xlfn.IFERROR(SUMIF('OS Analysis'!$B:$B,'Fannie Historical Ops'!$B$7,INDEX('OS Analysis'!$E:$P,0,MATCH(DATE($A$56,MONTH(DATEVALUE(A58&amp;" 1")),1),'OS Analysis'!$E$2:$P$2,0))),0)</f>
        <v>-6240</v>
      </c>
      <c r="K58">
        <f t="shared" si="0"/>
        <v>-0.014851379107632038</v>
      </c>
      <c r="L58">
        <f t="shared" si="2"/>
        <v>0.9294987897554045</v>
      </c>
      <c r="M58">
        <f t="shared" si="3"/>
        <v>390541</v>
      </c>
      <c r="O58">
        <v>0</v>
      </c>
      <c r="Q58">
        <f t="shared" si="4"/>
        <v>0.9294987897554045</v>
      </c>
      <c r="R58">
        <f t="shared" si="5"/>
        <v>390541</v>
      </c>
      <c r="AG58">
        <f t="shared" si="11" ref="AG58:AG68">IF(AND(R58&lt;&gt;0,R59=0),"Last","")</f>
      </c>
      <c r="AH58" t="s">
        <v>3042</v>
      </c>
      <c r="AI58">
        <f>IF(AG69="Last",E69,IF(AG68="Last",E68,IF(AG67="Last",E67,IF(AG66="Last",E66,IF(AG65="Last",E65,IF(AG64="Last",E64,IF(AG63="Last",E63,IF(AG62="Last",E62,IF(AG61="Last",E61,IF(AG60="Last",E60,IF(AG59="Last",E59,IF(AG58="Last",E58,""))))))))))))</f>
        <v>426092</v>
      </c>
      <c r="AJ58">
        <f>IF(AG69="Last",F69,IF(AG68="Last",F68,IF(AG67="Last",F67,IF(AG66="Last",F66,IF(AG65="Last",F65,IF(AG64="Last",F64,IF(AG63="Last",F63,IF(AG62="Last",F62,IF(AG61="Last",F61,IF(AG60="Last",F60,IF(AG59="Last",F59,IF(AG58="Last",F58,""))))))))))))</f>
        <v>-19131</v>
      </c>
      <c r="AK58">
        <f>IF(AG69="Last",M69,IF(AG68="Last",M68,IF(AG67="Last",M67,IF(AG66="Last",M66,IF(AG65="Last",M65,IF(AG64="Last",M64,IF(AG63="Last",M63,IF(AG62="Last",M62,IF(AG61="Last",M61,IF(AG60="Last",M60,IF(AG59="Last",M59,IF(AG58="Last",M58,""))))))))))))</f>
        <v>401951</v>
      </c>
      <c r="AL58">
        <f>IF(AG69="Last",R69,IF(AG68="Last",R68,IF(AG67="Last",R67,IF(AG66="Last",R66,IF(AG65="Last",R65,IF(AG64="Last",R64,IF(AG63="Last",R63,IF(AG62="Last",R62,IF(AG61="Last",R61,IF(AG60="Last",R60,IF(AG59="Last",R59,IF(AG58="Last",R58,""))))))))))))</f>
        <v>401951</v>
      </c>
    </row>
    <row r="59" ht="15" customHeight="1">
      <c r="A59" t="s">
        <v>3028</v>
      </c>
      <c r="B59">
        <f>_xlfn.IFERROR(SUMIF('OS Analysis'!$B:$B,'Fannie Historical Ops'!$B$5,INDEX('OS Analysis'!$E:$P,0,MATCH(DATE($A$56,MONTH(DATEVALUE(A59&amp;" 1")),1),'OS Analysis'!$E$2:$P$2,0))),0)</f>
        <v>424893</v>
      </c>
      <c r="C59">
        <v>0</v>
      </c>
      <c r="D59">
        <v>0</v>
      </c>
      <c r="E59">
        <f t="shared" si="1"/>
        <v>424893</v>
      </c>
      <c r="F59">
        <f>_xlfn.IFERROR(SUMIF('OS Analysis'!$B:$B,'Fannie Historical Ops'!$B$6,INDEX('OS Analysis'!$E:$P,0,MATCH(DATE($A$56,MONTH(DATEVALUE(A59&amp;" 1")),1),'OS Analysis'!$E$2:$P$2,0))),0)</f>
        <v>-16013</v>
      </c>
      <c r="G59">
        <f t="shared" si="0"/>
        <v>-0.037687135349370314</v>
      </c>
      <c r="H59">
        <f>(_xlfn.IFERROR(SUMIF('OS Analysis'!$B:$B,"Less Concessions (income line item)",INDEX('OS Analysis'!$E:$P,0,MATCH(DATE($A$56,MONTH(DATEVALUE(A59&amp;" 1")),1),'OS Analysis'!$E$2:$P$2,0))),0))-(_xlfn.IFERROR(SUMIF('OS Analysis'!$B:$B,"Less Concessions (expense line item)",INDEX('OS Analysis'!$E:$P,0,MATCH(DATE($A$56,MONTH(DATEVALUE(A59&amp;" 1")),1),'OS Analysis'!$E$2:$P$2,0))),0))</f>
        <v>0</v>
      </c>
      <c r="I59">
        <f t="shared" si="0"/>
        <v>0</v>
      </c>
      <c r="J59">
        <f>_xlfn.IFERROR(SUMIF('OS Analysis'!$B:$B,'Fannie Historical Ops'!$B$7,INDEX('OS Analysis'!$E:$P,0,MATCH(DATE($A$56,MONTH(DATEVALUE(A59&amp;" 1")),1),'OS Analysis'!$E$2:$P$2,0))),0)</f>
        <v>-5812</v>
      </c>
      <c r="K59">
        <f t="shared" si="0"/>
        <v>-0.013678737941081638</v>
      </c>
      <c r="L59">
        <f t="shared" si="2"/>
        <v>0.948634126709548</v>
      </c>
      <c r="M59">
        <f t="shared" si="3"/>
        <v>403068</v>
      </c>
      <c r="O59">
        <v>0</v>
      </c>
      <c r="Q59">
        <f t="shared" si="4"/>
        <v>0.948634126709548</v>
      </c>
      <c r="R59">
        <f t="shared" si="5"/>
        <v>403068</v>
      </c>
      <c r="AG59">
        <f t="shared" si="11"/>
      </c>
      <c r="AH59" t="s">
        <v>3043</v>
      </c>
      <c r="AI59">
        <f>IF(AG69="Last",AVERAGE(E67:E69),IF(AG68="Last",AVERAGE(E66:E68),IF(AG67="Last",AVERAGE(E65:E67),IF(AG66="Last",AVERAGE(E64:E66),IF(AG65="Last",AVERAGE(E63:E65),IF(AG64="Last",AVERAGE(E62:E64),IF(AG63="Last",AVERAGE(E61:E63),IF(AG62="Last",AVERAGE(E60:E62),IF(AG61="Last",AVERAGE(E59:E61),IF(AG60="Last",AVERAGE(E58:E60),IF(AG59="Last",AVERAGE(E53,E58:E59),IF(AG58="Last",AVERAGE(E52:E53,E58),""))))))))))))</f>
        <v>427964</v>
      </c>
      <c r="AJ59">
        <f>IF(AG69="Last",AVERAGE(F67:F69),IF(AG68="Last",AVERAGE(F66:F68),IF(AG67="Last",AVERAGE(F65:F67),IF(AG66="Last",AVERAGE(F64:F66),IF(AG65="Last",AVERAGE(F63:F65),IF(AG64="Last",AVERAGE(F62:F64),IF(AG63="Last",AVERAGE(F61:F63),IF(AG62="Last",AVERAGE(F60:F62),IF(AG61="Last",AVERAGE(F59:F61),IF(AG60="Last",AVERAGE(F58:F60),IF(AG59="Last",AVERAGE(F53,F58:F59),IF(AG58="Last",AVERAGE(F52:F53,F58),""))))))))))))</f>
        <v>-15514.333333333334</v>
      </c>
      <c r="AK59">
        <f>IF(AG69="Last",AVERAGE(M67:M69),IF(AG68="Last",AVERAGE(M66:M68),IF(AG67="Last",AVERAGE(M65:M67),IF(AG66="Last",AVERAGE(M64:M66),IF(AG65="Last",AVERAGE(M63:M65),IF(AG64="Last",AVERAGE(M62:M64),IF(AG63="Last",AVERAGE(M61:M63),IF(AG62="Last",AVERAGE(M60:M62),IF(AG61="Last",AVERAGE(M59:M61),IF(AG60="Last",AVERAGE(M58:M60),IF(AG59="Last",AVERAGE(M53,M58:M59),IF(AG58="Last",AVERAGE(M52:M53,M58),""))))))))))))</f>
        <v>408739.6666666667</v>
      </c>
      <c r="AL59">
        <f>IF(AG69="Last",AVERAGE(R67:R69),IF(AG68="Last",AVERAGE(R66:R68),IF(AG67="Last",AVERAGE(R65:R67),IF(AG66="Last",AVERAGE(R64:R66),IF(AG65="Last",AVERAGE(R63:R65),IF(AG64="Last",AVERAGE(R62:R64),IF(AG63="Last",AVERAGE(R61:R63),IF(AG62="Last",AVERAGE(R60:R62),IF(AG61="Last",AVERAGE(R59:R61),IF(AG60="Last",AVERAGE(R58:R60),IF(AG59="Last",AVERAGE(R53,R58:R59),IF(AG58="Last",AVERAGE(R52:R53,R58),""))))))))))))</f>
        <v>408739.6666666667</v>
      </c>
    </row>
    <row r="60" ht="15" customHeight="1">
      <c r="A60" t="s">
        <v>3029</v>
      </c>
      <c r="B60">
        <f>_xlfn.IFERROR(SUMIF('OS Analysis'!$B:$B,'Fannie Historical Ops'!$B$5,INDEX('OS Analysis'!$E:$P,0,MATCH(DATE($A$56,MONTH(DATEVALUE(A60&amp;" 1")),1),'OS Analysis'!$E$2:$P$2,0))),0)</f>
        <v>394849</v>
      </c>
      <c r="C60">
        <v>0</v>
      </c>
      <c r="D60">
        <v>0</v>
      </c>
      <c r="E60">
        <f t="shared" si="1"/>
        <v>394849</v>
      </c>
      <c r="F60">
        <f>_xlfn.IFERROR(SUMIF('OS Analysis'!$B:$B,'Fannie Historical Ops'!$B$6,INDEX('OS Analysis'!$E:$P,0,MATCH(DATE($A$56,MONTH(DATEVALUE(A60&amp;" 1")),1),'OS Analysis'!$E$2:$P$2,0))),0)</f>
        <v>-10561</v>
      </c>
      <c r="G60">
        <f t="shared" si="0"/>
        <v>-0.026746933637922344</v>
      </c>
      <c r="H60">
        <f>(_xlfn.IFERROR(SUMIF('OS Analysis'!$B:$B,"Less Concessions (income line item)",INDEX('OS Analysis'!$E:$P,0,MATCH(DATE($A$56,MONTH(DATEVALUE(A60&amp;" 1")),1),'OS Analysis'!$E$2:$P$2,0))),0))-(_xlfn.IFERROR(SUMIF('OS Analysis'!$B:$B,"Less Concessions (expense line item)",INDEX('OS Analysis'!$E:$P,0,MATCH(DATE($A$56,MONTH(DATEVALUE(A60&amp;" 1")),1),'OS Analysis'!$E$2:$P$2,0))),0))</f>
        <v>0</v>
      </c>
      <c r="I60">
        <f t="shared" si="0"/>
        <v>0</v>
      </c>
      <c r="J60">
        <f>_xlfn.IFERROR(SUMIF('OS Analysis'!$B:$B,'Fannie Historical Ops'!$B$7,INDEX('OS Analysis'!$E:$P,0,MATCH(DATE($A$56,MONTH(DATEVALUE(A60&amp;" 1")),1),'OS Analysis'!$E$2:$P$2,0))),0)</f>
        <v>-9388</v>
      </c>
      <c r="K60">
        <f t="shared" si="0"/>
        <v>-0.023776177728701352</v>
      </c>
      <c r="L60">
        <f t="shared" si="2"/>
        <v>0.9494768886333763</v>
      </c>
      <c r="M60">
        <f t="shared" si="3"/>
        <v>374900</v>
      </c>
      <c r="O60">
        <v>0</v>
      </c>
      <c r="Q60">
        <f t="shared" si="4"/>
        <v>0.9494768886333763</v>
      </c>
      <c r="R60">
        <f t="shared" si="5"/>
        <v>374900</v>
      </c>
      <c r="AG60">
        <f t="shared" si="11"/>
      </c>
      <c r="AH60" t="s">
        <v>3044</v>
      </c>
      <c r="AI60">
        <f>IF(AG69="Last",AVERAGE(E64:E69),IF(AG68="Last",AVERAGE(E63:E68),IF(AG67="Last",AVERAGE(E62:E67),IF(AG66="Last",AVERAGE(E61:E66),IF(AG65="Last",AVERAGE(E60:E65),IF(AG64="Last",AVERAGE(E59:E64),IF(AG63="Last",AVERAGE(E58:E63),IF(AG62="Last",AVERAGE(E53,E58:E62),IF(AG61="Last",AVERAGE(E52:E53,E58:E61),IF(AG60="Last",AVERAGE(E51:E53,E58:E60),IF(AG59="Last",AVERAGE(E50:E53,E58:E59),IF(AG58="Last",AVERAGE(E49:E53,E58),""))))))))))))</f>
        <v>425252.6666666667</v>
      </c>
      <c r="AJ60">
        <f>IF(AG69="Last",AVERAGE(F64:F69),IF(AG68="Last",AVERAGE(F63:F68),IF(AG67="Last",AVERAGE(F62:F67),IF(AG66="Last",AVERAGE(F61:F66),IF(AG65="Last",AVERAGE(F60:F65),IF(AG64="Last",AVERAGE(F59:F64),IF(AG63="Last",AVERAGE(F58:F63),IF(AG62="Last",AVERAGE(F53,F58:F62),IF(AG61="Last",AVERAGE(F52:F53,F58:F61),IF(AG60="Last",AVERAGE(F51:F53,F58:F60),IF(AG59="Last",AVERAGE(F50:F53,F58:F59),IF(AG58="Last",AVERAGE(F49:F53,F58),""))))))))))))</f>
        <v>-12386.166666666666</v>
      </c>
      <c r="AK60">
        <f>IF(AG69="Last",AVERAGE(M64:M69),IF(AG68="Last",AVERAGE(M63:M68),IF(AG67="Last",AVERAGE(M62:M67),IF(AG66="Last",AVERAGE(M61:M66),IF(AG65="Last",AVERAGE(M60:M65),IF(AG64="Last",AVERAGE(M59:M64),IF(AG63="Last",AVERAGE(M58:M63),IF(AG62="Last",AVERAGE(M53,M58:M62),IF(AG61="Last",AVERAGE(M52:M53,M58:M61),IF(AG60="Last",AVERAGE(M51:M53,M58:M60),IF(AG59="Last",AVERAGE(M50:M53,M58:M59),IF(AG58="Last",AVERAGE(M49:M53,M58),""))))))))))))</f>
        <v>409082</v>
      </c>
      <c r="AL60">
        <f>IF(AG69="Last",AVERAGE(R64:R69),IF(AG68="Last",AVERAGE(R63:R68),IF(AG67="Last",AVERAGE(R62:R67),IF(AG66="Last",AVERAGE(R61:R66),IF(AG65="Last",AVERAGE(R60:R65),IF(AG64="Last",AVERAGE(R59:R64),IF(AG63="Last",AVERAGE(R58:R63),IF(AG62="Last",AVERAGE(R53,R58:R62),IF(AG61="Last",AVERAGE(R52:R53,R58:R61),IF(AG60="Last",AVERAGE(R51:R53,R58:R60),IF(AG59="Last",AVERAGE(R50:R53,R58:R59),IF(AG58="Last",AVERAGE(R49:R53,R58),""))))))))))))</f>
        <v>409082</v>
      </c>
    </row>
    <row r="61" ht="15" customHeight="1">
      <c r="A61" t="s">
        <v>3030</v>
      </c>
      <c r="B61">
        <f>_xlfn.IFERROR(SUMIF('OS Analysis'!$B:$B,'Fannie Historical Ops'!$B$5,INDEX('OS Analysis'!$E:$P,0,MATCH(DATE($A$56,MONTH(DATEVALUE(A61&amp;" 1")),1),'OS Analysis'!$E$2:$P$2,0))),0)</f>
        <v>407072</v>
      </c>
      <c r="C61">
        <v>0</v>
      </c>
      <c r="D61">
        <v>0</v>
      </c>
      <c r="E61">
        <f t="shared" si="1"/>
        <v>407072</v>
      </c>
      <c r="F61">
        <f>_xlfn.IFERROR(SUMIF('OS Analysis'!$B:$B,'Fannie Historical Ops'!$B$6,INDEX('OS Analysis'!$E:$P,0,MATCH(DATE($A$56,MONTH(DATEVALUE(A61&amp;" 1")),1),'OS Analysis'!$E$2:$P$2,0))),0)</f>
        <v>-5433</v>
      </c>
      <c r="G61">
        <f t="shared" si="0"/>
        <v>-0.013346533291407909</v>
      </c>
      <c r="H61">
        <f>(_xlfn.IFERROR(SUMIF('OS Analysis'!$B:$B,"Less Concessions (income line item)",INDEX('OS Analysis'!$E:$P,0,MATCH(DATE($A$56,MONTH(DATEVALUE(A61&amp;" 1")),1),'OS Analysis'!$E$2:$P$2,0))),0))-(_xlfn.IFERROR(SUMIF('OS Analysis'!$B:$B,"Less Concessions (expense line item)",INDEX('OS Analysis'!$E:$P,0,MATCH(DATE($A$56,MONTH(DATEVALUE(A61&amp;" 1")),1),'OS Analysis'!$E$2:$P$2,0))),0))</f>
        <v>0</v>
      </c>
      <c r="I61">
        <f t="shared" si="0"/>
        <v>0</v>
      </c>
      <c r="J61">
        <f>_xlfn.IFERROR(SUMIF('OS Analysis'!$B:$B,'Fannie Historical Ops'!$B$7,INDEX('OS Analysis'!$E:$P,0,MATCH(DATE($A$56,MONTH(DATEVALUE(A61&amp;" 1")),1),'OS Analysis'!$E$2:$P$2,0))),0)</f>
        <v>-8547</v>
      </c>
      <c r="K61">
        <f t="shared" si="0"/>
        <v>-0.020996285669365615</v>
      </c>
      <c r="L61">
        <f t="shared" si="2"/>
        <v>0.9656571810392265</v>
      </c>
      <c r="M61">
        <f t="shared" si="3"/>
        <v>393092</v>
      </c>
      <c r="O61">
        <v>0</v>
      </c>
      <c r="Q61">
        <f t="shared" si="4"/>
        <v>0.9656571810392265</v>
      </c>
      <c r="R61">
        <f t="shared" si="5"/>
        <v>393092</v>
      </c>
      <c r="AG61">
        <f t="shared" si="11"/>
      </c>
      <c r="AH61" t="s">
        <v>3045</v>
      </c>
      <c r="AI61">
        <f>IF(AG69="Last",AVERAGE(E61:E69),IF(AG68="Last",AVERAGE(E60:E68),IF(AG67="Last",AVERAGE(E59:E67),IF(AG66="Last",AVERAGE(E58:E66),IF(AG65="Last",AVERAGE(E53,E58:E65),IF(AG64="Last",AVERAGE(E52:E53,E58:E64),IF(AG63="Last",AVERAGE(E51:E53,E58:E63),IF(AG62="Last",AVERAGE(E50:E53,E58:E62),IF(AG61="Last",AVERAGE(E49:E53,E58:E61),IF(AG60="Last",AVERAGE(E48:E53,E58:E60),IF(AG59="Last",AVERAGE(E47:E53,E58:E59),IF(AG58="Last",AVERAGE(E46:E53,E58),""))))))))))))</f>
        <v>421269</v>
      </c>
      <c r="AJ61">
        <f>IF(AG69="Last",AVERAGE(F61:F69),IF(AG68="Last",AVERAGE(F60:F68),IF(AG67="Last",AVERAGE(F59:F67),IF(AG66="Last",AVERAGE(F58:F66),IF(AG65="Last",AVERAGE(F53,F58:F65),IF(AG64="Last",AVERAGE(F52:F53,F58:F64),IF(AG63="Last",AVERAGE(F51:F53,F58:F63),IF(AG62="Last",AVERAGE(F50:F53,F58:F62),IF(AG61="Last",AVERAGE(F49:F53,F58:F61),IF(AG60="Last",AVERAGE(F48:F53,F58:F60),IF(AG59="Last",AVERAGE(F47:F53,F58:F59),IF(AG58="Last",AVERAGE(F46:F53,F58),""))))))))))))</f>
        <v>-13808.111111111111</v>
      </c>
      <c r="AK61">
        <f>IF(AG69="Last",AVERAGE(M61:M69),IF(AG68="Last",AVERAGE(M60:M68),IF(AG67="Last",AVERAGE(M59:M67),IF(AG66="Last",AVERAGE(M58:M66),IF(AG65="Last",AVERAGE(M53,M58:M65),IF(AG64="Last",AVERAGE(M52:M53,M58:M64),IF(AG63="Last",AVERAGE(M51:M53,M58:M63),IF(AG62="Last",AVERAGE(M50:M53,M58:M62),IF(AG61="Last",AVERAGE(M49:M53,M58:M61),IF(AG60="Last",AVERAGE(M48:M53,M58:M60),IF(AG59="Last",AVERAGE(M47:M53,M58:M59),IF(AG58="Last",AVERAGE(M46:M53,M58),""))))))))))))</f>
        <v>402555.6666666667</v>
      </c>
      <c r="AL61">
        <f>IF(AG69="Last",AVERAGE(R61:R69),IF(AG68="Last",AVERAGE(R60:R68),IF(AG67="Last",AVERAGE(R59:R67),IF(AG66="Last",AVERAGE(R58:R66),IF(AG65="Last",AVERAGE(R53,R58:R65),IF(AG64="Last",AVERAGE(R52:R53,R58:R64),IF(AG63="Last",AVERAGE(R51:R53,R58:R63),IF(AG62="Last",AVERAGE(R50:R53,R58:R62),IF(AG61="Last",AVERAGE(R49:R53,R58:R61),IF(AG60="Last",AVERAGE(R48:R53,R58:R60),IF(AG59="Last",AVERAGE(R47:R53,R58:R59),IF(AG58="Last",AVERAGE(R46:R53,R58),""))))))))))))</f>
        <v>402555.6666666667</v>
      </c>
    </row>
    <row r="62" ht="15" customHeight="1">
      <c r="A62" t="s">
        <v>3031</v>
      </c>
      <c r="B62">
        <f>_xlfn.IFERROR(SUMIF('OS Analysis'!$B:$B,'Fannie Historical Ops'!$B$5,INDEX('OS Analysis'!$E:$P,0,MATCH(DATE($A$56,MONTH(DATEVALUE(A62&amp;" 1")),1),'OS Analysis'!$E$2:$P$2,0))),0)</f>
        <v>423823</v>
      </c>
      <c r="C62">
        <v>0</v>
      </c>
      <c r="D62">
        <v>0</v>
      </c>
      <c r="E62">
        <f t="shared" si="1"/>
        <v>423823</v>
      </c>
      <c r="F62">
        <f>_xlfn.IFERROR(SUMIF('OS Analysis'!$B:$B,'Fannie Historical Ops'!$B$6,INDEX('OS Analysis'!$E:$P,0,MATCH(DATE($A$56,MONTH(DATEVALUE(A62&amp;" 1")),1),'OS Analysis'!$E$2:$P$2,0))),0)</f>
        <v>-8948</v>
      </c>
      <c r="G62">
        <f t="shared" si="0"/>
        <v>-0.021112587094140715</v>
      </c>
      <c r="H62">
        <f>(_xlfn.IFERROR(SUMIF('OS Analysis'!$B:$B,"Less Concessions (income line item)",INDEX('OS Analysis'!$E:$P,0,MATCH(DATE($A$56,MONTH(DATEVALUE(A62&amp;" 1")),1),'OS Analysis'!$E$2:$P$2,0))),0))-(_xlfn.IFERROR(SUMIF('OS Analysis'!$B:$B,"Less Concessions (expense line item)",INDEX('OS Analysis'!$E:$P,0,MATCH(DATE($A$56,MONTH(DATEVALUE(A62&amp;" 1")),1),'OS Analysis'!$E$2:$P$2,0))),0))</f>
        <v>0</v>
      </c>
      <c r="I62">
        <f t="shared" si="0"/>
        <v>0</v>
      </c>
      <c r="J62">
        <f>_xlfn.IFERROR(SUMIF('OS Analysis'!$B:$B,'Fannie Historical Ops'!$B$7,INDEX('OS Analysis'!$E:$P,0,MATCH(DATE($A$56,MONTH(DATEVALUE(A62&amp;" 1")),1),'OS Analysis'!$E$2:$P$2,0))),0)</f>
        <v>-3771</v>
      </c>
      <c r="K62">
        <f t="shared" si="0"/>
        <v>-0.008897582245418489</v>
      </c>
      <c r="L62">
        <f t="shared" si="2"/>
        <v>0.9699898306604408</v>
      </c>
      <c r="M62">
        <f t="shared" si="3"/>
        <v>411104</v>
      </c>
      <c r="O62">
        <v>0</v>
      </c>
      <c r="Q62">
        <f t="shared" si="4"/>
        <v>0.9699898306604408</v>
      </c>
      <c r="R62">
        <f t="shared" si="5"/>
        <v>411104</v>
      </c>
      <c r="AG62">
        <f t="shared" si="11"/>
      </c>
      <c r="AH62" t="s">
        <v>3046</v>
      </c>
      <c r="AI62">
        <f>IF(AG69="Last",AVERAGE(E58:E69),IF(AG68="Last",AVERAGE(E53,E58:E68),IF(AG67="Last",AVERAGE(E52:E53,E58:E67),IF(AG66="Last",AVERAGE(E51:E53,E58:E66),IF(AG65="Last",AVERAGE(E50:E53,E58:E65),IF(AG64="Last",AVERAGE(E49:E53,E58:E64),IF(AG63="Last",AVERAGE(E48:E53,E58:E63),IF(AG62="Last",AVERAGE(E47:E53,E58:E62),IF(AG61="Last",AVERAGE(E46:E53,E58:E61),IF(AG60="Last",AVERAGE(E45:E53,E58:E60),IF(AG59="Last",AVERAGE(E44:E53,E58:E59),IF(AG58="Last",AVERAGE(E43:E53,E58),""))))))))))))</f>
        <v>419027</v>
      </c>
      <c r="AJ62">
        <f>IF(AG69="Last",AVERAGE(F58:F69),IF(AG68="Last",AVERAGE(F53,F58:F68),IF(AG67="Last",AVERAGE(F52:F53,F58:F67),IF(AG66="Last",AVERAGE(F51:F53,F58:F66),IF(AG65="Last",AVERAGE(F50:F53,F58:F65),IF(AG64="Last",AVERAGE(F49:F53,F58:F64),IF(AG63="Last",AVERAGE(F48:F53,F58:F63),IF(AG62="Last",AVERAGE(F47:F53,F58:F62),IF(AG61="Last",AVERAGE(F46:F53,F58:F61),IF(AG60="Last",AVERAGE(F45:F53,F58:F60),IF(AG59="Last",AVERAGE(F44:F53,F58:F59),IF(AG58="Last",AVERAGE(F43:F53,F58),""))))))))))))</f>
        <v>-14569.833333333334</v>
      </c>
      <c r="AK62">
        <f>IF(AG69="Last",AVERAGE(M58:M69),IF(AG68="Last",AVERAGE(M53,M58:M68),IF(AG67="Last",AVERAGE(M52:M53,M58:M67),IF(AG66="Last",AVERAGE(M51:M53,M58:M66),IF(AG65="Last",AVERAGE(M50:M53,M58:M65),IF(AG64="Last",AVERAGE(M49:M53,M58:M64),IF(AG63="Last",AVERAGE(M48:M53,M58:M63),IF(AG62="Last",AVERAGE(M47:M53,M58:M62),IF(AG61="Last",AVERAGE(M46:M53,M58:M61),IF(AG60="Last",AVERAGE(M45:M53,M58:M60),IF(AG59="Last",AVERAGE(M44:M53,M58:M59),IF(AG58="Last",AVERAGE(M43:M53,M58),""))))))))))))</f>
        <v>400594.3333333333</v>
      </c>
      <c r="AL62">
        <f>IF(AG69="Last",AVERAGE(R58:R69),IF(AG68="Last",AVERAGE(R53,R58:R68),IF(AG67="Last",AVERAGE(R52:R53,R58:R67),IF(AG66="Last",AVERAGE(R51:R53,R58:R66),IF(AG65="Last",AVERAGE(R50:R53,R58:R65),IF(AG64="Last",AVERAGE(R49:R53,R58:R64),IF(AG63="Last",AVERAGE(R48:R53,R58:R63),IF(AG62="Last",AVERAGE(R47:R53,R58:R62),IF(AG61="Last",AVERAGE(R46:R53,R58:R61),IF(AG60="Last",AVERAGE(R45:R53,R58:R60),IF(AG59="Last",AVERAGE(R44:R53,R58:R59),IF(AG58="Last",AVERAGE(R43:R53,R58),""))))))))))))</f>
        <v>400594.3333333333</v>
      </c>
    </row>
    <row r="63" ht="15" customHeight="1">
      <c r="A63" t="s">
        <v>3032</v>
      </c>
      <c r="B63">
        <f>_xlfn.IFERROR(SUMIF('OS Analysis'!$B:$B,'Fannie Historical Ops'!$B$5,INDEX('OS Analysis'!$E:$P,0,MATCH(DATE($A$56,MONTH(DATEVALUE(A63&amp;" 1")),1),'OS Analysis'!$E$2:$P$2,0))),0)</f>
        <v>436729</v>
      </c>
      <c r="C63">
        <v>0</v>
      </c>
      <c r="D63">
        <v>0</v>
      </c>
      <c r="E63">
        <f t="shared" si="1"/>
        <v>436729</v>
      </c>
      <c r="F63">
        <f>_xlfn.IFERROR(SUMIF('OS Analysis'!$B:$B,'Fannie Historical Ops'!$B$6,INDEX('OS Analysis'!$E:$P,0,MATCH(DATE($A$56,MONTH(DATEVALUE(A63&amp;" 1")),1),'OS Analysis'!$E$2:$P$2,0))),0)</f>
        <v>-13393</v>
      </c>
      <c r="G63">
        <f t="shared" si="0"/>
        <v>-0.030666614765678488</v>
      </c>
      <c r="H63">
        <f>(_xlfn.IFERROR(SUMIF('OS Analysis'!$B:$B,"Less Concessions (income line item)",INDEX('OS Analysis'!$E:$P,0,MATCH(DATE($A$56,MONTH(DATEVALUE(A63&amp;" 1")),1),'OS Analysis'!$E$2:$P$2,0))),0))-(_xlfn.IFERROR(SUMIF('OS Analysis'!$B:$B,"Less Concessions (expense line item)",INDEX('OS Analysis'!$E:$P,0,MATCH(DATE($A$56,MONTH(DATEVALUE(A63&amp;" 1")),1),'OS Analysis'!$E$2:$P$2,0))),0))</f>
        <v>0</v>
      </c>
      <c r="I63">
        <f t="shared" si="0"/>
        <v>0</v>
      </c>
      <c r="J63">
        <f>_xlfn.IFERROR(SUMIF('OS Analysis'!$B:$B,'Fannie Historical Ops'!$B$7,INDEX('OS Analysis'!$E:$P,0,MATCH(DATE($A$56,MONTH(DATEVALUE(A63&amp;" 1")),1),'OS Analysis'!$E$2:$P$2,0))),0)</f>
        <v>741</v>
      </c>
      <c r="K63">
        <f t="shared" si="0"/>
        <v>0.0016967043635755812</v>
      </c>
      <c r="L63">
        <f t="shared" si="2"/>
        <v>0.971030089597897</v>
      </c>
      <c r="M63">
        <f t="shared" si="3"/>
        <v>424077</v>
      </c>
      <c r="O63">
        <v>0</v>
      </c>
      <c r="Q63">
        <f t="shared" si="4"/>
        <v>0.971030089597897</v>
      </c>
      <c r="R63">
        <f t="shared" si="5"/>
        <v>424077</v>
      </c>
      <c r="AG63">
        <f t="shared" si="11"/>
      </c>
    </row>
    <row r="64" ht="15" customHeight="1">
      <c r="A64" t="s">
        <v>3033</v>
      </c>
      <c r="B64">
        <f>_xlfn.IFERROR(SUMIF('OS Analysis'!$B:$B,'Fannie Historical Ops'!$B$5,INDEX('OS Analysis'!$E:$P,0,MATCH(DATE($A$56,MONTH(DATEVALUE(A64&amp;" 1")),1),'OS Analysis'!$E$2:$P$2,0))),0)</f>
        <v>424353</v>
      </c>
      <c r="C64">
        <v>0</v>
      </c>
      <c r="D64">
        <v>0</v>
      </c>
      <c r="E64">
        <f t="shared" si="1"/>
        <v>424353</v>
      </c>
      <c r="F64">
        <f>_xlfn.IFERROR(SUMIF('OS Analysis'!$B:$B,'Fannie Historical Ops'!$B$6,INDEX('OS Analysis'!$E:$P,0,MATCH(DATE($A$56,MONTH(DATEVALUE(A64&amp;" 1")),1),'OS Analysis'!$E$2:$P$2,0))),0)</f>
        <v>-12545</v>
      </c>
      <c r="G64">
        <f t="shared" si="0"/>
        <v>-0.02956265184881455</v>
      </c>
      <c r="H64">
        <f>(_xlfn.IFERROR(SUMIF('OS Analysis'!$B:$B,"Less Concessions (income line item)",INDEX('OS Analysis'!$E:$P,0,MATCH(DATE($A$56,MONTH(DATEVALUE(A64&amp;" 1")),1),'OS Analysis'!$E$2:$P$2,0))),0))-(_xlfn.IFERROR(SUMIF('OS Analysis'!$B:$B,"Less Concessions (expense line item)",INDEX('OS Analysis'!$E:$P,0,MATCH(DATE($A$56,MONTH(DATEVALUE(A64&amp;" 1")),1),'OS Analysis'!$E$2:$P$2,0))),0))</f>
        <v>0</v>
      </c>
      <c r="I64">
        <f t="shared" si="0"/>
        <v>0</v>
      </c>
      <c r="J64">
        <f>_xlfn.IFERROR(SUMIF('OS Analysis'!$B:$B,'Fannie Historical Ops'!$B$7,INDEX('OS Analysis'!$E:$P,0,MATCH(DATE($A$56,MONTH(DATEVALUE(A64&amp;" 1")),1),'OS Analysis'!$E$2:$P$2,0))),0)</f>
        <v>-5254</v>
      </c>
      <c r="K64">
        <f t="shared" si="0"/>
        <v>-0.01238120149969483</v>
      </c>
      <c r="L64">
        <f t="shared" si="2"/>
        <v>0.9580561466514906</v>
      </c>
      <c r="M64">
        <f t="shared" si="3"/>
        <v>406554</v>
      </c>
      <c r="O64">
        <v>0</v>
      </c>
      <c r="Q64">
        <f t="shared" si="4"/>
        <v>0.9580561466514906</v>
      </c>
      <c r="R64">
        <f t="shared" si="5"/>
        <v>406554</v>
      </c>
      <c r="AG64">
        <f t="shared" si="11"/>
      </c>
    </row>
    <row r="65" ht="15" customHeight="1">
      <c r="A65" t="s">
        <v>3034</v>
      </c>
      <c r="B65">
        <f>_xlfn.IFERROR(SUMIF('OS Analysis'!$B:$B,'Fannie Historical Ops'!$B$5,INDEX('OS Analysis'!$E:$P,0,MATCH(DATE($A$56,MONTH(DATEVALUE(A65&amp;" 1")),1),'OS Analysis'!$E$2:$P$2,0))),0)</f>
        <v>433447</v>
      </c>
      <c r="C65">
        <v>0</v>
      </c>
      <c r="D65">
        <v>0</v>
      </c>
      <c r="E65">
        <f t="shared" si="1"/>
        <v>433447</v>
      </c>
      <c r="F65">
        <f>_xlfn.IFERROR(SUMIF('OS Analysis'!$B:$B,'Fannie Historical Ops'!$B$6,INDEX('OS Analysis'!$E:$P,0,MATCH(DATE($A$56,MONTH(DATEVALUE(A65&amp;" 1")),1),'OS Analysis'!$E$2:$P$2,0))),0)</f>
        <v>-14867</v>
      </c>
      <c r="G65">
        <f t="shared" si="0"/>
        <v>-0.034299464525074576</v>
      </c>
      <c r="H65">
        <f>(_xlfn.IFERROR(SUMIF('OS Analysis'!$B:$B,"Less Concessions (income line item)",INDEX('OS Analysis'!$E:$P,0,MATCH(DATE($A$56,MONTH(DATEVALUE(A65&amp;" 1")),1),'OS Analysis'!$E$2:$P$2,0))),0))-(_xlfn.IFERROR(SUMIF('OS Analysis'!$B:$B,"Less Concessions (expense line item)",INDEX('OS Analysis'!$E:$P,0,MATCH(DATE($A$56,MONTH(DATEVALUE(A65&amp;" 1")),1),'OS Analysis'!$E$2:$P$2,0))),0))</f>
        <v>0</v>
      </c>
      <c r="I65">
        <f t="shared" si="0"/>
        <v>0</v>
      </c>
      <c r="J65">
        <f>_xlfn.IFERROR(SUMIF('OS Analysis'!$B:$B,'Fannie Historical Ops'!$B$7,INDEX('OS Analysis'!$E:$P,0,MATCH(DATE($A$56,MONTH(DATEVALUE(A65&amp;" 1")),1),'OS Analysis'!$E$2:$P$2,0))),0)</f>
        <v>-866</v>
      </c>
      <c r="K65">
        <f t="shared" si="0"/>
        <v>-0.0019979374640959565</v>
      </c>
      <c r="L65">
        <f t="shared" si="2"/>
        <v>0.9637025980108295</v>
      </c>
      <c r="M65">
        <f t="shared" si="3"/>
        <v>417714</v>
      </c>
      <c r="O65">
        <v>0</v>
      </c>
      <c r="Q65">
        <f t="shared" si="4"/>
        <v>0.9637025980108295</v>
      </c>
      <c r="R65">
        <f t="shared" si="5"/>
        <v>417714</v>
      </c>
      <c r="AG65">
        <f t="shared" si="11"/>
      </c>
    </row>
    <row r="66" ht="15" customHeight="1">
      <c r="A66" t="s">
        <v>3035</v>
      </c>
      <c r="B66">
        <f>_xlfn.IFERROR(SUMIF('OS Analysis'!$B:$B,'Fannie Historical Ops'!$B$5,INDEX('OS Analysis'!$E:$P,0,MATCH(DATE($A$56,MONTH(DATEVALUE(A66&amp;" 1")),1),'OS Analysis'!$E$2:$P$2,0))),0)</f>
        <v>426092</v>
      </c>
      <c r="C66">
        <v>0</v>
      </c>
      <c r="D66">
        <v>0</v>
      </c>
      <c r="E66">
        <f t="shared" si="1"/>
        <v>426092</v>
      </c>
      <c r="F66">
        <f>_xlfn.IFERROR(SUMIF('OS Analysis'!$B:$B,'Fannie Historical Ops'!$B$6,INDEX('OS Analysis'!$E:$P,0,MATCH(DATE($A$56,MONTH(DATEVALUE(A66&amp;" 1")),1),'OS Analysis'!$E$2:$P$2,0))),0)</f>
        <v>-19131</v>
      </c>
      <c r="G66">
        <f t="shared" si="0"/>
        <v>-0.04489875425964346</v>
      </c>
      <c r="H66">
        <f>(_xlfn.IFERROR(SUMIF('OS Analysis'!$B:$B,"Less Concessions (income line item)",INDEX('OS Analysis'!$E:$P,0,MATCH(DATE($A$56,MONTH(DATEVALUE(A66&amp;" 1")),1),'OS Analysis'!$E$2:$P$2,0))),0))-(_xlfn.IFERROR(SUMIF('OS Analysis'!$B:$B,"Less Concessions (expense line item)",INDEX('OS Analysis'!$E:$P,0,MATCH(DATE($A$56,MONTH(DATEVALUE(A66&amp;" 1")),1),'OS Analysis'!$E$2:$P$2,0))),0))</f>
        <v>0</v>
      </c>
      <c r="I66">
        <f t="shared" si="0"/>
        <v>0</v>
      </c>
      <c r="J66">
        <f>_xlfn.IFERROR(SUMIF('OS Analysis'!$B:$B,'Fannie Historical Ops'!$B$7,INDEX('OS Analysis'!$E:$P,0,MATCH(DATE($A$56,MONTH(DATEVALUE(A66&amp;" 1")),1),'OS Analysis'!$E$2:$P$2,0))),0)</f>
        <v>-5010</v>
      </c>
      <c r="K66">
        <f t="shared" si="0"/>
        <v>-0.01175802408869446</v>
      </c>
      <c r="L66">
        <f t="shared" si="2"/>
        <v>0.9433432216516621</v>
      </c>
      <c r="M66">
        <f t="shared" si="3"/>
        <v>401951</v>
      </c>
      <c r="O66">
        <v>0</v>
      </c>
      <c r="Q66">
        <f t="shared" si="4"/>
        <v>0.9433432216516621</v>
      </c>
      <c r="R66">
        <f t="shared" si="5"/>
        <v>401951</v>
      </c>
      <c r="AG66" t="str">
        <f t="shared" si="11"/>
        <v>Last</v>
      </c>
    </row>
    <row r="67" ht="15" customHeight="1">
      <c r="A67" t="s">
        <v>3036</v>
      </c>
      <c r="B67">
        <f>_xlfn.IFERROR(SUMIF('OS Analysis'!$B:$B,'Fannie Historical Ops'!$B$5,INDEX('OS Analysis'!$E:$P,0,MATCH(DATE($A$56,MONTH(DATEVALUE(A67&amp;" 1")),1),'OS Analysis'!$E$2:$P$2,0))),0)</f>
        <v>0</v>
      </c>
      <c r="C67">
        <v>0</v>
      </c>
      <c r="D67">
        <v>0</v>
      </c>
      <c r="E67">
        <f t="shared" si="1"/>
        <v>0</v>
      </c>
      <c r="F67">
        <f>_xlfn.IFERROR(SUMIF('OS Analysis'!$B:$B,'Fannie Historical Ops'!$B$6,INDEX('OS Analysis'!$E:$P,0,MATCH(DATE($A$56,MONTH(DATEVALUE(A67&amp;" 1")),1),'OS Analysis'!$E$2:$P$2,0))),0)</f>
        <v>0</v>
      </c>
      <c r="G67">
        <f t="shared" si="0"/>
        <v>0</v>
      </c>
      <c r="H67">
        <f>(_xlfn.IFERROR(SUMIF('OS Analysis'!$B:$B,"Less Concessions (income line item)",INDEX('OS Analysis'!$E:$P,0,MATCH(DATE($A$56,MONTH(DATEVALUE(A67&amp;" 1")),1),'OS Analysis'!$E$2:$P$2,0))),0))-(_xlfn.IFERROR(SUMIF('OS Analysis'!$B:$B,"Less Concessions (expense line item)",INDEX('OS Analysis'!$E:$P,0,MATCH(DATE($A$56,MONTH(DATEVALUE(A67&amp;" 1")),1),'OS Analysis'!$E$2:$P$2,0))),0))</f>
        <v>0</v>
      </c>
      <c r="I67">
        <f t="shared" si="0"/>
        <v>0</v>
      </c>
      <c r="J67">
        <f>_xlfn.IFERROR(SUMIF('OS Analysis'!$B:$B,'Fannie Historical Ops'!$B$7,INDEX('OS Analysis'!$E:$P,0,MATCH(DATE($A$56,MONTH(DATEVALUE(A67&amp;" 1")),1),'OS Analysis'!$E$2:$P$2,0))),0)</f>
        <v>0</v>
      </c>
      <c r="K67">
        <f t="shared" si="0"/>
        <v>0</v>
      </c>
      <c r="L67">
        <f t="shared" si="2"/>
        <v>0</v>
      </c>
      <c r="M67">
        <f t="shared" si="3"/>
        <v>0</v>
      </c>
      <c r="O67">
        <v>0</v>
      </c>
      <c r="Q67">
        <f t="shared" si="4"/>
        <v>0</v>
      </c>
      <c r="R67">
        <f t="shared" si="5"/>
        <v>0</v>
      </c>
      <c r="AG67">
        <f t="shared" si="11"/>
      </c>
    </row>
    <row r="68" ht="15" customHeight="1">
      <c r="A68" t="s">
        <v>3037</v>
      </c>
      <c r="B68">
        <f>_xlfn.IFERROR(SUMIF('OS Analysis'!$B:$B,'Fannie Historical Ops'!$B$5,INDEX('OS Analysis'!$E:$P,0,MATCH(DATE($A$56,MONTH(DATEVALUE(A68&amp;" 1")),1),'OS Analysis'!$E$2:$P$2,0))),0)</f>
        <v>0</v>
      </c>
      <c r="C68">
        <v>0</v>
      </c>
      <c r="D68">
        <v>0</v>
      </c>
      <c r="E68">
        <f t="shared" si="1"/>
        <v>0</v>
      </c>
      <c r="F68">
        <f>_xlfn.IFERROR(SUMIF('OS Analysis'!$B:$B,'Fannie Historical Ops'!$B$6,INDEX('OS Analysis'!$E:$P,0,MATCH(DATE($A$56,MONTH(DATEVALUE(A68&amp;" 1")),1),'OS Analysis'!$E$2:$P$2,0))),0)</f>
        <v>0</v>
      </c>
      <c r="G68">
        <f t="shared" si="0"/>
        <v>0</v>
      </c>
      <c r="H68">
        <f>(_xlfn.IFERROR(SUMIF('OS Analysis'!$B:$B,"Less Concessions (income line item)",INDEX('OS Analysis'!$E:$P,0,MATCH(DATE($A$56,MONTH(DATEVALUE(A68&amp;" 1")),1),'OS Analysis'!$E$2:$P$2,0))),0))-(_xlfn.IFERROR(SUMIF('OS Analysis'!$B:$B,"Less Concessions (expense line item)",INDEX('OS Analysis'!$E:$P,0,MATCH(DATE($A$56,MONTH(DATEVALUE(A68&amp;" 1")),1),'OS Analysis'!$E$2:$P$2,0))),0))</f>
        <v>0</v>
      </c>
      <c r="I68">
        <f t="shared" si="0"/>
        <v>0</v>
      </c>
      <c r="J68">
        <f>_xlfn.IFERROR(SUMIF('OS Analysis'!$B:$B,'Fannie Historical Ops'!$B$7,INDEX('OS Analysis'!$E:$P,0,MATCH(DATE($A$56,MONTH(DATEVALUE(A68&amp;" 1")),1),'OS Analysis'!$E$2:$P$2,0))),0)</f>
        <v>0</v>
      </c>
      <c r="K68">
        <f t="shared" si="0"/>
        <v>0</v>
      </c>
      <c r="L68">
        <f t="shared" si="2"/>
        <v>0</v>
      </c>
      <c r="M68">
        <f t="shared" si="3"/>
        <v>0</v>
      </c>
      <c r="O68">
        <v>0</v>
      </c>
      <c r="Q68">
        <f t="shared" si="4"/>
        <v>0</v>
      </c>
      <c r="R68">
        <f t="shared" si="5"/>
        <v>0</v>
      </c>
      <c r="AG68">
        <f t="shared" si="11"/>
      </c>
    </row>
    <row r="69" ht="15.75" customHeight="1">
      <c r="A69" t="s">
        <v>3038</v>
      </c>
      <c r="B69">
        <f>_xlfn.IFERROR(SUMIF('OS Analysis'!$B:$B,'Fannie Historical Ops'!$B$5,INDEX('OS Analysis'!$E:$P,0,MATCH(DATE($A$56,MONTH(DATEVALUE(A69&amp;" 1")),1),'OS Analysis'!$E$2:$P$2,0))),0)</f>
        <v>0</v>
      </c>
      <c r="C69">
        <v>0</v>
      </c>
      <c r="D69">
        <v>0</v>
      </c>
      <c r="E69">
        <f t="shared" si="1"/>
        <v>0</v>
      </c>
      <c r="F69">
        <f>_xlfn.IFERROR(SUMIF('OS Analysis'!$B:$B,'Fannie Historical Ops'!$B$6,INDEX('OS Analysis'!$E:$P,0,MATCH(DATE($A$56,MONTH(DATEVALUE(A69&amp;" 1")),1),'OS Analysis'!$E$2:$P$2,0))),0)</f>
        <v>0</v>
      </c>
      <c r="G69">
        <f t="shared" si="0"/>
        <v>0</v>
      </c>
      <c r="H69">
        <f>(_xlfn.IFERROR(SUMIF('OS Analysis'!$B:$B,"Less Concessions (income line item)",INDEX('OS Analysis'!$E:$P,0,MATCH(DATE($A$56,MONTH(DATEVALUE(A69&amp;" 1")),1),'OS Analysis'!$E$2:$P$2,0))),0))-(_xlfn.IFERROR(SUMIF('OS Analysis'!$B:$B,"Less Concessions (expense line item)",INDEX('OS Analysis'!$E:$P,0,MATCH(DATE($A$56,MONTH(DATEVALUE(A69&amp;" 1")),1),'OS Analysis'!$E$2:$P$2,0))),0))</f>
        <v>0</v>
      </c>
      <c r="I69">
        <f t="shared" si="0"/>
        <v>0</v>
      </c>
      <c r="J69">
        <f>_xlfn.IFERROR(SUMIF('OS Analysis'!$B:$B,'Fannie Historical Ops'!$B$7,INDEX('OS Analysis'!$E:$P,0,MATCH(DATE($A$56,MONTH(DATEVALUE(A69&amp;" 1")),1),'OS Analysis'!$E$2:$P$2,0))),0)</f>
        <v>0</v>
      </c>
      <c r="K69">
        <f t="shared" si="0"/>
        <v>0</v>
      </c>
      <c r="L69">
        <f t="shared" si="2"/>
        <v>0</v>
      </c>
      <c r="M69">
        <f t="shared" si="3"/>
        <v>0</v>
      </c>
      <c r="O69">
        <v>0</v>
      </c>
      <c r="Q69">
        <f t="shared" si="4"/>
        <v>0</v>
      </c>
      <c r="R69">
        <f t="shared" si="5"/>
        <v>0</v>
      </c>
      <c r="AG69">
        <f>IF(R69&lt;&gt;0,"Last","")</f>
      </c>
    </row>
    <row r="70" ht="15.75" customHeight="1">
      <c r="A70" t="s">
        <v>2968</v>
      </c>
      <c r="B70">
        <f t="shared" si="6"/>
        <v>3791421</v>
      </c>
      <c r="C70">
        <f t="shared" si="6"/>
        <v>0</v>
      </c>
      <c r="D70">
        <f t="shared" si="6"/>
        <v>0</v>
      </c>
      <c r="E70">
        <f t="shared" si="1"/>
        <v>3791421</v>
      </c>
      <c r="F70">
        <f t="shared" si="6"/>
        <v>-124273</v>
      </c>
      <c r="G70">
        <f t="shared" si="0"/>
        <v>-0.03277742039198496</v>
      </c>
      <c r="H70">
        <f t="shared" si="6"/>
        <v>0</v>
      </c>
      <c r="I70">
        <f t="shared" si="0"/>
        <v>0</v>
      </c>
      <c r="J70">
        <f t="shared" si="6"/>
        <v>-44147</v>
      </c>
      <c r="K70">
        <f t="shared" si="0"/>
        <v>-0.011643919258768677</v>
      </c>
      <c r="L70">
        <f t="shared" si="2"/>
        <v>0.9555786603492463</v>
      </c>
      <c r="M70">
        <f t="shared" si="3"/>
        <v>3623001</v>
      </c>
      <c r="O70">
        <f t="shared" si="6"/>
        <v>0</v>
      </c>
      <c r="P70">
        <f t="shared" si="8"/>
      </c>
      <c r="Q70">
        <f t="shared" si="4"/>
        <v>0.9555786603492463</v>
      </c>
      <c r="R70">
        <f t="shared" si="5"/>
        <v>3623001</v>
      </c>
    </row>
    <row r="71" ht="14.25" customHeight="1">
      <c r="A71" t="s">
        <v>3048</v>
      </c>
      <c r="B71">
        <f>AB187</f>
        <v>5028324</v>
      </c>
      <c r="E71">
        <f>P187</f>
        <v>5028324</v>
      </c>
      <c r="F71">
        <f>S187</f>
        <v>-174838</v>
      </c>
      <c r="H71">
        <f>V187</f>
        <v>0</v>
      </c>
      <c r="J71">
        <f>Y187</f>
        <v>-46354</v>
      </c>
      <c r="M71">
        <f>AD187</f>
        <v>4807132</v>
      </c>
    </row>
    <row r="72" ht="1.5" customHeight="1"/>
    <row r="73" ht="14.25" customHeight="1">
      <c r="A73" t="str">
        <f>"NRI (T"&amp;P155&amp;")"</f>
        <v>NRI (T12)</v>
      </c>
      <c r="B73">
        <f>AB171</f>
        <v>5028324</v>
      </c>
      <c r="F73">
        <f>S171</f>
        <v>-174838</v>
      </c>
      <c r="H73">
        <f>V171</f>
        <v>0</v>
      </c>
      <c r="J73">
        <f>Y171</f>
        <v>-46354</v>
      </c>
      <c r="M73">
        <f>AD171</f>
        <v>4807132</v>
      </c>
    </row>
    <row r="74" ht="1.5" customHeight="1"/>
    <row r="75" ht="12.75" customHeight="1">
      <c r="A75" t="str">
        <f>"Hist. Ops (T"&amp;'Fannie Historical Ops'!V4&amp;")"</f>
        <v>Hist. Ops (T12)</v>
      </c>
      <c r="B75">
        <f>'Fannie Historical Ops'!V5</f>
        <v>5028324</v>
      </c>
      <c r="F75">
        <f>'Fannie Historical Ops'!V6</f>
        <v>-174838</v>
      </c>
      <c r="H75">
        <f>'Fannie Historical Ops'!V8</f>
        <v>0</v>
      </c>
      <c r="J75">
        <f>'Fannie Historical Ops'!V7</f>
        <v>-46354</v>
      </c>
      <c r="M75">
        <f>'Fannie Historical Ops'!V9</f>
        <v>4807132</v>
      </c>
    </row>
    <row r="76" ht="10.5" customHeight="1"/>
    <row r="77" ht="3" customHeight="1"/>
    <row r="78" ht="17.25" customHeight="1">
      <c r="B78" t="s">
        <v>3050</v>
      </c>
      <c r="U78" t="s">
        <v>3051</v>
      </c>
      <c r="X78" t="str">
        <f>IF(RentRollDate&lt;DATE(2000,1,1),"TBD",RentRollDate)</f>
        <v>TBD</v>
      </c>
      <c r="Y78" t="s">
        <v>3052</v>
      </c>
      <c r="Z78" t="s">
        <v>3053</v>
      </c>
    </row>
    <row r="79" ht="15.75" customHeight="1">
      <c r="U79" t="s">
        <v>3054</v>
      </c>
      <c r="X79" t="s">
        <v>269</v>
      </c>
    </row>
    <row r="80" ht="15.75" customHeight="1">
      <c r="E80" t="s">
        <v>3055</v>
      </c>
    </row>
    <row r="81" ht="15" customHeight="1">
      <c r="B81" t="s">
        <v>1741</v>
      </c>
      <c r="E81">
        <f>E82/12</f>
        <v>110490.66666666667</v>
      </c>
      <c r="U81" t="s">
        <v>3056</v>
      </c>
      <c r="X81">
        <f>'Rent Roll'!H126-X83-X84</f>
        <v>122173</v>
      </c>
      <c r="Y81" t="str">
        <f t="shared" si="12" ref="Y81:Y84">AB81&amp;" Units"</f>
        <v>96 Units</v>
      </c>
      <c r="Z81">
        <f t="shared" si="13" ref="Z81:Z84">AC81</f>
        <v>0.9504950495049505</v>
      </c>
      <c r="AB81">
        <f>('Rent Roll'!D141-'Rent Roll'!D135-'Rent Roll'!L127-'Rent Roll'!M127)</f>
        <v>96</v>
      </c>
      <c r="AC81">
        <f>_xlfn.IFERROR(('Rent Roll'!D141-'Rent Roll'!D135-'Rent Roll'!L127-'Rent Roll'!M127)/'Rent Roll'!D141,0)</f>
        <v>0.9504950495049505</v>
      </c>
    </row>
    <row r="82" ht="15" customHeight="1">
      <c r="B82" t="s">
        <v>1743</v>
      </c>
      <c r="E82">
        <f>SOps_UnderwrittenNRI</f>
        <v>1325888</v>
      </c>
      <c r="U82" t="s">
        <v>3058</v>
      </c>
      <c r="X82">
        <f>'Rent Roll'!M136</f>
        <v>7542</v>
      </c>
      <c r="Y82" t="str">
        <f t="shared" si="12"/>
        <v>5 Units</v>
      </c>
      <c r="Z82">
        <f t="shared" si="13"/>
        <v>0.04950495049504951</v>
      </c>
      <c r="AB82">
        <f>'Rent Roll'!D135</f>
        <v>5</v>
      </c>
      <c r="AC82">
        <f>'Rent Roll'!D136</f>
        <v>0.04950495049504951</v>
      </c>
    </row>
    <row r="83" ht="15.75" customHeight="1">
      <c r="B83" t="s">
        <v>1255</v>
      </c>
      <c r="E83">
        <f>100%-'Summary OPS'!AV14</f>
        <v>0.8517956031813334</v>
      </c>
      <c r="U83" t="s">
        <v>3060</v>
      </c>
      <c r="X83">
        <f>'Rent Roll'!FI126</f>
        <v>0</v>
      </c>
      <c r="Y83" t="str">
        <f t="shared" si="12"/>
        <v>0 Units</v>
      </c>
      <c r="Z83">
        <f t="shared" si="13"/>
        <v>0</v>
      </c>
      <c r="AB83">
        <f>'Rent Roll'!M127</f>
        <v>0</v>
      </c>
      <c r="AC83">
        <f>_xlfn.IFERROR('Rent Roll'!M127/'Rent Roll'!D141,0)</f>
        <v>0</v>
      </c>
    </row>
    <row r="84" ht="15.75" customHeight="1">
      <c r="U84" t="s">
        <v>3062</v>
      </c>
      <c r="X84">
        <f>'Rent Roll'!L126</f>
        <v>0</v>
      </c>
      <c r="Y84" t="str">
        <f t="shared" si="12"/>
        <v>0 Units</v>
      </c>
      <c r="Z84">
        <f t="shared" si="13"/>
        <v>0</v>
      </c>
      <c r="AB84">
        <f>'Rent Roll'!L127</f>
        <v>0</v>
      </c>
      <c r="AC84">
        <f>_xlfn.IFERROR('Rent Roll'!L127/'Rent Roll'!D141,0)</f>
        <v>0</v>
      </c>
    </row>
    <row r="85" ht="15.75" customHeight="1">
      <c r="B85" t="s">
        <v>1734</v>
      </c>
      <c r="E85" t="s">
        <v>1735</v>
      </c>
      <c r="H85" t="s">
        <v>1736</v>
      </c>
      <c r="L85" t="s">
        <v>1737</v>
      </c>
      <c r="P85" t="s">
        <v>1738</v>
      </c>
      <c r="U85" t="s">
        <v>2979</v>
      </c>
      <c r="X85">
        <v>0</v>
      </c>
    </row>
    <row r="86" ht="15" customHeight="1">
      <c r="B86" t="s">
        <v>1741</v>
      </c>
      <c r="E86">
        <f>SUM(AK58:AK58)</f>
        <v>401951</v>
      </c>
      <c r="H86">
        <f>SUM(AK59:AK59)</f>
        <v>408739.6666666667</v>
      </c>
      <c r="L86">
        <f>SUM(AK60:AK60)</f>
        <v>409082</v>
      </c>
      <c r="P86">
        <f>SUM(AK62:AK62)</f>
        <v>400594.3333333333</v>
      </c>
      <c r="U86" t="s">
        <v>3063</v>
      </c>
      <c r="X86">
        <f>SUM(X81:X85)</f>
        <v>129715</v>
      </c>
      <c r="Y86" t="str">
        <f>SUM(AB81:AB84)&amp;" Units"</f>
        <v>101 Units</v>
      </c>
      <c r="Z86">
        <f>SUM(Z81:Z84)</f>
        <v>1</v>
      </c>
    </row>
    <row r="87" ht="15" customHeight="1">
      <c r="B87" t="s">
        <v>1743</v>
      </c>
      <c r="E87">
        <f t="shared" si="14" ref="E87:P117">E86*12</f>
        <v>4823412</v>
      </c>
      <c r="H87">
        <f t="shared" si="14"/>
        <v>4904876</v>
      </c>
      <c r="L87">
        <f t="shared" si="14"/>
        <v>4908984</v>
      </c>
      <c r="P87">
        <f t="shared" si="14"/>
        <v>4807132</v>
      </c>
    </row>
    <row r="88" ht="15.75" customHeight="1">
      <c r="B88" t="s">
        <v>1255</v>
      </c>
      <c r="E88">
        <f>IF(T1_Annualized_NRI=0,0,E86/SUM(AI58:AI58))</f>
        <v>0.9433432216516621</v>
      </c>
      <c r="H88">
        <f>IF(T3_Annualized_NRI=0,0,H86/SUM(AI59:AI59))</f>
        <v>0.9550795549781447</v>
      </c>
      <c r="L88">
        <f>IF(T6_Annualized_NRI=0,0,L86/SUM(AI60:AI60))</f>
        <v>0.9619739793910757</v>
      </c>
      <c r="P88">
        <f>IF(T12_Annualized_NRI=0,0,P86/SUM(AI62:AI62))</f>
        <v>0.9560107900763753</v>
      </c>
      <c r="U88" t="s">
        <v>3064</v>
      </c>
      <c r="X88">
        <f>X86*12</f>
        <v>1556580</v>
      </c>
      <c r="Y88" t="s">
        <v>3065</v>
      </c>
    </row>
    <row r="89" ht="15.75" customHeight="1">
      <c r="X89">
        <f>'Rent Roll'!I126*12</f>
        <v>0</v>
      </c>
    </row>
    <row r="90" ht="15.75" customHeight="1">
      <c r="B90" t="s">
        <v>3066</v>
      </c>
      <c r="E90" t="s">
        <v>1735</v>
      </c>
      <c r="H90" t="s">
        <v>1736</v>
      </c>
      <c r="L90" t="s">
        <v>1737</v>
      </c>
      <c r="P90" t="s">
        <v>1738</v>
      </c>
      <c r="U90" t="s">
        <v>3067</v>
      </c>
      <c r="X90">
        <f>SOps_UnderwrittenGPR</f>
        <v>1556580</v>
      </c>
      <c r="Y90">
        <f>Z81+Z83+Z84</f>
        <v>0.9504950495049505</v>
      </c>
    </row>
    <row r="91" ht="15.75" customHeight="1">
      <c r="B91" t="s">
        <v>3068</v>
      </c>
      <c r="E91">
        <f>IF(T1_Annualized_NRI&gt;0,(SOps_UnderwrittenNRI-T1_Annualized_NRI)/T1_Annualized_NRI,0)</f>
        <v>-0.7251140893624679</v>
      </c>
      <c r="H91">
        <f>IF(T3_Annualized_NRI&gt;0,(SOps_UnderwrittenNRI-T3_Annualized_NRI)/T3_Annualized_NRI,0)</f>
        <v>-0.7296796086180364</v>
      </c>
      <c r="L91">
        <f>IF(T6_Annualized_NRI&gt;0,(SOps_UnderwrittenNRI-T6_Annualized_NRI)/T6_Annualized_NRI,0)</f>
        <v>-0.7299058216527086</v>
      </c>
      <c r="P91">
        <f>IF(T12_Annualized_NRI&gt;0,(SOps_UnderwrittenNRI-T12_Annualized_NRI)/T12_Annualized_NRI,0)</f>
        <v>-0.7241831512011736</v>
      </c>
    </row>
    <row r="92" ht="15.75" customHeight="1"/>
    <row r="93" ht="15.75" customHeight="1">
      <c r="B93" t="s">
        <v>3069</v>
      </c>
      <c r="O93" t="s">
        <v>3070</v>
      </c>
    </row>
    <row r="94" ht="12" customHeight="1">
      <c r="B94" t="s">
        <v>3071</v>
      </c>
      <c r="E94">
        <f>IF(AND(T3_Annualized_NRI&gt;=T6_Annualized_NRI,T3_Annualized_NRI&lt;&gt;0),(T3_Annualized_NRI-T6_Annualized_NRI)/T6_Annualized_NRI,IF(AND(T3_Annualized_NRI&lt;=T6_Annualized_NRI,T3_Annualized_NRI&lt;&gt;0),(T3_Annualized_NRI-T6_Annualized_NRI)/T6_Annualized_NRI,""))</f>
        <v>-0.0008368330391787792</v>
      </c>
      <c r="H94" t="s">
        <v>3072</v>
      </c>
      <c r="L94" t="str">
        <f>IF(OR(E94&lt;-2.999999999999%,E95&lt;-2.999999999999%),"Yes","NA")</f>
        <v>NA</v>
      </c>
      <c r="O94" t="s">
        <v>3073</v>
      </c>
      <c r="Q94">
        <v>0</v>
      </c>
    </row>
    <row r="95" ht="12" customHeight="1">
      <c r="B95" t="s">
        <v>3074</v>
      </c>
      <c r="E95">
        <f>IF(AND(T3_Annualized_NRI&gt;=T12_Annualized_NRI,T3_Annualized_NRI&lt;&gt;0),(T3_Annualized_NRI-T12_Annualized_NRI)/T12_Annualized_NRI,IF(AND(T3_Annualized_NRI&lt;=T12_Annualized_NRI,T3_Annualized_NRI&lt;&gt;0),(T3_Annualized_NRI-T12_Annualized_NRI)/T12_Annualized_NRI,""))</f>
        <v>0.020333121703335795</v>
      </c>
      <c r="H95" t="s">
        <v>3075</v>
      </c>
      <c r="L95" t="str">
        <f>IF(OR(E94&lt;-2%,E95&lt;-2%),"Yes","NA")</f>
        <v>NA</v>
      </c>
      <c r="O95" t="s">
        <v>3076</v>
      </c>
      <c r="Q95" t="str">
        <f>IF($L$95="Yes",MIN($E$87:$R$87)*(1-$Q$94),"NA")</f>
        <v>NA</v>
      </c>
    </row>
    <row r="96" ht="15" customHeight="1"/>
    <row r="97" ht="15" customHeight="1">
      <c r="T97" t="s">
        <v>3077</v>
      </c>
    </row>
    <row r="98" ht="15" customHeight="1"/>
    <row r="99" ht="15" customHeight="1"/>
    <row r="100" ht="15" customHeight="1"/>
    <row r="101" ht="15" customHeight="1"/>
    <row r="102" ht="15" customHeight="1"/>
    <row r="103" ht="15" customHeight="1"/>
    <row r="104" ht="15" customHeight="1"/>
    <row r="105" ht="15" customHeight="1"/>
    <row r="106" ht="15" customHeight="1"/>
    <row r="107" ht="15.75" customHeight="1"/>
    <row r="108" ht="15" customHeight="1"/>
    <row r="109" ht="15" customHeight="1"/>
    <row r="110" ht="15" customHeight="1"/>
    <row r="111" ht="15" customHeight="1"/>
    <row r="112" ht="15" customHeight="1"/>
    <row r="113" ht="15" customHeight="1"/>
    <row r="114" ht="15.75" customHeight="1"/>
    <row r="115" ht="15.75" customHeight="1">
      <c r="B115" t="s">
        <v>3078</v>
      </c>
      <c r="E115" t="s">
        <v>1735</v>
      </c>
      <c r="H115" t="s">
        <v>1736</v>
      </c>
      <c r="L115" t="s">
        <v>1737</v>
      </c>
      <c r="P115" t="s">
        <v>1738</v>
      </c>
    </row>
    <row r="116" ht="15" customHeight="1">
      <c r="B116" t="s">
        <v>1741</v>
      </c>
      <c r="E116">
        <f>SUM(AL58:AL58)</f>
        <v>401951</v>
      </c>
      <c r="H116">
        <f>SUM(AL59:AL59)</f>
        <v>408739.6666666667</v>
      </c>
      <c r="L116">
        <f>SUM(AL60:AL60)</f>
        <v>409082</v>
      </c>
      <c r="P116">
        <f>SUM(AL62:AL62)</f>
        <v>400594.3333333333</v>
      </c>
    </row>
    <row r="117" ht="15" customHeight="1">
      <c r="B117" t="s">
        <v>1743</v>
      </c>
      <c r="E117">
        <f t="shared" si="14"/>
        <v>4823412</v>
      </c>
      <c r="H117">
        <f t="shared" si="14"/>
        <v>4904876</v>
      </c>
      <c r="L117">
        <f t="shared" si="14"/>
        <v>4908984</v>
      </c>
      <c r="P117">
        <f t="shared" si="14"/>
        <v>4807132</v>
      </c>
    </row>
    <row r="118" ht="15.75" customHeight="1">
      <c r="B118" t="s">
        <v>1255</v>
      </c>
      <c r="E118">
        <f>IF(E117=0,0,E116/SUM(AI58:AI58))</f>
        <v>0.9433432216516621</v>
      </c>
      <c r="H118">
        <f>IF(H117=0,0,H116/SUM(AI59:AI59))</f>
        <v>0.9550795549781447</v>
      </c>
      <c r="L118">
        <f>IF(L117=0,0,L116/SUM(AI60:AI60))</f>
        <v>0.9619739793910757</v>
      </c>
      <c r="P118">
        <f>IF(P117=0,0,P116/SUM(AI62:AI62))</f>
        <v>0.9560107900763753</v>
      </c>
    </row>
    <row r="119" ht="15.75" customHeight="1">
      <c r="B119" t="s">
        <v>3069</v>
      </c>
      <c r="E119" t="s">
        <v>3071</v>
      </c>
      <c r="H119">
        <f>IF(AND(H117&gt;=L117,H117&lt;&gt;0),(H117-L117)/L117,IF(AND(H117&lt;=L117,H117&lt;&gt;0),(H117-L117)/L117,""))</f>
        <v>-0.0008368330391787792</v>
      </c>
      <c r="L119" t="s">
        <v>3074</v>
      </c>
      <c r="P119">
        <f>IF(AND(H117&gt;=P117,H117&lt;&gt;0),(H117-P117)/P117,IF(AND(H117&lt;=P117,H117&lt;&gt;0),(H117-P117)/P117,""))</f>
        <v>0.020333121703335795</v>
      </c>
    </row>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c r="P155">
        <f>HOps_YTD_or_TR_Months</f>
        <v>12</v>
      </c>
    </row>
    <row r="156" ht="15.75" customHeight="1">
      <c r="Q156" t="s">
        <v>3079</v>
      </c>
      <c r="T156" t="s">
        <v>2534</v>
      </c>
      <c r="W156" t="s">
        <v>2536</v>
      </c>
      <c r="Z156" t="s">
        <v>2538</v>
      </c>
      <c r="AB156" t="s">
        <v>3080</v>
      </c>
      <c r="AD156" t="s">
        <v>2541</v>
      </c>
    </row>
    <row r="157" ht="15.75" customHeight="1">
      <c r="J157">
        <f>IF(R69&lt;&gt;0,12,IF(R68&lt;&gt;0,11,IF(R67&lt;&gt;0,10,IF(R66&lt;&gt;0,9,IF(R65&lt;&gt;0,8,IF(R64&lt;&gt;0,7,""))))))</f>
        <v>9</v>
      </c>
      <c r="K157">
        <f>IF(AND(J157="",R63&lt;&gt;0),6,IF(AND(J157="",R62&lt;&gt;0),5,IF(AND(J157="",R61&lt;&gt;0),4,IF(AND(J157="",R60&lt;&gt;0),3,IF(AND(J157="",R59&lt;&gt;0),2,IF(AND(J157="",R58&lt;&gt;0),1,""))))))</f>
      </c>
      <c r="N157" t="s">
        <v>3081</v>
      </c>
      <c r="P157" t="s">
        <v>3022</v>
      </c>
      <c r="S157" t="s">
        <v>1742</v>
      </c>
      <c r="V157" t="s">
        <v>3023</v>
      </c>
      <c r="Y157" t="s">
        <v>3024</v>
      </c>
      <c r="AB157" t="s">
        <v>3020</v>
      </c>
      <c r="AD157" t="s">
        <v>3082</v>
      </c>
    </row>
    <row r="158" ht="15" customHeight="1">
      <c r="G158">
        <f>A40</f>
        <v>2021</v>
      </c>
      <c r="H158" t="str">
        <f t="shared" si="15" ref="H158:H159">MID(G158,3,99)</f>
        <v>21</v>
      </c>
      <c r="I158" t="str">
        <f>IF($J$157=12,"Jan-"&amp;H159,IF($J$157=11,"Dec-"&amp;H158,IF($J$157=10,"Nov-"&amp;H158,IF($J$157=9,"Oct-"&amp;H158,IF($J$157=8,"Sep-"&amp;H158,IF($J$157=7,"Aug-"&amp;H158,""))))))</f>
        <v>Oct-21</v>
      </c>
      <c r="J158">
        <f>IF($J$157=12,R58,IF($J$157=11,R53,IF($J$157=10,R52,IF($J$157=9,R51,IF($J$157=8,R50,IF($J$157=7,R49,""))))))</f>
        <v>408133</v>
      </c>
      <c r="K158">
        <f t="shared" si="16" ref="K158:K163">IF($K$157=6,R48,IF($K$157=5,R47,IF($K$157=4,R46,IF($K$157=3,R45,IF($K$157=2,R44,IF($K$157=1,R43,""))))))</f>
      </c>
      <c r="L158">
        <f>IF($K$157=6,"Jul-"&amp;H158,IF($K$157=5,"Jun-"&amp;H158,IF($K$157=4,"May-"&amp;H158,IF($K$157=3,"Apr-"&amp;H158,IF($K$157=2,"Mar-"&amp;H158,IF($K$157=1,"Feb-"&amp;H158,""))))))</f>
      </c>
      <c r="N158" t="str">
        <f t="shared" si="17" ref="N158:N169">IF(I158="",L158,I158)</f>
        <v>Oct-21</v>
      </c>
      <c r="P158">
        <f>IF(P155&lt;12,"",IF($J$157=12,E58,IF($J$157=11,E53,IF($J$157=10,E52,IF($J$157=9,E51,IF($J$157=8,E50,IF($J$157=7,E49,"")))))))</f>
        <v>423358</v>
      </c>
      <c r="Q158">
        <f>IF(P155&lt;12,"",IF($K$157=6,E48,IF($K$157=5,E47,IF($K$157=4,E46,IF($K$157=3,E45,IF($K$157=2,E44,IF($K$157=1,E43,"")))))))</f>
      </c>
      <c r="S158">
        <f>IF(P155&lt;12,"",IF($J$157=12,F58,IF($J$157=11,F53,IF($J$157=10,F52,IF($J$157=9,F51,IF($J$157=8,F50,IF($J$157=7,F49,"")))))))</f>
        <v>-15246</v>
      </c>
      <c r="T158">
        <f>IF(P155&lt;12,"",IF($K$157=6,F48,IF($K$157=5,F47,IF($K$157=4,F46,IF($K$157=3,F45,IF($K$157=2,F44,IF($K$157=1,F43,"")))))))</f>
      </c>
      <c r="V158">
        <f>IF(P155&lt;12,"",IF($J$157=12,H58,IF($J$157=11,H53,IF($J$157=10,H52,IF($J$157=9,H51,IF($J$157=8,H50,IF($J$157=7,H49,"")))))))</f>
        <v>0</v>
      </c>
      <c r="W158">
        <f>IF(P155&lt;12,"",IF($K$157=6,H48,IF($K$157=5,H47,IF($K$157=4,H46,IF($K$157=3,H45,IF($K$157=2,H44,IF($K$157=1,H43,"")))))))</f>
      </c>
      <c r="Y158">
        <f>IF(P155&lt;12,"",IF($J$157=12,J58,IF($J$157=11,J53,IF($J$157=10,J52,IF($J$157=9,J51,IF($J$157=8,J50,IF($J$157=7,J49,"")))))))</f>
        <v>21</v>
      </c>
      <c r="Z158">
        <f>IF(P155&lt;12,"",IF($K$157=6,J48,IF($K$157=5,J47,IF($K$157=4,J46,IF($K$157=3,J45,IF($K$157=2,J44,IF($K$157=1,J43,"")))))))</f>
      </c>
      <c r="AB158">
        <f>IF(P155&lt;12,"",IF($J$157=12,B58,IF($J$157=11,B53,IF($J$157=10,B52,IF($J$157=9,B51,IF($J$157=8,B50,IF($J$157=7,B49,"")))))))</f>
        <v>423358</v>
      </c>
      <c r="AC158">
        <f>IF(P155&lt;12,"",IF($K$157=6,B48,IF($K$157=5,B47,IF($K$157=4,B46,IF($K$157=3,B45,IF($K$157=2,B44,IF($K$157=1,B43,"")))))))</f>
      </c>
      <c r="AD158">
        <f>IF(P155&lt;12,"",IF($J$157=12,M58,IF($J$157=11,M53,IF($J$157=10,M52,IF($J$157=9,M51,IF($J$157=8,M50,IF($J$157=7,M49,"")))))))</f>
        <v>408133</v>
      </c>
      <c r="AE158">
        <f>IF(P155&lt;12,"",IF($K$157=6,M48,IF($K$157=5,M47,IF($K$157=4,M46,IF($K$157=3,M45,IF($K$157=2,M44,IF($K$157=1,M43,"")))))))</f>
      </c>
    </row>
    <row r="159" ht="15" customHeight="1">
      <c r="G159">
        <f>A56</f>
        <v>2022</v>
      </c>
      <c r="H159" t="str">
        <f t="shared" si="15"/>
        <v>22</v>
      </c>
      <c r="I159" t="str">
        <f>IF($J$157=12,"Feb-"&amp;H159,IF($J$157=11,"Jan-"&amp;H159,IF($J$157=10,"Dec-"&amp;H158,IF($J$157=9,"Nov-"&amp;H158,IF($J$157=8,"Oct-"&amp;H158,IF($J$157=7,"Sep-"&amp;H158,""))))))</f>
        <v>Nov-21</v>
      </c>
      <c r="J159">
        <f>IF($J$157=12,R59,IF($J$157=11,R58,IF($J$157=10,R53,IF($J$157=9,R52,IF($J$157=8,R51,IF($J$157=7,R50,""))))))</f>
        <v>402220</v>
      </c>
      <c r="K159">
        <f t="shared" si="16"/>
      </c>
      <c r="L159">
        <f>IF($K$157=6,"Aug-"&amp;H158,IF($K$157=5,"Jul-"&amp;H158,IF($K$157=4,"Jun-"&amp;H158,IF($K$157=3,"May-"&amp;H158,IF($K$157=2,"Apr-"&amp;H158,IF($K$157=1,"Mar-"&amp;H158,""))))))</f>
      </c>
      <c r="N159" t="str">
        <f t="shared" si="17"/>
        <v>Nov-21</v>
      </c>
      <c r="P159">
        <f>IF(P155&lt;11,"",IF($J$157=12,E59,IF($J$157=11,E58,IF($J$157=10,E53,IF($J$157=9,E52,IF($J$157=8,E51,IF($J$157=7,E50,"")))))))</f>
        <v>421974</v>
      </c>
      <c r="Q159">
        <f>IF(P155&lt;11,"",IF($K$157=6,E49,IF($K$157=5,E48,IF($K$157=4,E47,IF($K$157=3,E46,IF($K$157=2,E45,IF($K$157=1,E44,"")))))))</f>
      </c>
      <c r="S159">
        <f>IF(P155&lt;11,"",IF($J$157=12,F59,IF($J$157=11,F58,IF($J$157=10,F53,IF($J$157=9,F52,IF($J$157=8,F51,IF($J$157=7,F50,"")))))))</f>
        <v>-20081</v>
      </c>
      <c r="T159">
        <f>IF(P155&lt;11,"",IF($K$157=6,F49,IF($K$157=5,F48,IF($K$157=4,F47,IF($K$157=3,F46,IF($K$157=2,F45,IF($K$157=1,F44,"")))))))</f>
      </c>
      <c r="V159">
        <f>IF(P155&lt;11,"",IF($J$157=12,H59,IF($J$157=11,H58,IF($J$157=10,H53,IF($J$157=9,H52,IF($J$157=8,H51,IF($J$157=7,H50,"")))))))</f>
        <v>0</v>
      </c>
      <c r="W159">
        <f>IF(P155&lt;11,"",IF($K$157=6,H49,IF($K$157=5,H48,IF($K$157=4,H47,IF($K$157=3,H46,IF($K$157=2,H45,IF($K$157=1,H44,"")))))))</f>
      </c>
      <c r="Y159">
        <f>IF(P155&lt;11,"",IF($J$157=12,J59,IF($J$157=11,J58,IF($J$157=10,J53,IF($J$157=9,J52,IF($J$157=8,J51,IF($J$157=7,J50,"")))))))</f>
        <v>327</v>
      </c>
      <c r="Z159">
        <f>IF(P155&lt;11,"",IF($K$157=6,J49,IF($K$157=5,J48,IF($K$157=4,J47,IF($K$157=3,J46,IF($K$157=2,J45,IF($K$157=1,J44,"")))))))</f>
      </c>
      <c r="AB159">
        <f>IF(P155&lt;11,"",IF($J$157=12,B59,IF($J$157=11,B58,IF($J$157=10,B53,IF($J$157=9,B52,IF($J$157=8,B51,IF($J$157=7,B50,"")))))))</f>
        <v>421974</v>
      </c>
      <c r="AC159">
        <f>IF(P155&lt;11,"",IF($K$157=6,B49,IF($K$157=5,B48,IF($K$157=4,B47,IF($K$157=3,B46,IF($K$157=2,B45,IF($K$157=1,B44,"")))))))</f>
      </c>
      <c r="AD159">
        <f>IF(P155&lt;11,"",IF($J$157=12,M59,IF($J$157=11,M58,IF($J$157=10,M53,IF($J$157=9,M52,IF($J$157=8,M51,IF($J$157=7,M50,"")))))))</f>
        <v>402220</v>
      </c>
      <c r="AE159">
        <f>IF(P155&lt;11,"",IF($K$157=6,M49,IF($K$157=5,M48,IF($K$157=4,M47,IF($K$157=3,M46,IF($K$157=2,M45,IF($K$157=1,M44,"")))))))</f>
      </c>
    </row>
    <row r="160" ht="15" customHeight="1">
      <c r="I160" t="str">
        <f>IF($J$157=12,"Mar-"&amp;H159,IF($J$157=11,"Feb-"&amp;H159,IF($J$157=10,"Jan-"&amp;H159,IF($J$157=9,"Dec-"&amp;H158,IF($J$157=8,"Nov-"&amp;H158,IF($J$157=7,"Oct-"&amp;H158,""))))))</f>
        <v>Dec-21</v>
      </c>
      <c r="J160">
        <f>IF($J$157=12,R60,IF($J$157=11,R59,IF($J$157=10,R58,IF($J$157=9,R53,IF($J$157=8,R52,IF($J$157=7,R51,""))))))</f>
        <v>373778</v>
      </c>
      <c r="K160">
        <f t="shared" si="16"/>
      </c>
      <c r="L160">
        <f>IF($K$157=6,"Sep-"&amp;H158,IF($K$157=5,"Aug-"&amp;H158,IF($K$157=4,"Jul-"&amp;H158,IF($K$157=3,"Jun-"&amp;H158,IF($K$157=2,"May-"&amp;H158,IF($K$157=1,"Apr-"&amp;H158,""))))))</f>
      </c>
      <c r="N160" t="str">
        <f t="shared" si="17"/>
        <v>Dec-21</v>
      </c>
      <c r="P160">
        <f>IF(P155&lt;10,"",IF($J$157=12,E60,IF($J$157=11,E59,IF($J$157=10,E58,IF($J$157=9,E53,IF($J$157=8,E52,IF($J$157=7,E51,"")))))))</f>
        <v>391571</v>
      </c>
      <c r="Q160">
        <f>IF(P155&lt;10,"",IF($K$157=6,E50,IF($K$157=5,E49,IF($K$157=4,E48,IF($K$157=3,E47,IF($K$157=2,E46,IF($K$157=1,E45,"")))))))</f>
      </c>
      <c r="S160">
        <f>IF(P155&lt;10,"",IF($J$157=12,F60,IF($J$157=11,F59,IF($J$157=10,F58,IF($J$157=9,F53,IF($J$157=8,F52,IF($J$157=7,F51,"")))))))</f>
        <v>-15238</v>
      </c>
      <c r="T160">
        <f>IF(P155&lt;10,"",IF($K$157=6,F50,IF($K$157=5,F49,IF($K$157=4,F48,IF($K$157=3,F47,IF($K$157=2,F46,IF($K$157=1,F45,"")))))))</f>
      </c>
      <c r="V160">
        <f>IF(P155&lt;10,"",IF($J$157=12,H60,IF($J$157=11,H59,IF($J$157=10,H58,IF($J$157=9,H53,IF($J$157=8,H52,IF($J$157=7,H51,"")))))))</f>
        <v>0</v>
      </c>
      <c r="W160">
        <f>IF(P155&lt;10,"",IF($K$157=6,H50,IF($K$157=5,H49,IF($K$157=4,H48,IF($K$157=3,H47,IF($K$157=2,H46,IF($K$157=1,H45,"")))))))</f>
      </c>
      <c r="Y160">
        <f>IF(P155&lt;10,"",IF($J$157=12,J60,IF($J$157=11,J59,IF($J$157=10,J58,IF($J$157=9,J53,IF($J$157=8,J52,IF($J$157=7,J51,"")))))))</f>
        <v>-2555</v>
      </c>
      <c r="Z160">
        <f>IF(P155&lt;10,"",IF($K$157=6,J50,IF($K$157=5,J49,IF($K$157=4,J48,IF($K$157=3,J47,IF($K$157=2,J46,IF($K$157=1,J45,"")))))))</f>
      </c>
      <c r="AB160">
        <f>IF(P155&lt;10,"",IF($J$157=12,B60,IF($J$157=11,B59,IF($J$157=10,B58,IF($J$157=9,B53,IF($J$157=8,B52,IF($J$157=7,B51,"")))))))</f>
        <v>391571</v>
      </c>
      <c r="AC160">
        <f>IF(P155&lt;10,"",IF($K$157=6,B50,IF($K$157=5,B49,IF($K$157=4,B48,IF($K$157=3,B47,IF($K$157=2,B46,IF($K$157=1,B45,"")))))))</f>
      </c>
      <c r="AD160">
        <f>IF(P155&lt;10,"",IF($J$157=12,M60,IF($J$157=11,M59,IF($J$157=10,M58,IF($J$157=9,M53,IF($J$157=8,M52,IF($J$157=7,M51,"")))))))</f>
        <v>373778</v>
      </c>
      <c r="AE160">
        <f>IF(P155&lt;10,"",IF($K$157=6,M50,IF($K$157=5,M49,IF($K$157=4,M48,IF($K$157=3,M47,IF($K$157=2,M46,IF($K$157=1,M45,"")))))))</f>
      </c>
    </row>
    <row r="161" ht="15" customHeight="1">
      <c r="I161" t="str">
        <f>IF($J$157=12,"Apr-"&amp;H159,IF($J$157=11,"Mar-"&amp;H159,IF($J$157=10,"Feb-"&amp;H159,IF($J$157=9,"Jan-"&amp;H159,IF($J$157=8,"Dec-"&amp;H158,IF($J$157=7,"Nov-"&amp;H158,""))))))</f>
        <v>Jan-22</v>
      </c>
      <c r="J161">
        <f>IF($J$157=12,R61,IF($J$157=11,R60,IF($J$157=10,R59,IF($J$157=9,R58,IF($J$157=8,R53,IF($J$157=7,R52,""))))))</f>
        <v>390541</v>
      </c>
      <c r="K161">
        <f t="shared" si="16"/>
      </c>
      <c r="L161">
        <f>IF($K$157=6,"Oct-"&amp;H158,IF($K$157=5,"Sep-"&amp;H158,IF($K$157=4,"Aug-"&amp;H158,IF($K$157=3,"Jul-"&amp;H158,IF($K$157=2,"Jun-"&amp;H158,IF($K$157=1,"May-"&amp;H158,""))))))</f>
      </c>
      <c r="N161" t="str">
        <f t="shared" si="17"/>
        <v>Jan-22</v>
      </c>
      <c r="P161">
        <f>IF(P155&lt;9,"",IF($J$157=12,E61,IF($J$157=11,E60,IF($J$157=10,E59,IF($J$157=9,E58,IF($J$157=8,E53,IF($J$157=7,E52,"")))))))</f>
        <v>420163</v>
      </c>
      <c r="Q161">
        <f>IF(P155&lt;9,"",IF($K$157=6,E51,IF($K$157=5,E50,IF($K$157=4,E49,IF($K$157=3,E48,IF($K$157=2,E47,IF($K$157=1,E46,"")))))))</f>
      </c>
      <c r="S161">
        <f>IF(P155&lt;9,"",IF($J$157=12,F61,IF($J$157=11,F60,IF($J$157=10,F59,IF($J$157=9,F58,IF($J$157=8,F53,IF($J$157=7,F52,"")))))))</f>
        <v>-23382</v>
      </c>
      <c r="T161">
        <f>IF(P155&lt;9,"",IF($K$157=6,F51,IF($K$157=5,F50,IF($K$157=4,F49,IF($K$157=3,F48,IF($K$157=2,F47,IF($K$157=1,F46,"")))))))</f>
      </c>
      <c r="V161">
        <f>IF(P155&lt;9,"",IF($J$157=12,H61,IF($J$157=11,H60,IF($J$157=10,H59,IF($J$157=9,H58,IF($J$157=8,H53,IF($J$157=7,H52,"")))))))</f>
        <v>0</v>
      </c>
      <c r="W161">
        <f>IF(P155&lt;9,"",IF($K$157=6,H51,IF($K$157=5,H50,IF($K$157=4,H49,IF($K$157=3,H48,IF($K$157=2,H47,IF($K$157=1,H46,"")))))))</f>
      </c>
      <c r="Y161">
        <f>IF(P155&lt;9,"",IF($J$157=12,J61,IF($J$157=11,J60,IF($J$157=10,J59,IF($J$157=9,J58,IF($J$157=8,J53,IF($J$157=7,J52,"")))))))</f>
        <v>-6240</v>
      </c>
      <c r="Z161">
        <f>IF(P155&lt;9,"",IF($K$157=6,J51,IF($K$157=5,J50,IF($K$157=4,J49,IF($K$157=3,J48,IF($K$157=2,J47,IF($K$157=1,J46,"")))))))</f>
      </c>
      <c r="AB161">
        <f>IF(P155&lt;9,"",IF($J$157=12,B61,IF($J$157=11,B60,IF($J$157=10,B59,IF($J$157=9,B58,IF($J$157=8,B53,IF($J$157=7,B52,"")))))))</f>
        <v>420163</v>
      </c>
      <c r="AC161">
        <f>IF(P155&lt;9,"",IF($K$157=6,B51,IF($K$157=5,B50,IF($K$157=4,B49,IF($K$157=3,B48,IF($K$157=2,B47,IF($K$157=1,B46,"")))))))</f>
      </c>
      <c r="AD161">
        <f>IF(P155&lt;9,"",IF($J$157=12,M61,IF($J$157=11,M60,IF($J$157=10,M59,IF($J$157=9,M58,IF($J$157=8,M53,IF($J$157=7,M52,"")))))))</f>
        <v>390541</v>
      </c>
      <c r="AE161">
        <f>IF(P155&lt;9,"",IF($K$157=6,M51,IF($K$157=5,M50,IF($K$157=4,M49,IF($K$157=3,M48,IF($K$157=2,M47,IF($K$157=1,M46,"")))))))</f>
      </c>
    </row>
    <row r="162" ht="15" customHeight="1">
      <c r="I162" t="str">
        <f>IF($J$157=12,"May-"&amp;H159,IF($J$157=11,"Apr-"&amp;H159,IF($J$157=10,"Mar-"&amp;H159,IF($J$157=9,"Feb-"&amp;H159,IF($J$157=8,"Jan-"&amp;H159,IF($J$157=7,"Dec-"&amp;H158,""))))))</f>
        <v>Feb-22</v>
      </c>
      <c r="J162">
        <f>IF($J$157=12,R62,IF($J$157=11,R61,IF($J$157=10,R60,IF($J$157=9,R59,IF($J$157=8,R58,IF($J$157=7,R53,""))))))</f>
        <v>403068</v>
      </c>
      <c r="K162">
        <f t="shared" si="16"/>
      </c>
      <c r="L162">
        <f>IF($K$157=6,"Nov-"&amp;H158,IF($K$157=5,"Oct-"&amp;H158,IF($K$157=4,"Sep-"&amp;H158,IF($K$157=3,"Aug-"&amp;H158,IF($K$157=2,"Jul-"&amp;H158,IF($K$157=1,"Jun-"&amp;H158,""))))))</f>
      </c>
      <c r="N162" t="str">
        <f t="shared" si="17"/>
        <v>Feb-22</v>
      </c>
      <c r="P162">
        <f>IF(P155&lt;8,"",IF($J$157=12,E62,IF($J$157=11,E61,IF($J$157=10,E60,IF($J$157=9,E59,IF($J$157=8,E58,IF($J$157=7,E53,"")))))))</f>
        <v>424893</v>
      </c>
      <c r="Q162">
        <f>IF(P155&lt;8,"",IF($K$157=6,E52,IF($K$157=5,E51,IF($K$157=4,E50,IF($K$157=3,E49,IF($K$157=2,E48,IF($K$157=1,E47,"")))))))</f>
      </c>
      <c r="S162">
        <f>IF(P155&lt;8,"",IF($J$157=12,F62,IF($J$157=11,F61,IF($J$157=10,F60,IF($J$157=9,F59,IF($J$157=8,F58,IF($J$157=7,F53,"")))))))</f>
        <v>-16013</v>
      </c>
      <c r="T162">
        <f>IF(P155&lt;8,"",IF($K$157=6,F52,IF($K$157=5,F51,IF($K$157=4,F50,IF($K$157=3,F49,IF($K$157=2,F48,IF($K$157=1,F47,"")))))))</f>
      </c>
      <c r="V162">
        <f>IF(P155&lt;8,"",IF($J$157=12,H62,IF($J$157=11,H61,IF($J$157=10,H60,IF($J$157=9,H59,IF($J$157=8,H58,IF($J$157=7,H53,"")))))))</f>
        <v>0</v>
      </c>
      <c r="W162">
        <f>IF(P155&lt;8,"",IF($K$157=6,H52,IF($K$157=5,H51,IF($K$157=4,H50,IF($K$157=3,H49,IF($K$157=2,H48,IF($K$157=1,H47,"")))))))</f>
      </c>
      <c r="Y162">
        <f>IF(P155&lt;8,"",IF($J$157=12,J62,IF($J$157=11,J61,IF($J$157=10,J60,IF($J$157=9,J59,IF($J$157=8,J58,IF($J$157=7,J53,"")))))))</f>
        <v>-5812</v>
      </c>
      <c r="Z162">
        <f>IF(P155&lt;8,"",IF($K$157=6,J52,IF($K$157=5,J51,IF($K$157=4,J50,IF($K$157=3,J49,IF($K$157=2,J48,IF($K$157=1,J47,"")))))))</f>
      </c>
      <c r="AB162">
        <f>IF(P155&lt;8,"",IF($J$157=12,B62,IF($J$157=11,B61,IF($J$157=10,B60,IF($J$157=9,B59,IF($J$157=8,B58,IF($J$157=7,B53,"")))))))</f>
        <v>424893</v>
      </c>
      <c r="AC162">
        <f>IF(P155&lt;8,"",IF($K$157=6,B52,IF($K$157=5,B51,IF($K$157=4,B50,IF($K$157=3,B49,IF($K$157=2,B48,IF($K$157=1,B47,"")))))))</f>
      </c>
      <c r="AD162">
        <f>IF(P155&lt;8,"",IF($J$157=12,M62,IF($J$157=11,M61,IF($J$157=10,M60,IF($J$157=9,M59,IF($J$157=8,M58,IF($J$157=7,M53,"")))))))</f>
        <v>403068</v>
      </c>
      <c r="AE162">
        <f>IF(P155&lt;8,"",IF($K$157=6,M52,IF($K$157=5,M51,IF($K$157=4,M50,IF($K$157=3,M49,IF($K$157=2,M48,IF($K$157=1,M47,"")))))))</f>
      </c>
    </row>
    <row r="163" ht="15" customHeight="1">
      <c r="I163" t="str">
        <f>IF($J$157=12,"Jun-"&amp;H159,IF($J$157=11,"May-"&amp;H159,IF($J$157=10,"Apr-"&amp;H159,IF($J$157=9,"Mar-"&amp;H159,IF($J$157=8,"Feb-"&amp;H159,IF($J$157=7,"Jan-"&amp;H159,""))))))</f>
        <v>Mar-22</v>
      </c>
      <c r="J163">
        <f t="shared" si="18" ref="J163:J169">IF($J$157=12,R63,IF($J$157=11,R62,IF($J$157=10,R61,IF($J$157=9,R60,IF($J$157=8,R59,IF($J$157=7,R58,""))))))</f>
        <v>374900</v>
      </c>
      <c r="K163">
        <f t="shared" si="16"/>
      </c>
      <c r="L163">
        <f>IF($K$157=6,"Dec-"&amp;H158,IF($K$157=5,"Nov-"&amp;H158,IF($K$157=4,"Oct-"&amp;H158,IF($K$157=3,"Sep-"&amp;H158,IF($K$157=2,"Aug-"&amp;H158,IF($K$157=1,"Jul-"&amp;H158,""))))))</f>
      </c>
      <c r="N163" t="str">
        <f t="shared" si="17"/>
        <v>Mar-22</v>
      </c>
      <c r="P163">
        <f>IF(P155&lt;7,"",IF($J$157=12,E63,IF($J$157=11,E62,IF($J$157=10,E61,IF($J$157=9,E60,IF($J$157=8,E59,IF($J$157=7,E58,"")))))))</f>
        <v>394849</v>
      </c>
      <c r="Q163">
        <f>IF(P155&lt;7,"",IF($K$157=6,E53,IF($K$157=5,E52,IF($K$157=4,E51,IF($K$157=3,E50,IF($K$157=2,E49,IF($K$157=1,E48,"")))))))</f>
      </c>
      <c r="S163">
        <f>IF(P155&lt;7,"",IF($J$157=12,F63,IF($J$157=11,F62,IF($J$157=10,F61,IF($J$157=9,F60,IF($J$157=8,F59,IF($J$157=7,F58,"")))))))</f>
        <v>-10561</v>
      </c>
      <c r="T163">
        <f>IF(P155&lt;7,"",IF($K$157=6,F53,IF($K$157=5,F52,IF($K$157=4,F51,IF($K$157=3,F50,IF($K$157=2,F49,IF($K$157=1,F48,"")))))))</f>
      </c>
      <c r="V163">
        <f>IF(P155&lt;7,"",IF($J$157=12,H63,IF($J$157=11,H62,IF($J$157=10,H61,IF($J$157=9,H60,IF($J$157=8,H59,IF($J$157=7,H58,"")))))))</f>
        <v>0</v>
      </c>
      <c r="W163">
        <f>IF(P155&lt;7,"",IF($K$157=6,H53,IF($K$157=5,H52,IF($K$157=4,H51,IF($K$157=3,H50,IF($K$157=2,H49,IF($K$157=1,H48,"")))))))</f>
      </c>
      <c r="Y163">
        <f>IF(P155&lt;7,"",IF($J$157=12,J63,IF($J$157=11,J62,IF($J$157=10,J61,IF($J$157=9,J60,IF($J$157=8,J59,IF($J$157=7,J58,"")))))))</f>
        <v>-9388</v>
      </c>
      <c r="Z163">
        <f>IF(P155&lt;7,"",IF($K$157=6,J53,IF($K$157=5,J52,IF($K$157=4,J51,IF($K$157=3,J50,IF($K$157=2,J49,IF($K$157=1,J48,"")))))))</f>
      </c>
      <c r="AB163">
        <f>IF(P155&lt;7,"",IF($J$157=12,B63,IF($J$157=11,B62,IF($J$157=10,B61,IF($J$157=9,B60,IF($J$157=8,B59,IF($J$157=7,B58,"")))))))</f>
        <v>394849</v>
      </c>
      <c r="AC163">
        <f>IF(P155&lt;7,"",IF($K$157=6,B53,IF($K$157=5,B52,IF($K$157=4,B51,IF($K$157=3,B50,IF($K$157=2,B49,IF($K$157=1,B48,"")))))))</f>
      </c>
      <c r="AD163">
        <f>IF(P155&lt;7,"",IF($J$157=12,M63,IF($J$157=11,M62,IF($J$157=10,M61,IF($J$157=9,M60,IF($J$157=8,M59,IF($J$157=7,M58,"")))))))</f>
        <v>374900</v>
      </c>
      <c r="AE163">
        <f>IF(P155&lt;7,"",IF($K$157=6,M53,IF($K$157=5,M52,IF($K$157=4,M51,IF($K$157=3,M50,IF($K$157=2,M49,IF($K$157=1,M48,"")))))))</f>
      </c>
    </row>
    <row r="164" ht="15" customHeight="1">
      <c r="I164" t="str">
        <f>IF($J$157=12,"Jul-"&amp;H159,IF($J$157=11,"Jun-"&amp;H159,IF($J$157=10,"May-"&amp;H159,IF($J$157=9,"Apr-"&amp;H159,IF($J$157=8,"Mar-"&amp;H159,IF($J$157=7,"Feb-"&amp;H159,""))))))</f>
        <v>Apr-22</v>
      </c>
      <c r="J164">
        <f t="shared" si="18"/>
        <v>393092</v>
      </c>
      <c r="K164">
        <f>IF($K$157=6,R58,IF($K$157=5,R53,IF($K$157=4,R52,IF($K$157=3,R51,IF($K$157=2,R50,IF($K$157=1,R49,""))))))</f>
      </c>
      <c r="L164">
        <f>IF($K$157=6,"Jan-"&amp;H159,IF($K$157=5,"Dec-"&amp;H158,IF($K$157=4,"Nov-"&amp;H158,IF($K$157=3,"Oct-"&amp;H158,IF($K$157=2,"Sep-"&amp;H158,IF($K$157=1,"Aug-"&amp;H158,""))))))</f>
      </c>
      <c r="N164" t="str">
        <f t="shared" si="17"/>
        <v>Apr-22</v>
      </c>
      <c r="P164">
        <f>IF(P155&lt;6,"",IF($J$157=12,E64,IF($J$157=11,E63,IF($J$157=10,E62,IF($J$157=9,E61,IF($J$157=8,E60,IF($J$157=7,E59,"")))))))</f>
        <v>407072</v>
      </c>
      <c r="Q164">
        <f>IF(P155&lt;6,"",IF($K$157=6,E58,IF($K$157=5,E53,IF($K$157=4,E52,IF($K$157=3,E51,IF($K$157=2,E50,IF($K$157=1,E49,"")))))))</f>
      </c>
      <c r="S164">
        <f>IF(P155&lt;6,"",IF($J$157=12,F64,IF($J$157=11,F63,IF($J$157=10,F62,IF($J$157=9,F61,IF($J$157=8,F60,IF($J$157=7,F59,"")))))))</f>
        <v>-5433</v>
      </c>
      <c r="T164">
        <f>IF(P155&lt;6,"",IF($K$157=6,F58,IF($K$157=5,F53,IF($K$157=4,F52,IF($K$157=3,F51,IF($K$157=2,F50,IF($K$157=1,F49,"")))))))</f>
      </c>
      <c r="V164">
        <f>IF(P155&lt;6,"",IF($J$157=12,H64,IF($J$157=11,H63,IF($J$157=10,H62,IF($J$157=9,H61,IF($J$157=8,H60,IF($J$157=7,H59,"")))))))</f>
        <v>0</v>
      </c>
      <c r="W164">
        <f>IF(P155&lt;6,"",IF($K$157=6,H58,IF($K$157=5,H53,IF($K$157=4,H52,IF($K$157=3,H51,IF($K$157=2,H50,IF($K$157=1,H49,"")))))))</f>
      </c>
      <c r="Y164">
        <f>IF(P155&lt;6,"",IF($J$157=12,J64,IF($J$157=11,J63,IF($J$157=10,J62,IF($J$157=9,J61,IF($J$157=8,J60,IF($J$157=7,J59,"")))))))</f>
        <v>-8547</v>
      </c>
      <c r="Z164">
        <f>IF(P155&lt;6,"",IF($K$157=6,J58,IF($K$157=5,J53,IF($K$157=4,J52,IF($K$157=3,J51,IF($K$157=2,J50,IF($K$157=1,J49,"")))))))</f>
      </c>
      <c r="AB164">
        <f>IF(P155&lt;6,"",IF($J$157=12,B64,IF($J$157=11,B63,IF($J$157=10,B62,IF($J$157=9,B61,IF($J$157=8,B60,IF($J$157=7,B59,"")))))))</f>
        <v>407072</v>
      </c>
      <c r="AC164">
        <f>IF(P155&lt;6,"",IF($K$157=6,B58,IF($K$157=5,B53,IF($K$157=4,B52,IF($K$157=3,B51,IF($K$157=2,B50,IF($K$157=1,B49,"")))))))</f>
      </c>
      <c r="AD164">
        <f>IF(P155&lt;6,"",IF($J$157=12,M64,IF($J$157=11,M63,IF($J$157=10,M62,IF($J$157=9,M61,IF($J$157=8,M60,IF($J$157=7,M59,"")))))))</f>
        <v>393092</v>
      </c>
      <c r="AE164">
        <f>IF(P155&lt;6,"",IF($K$157=6,M58,IF($K$157=5,M53,IF($K$157=4,M52,IF($K$157=3,M51,IF($K$157=2,M50,IF($K$157=1,M49,"")))))))</f>
      </c>
    </row>
    <row r="165" ht="15" customHeight="1">
      <c r="I165" t="str">
        <f>IF($J$157=12,"Aug-"&amp;H159,IF($J$157=11,"Jul-"&amp;H159,IF($J$157=10,"Jun-"&amp;H159,IF($J$157=9,"May-"&amp;H159,IF($J$157=8,"Apr-"&amp;H159,IF($J$157=7,"Mar-"&amp;H159,""))))))</f>
        <v>May-22</v>
      </c>
      <c r="J165">
        <f t="shared" si="18"/>
        <v>411104</v>
      </c>
      <c r="K165">
        <f>IF($K$157=6,R59,IF($K$157=5,R58,IF($K$157=4,R53,IF($K$157=3,R52,IF($K$157=2,R51,IF($K$157=1,R50,""))))))</f>
      </c>
      <c r="L165">
        <f>IF($K$157=6,"Feb-"&amp;H159,IF($K$157=5,"Jan-"&amp;H159,IF($K$157=4,"Dec-"&amp;H158,IF($K$157=3,"Nov-"&amp;H158,IF($K$157=2,"Oct-"&amp;H158,IF($K$157=1,"Sep-"&amp;H158,""))))))</f>
      </c>
      <c r="N165" t="str">
        <f t="shared" si="17"/>
        <v>May-22</v>
      </c>
      <c r="P165">
        <f>IF(P155&lt;5,"",IF($J$157=12,E65,IF($J$157=11,E64,IF($J$157=10,E63,IF($J$157=9,E62,IF($J$157=8,E61,IF($J$157=7,E60,"")))))))</f>
        <v>423823</v>
      </c>
      <c r="Q165">
        <f>IF(P155&lt;5,"",IF($K$157=6,E59,IF($K$157=5,E58,IF($K$157=4,E53,IF($K$157=3,E52,IF($K$157=2,E51,IF($K$157=1,E50,"")))))))</f>
      </c>
      <c r="S165">
        <f>IF(P155&lt;5,"",IF($J$157=12,F65,IF($J$157=11,F64,IF($J$157=10,F63,IF($J$157=9,F62,IF($J$157=8,F61,IF($J$157=7,F60,"")))))))</f>
        <v>-8948</v>
      </c>
      <c r="T165">
        <f>IF(P155&lt;5,"",IF($K$157=6,F59,IF($K$157=5,F58,IF($K$157=4,F53,IF($K$157=3,F52,IF($K$157=2,F51,IF($K$157=1,F50,"")))))))</f>
      </c>
      <c r="V165">
        <f>IF(P155&lt;5,"",IF($J$157=12,H65,IF($J$157=11,H64,IF($J$157=10,H63,IF($J$157=9,H62,IF($J$157=8,H61,IF($J$157=7,H60,"")))))))</f>
        <v>0</v>
      </c>
      <c r="W165">
        <f>IF(P155&lt;5,"",IF($K$157=6,H59,IF($K$157=5,H58,IF($K$157=4,H53,IF($K$157=3,H52,IF($K$157=2,H51,IF($K$157=1,H50,"")))))))</f>
      </c>
      <c r="Y165">
        <f>IF(P155&lt;5,"",IF($J$157=12,J65,IF($J$157=11,J64,IF($J$157=10,J63,IF($J$157=9,J62,IF($J$157=8,J61,IF($J$157=7,J60,"")))))))</f>
        <v>-3771</v>
      </c>
      <c r="Z165">
        <f>IF(P155&lt;5,"",IF($K$157=6,J59,IF($K$157=5,J58,IF($K$157=4,J53,IF($K$157=3,J52,IF($K$157=2,J51,IF($K$157=1,J50,"")))))))</f>
      </c>
      <c r="AB165">
        <f>IF(P155&lt;5,"",IF($J$157=12,B65,IF($J$157=11,B64,IF($J$157=10,B63,IF($J$157=9,B62,IF($J$157=8,B61,IF($J$157=7,B60,"")))))))</f>
        <v>423823</v>
      </c>
      <c r="AC165">
        <f>IF(P155&lt;5,"",IF($K$157=6,B59,IF($K$157=5,B58,IF($K$157=4,B53,IF($K$157=3,B52,IF($K$157=2,B51,IF($K$157=1,B50,"")))))))</f>
      </c>
      <c r="AD165">
        <f>IF(P155&lt;5,"",IF($J$157=12,M65,IF($J$157=11,M64,IF($J$157=10,M63,IF($J$157=9,M62,IF($J$157=8,M61,IF($J$157=7,M60,"")))))))</f>
        <v>411104</v>
      </c>
      <c r="AE165">
        <f>IF(P155&lt;5,"",IF($K$157=6,M59,IF($K$157=5,M58,IF($K$157=4,M53,IF($K$157=3,M52,IF($K$157=2,M51,IF($K$157=1,M50,"")))))))</f>
      </c>
    </row>
    <row r="166" ht="15" customHeight="1">
      <c r="I166" t="str">
        <f>IF($J$157=12,"Sep-"&amp;H159,IF($J$157=11,"Aug-"&amp;H159,IF($J$157=10,"Jul-"&amp;H159,IF($J$157=9,"Jun-"&amp;H159,IF($J$157=8,"May-"&amp;H159,IF($J$157=7,"Apr-"&amp;H159,""))))))</f>
        <v>Jun-22</v>
      </c>
      <c r="J166">
        <f t="shared" si="18"/>
        <v>424077</v>
      </c>
      <c r="K166">
        <f>IF($K$157=6,R60,IF($K$157=5,R59,IF($K$157=4,R58,IF($K$157=3,R53,IF($K$157=2,R52,IF($K$157=1,R51,""))))))</f>
      </c>
      <c r="L166">
        <f>IF($K$157=6,"Mar-"&amp;H159,IF($K$157=5,"Feb-"&amp;H159,IF($K$157=4,"Jan-"&amp;H159,IF($K$157=3,"Dec-"&amp;H158,IF($K$157=2,"Nov-"&amp;H158,IF($K$157=1,"Oct-"&amp;H158,""))))))</f>
      </c>
      <c r="N166" t="str">
        <f t="shared" si="17"/>
        <v>Jun-22</v>
      </c>
      <c r="P166">
        <f>IF(P155&lt;4,"",IF($J$157=12,E66,IF($J$157=11,E65,IF($J$157=10,E64,IF($J$157=9,E63,IF($J$157=8,E62,IF($J$157=7,E61,"")))))))</f>
        <v>436729</v>
      </c>
      <c r="Q166">
        <f>IF(P155&lt;4,"",IF($K$157=6,E60,IF($K$157=5,E59,IF($K$157=4,E58,IF($K$157=3,E53,IF($K$157=2,E52,IF($K$157=1,E51,"")))))))</f>
      </c>
      <c r="S166">
        <f>IF(P155&lt;4,"",IF($J$157=12,F66,IF($J$157=11,F65,IF($J$157=10,F64,IF($J$157=9,F63,IF($J$157=8,F62,IF($J$157=7,F61,"")))))))</f>
        <v>-13393</v>
      </c>
      <c r="T166">
        <f>IF(P155&lt;4,"",IF($K$157=6,F60,IF($K$157=5,F59,IF($K$157=4,F58,IF($K$157=3,F53,IF($K$157=2,F52,IF($K$157=1,F51,"")))))))</f>
      </c>
      <c r="V166">
        <f>IF(P155&lt;4,"",IF($J$157=12,H66,IF($J$157=11,H65,IF($J$157=10,H64,IF($J$157=9,H63,IF($J$157=8,H62,IF($J$157=7,H61,"")))))))</f>
        <v>0</v>
      </c>
      <c r="W166">
        <f>IF(P155&lt;4,"",IF($K$157=6,H60,IF($K$157=5,H59,IF($K$157=4,H58,IF($K$157=3,H53,IF($K$157=2,H52,IF($K$157=1,H51,"")))))))</f>
      </c>
      <c r="Y166">
        <f>IF(P155&lt;4,"",IF($J$157=12,J66,IF($J$157=11,J65,IF($J$157=10,J64,IF($J$157=9,J63,IF($J$157=8,J62,IF($J$157=7,J61,"")))))))</f>
        <v>741</v>
      </c>
      <c r="Z166">
        <f>IF(P155&lt;4,"",IF($K$157=6,J60,IF($K$157=5,J59,IF($K$157=4,J58,IF($K$157=3,J53,IF($K$157=2,J52,IF($K$157=1,J51,"")))))))</f>
      </c>
      <c r="AB166">
        <f>IF(P155&lt;4,"",IF($J$157=12,B66,IF($J$157=11,B65,IF($J$157=10,B64,IF($J$157=9,B63,IF($J$157=8,B62,IF($J$157=7,B61,"")))))))</f>
        <v>436729</v>
      </c>
      <c r="AC166">
        <f>IF(P155&lt;4,"",IF($K$157=6,B60,IF($K$157=5,B59,IF($K$157=4,B58,IF($K$157=3,B53,IF($K$157=2,B52,IF($K$157=1,B51,"")))))))</f>
      </c>
      <c r="AD166">
        <f>IF(P155&lt;4,"",IF($J$157=12,M66,IF($J$157=11,M65,IF($J$157=10,M64,IF($J$157=9,M63,IF($J$157=8,M62,IF($J$157=7,M61,"")))))))</f>
        <v>424077</v>
      </c>
      <c r="AE166">
        <f>IF(P155&lt;4,"",IF($K$157=6,M60,IF($K$157=5,M59,IF($K$157=4,M58,IF($K$157=3,M53,IF($K$157=2,M52,IF($K$157=1,M51,"")))))))</f>
      </c>
    </row>
    <row r="167" ht="15" customHeight="1">
      <c r="I167" t="str">
        <f>IF($J$157=12,"Oct-"&amp;H159,IF($J$157=11,"Sep-"&amp;H159,IF($J$157=10,"Aug-"&amp;H159,IF($J$157=9,"Jul-"&amp;H159,IF($J$157=8,"Jun-"&amp;H159,IF($J$157=7,"May-"&amp;H159,""))))))</f>
        <v>Jul-22</v>
      </c>
      <c r="J167">
        <f t="shared" si="18"/>
        <v>406554</v>
      </c>
      <c r="K167">
        <f>IF($K$157=6,R61,IF($K$157=5,R60,IF($K$157=4,R59,IF($K$157=3,R58,IF($K$157=2,R53,IF($K$157=1,R52,""))))))</f>
      </c>
      <c r="L167">
        <f>IF($K$157=6,"Apr-"&amp;H159,IF($K$157=5,"Mar-"&amp;H159,IF($K$157=4,"Feb-"&amp;H159,IF($K$157=3,"Jan-"&amp;H159,IF($K$157=2,"Dec-"&amp;H158,IF($K$157=1,"Nov-"&amp;H158,""))))))</f>
      </c>
      <c r="N167" t="str">
        <f t="shared" si="17"/>
        <v>Jul-22</v>
      </c>
      <c r="P167">
        <f>IF(P155&lt;3,"",IF($J$157=12,E67,IF($J$157=11,E66,IF($J$157=10,E65,IF($J$157=9,E64,IF($J$157=8,E63,IF($J$157=7,E62,"")))))))</f>
        <v>424353</v>
      </c>
      <c r="Q167">
        <f>IF(P155&lt;3,"",IF($K$157=6,E61,IF($K$157=5,E60,IF($K$157=4,E59,IF($K$157=3,E58,IF($K$157=2,E53,IF($K$157=1,E52,"")))))))</f>
      </c>
      <c r="S167">
        <f>IF(P155&lt;3,"",IF($J$157=12,F67,IF($J$157=11,F66,IF($J$157=10,F65,IF($J$157=9,F64,IF($J$157=8,F63,IF($J$157=7,F62,"")))))))</f>
        <v>-12545</v>
      </c>
      <c r="T167">
        <f>IF(P155&lt;3,"",IF($K$157=6,F61,IF($K$157=5,F60,IF($K$157=4,F59,IF($K$157=3,F58,IF($K$157=2,F53,IF($K$157=1,F52,"")))))))</f>
      </c>
      <c r="V167">
        <f>IF(P155&lt;3,"",IF($J$157=12,H67,IF($J$157=11,H66,IF($J$157=10,H65,IF($J$157=9,H64,IF($J$157=8,H63,IF($J$157=7,H62,"")))))))</f>
        <v>0</v>
      </c>
      <c r="W167">
        <f>IF(P155&lt;3,"",IF($K$157=6,H61,IF($K$157=5,H60,IF($K$157=4,H59,IF($K$157=3,H58,IF($K$157=2,H53,IF($K$157=1,H52,"")))))))</f>
      </c>
      <c r="Y167">
        <f>IF(P155&lt;3,"",IF($J$157=12,J67,IF($J$157=11,J66,IF($J$157=10,J65,IF($J$157=9,J64,IF($J$157=8,J63,IF($J$157=7,J62,"")))))))</f>
        <v>-5254</v>
      </c>
      <c r="Z167">
        <f>IF(P155&lt;3,"",IF($K$157=6,J61,IF($K$157=5,J60,IF($K$157=4,J59,IF($K$157=3,J58,IF($K$157=2,J53,IF($K$157=1,J52,"")))))))</f>
      </c>
      <c r="AB167">
        <f>IF(P155&lt;3,"",IF($J$157=12,B67,IF($J$157=11,B66,IF($J$157=10,B65,IF($J$157=9,B64,IF($J$157=8,B63,IF($J$157=7,B62,"")))))))</f>
        <v>424353</v>
      </c>
      <c r="AC167">
        <f>IF(P155&lt;3,"",IF($K$157=6,B61,IF($K$157=5,B60,IF($K$157=4,B59,IF($K$157=3,B58,IF($K$157=2,B53,IF($K$157=1,B52,"")))))))</f>
      </c>
      <c r="AD167">
        <f>IF(P155&lt;3,"",IF($J$157=12,M67,IF($J$157=11,M66,IF($J$157=10,M65,IF($J$157=9,M64,IF($J$157=8,M63,IF($J$157=7,M62,"")))))))</f>
        <v>406554</v>
      </c>
      <c r="AE167">
        <f>IF(P155&lt;3,"",IF($K$157=6,M61,IF($K$157=5,M60,IF($K$157=4,M59,IF($K$157=3,M58,IF($K$157=2,M53,IF($K$157=1,M52,"")))))))</f>
      </c>
    </row>
    <row r="168" ht="15" customHeight="1">
      <c r="I168" t="str">
        <f>IF($J$157=12,"Nov-"&amp;H159,IF($J$157=11,"Oct-"&amp;H159,IF($J$157=10,"Sep-"&amp;H159,IF($J$157=9,"Aug-"&amp;H159,IF($J$157=8,"Jul-"&amp;H159,IF($J$157=7,"Jun-"&amp;H159,""))))))</f>
        <v>Aug-22</v>
      </c>
      <c r="J168">
        <f t="shared" si="18"/>
        <v>417714</v>
      </c>
      <c r="K168">
        <f>IF($K$157=6,R62,IF($K$157=5,R61,IF($K$157=4,R60,IF($K$157=3,R59,IF($K$157=2,R58,IF($K$157=1,R53,""))))))</f>
      </c>
      <c r="L168">
        <f>IF($K$157=6,"May-"&amp;H159,IF($K$157=5,"Apr-"&amp;H159,IF($K$157=4,"Mar-"&amp;H159,IF($K$157=3,"Feb-"&amp;H159,IF($K$157=2,"Jan-"&amp;H159,IF($K$157=1,"Dec-"&amp;H158,""))))))</f>
      </c>
      <c r="N168" t="str">
        <f t="shared" si="17"/>
        <v>Aug-22</v>
      </c>
      <c r="P168">
        <f>IF(P155&lt;2,"",IF($J$157=12,E68,IF($J$157=11,E67,IF($J$157=10,E66,IF($J$157=9,E65,IF($J$157=8,E64,IF($J$157=7,E63,"")))))))</f>
        <v>433447</v>
      </c>
      <c r="Q168">
        <f>IF(P155&lt;2,"",IF($K$157=6,E62,IF($K$157=5,E61,IF($K$157=4,E60,IF($K$157=3,E59,IF($K$157=2,E58,IF($K$157=1,E53,"")))))))</f>
      </c>
      <c r="S168">
        <f>IF(P155&lt;2,"",IF($J$157=12,F68,IF($J$157=11,F67,IF($J$157=10,F66,IF($J$157=9,F65,IF($J$157=8,F64,IF($J$157=7,F63,"")))))))</f>
        <v>-14867</v>
      </c>
      <c r="T168">
        <f>IF(P155&lt;2,"",IF($K$157=6,F62,IF($K$157=5,F61,IF($K$157=4,F60,IF($K$157=3,F59,IF($K$157=2,F58,IF($K$157=1,F53,"")))))))</f>
      </c>
      <c r="V168">
        <f>IF(P155&lt;2,"",IF($J$157=12,H68,IF($J$157=11,H67,IF($J$157=10,H66,IF($J$157=9,H65,IF($J$157=8,H64,IF($J$157=7,H63,"")))))))</f>
        <v>0</v>
      </c>
      <c r="W168">
        <f>IF(P155&lt;2,"",IF($K$157=6,H62,IF($K$157=5,H61,IF($K$157=4,H60,IF($K$157=3,H59,IF($K$157=2,H58,IF($K$157=1,H53,"")))))))</f>
      </c>
      <c r="Y168">
        <f>IF(P155&lt;2,"",IF($J$157=12,J68,IF($J$157=11,J67,IF($J$157=10,J66,IF($J$157=9,J65,IF($J$157=8,J64,IF($J$157=7,J63,"")))))))</f>
        <v>-866</v>
      </c>
      <c r="Z168">
        <f>IF(P155&lt;2,"",IF($K$157=6,J62,IF($K$157=5,J61,IF($K$157=4,J60,IF($K$157=3,J59,IF($K$157=2,J58,IF($K$157=1,J53,"")))))))</f>
      </c>
      <c r="AB168">
        <f>IF(P155&lt;2,"",IF($J$157=12,B68,IF($J$157=11,B67,IF($J$157=10,B66,IF($J$157=9,B65,IF($J$157=8,B64,IF($J$157=7,B63,"")))))))</f>
        <v>433447</v>
      </c>
      <c r="AC168">
        <f>IF(P155&lt;2,"",IF($K$157=6,B62,IF($K$157=5,B61,IF($K$157=4,B60,IF($K$157=3,B59,IF($K$157=2,B58,IF($K$157=1,B53,"")))))))</f>
      </c>
      <c r="AD168">
        <f>IF(P155&lt;2,"",IF($J$157=12,M68,IF($J$157=11,M67,IF($J$157=10,M66,IF($J$157=9,M65,IF($J$157=8,M64,IF($J$157=7,M63,"")))))))</f>
        <v>417714</v>
      </c>
      <c r="AE168">
        <f>IF(P155&lt;2,"",IF($K$157=6,M62,IF($K$157=5,M61,IF($K$157=4,M60,IF($K$157=3,M59,IF($K$157=2,M58,IF($K$157=1,M53,"")))))))</f>
      </c>
    </row>
    <row r="169" ht="15.75" customHeight="1">
      <c r="I169" t="str">
        <f>IF($J$157=12,"Dec-"&amp;H159,IF($J$157=11,"Nov-"&amp;H159,IF($J$157=10,"Oct-"&amp;H159,IF($J$157=9,"Sep-"&amp;H159,IF($J$157=8,"Aug-"&amp;H159,IF($J$157=7,"July-"&amp;H159,""))))))</f>
        <v>Sep-22</v>
      </c>
      <c r="J169">
        <f t="shared" si="18"/>
        <v>401951</v>
      </c>
      <c r="K169">
        <f>IF($K$157=6,R63,IF($K$157=5,R62,IF($K$157=4,R61,IF($K$157=3,R60,IF($K$157=2,R59,IF($K$157=1,R58,""))))))</f>
      </c>
      <c r="L169">
        <f>IF($K$157=6,"Jun-"&amp;H159,IF($K$157=5,"May-"&amp;H159,IF($K$157=4,"Apr-"&amp;H159,IF($K$157=3,"Mar-"&amp;H159,IF($K$157=2,"Feb-"&amp;H159,IF($K$157=1,"Jan-"&amp;H159,""))))))</f>
      </c>
      <c r="N169" t="str">
        <f t="shared" si="17"/>
        <v>Sep-22</v>
      </c>
      <c r="P169">
        <f>IF(P155&lt;1,"",IF($J$157=12,E69,IF($J$157=11,E68,IF($J$157=10,E67,IF($J$157=9,E66,IF($J$157=8,E65,IF($J$157=7,E64,"")))))))</f>
        <v>426092</v>
      </c>
      <c r="Q169">
        <f>IF(P155&lt;1,"",IF($K$157=6,E63,IF($K$157=5,E62,IF($K$157=4,E61,IF($K$157=3,E60,IF($K$157=2,E59,IF($K$157=1,E58,"")))))))</f>
      </c>
      <c r="S169">
        <f>IF(P155&lt;1,"",IF($J$157=12,F69,IF($J$157=11,F68,IF($J$157=10,F67,IF($J$157=9,F66,IF($J$157=8,F65,IF($J$157=7,F64,"")))))))</f>
        <v>-19131</v>
      </c>
      <c r="T169">
        <f>IF(P155&lt;1,"",IF($K$157=6,F63,IF($K$157=5,F62,IF($K$157=4,F61,IF($K$157=3,F60,IF($K$157=2,F59,IF($K$157=1,F58,"")))))))</f>
      </c>
      <c r="V169">
        <f>IF(P155&lt;1,"",IF($J$157=12,H69,IF($J$157=11,H68,IF($J$157=10,H67,IF($J$157=9,H66,IF($J$157=8,H65,IF($J$157=7,H64,"")))))))</f>
        <v>0</v>
      </c>
      <c r="W169">
        <f>IF(P155&lt;1,"",IF($K$157=6,H63,IF($K$157=5,H62,IF($K$157=4,H61,IF($K$157=3,H60,IF($K$157=2,H59,IF($K$157=1,H58,"")))))))</f>
      </c>
      <c r="Y169">
        <f>IF(P155&lt;1,"",IF($J$157=12,J69,IF($J$157=11,J68,IF($J$157=10,J67,IF($J$157=9,J66,IF($J$157=8,J65,IF($J$157=7,J64,"")))))))</f>
        <v>-5010</v>
      </c>
      <c r="Z169">
        <f>IF(P155&lt;1,"",IF($K$157=6,J63,IF($K$157=5,J62,IF($K$157=4,J61,IF($K$157=3,J60,IF($K$157=2,J59,IF($K$157=1,J58,"")))))))</f>
      </c>
      <c r="AB169">
        <f>IF(P155&lt;1,"",IF($J$157=12,B69,IF($J$157=11,B68,IF($J$157=10,B67,IF($J$157=9,B66,IF($J$157=8,B65,IF($J$157=7,B64,"")))))))</f>
        <v>426092</v>
      </c>
      <c r="AC169">
        <f>IF(P155&lt;1,"",IF($K$157=6,B63,IF($K$157=5,B62,IF($K$157=4,B61,IF($K$157=3,B60,IF($K$157=2,B59,IF($K$157=1,B58,"")))))))</f>
      </c>
      <c r="AD169">
        <f>IF(P155&lt;1,"",IF($J$157=12,M69,IF($J$157=11,M68,IF($J$157=10,M67,IF($J$157=9,M66,IF($J$157=8,M65,IF($J$157=7,M64,"")))))))</f>
        <v>401951</v>
      </c>
      <c r="AE169">
        <f>IF(P155&lt;1,"",IF($K$157=6,M63,IF($K$157=5,M62,IF($K$157=4,M61,IF($K$157=3,M60,IF($K$157=2,M59,IF($K$157=1,M58,"")))))))</f>
      </c>
    </row>
    <row r="170" ht="15.75" customHeight="1"/>
    <row r="171" ht="15.75" customHeight="1">
      <c r="J171">
        <f t="shared" si="20" ref="J171:J182">IF($J$157&lt;&gt;"",J158,IF($K$157&lt;&gt;"",K158,""))</f>
        <v>408133</v>
      </c>
      <c r="K171">
        <f t="shared" si="21" ref="K171:K182">IF(J171&lt;&gt;"",AVERAGE($J$171:$J$182),"")</f>
        <v>400594.3333333333</v>
      </c>
      <c r="P171">
        <f t="shared" si="19" ref="P171:AD187">SUM(P158:Q169)</f>
        <v>5028324</v>
      </c>
      <c r="S171">
        <f t="shared" si="19"/>
        <v>-174838</v>
      </c>
      <c r="V171">
        <f t="shared" si="19"/>
        <v>0</v>
      </c>
      <c r="Y171">
        <f t="shared" si="19"/>
        <v>-46354</v>
      </c>
      <c r="AB171">
        <f t="shared" si="19"/>
        <v>5028324</v>
      </c>
      <c r="AD171">
        <f t="shared" si="19"/>
        <v>4807132</v>
      </c>
    </row>
    <row r="172" ht="15" customHeight="1">
      <c r="J172">
        <f t="shared" si="20"/>
        <v>402220</v>
      </c>
      <c r="K172">
        <f t="shared" si="21"/>
        <v>400594.3333333333</v>
      </c>
    </row>
    <row r="173" ht="15" customHeight="1">
      <c r="J173">
        <f t="shared" si="20"/>
        <v>373778</v>
      </c>
      <c r="K173">
        <f t="shared" si="21"/>
        <v>400594.3333333333</v>
      </c>
    </row>
    <row r="174" ht="15" customHeight="1">
      <c r="J174">
        <f t="shared" si="20"/>
        <v>390541</v>
      </c>
      <c r="K174">
        <f t="shared" si="21"/>
        <v>400594.3333333333</v>
      </c>
      <c r="N174" t="str">
        <f t="shared" si="7"/>
        <v>Oct-21</v>
      </c>
      <c r="P174">
        <f>IF($J$157=12,E58,IF($J$157=11,E53,IF($J$157=10,E52,IF($J$157=9,E51,IF($J$157=8,E50,IF($J$157=7,E49,""))))))</f>
        <v>423358</v>
      </c>
      <c r="Q174">
        <f t="shared" si="22" ref="Q174:Q179">IF($K$157=6,E48,IF($K$157=5,E47,IF($K$157=4,E46,IF($K$157=3,E45,IF($K$157=2,E44,IF($K$157=1,E43,""))))))</f>
      </c>
      <c r="S174">
        <f>IF($J$157=12,F58,IF($J$157=11,F53,IF($J$157=10,F52,IF($J$157=9,F51,IF($J$157=8,F50,IF($J$157=7,F49,""))))))</f>
        <v>-15246</v>
      </c>
      <c r="T174">
        <f t="shared" si="23" ref="T174:T179">IF($K$157=6,F48,IF($K$157=5,F47,IF($K$157=4,F46,IF($K$157=3,F45,IF($K$157=2,F44,IF($K$157=1,F43,""))))))</f>
      </c>
      <c r="V174">
        <f>IF($J$157=12,H58,IF($J$157=11,H53,IF($J$157=10,H52,IF($J$157=9,H51,IF($J$157=8,H50,IF($J$157=7,H49,""))))))</f>
        <v>0</v>
      </c>
      <c r="W174">
        <f t="shared" si="24" ref="W174:W179">IF($K$157=6,H48,IF($K$157=5,H47,IF($K$157=4,H46,IF($K$157=3,H45,IF($K$157=2,H44,IF($K$157=1,H43,""))))))</f>
      </c>
      <c r="Y174">
        <f>IF($J$157=12,J58,IF($J$157=11,J53,IF($J$157=10,J52,IF($J$157=9,J51,IF($J$157=8,J50,IF($J$157=7,J49,""))))))</f>
        <v>21</v>
      </c>
      <c r="Z174">
        <f t="shared" si="25" ref="Z174:Z179">IF($K$157=6,J48,IF($K$157=5,J47,IF($K$157=4,J46,IF($K$157=3,J45,IF($K$157=2,J44,IF($K$157=1,J43,""))))))</f>
      </c>
      <c r="AB174">
        <f>IF($J$157=12,B58,IF($J$157=11,B53,IF($J$157=10,B52,IF($J$157=9,B51,IF($J$157=8,B50,IF($J$157=7,B49,""))))))</f>
        <v>423358</v>
      </c>
      <c r="AC174">
        <f t="shared" si="26" ref="AC174:AC179">IF($K$157=6,B48,IF($K$157=5,B47,IF($K$157=4,B46,IF($K$157=3,B45,IF($K$157=2,B44,IF($K$157=1,B43,""))))))</f>
      </c>
      <c r="AD174">
        <f>IF($J$157=12,M58,IF($J$157=11,M53,IF($J$157=10,M52,IF($J$157=9,M51,IF($J$157=8,M50,IF($J$157=7,M49,""))))))</f>
        <v>408133</v>
      </c>
      <c r="AE174">
        <f t="shared" si="27" ref="AE174:AE179">IF($K$157=6,M48,IF($K$157=5,M47,IF($K$157=4,M46,IF($K$157=3,M45,IF($K$157=2,M44,IF($K$157=1,M43,""))))))</f>
      </c>
    </row>
    <row r="175" ht="15" customHeight="1">
      <c r="J175">
        <f t="shared" si="20"/>
        <v>403068</v>
      </c>
      <c r="K175">
        <f t="shared" si="21"/>
        <v>400594.3333333333</v>
      </c>
      <c r="N175" t="str">
        <f t="shared" si="7"/>
        <v>Nov-21</v>
      </c>
      <c r="P175">
        <f>IF($J$157=12,E59,IF($J$157=11,E58,IF($J$157=10,E53,IF($J$157=9,E52,IF($J$157=8,E51,IF($J$157=7,E50,""))))))</f>
        <v>421974</v>
      </c>
      <c r="Q175">
        <f t="shared" si="22"/>
      </c>
      <c r="S175">
        <f>IF($J$157=12,F59,IF($J$157=11,F58,IF($J$157=10,F53,IF($J$157=9,F52,IF($J$157=8,F51,IF($J$157=7,F50,""))))))</f>
        <v>-20081</v>
      </c>
      <c r="T175">
        <f t="shared" si="23"/>
      </c>
      <c r="V175">
        <f>IF($J$157=12,H59,IF($J$157=11,H58,IF($J$157=10,H53,IF($J$157=9,H52,IF($J$157=8,H51,IF($J$157=7,H50,""))))))</f>
        <v>0</v>
      </c>
      <c r="W175">
        <f t="shared" si="24"/>
      </c>
      <c r="Y175">
        <f>IF($J$157=12,J59,IF($J$157=11,J58,IF($J$157=10,J53,IF($J$157=9,J52,IF($J$157=8,J51,IF($J$157=7,J50,""))))))</f>
        <v>327</v>
      </c>
      <c r="Z175">
        <f t="shared" si="25"/>
      </c>
      <c r="AB175">
        <f>IF($J$157=12,B59,IF($J$157=11,B58,IF($J$157=10,B53,IF($J$157=9,B52,IF($J$157=8,B51,IF($J$157=7,B50,""))))))</f>
        <v>421974</v>
      </c>
      <c r="AC175">
        <f t="shared" si="26"/>
      </c>
      <c r="AD175">
        <f>IF($J$157=12,M59,IF($J$157=11,M58,IF($J$157=10,M53,IF($J$157=9,M52,IF($J$157=8,M51,IF($J$157=7,M50,""))))))</f>
        <v>402220</v>
      </c>
      <c r="AE175">
        <f t="shared" si="27"/>
      </c>
    </row>
    <row r="176" ht="15" customHeight="1">
      <c r="J176">
        <f t="shared" si="20"/>
        <v>374900</v>
      </c>
      <c r="K176">
        <f t="shared" si="21"/>
        <v>400594.3333333333</v>
      </c>
      <c r="N176" t="str">
        <f t="shared" si="7"/>
        <v>Dec-21</v>
      </c>
      <c r="P176">
        <f>IF($J$157=12,E60,IF($J$157=11,E59,IF($J$157=10,E58,IF($J$157=9,E53,IF($J$157=8,E52,IF($J$157=7,E51,""))))))</f>
        <v>391571</v>
      </c>
      <c r="Q176">
        <f t="shared" si="22"/>
      </c>
      <c r="S176">
        <f>IF($J$157=12,F60,IF($J$157=11,F59,IF($J$157=10,F58,IF($J$157=9,F53,IF($J$157=8,F52,IF($J$157=7,F51,""))))))</f>
        <v>-15238</v>
      </c>
      <c r="T176">
        <f t="shared" si="23"/>
      </c>
      <c r="V176">
        <f>IF($J$157=12,H60,IF($J$157=11,H59,IF($J$157=10,H58,IF($J$157=9,H53,IF($J$157=8,H52,IF($J$157=7,H51,""))))))</f>
        <v>0</v>
      </c>
      <c r="W176">
        <f t="shared" si="24"/>
      </c>
      <c r="Y176">
        <f>IF($J$157=12,J60,IF($J$157=11,J59,IF($J$157=10,J58,IF($J$157=9,J53,IF($J$157=8,J52,IF($J$157=7,J51,""))))))</f>
        <v>-2555</v>
      </c>
      <c r="Z176">
        <f t="shared" si="25"/>
      </c>
      <c r="AB176">
        <f>IF($J$157=12,B60,IF($J$157=11,B59,IF($J$157=10,B58,IF($J$157=9,B53,IF($J$157=8,B52,IF($J$157=7,B51,""))))))</f>
        <v>391571</v>
      </c>
      <c r="AC176">
        <f t="shared" si="26"/>
      </c>
      <c r="AD176">
        <f>IF($J$157=12,M60,IF($J$157=11,M59,IF($J$157=10,M58,IF($J$157=9,M53,IF($J$157=8,M52,IF($J$157=7,M51,""))))))</f>
        <v>373778</v>
      </c>
      <c r="AE176">
        <f t="shared" si="27"/>
      </c>
    </row>
    <row r="177" ht="15" customHeight="1">
      <c r="J177">
        <f t="shared" si="20"/>
        <v>393092</v>
      </c>
      <c r="K177">
        <f t="shared" si="21"/>
        <v>400594.3333333333</v>
      </c>
      <c r="N177" t="str">
        <f t="shared" si="7"/>
        <v>Jan-22</v>
      </c>
      <c r="P177">
        <f>IF($J$157=12,E61,IF($J$157=11,E60,IF($J$157=10,E59,IF($J$157=9,E58,IF($J$157=8,E53,IF($J$157=7,E52,""))))))</f>
        <v>420163</v>
      </c>
      <c r="Q177">
        <f t="shared" si="22"/>
      </c>
      <c r="S177">
        <f>IF($J$157=12,F61,IF($J$157=11,F60,IF($J$157=10,F59,IF($J$157=9,F58,IF($J$157=8,F53,IF($J$157=7,F52,""))))))</f>
        <v>-23382</v>
      </c>
      <c r="T177">
        <f t="shared" si="23"/>
      </c>
      <c r="V177">
        <f>IF($J$157=12,H61,IF($J$157=11,H60,IF($J$157=10,H59,IF($J$157=9,H58,IF($J$157=8,H53,IF($J$157=7,H52,""))))))</f>
        <v>0</v>
      </c>
      <c r="W177">
        <f t="shared" si="24"/>
      </c>
      <c r="Y177">
        <f>IF($J$157=12,J61,IF($J$157=11,J60,IF($J$157=10,J59,IF($J$157=9,J58,IF($J$157=8,J53,IF($J$157=7,J52,""))))))</f>
        <v>-6240</v>
      </c>
      <c r="Z177">
        <f t="shared" si="25"/>
      </c>
      <c r="AB177">
        <f>IF($J$157=12,B61,IF($J$157=11,B60,IF($J$157=10,B59,IF($J$157=9,B58,IF($J$157=8,B53,IF($J$157=7,B52,""))))))</f>
        <v>420163</v>
      </c>
      <c r="AC177">
        <f t="shared" si="26"/>
      </c>
      <c r="AD177">
        <f>IF($J$157=12,M61,IF($J$157=11,M60,IF($J$157=10,M59,IF($J$157=9,M58,IF($J$157=8,M53,IF($J$157=7,M52,""))))))</f>
        <v>390541</v>
      </c>
      <c r="AE177">
        <f t="shared" si="27"/>
      </c>
    </row>
    <row r="178" ht="15" customHeight="1">
      <c r="J178">
        <f t="shared" si="20"/>
        <v>411104</v>
      </c>
      <c r="K178">
        <f t="shared" si="21"/>
        <v>400594.3333333333</v>
      </c>
      <c r="N178" t="str">
        <f t="shared" si="7"/>
        <v>Feb-22</v>
      </c>
      <c r="P178">
        <f>IF($J$157=12,E62,IF($J$157=11,E61,IF($J$157=10,E60,IF($J$157=9,E59,IF($J$157=8,E58,IF($J$157=7,E53,""))))))</f>
        <v>424893</v>
      </c>
      <c r="Q178">
        <f t="shared" si="22"/>
      </c>
      <c r="S178">
        <f>IF($J$157=12,F62,IF($J$157=11,F61,IF($J$157=10,F60,IF($J$157=9,F59,IF($J$157=8,F58,IF($J$157=7,F53,""))))))</f>
        <v>-16013</v>
      </c>
      <c r="T178">
        <f t="shared" si="23"/>
      </c>
      <c r="V178">
        <f>IF($J$157=12,H62,IF($J$157=11,H61,IF($J$157=10,H60,IF($J$157=9,H59,IF($J$157=8,H58,IF($J$157=7,H53,""))))))</f>
        <v>0</v>
      </c>
      <c r="W178">
        <f t="shared" si="24"/>
      </c>
      <c r="Y178">
        <f>IF($J$157=12,J62,IF($J$157=11,J61,IF($J$157=10,J60,IF($J$157=9,J59,IF($J$157=8,J58,IF($J$157=7,J53,""))))))</f>
        <v>-5812</v>
      </c>
      <c r="Z178">
        <f t="shared" si="25"/>
      </c>
      <c r="AB178">
        <f>IF($J$157=12,B62,IF($J$157=11,B61,IF($J$157=10,B60,IF($J$157=9,B59,IF($J$157=8,B58,IF($J$157=7,B53,""))))))</f>
        <v>424893</v>
      </c>
      <c r="AC178">
        <f t="shared" si="26"/>
      </c>
      <c r="AD178">
        <f>IF($J$157=12,M62,IF($J$157=11,M61,IF($J$157=10,M60,IF($J$157=9,M59,IF($J$157=8,M58,IF($J$157=7,M53,""))))))</f>
        <v>403068</v>
      </c>
      <c r="AE178">
        <f t="shared" si="27"/>
      </c>
    </row>
    <row r="179" ht="15" customHeight="1">
      <c r="J179">
        <f t="shared" si="20"/>
        <v>424077</v>
      </c>
      <c r="K179">
        <f t="shared" si="21"/>
        <v>400594.3333333333</v>
      </c>
      <c r="N179" t="str">
        <f t="shared" si="7"/>
        <v>Mar-22</v>
      </c>
      <c r="P179">
        <f t="shared" si="28" ref="P179:P185">IF($J$157=12,E63,IF($J$157=11,E62,IF($J$157=10,E61,IF($J$157=9,E60,IF($J$157=8,E59,IF($J$157=7,E58,""))))))</f>
        <v>394849</v>
      </c>
      <c r="Q179">
        <f t="shared" si="22"/>
      </c>
      <c r="S179">
        <f t="shared" si="29" ref="S179:S185">IF($J$157=12,F63,IF($J$157=11,F62,IF($J$157=10,F61,IF($J$157=9,F60,IF($J$157=8,F59,IF($J$157=7,F58,""))))))</f>
        <v>-10561</v>
      </c>
      <c r="T179">
        <f t="shared" si="23"/>
      </c>
      <c r="V179">
        <f t="shared" si="30" ref="V179:V185">IF($J$157=12,H63,IF($J$157=11,H62,IF($J$157=10,H61,IF($J$157=9,H60,IF($J$157=8,H59,IF($J$157=7,H58,""))))))</f>
        <v>0</v>
      </c>
      <c r="W179">
        <f t="shared" si="24"/>
      </c>
      <c r="Y179">
        <f t="shared" si="31" ref="Y179:Y185">IF($J$157=12,J63,IF($J$157=11,J62,IF($J$157=10,J61,IF($J$157=9,J60,IF($J$157=8,J59,IF($J$157=7,J58,""))))))</f>
        <v>-9388</v>
      </c>
      <c r="Z179">
        <f t="shared" si="25"/>
      </c>
      <c r="AB179">
        <f t="shared" si="32" ref="AB179:AB185">IF($J$157=12,B63,IF($J$157=11,B62,IF($J$157=10,B61,IF($J$157=9,B60,IF($J$157=8,B59,IF($J$157=7,B58,""))))))</f>
        <v>394849</v>
      </c>
      <c r="AC179">
        <f t="shared" si="26"/>
      </c>
      <c r="AD179">
        <f t="shared" si="33" ref="AD179:AD185">IF($J$157=12,M63,IF($J$157=11,M62,IF($J$157=10,M61,IF($J$157=9,M60,IF($J$157=8,M59,IF($J$157=7,M58,""))))))</f>
        <v>374900</v>
      </c>
      <c r="AE179">
        <f t="shared" si="27"/>
      </c>
    </row>
    <row r="180" ht="15" customHeight="1">
      <c r="J180">
        <f t="shared" si="20"/>
        <v>406554</v>
      </c>
      <c r="K180">
        <f t="shared" si="21"/>
        <v>400594.3333333333</v>
      </c>
      <c r="N180" t="str">
        <f t="shared" si="7"/>
        <v>Apr-22</v>
      </c>
      <c r="P180">
        <f t="shared" si="28"/>
        <v>407072</v>
      </c>
      <c r="Q180">
        <f>IF($K$157=6,E58,IF($K$157=5,E53,IF($K$157=4,E52,IF($K$157=3,E51,IF($K$157=2,E50,IF($K$157=1,E49,""))))))</f>
      </c>
      <c r="S180">
        <f t="shared" si="29"/>
        <v>-5433</v>
      </c>
      <c r="T180">
        <f>IF($K$157=6,F58,IF($K$157=5,F53,IF($K$157=4,F52,IF($K$157=3,F51,IF($K$157=2,F50,IF($K$157=1,F49,""))))))</f>
      </c>
      <c r="V180">
        <f t="shared" si="30"/>
        <v>0</v>
      </c>
      <c r="W180">
        <f>IF($K$157=6,H58,IF($K$157=5,H53,IF($K$157=4,H52,IF($K$157=3,H51,IF($K$157=2,H50,IF($K$157=1,H49,""))))))</f>
      </c>
      <c r="Y180">
        <f t="shared" si="31"/>
        <v>-8547</v>
      </c>
      <c r="Z180">
        <f>IF($K$157=6,J58,IF($K$157=5,J53,IF($K$157=4,J52,IF($K$157=3,J51,IF($K$157=2,J50,IF($K$157=1,J49,""))))))</f>
      </c>
      <c r="AB180">
        <f t="shared" si="32"/>
        <v>407072</v>
      </c>
      <c r="AC180">
        <f>IF($K$157=6,B58,IF($K$157=5,B53,IF($K$157=4,B52,IF($K$157=3,B51,IF($K$157=2,B50,IF($K$157=1,B49,""))))))</f>
      </c>
      <c r="AD180">
        <f t="shared" si="33"/>
        <v>393092</v>
      </c>
      <c r="AE180">
        <f>IF($K$157=6,M58,IF($K$157=5,M53,IF($K$157=4,M52,IF($K$157=3,M51,IF($K$157=2,M50,IF($K$157=1,M49,""))))))</f>
      </c>
    </row>
    <row r="181" ht="15" customHeight="1">
      <c r="J181">
        <f t="shared" si="20"/>
        <v>417714</v>
      </c>
      <c r="K181">
        <f t="shared" si="21"/>
        <v>400594.3333333333</v>
      </c>
      <c r="N181" t="str">
        <f t="shared" si="7"/>
        <v>May-22</v>
      </c>
      <c r="P181">
        <f t="shared" si="28"/>
        <v>423823</v>
      </c>
      <c r="Q181">
        <f>IF($K$157=6,E59,IF($K$157=5,E58,IF($K$157=4,E53,IF($K$157=3,E52,IF($K$157=2,E51,IF($K$157=1,E50,""))))))</f>
      </c>
      <c r="S181">
        <f t="shared" si="29"/>
        <v>-8948</v>
      </c>
      <c r="T181">
        <f>IF($K$157=6,F59,IF($K$157=5,F58,IF($K$157=4,F53,IF($K$157=3,F52,IF($K$157=2,F51,IF($K$157=1,F50,""))))))</f>
      </c>
      <c r="V181">
        <f t="shared" si="30"/>
        <v>0</v>
      </c>
      <c r="W181">
        <f>IF($K$157=6,H59,IF($K$157=5,H58,IF($K$157=4,H53,IF($K$157=3,H52,IF($K$157=2,H51,IF($K$157=1,H50,""))))))</f>
      </c>
      <c r="Y181">
        <f t="shared" si="31"/>
        <v>-3771</v>
      </c>
      <c r="Z181">
        <f>IF($K$157=6,J59,IF($K$157=5,J58,IF($K$157=4,J53,IF($K$157=3,J52,IF($K$157=2,J51,IF($K$157=1,J50,""))))))</f>
      </c>
      <c r="AB181">
        <f t="shared" si="32"/>
        <v>423823</v>
      </c>
      <c r="AC181">
        <f>IF($K$157=6,B59,IF($K$157=5,B58,IF($K$157=4,B53,IF($K$157=3,B52,IF($K$157=2,B51,IF($K$157=1,B50,""))))))</f>
      </c>
      <c r="AD181">
        <f t="shared" si="33"/>
        <v>411104</v>
      </c>
      <c r="AE181">
        <f>IF($K$157=6,M59,IF($K$157=5,M58,IF($K$157=4,M53,IF($K$157=3,M52,IF($K$157=2,M51,IF($K$157=1,M50,""))))))</f>
      </c>
    </row>
    <row r="182" ht="15.75" customHeight="1">
      <c r="J182">
        <f t="shared" si="20"/>
        <v>401951</v>
      </c>
      <c r="K182">
        <f t="shared" si="21"/>
        <v>400594.3333333333</v>
      </c>
      <c r="N182" t="str">
        <f t="shared" si="7"/>
        <v>Jun-22</v>
      </c>
      <c r="P182">
        <f t="shared" si="28"/>
        <v>436729</v>
      </c>
      <c r="Q182">
        <f>IF($K$157=6,E60,IF($K$157=5,E59,IF($K$157=4,E58,IF($K$157=3,E53,IF($K$157=2,E52,IF($K$157=1,E51,""))))))</f>
      </c>
      <c r="S182">
        <f t="shared" si="29"/>
        <v>-13393</v>
      </c>
      <c r="T182">
        <f>IF($K$157=6,F60,IF($K$157=5,F59,IF($K$157=4,F58,IF($K$157=3,F53,IF($K$157=2,F52,IF($K$157=1,F51,""))))))</f>
      </c>
      <c r="V182">
        <f t="shared" si="30"/>
        <v>0</v>
      </c>
      <c r="W182">
        <f>IF($K$157=6,H60,IF($K$157=5,H59,IF($K$157=4,H58,IF($K$157=3,H53,IF($K$157=2,H52,IF($K$157=1,H51,""))))))</f>
      </c>
      <c r="Y182">
        <f t="shared" si="31"/>
        <v>741</v>
      </c>
      <c r="Z182">
        <f>IF($K$157=6,J60,IF($K$157=5,J59,IF($K$157=4,J58,IF($K$157=3,J53,IF($K$157=2,J52,IF($K$157=1,J51,""))))))</f>
      </c>
      <c r="AB182">
        <f t="shared" si="32"/>
        <v>436729</v>
      </c>
      <c r="AC182">
        <f>IF($K$157=6,B60,IF($K$157=5,B59,IF($K$157=4,B58,IF($K$157=3,B53,IF($K$157=2,B52,IF($K$157=1,B51,""))))))</f>
      </c>
      <c r="AD182">
        <f t="shared" si="33"/>
        <v>424077</v>
      </c>
      <c r="AE182">
        <f>IF($K$157=6,M60,IF($K$157=5,M59,IF($K$157=4,M58,IF($K$157=3,M53,IF($K$157=2,M52,IF($K$157=1,M51,""))))))</f>
      </c>
    </row>
    <row r="183" ht="15" customHeight="1">
      <c r="N183" t="str">
        <f t="shared" si="7"/>
        <v>Jul-22</v>
      </c>
      <c r="P183">
        <f t="shared" si="28"/>
        <v>424353</v>
      </c>
      <c r="Q183">
        <f>IF($K$157=6,E61,IF($K$157=5,E60,IF($K$157=4,E59,IF($K$157=3,E58,IF($K$157=2,E53,IF($K$157=1,E52,""))))))</f>
      </c>
      <c r="S183">
        <f t="shared" si="29"/>
        <v>-12545</v>
      </c>
      <c r="T183">
        <f>IF($K$157=6,F61,IF($K$157=5,F60,IF($K$157=4,F59,IF($K$157=3,F58,IF($K$157=2,F53,IF($K$157=1,F52,""))))))</f>
      </c>
      <c r="V183">
        <f t="shared" si="30"/>
        <v>0</v>
      </c>
      <c r="W183">
        <f>IF($K$157=6,H61,IF($K$157=5,H60,IF($K$157=4,H59,IF($K$157=3,H58,IF($K$157=2,H53,IF($K$157=1,H52,""))))))</f>
      </c>
      <c r="Y183">
        <f t="shared" si="31"/>
        <v>-5254</v>
      </c>
      <c r="Z183">
        <f>IF($K$157=6,J61,IF($K$157=5,J60,IF($K$157=4,J59,IF($K$157=3,J58,IF($K$157=2,J53,IF($K$157=1,J52,""))))))</f>
      </c>
      <c r="AB183">
        <f t="shared" si="32"/>
        <v>424353</v>
      </c>
      <c r="AC183">
        <f>IF($K$157=6,B61,IF($K$157=5,B60,IF($K$157=4,B59,IF($K$157=3,B58,IF($K$157=2,B53,IF($K$157=1,B52,""))))))</f>
      </c>
      <c r="AD183">
        <f t="shared" si="33"/>
        <v>406554</v>
      </c>
      <c r="AE183">
        <f>IF($K$157=6,M61,IF($K$157=5,M60,IF($K$157=4,M59,IF($K$157=3,M58,IF($K$157=2,M53,IF($K$157=1,M52,""))))))</f>
      </c>
    </row>
    <row r="184" ht="15" customHeight="1">
      <c r="N184" t="str">
        <f t="shared" si="7"/>
        <v>Aug-22</v>
      </c>
      <c r="P184">
        <f t="shared" si="28"/>
        <v>433447</v>
      </c>
      <c r="Q184">
        <f>IF($K$157=6,E62,IF($K$157=5,E61,IF($K$157=4,E60,IF($K$157=3,E59,IF($K$157=2,E58,IF($K$157=1,E53,""))))))</f>
      </c>
      <c r="S184">
        <f t="shared" si="29"/>
        <v>-14867</v>
      </c>
      <c r="T184">
        <f>IF($K$157=6,F62,IF($K$157=5,F61,IF($K$157=4,F60,IF($K$157=3,F59,IF($K$157=2,F58,IF($K$157=1,F53,""))))))</f>
      </c>
      <c r="V184">
        <f t="shared" si="30"/>
        <v>0</v>
      </c>
      <c r="W184">
        <f>IF($K$157=6,H62,IF($K$157=5,H61,IF($K$157=4,H60,IF($K$157=3,H59,IF($K$157=2,H58,IF($K$157=1,H53,""))))))</f>
      </c>
      <c r="Y184">
        <f t="shared" si="31"/>
        <v>-866</v>
      </c>
      <c r="Z184">
        <f>IF($K$157=6,J62,IF($K$157=5,J61,IF($K$157=4,J60,IF($K$157=3,J59,IF($K$157=2,J58,IF($K$157=1,J53,""))))))</f>
      </c>
      <c r="AB184">
        <f t="shared" si="32"/>
        <v>433447</v>
      </c>
      <c r="AC184">
        <f>IF($K$157=6,B62,IF($K$157=5,B61,IF($K$157=4,B60,IF($K$157=3,B59,IF($K$157=2,B58,IF($K$157=1,B53,""))))))</f>
      </c>
      <c r="AD184">
        <f t="shared" si="33"/>
        <v>417714</v>
      </c>
      <c r="AE184">
        <f>IF($K$157=6,M62,IF($K$157=5,M61,IF($K$157=4,M60,IF($K$157=3,M59,IF($K$157=2,M58,IF($K$157=1,M53,""))))))</f>
      </c>
    </row>
    <row r="185" ht="15" customHeight="1">
      <c r="N185" t="str">
        <f t="shared" si="7"/>
        <v>Sep-22</v>
      </c>
      <c r="P185">
        <f t="shared" si="28"/>
        <v>426092</v>
      </c>
      <c r="Q185">
        <f>IF($K$157=6,E63,IF($K$157=5,E62,IF($K$157=4,E61,IF($K$157=3,E60,IF($K$157=2,E59,IF($K$157=1,E58,""))))))</f>
      </c>
      <c r="S185">
        <f t="shared" si="29"/>
        <v>-19131</v>
      </c>
      <c r="T185">
        <f>IF($K$157=6,F63,IF($K$157=5,F62,IF($K$157=4,F61,IF($K$157=3,F60,IF($K$157=2,F59,IF($K$157=1,F58,""))))))</f>
      </c>
      <c r="V185">
        <f t="shared" si="30"/>
        <v>0</v>
      </c>
      <c r="W185">
        <f>IF($K$157=6,H63,IF($K$157=5,H62,IF($K$157=4,H61,IF($K$157=3,H60,IF($K$157=2,H59,IF($K$157=1,H58,""))))))</f>
      </c>
      <c r="Y185">
        <f t="shared" si="31"/>
        <v>-5010</v>
      </c>
      <c r="Z185">
        <f>IF($K$157=6,J63,IF($K$157=5,J62,IF($K$157=4,J61,IF($K$157=3,J60,IF($K$157=2,J59,IF($K$157=1,J58,""))))))</f>
      </c>
      <c r="AB185">
        <f t="shared" si="32"/>
        <v>426092</v>
      </c>
      <c r="AC185">
        <f>IF($K$157=6,B63,IF($K$157=5,B62,IF($K$157=4,B61,IF($K$157=3,B60,IF($K$157=2,B59,IF($K$157=1,B58,""))))))</f>
      </c>
      <c r="AD185">
        <f t="shared" si="33"/>
        <v>401951</v>
      </c>
      <c r="AE185">
        <f>IF($K$157=6,M63,IF($K$157=5,M62,IF($K$157=4,M61,IF($K$157=3,M60,IF($K$157=2,M59,IF($K$157=1,M58,""))))))</f>
      </c>
    </row>
    <row r="186" ht="15.75" customHeight="1"/>
    <row r="187" ht="15.75" customHeight="1">
      <c r="P187">
        <f t="shared" si="19"/>
        <v>5028324</v>
      </c>
      <c r="S187">
        <f t="shared" si="19"/>
        <v>-174838</v>
      </c>
      <c r="V187">
        <f t="shared" si="19"/>
        <v>0</v>
      </c>
      <c r="Y187">
        <f t="shared" si="19"/>
        <v>-46354</v>
      </c>
      <c r="AB187">
        <f t="shared" si="19"/>
        <v>5028324</v>
      </c>
      <c r="AD187">
        <f t="shared" si="19"/>
        <v>4807132</v>
      </c>
    </row>
  </sheetData>
  <printOptions horizontalCentered="1"/>
  <pageMargins left="0.25" right="0.25" top="0.25" bottom="0.25" header="0.5" footer="0.5"/>
  <pageSetup useFirstPageNumber="1" fitToHeight="1" fitToWidth="1" paperSize="5" firstPageNumber="1" scale="48" pageOrder="downThenOver" orientation="landscape"/>
  <headerFooter>
    <oddHeader>&amp;L&amp;C&amp;R</oddHeader>
    <oddFooter>&amp;L&amp;C&amp;R</oddFooter>
  </headerFooter>
  <rowBreaks count="1" manualBreakCount="1">
    <brk id="119" man="1" max="1048576"/>
  </rowBreaks>
  <drawing r:id="rId1"/>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A6C7182-42D8-5454-D439-D9549D69775D}" mc:Ignorable="x14ac xr xr2 xr3">
  <sheetPr>
    <tabColor theme="8" tint="-0.5"/>
    <pageSetUpPr fitToPage="1"/>
  </sheetPr>
  <dimension ref="A1:AW281"/>
  <sheetViews>
    <sheetView topLeftCell="A1" zoomScale="80" workbookViewId="0">
      <selection activeCell="C6" sqref="C6"/>
    </sheetView>
  </sheetViews>
  <sheetFormatPr defaultRowHeight="14.497499999999997" defaultColWidth="0" customHeight="1"/>
  <cols>
    <col min="1" max="1" width="2.57421875" customWidth="1"/>
    <col min="2" max="2" width="13.28125" customWidth="1"/>
    <col min="3" max="3" width="30.57421875" customWidth="1"/>
    <col min="4" max="4" width="18.57421875" customWidth="1"/>
    <col min="5" max="5" width="24.57421875" customWidth="1"/>
    <col min="6" max="6" width="6.57421875" customWidth="1"/>
    <col min="7" max="7" width="19.57421875" customWidth="1"/>
    <col min="8" max="8" width="10.00390625" customWidth="1"/>
    <col min="9" max="9" width="7.8515625" customWidth="1"/>
    <col min="10" max="10" width="11.57421875" customWidth="1"/>
    <col min="11" max="11" width="9.28125" customWidth="1"/>
    <col min="12" max="13" width="10.140625" customWidth="1"/>
    <col min="14" max="14" width="9.140625" customWidth="1"/>
    <col min="15" max="19" width="9.00390625" customWidth="1"/>
    <col min="20" max="22" width="10.140625" customWidth="1"/>
    <col min="23" max="23" width="8.00390625" customWidth="1"/>
    <col min="24" max="24" width="7.57421875" customWidth="1"/>
    <col min="25" max="25" width="9.57421875" customWidth="1"/>
    <col min="26" max="26" width="13.140625" customWidth="1"/>
    <col min="27" max="27" width="12.140625" customWidth="1"/>
    <col min="28" max="28" width="9.8515625" customWidth="1"/>
    <col min="29" max="30" width="10.140625" customWidth="1"/>
    <col min="31" max="31" width="13.00390625" customWidth="1"/>
    <col min="32" max="33" width="10.140625" customWidth="1"/>
    <col min="34" max="34" width="13.7109375" customWidth="1"/>
    <col min="35" max="35" width="12.57421875" customWidth="1"/>
    <col min="36" max="36" width="11.57421875" customWidth="1"/>
    <col min="37" max="37" width="10.140625" customWidth="1"/>
    <col min="38" max="38" width="11.140625" customWidth="1"/>
    <col min="39" max="39" width="13.140625" customWidth="1"/>
    <col min="40" max="40" width="12.140625" customWidth="1"/>
    <col min="41" max="41" width="14.28125" customWidth="1"/>
    <col min="42" max="43" width="9.57421875" customWidth="1"/>
    <col min="44" max="49" width="0" hidden="1"/>
  </cols>
  <sheetData>
    <row r="1" ht="14.25" customHeight="1"/>
    <row r="2" ht="18" customHeight="1">
      <c r="B2" t="s">
        <v>3097</v>
      </c>
      <c r="AO2" s="1">
        <f t="shared" si="0" ref="AO2:AO3">NOW()</f>
        <v>45189.64865584491</v>
      </c>
    </row>
    <row r="3" ht="18" customHeight="1">
      <c r="B3" s="2" t="s">
        <v>3098</v>
      </c>
      <c r="AO3" s="1">
        <f t="shared" si="0"/>
        <v>45189.64865584491</v>
      </c>
    </row>
    <row r="4" ht="18" customHeight="1"/>
    <row r="5" ht="15" customHeight="1">
      <c r="B5" t="s">
        <v>2420</v>
      </c>
    </row>
    <row r="6" ht="15" customHeight="1">
      <c r="B6" t="s">
        <v>3099</v>
      </c>
      <c r="C6">
        <f>YEAR(TODAY())-1</f>
        <v>2022</v>
      </c>
    </row>
    <row r="7" ht="15" customHeight="1">
      <c r="B7" t="s">
        <v>405</v>
      </c>
      <c r="C7" t="str">
        <f>Property_Type</f>
        <v>Multifamily</v>
      </c>
    </row>
    <row r="8" ht="15" customHeight="1"/>
    <row r="9" ht="18" customHeight="1">
      <c r="B9" t="s">
        <v>3100</v>
      </c>
    </row>
    <row r="10" ht="15" customHeight="1">
      <c r="F10">
        <f>IF(C7="Dedicated Student","NOTE: Check EGI Column when Copying/Pasting Student Housing Data &gt;&gt;","")</f>
      </c>
      <c r="L10" t="str">
        <f t="shared" si="5" ref="L10:L256">$C$6&amp;" Per Unit Expenses"</f>
        <v>2022 Per Unit Expenses</v>
      </c>
      <c r="AA10" t="str">
        <f>C6-1&amp;" - "&amp;C6</f>
        <v>2021 - 2022</v>
      </c>
      <c r="AB10">
        <f>C6</f>
        <v>2022</v>
      </c>
      <c r="AD10">
        <f>C6-1</f>
        <v>2021</v>
      </c>
      <c r="AE10" t="str">
        <f>C6-1&amp;" - "&amp;C6</f>
        <v>2021 - 2022</v>
      </c>
      <c r="AF10">
        <f>C6</f>
        <v>2022</v>
      </c>
      <c r="AG10">
        <f>C6-1</f>
        <v>2021</v>
      </c>
      <c r="AH10">
        <f>C6</f>
        <v>2022</v>
      </c>
    </row>
    <row r="11" ht="40.5" customHeight="1">
      <c r="B11" t="s">
        <v>3103</v>
      </c>
      <c r="C11" t="s">
        <v>3104</v>
      </c>
      <c r="D11" t="s">
        <v>279</v>
      </c>
      <c r="E11" t="s">
        <v>2675</v>
      </c>
      <c r="F11" t="s">
        <v>289</v>
      </c>
      <c r="G11" t="s">
        <v>3105</v>
      </c>
      <c r="H11" t="s">
        <v>201</v>
      </c>
      <c r="I11" t="s">
        <v>660</v>
      </c>
      <c r="J11" t="s">
        <v>3106</v>
      </c>
      <c r="K11" t="s">
        <v>3107</v>
      </c>
      <c r="L11" t="s">
        <v>1409</v>
      </c>
      <c r="M11" t="s">
        <v>3108</v>
      </c>
      <c r="N11" t="s">
        <v>3109</v>
      </c>
      <c r="O11" t="s">
        <v>3110</v>
      </c>
      <c r="P11" t="s">
        <v>3111</v>
      </c>
      <c r="Q11" t="s">
        <v>3112</v>
      </c>
      <c r="R11" t="s">
        <v>1416</v>
      </c>
      <c r="S11" t="s">
        <v>1417</v>
      </c>
      <c r="T11" t="s">
        <v>3113</v>
      </c>
      <c r="U11" t="s">
        <v>3114</v>
      </c>
      <c r="V11" t="s">
        <v>3115</v>
      </c>
      <c r="W11" t="s">
        <v>3116</v>
      </c>
      <c r="X11" t="s">
        <v>3117</v>
      </c>
      <c r="Y11" t="s">
        <v>2968</v>
      </c>
      <c r="Z11" t="s">
        <v>3118</v>
      </c>
      <c r="AA11" t="s">
        <v>3119</v>
      </c>
      <c r="AB11" t="s">
        <v>3120</v>
      </c>
      <c r="AC11" t="s">
        <v>1427</v>
      </c>
      <c r="AD11" t="s">
        <v>3121</v>
      </c>
      <c r="AE11" t="s">
        <v>3122</v>
      </c>
      <c r="AF11" t="s">
        <v>1225</v>
      </c>
      <c r="AG11" t="s">
        <v>3123</v>
      </c>
      <c r="AH11" t="s">
        <v>2417</v>
      </c>
      <c r="AI11" t="s">
        <v>3124</v>
      </c>
      <c r="AJ11" t="s">
        <v>449</v>
      </c>
      <c r="AK11" t="s">
        <v>3125</v>
      </c>
      <c r="AL11" t="s">
        <v>3126</v>
      </c>
      <c r="AM11" t="s">
        <v>247</v>
      </c>
      <c r="AN11" t="s">
        <v>3127</v>
      </c>
      <c r="AO11" t="s">
        <v>3128</v>
      </c>
    </row>
    <row r="12" ht="13.5" customHeight="1">
      <c r="B12">
        <v>1</v>
      </c>
      <c r="AN12">
        <f>IF(ExpComps_LenderTable[[#This Row], [R&amp;M]]+ExpComps_LenderTable[[#This Row], [Payroll]]&gt;0,ExpComps_LenderTable[[#This Row], [R&amp;M]]+ExpComps_LenderTable[[#This Row], [Payroll]],"")</f>
      </c>
      <c r="AO1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 ht="13.5" customHeight="1">
      <c r="B13">
        <v>2</v>
      </c>
      <c r="AN13">
        <f>IF(ExpComps_LenderTable[[#This Row], [R&amp;M]]+ExpComps_LenderTable[[#This Row], [Payroll]]&gt;0,ExpComps_LenderTable[[#This Row], [R&amp;M]]+ExpComps_LenderTable[[#This Row], [Payroll]],"")</f>
      </c>
      <c r="AO1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 ht="13.5" customHeight="1">
      <c r="B14">
        <v>3</v>
      </c>
      <c r="AN14">
        <f>IF(ExpComps_LenderTable[[#This Row], [R&amp;M]]+ExpComps_LenderTable[[#This Row], [Payroll]]&gt;0,ExpComps_LenderTable[[#This Row], [R&amp;M]]+ExpComps_LenderTable[[#This Row], [Payroll]],"")</f>
      </c>
      <c r="AO1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 ht="13.5" customHeight="1">
      <c r="B15">
        <v>4</v>
      </c>
      <c r="AN15">
        <f>IF(ExpComps_LenderTable[[#This Row], [R&amp;M]]+ExpComps_LenderTable[[#This Row], [Payroll]]&gt;0,ExpComps_LenderTable[[#This Row], [R&amp;M]]+ExpComps_LenderTable[[#This Row], [Payroll]],"")</f>
      </c>
      <c r="AO1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 ht="13.5" customHeight="1">
      <c r="B16">
        <v>5</v>
      </c>
      <c r="AN16">
        <f>IF(ExpComps_LenderTable[[#This Row], [R&amp;M]]+ExpComps_LenderTable[[#This Row], [Payroll]]&gt;0,ExpComps_LenderTable[[#This Row], [R&amp;M]]+ExpComps_LenderTable[[#This Row], [Payroll]],"")</f>
      </c>
      <c r="AO1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 ht="13.5" customHeight="1">
      <c r="B17">
        <v>6</v>
      </c>
      <c r="AN17">
        <f>IF(ExpComps_LenderTable[[#This Row], [R&amp;M]]+ExpComps_LenderTable[[#This Row], [Payroll]]&gt;0,ExpComps_LenderTable[[#This Row], [R&amp;M]]+ExpComps_LenderTable[[#This Row], [Payroll]],"")</f>
      </c>
      <c r="AO1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 ht="13.5" customHeight="1">
      <c r="B18">
        <v>7</v>
      </c>
      <c r="AN18">
        <f>IF(ExpComps_LenderTable[[#This Row], [R&amp;M]]+ExpComps_LenderTable[[#This Row], [Payroll]]&gt;0,ExpComps_LenderTable[[#This Row], [R&amp;M]]+ExpComps_LenderTable[[#This Row], [Payroll]],"")</f>
      </c>
      <c r="AO1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 ht="13.5" customHeight="1">
      <c r="B19">
        <v>8</v>
      </c>
      <c r="AN19">
        <f>IF(ExpComps_LenderTable[[#This Row], [R&amp;M]]+ExpComps_LenderTable[[#This Row], [Payroll]]&gt;0,ExpComps_LenderTable[[#This Row], [R&amp;M]]+ExpComps_LenderTable[[#This Row], [Payroll]],"")</f>
      </c>
      <c r="AO1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 ht="13.5" customHeight="1">
      <c r="B20">
        <v>9</v>
      </c>
      <c r="AN20">
        <f>IF(ExpComps_LenderTable[[#This Row], [R&amp;M]]+ExpComps_LenderTable[[#This Row], [Payroll]]&gt;0,ExpComps_LenderTable[[#This Row], [R&amp;M]]+ExpComps_LenderTable[[#This Row], [Payroll]],"")</f>
      </c>
      <c r="AO2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1" ht="13.5" customHeight="1">
      <c r="B21">
        <v>10</v>
      </c>
      <c r="AN21">
        <f>IF(ExpComps_LenderTable[[#This Row], [R&amp;M]]+ExpComps_LenderTable[[#This Row], [Payroll]]&gt;0,ExpComps_LenderTable[[#This Row], [R&amp;M]]+ExpComps_LenderTable[[#This Row], [Payroll]],"")</f>
      </c>
      <c r="AO2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2" ht="13.5" customHeight="1" hidden="1">
      <c r="B22">
        <v>11</v>
      </c>
      <c r="AN22">
        <f>IF(ExpComps_LenderTable[[#This Row], [R&amp;M]]+ExpComps_LenderTable[[#This Row], [Payroll]]&gt;0,ExpComps_LenderTable[[#This Row], [R&amp;M]]+ExpComps_LenderTable[[#This Row], [Payroll]],"")</f>
      </c>
      <c r="AO2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3" ht="13.5" customHeight="1" hidden="1">
      <c r="B23">
        <v>12</v>
      </c>
      <c r="AN23">
        <f>IF(ExpComps_LenderTable[[#This Row], [R&amp;M]]+ExpComps_LenderTable[[#This Row], [Payroll]]&gt;0,ExpComps_LenderTable[[#This Row], [R&amp;M]]+ExpComps_LenderTable[[#This Row], [Payroll]],"")</f>
      </c>
      <c r="AO2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4" ht="13.5" customHeight="1" hidden="1">
      <c r="B24">
        <v>13</v>
      </c>
      <c r="AN24">
        <f>IF(ExpComps_LenderTable[[#This Row], [R&amp;M]]+ExpComps_LenderTable[[#This Row], [Payroll]]&gt;0,ExpComps_LenderTable[[#This Row], [R&amp;M]]+ExpComps_LenderTable[[#This Row], [Payroll]],"")</f>
      </c>
      <c r="AO2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5" ht="13.5" customHeight="1" hidden="1">
      <c r="B25">
        <v>14</v>
      </c>
      <c r="AN25">
        <f>IF(ExpComps_LenderTable[[#This Row], [R&amp;M]]+ExpComps_LenderTable[[#This Row], [Payroll]]&gt;0,ExpComps_LenderTable[[#This Row], [R&amp;M]]+ExpComps_LenderTable[[#This Row], [Payroll]],"")</f>
      </c>
      <c r="AO2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6" ht="13.5" customHeight="1" hidden="1">
      <c r="B26">
        <v>15</v>
      </c>
      <c r="AN26">
        <f>IF(ExpComps_LenderTable[[#This Row], [R&amp;M]]+ExpComps_LenderTable[[#This Row], [Payroll]]&gt;0,ExpComps_LenderTable[[#This Row], [R&amp;M]]+ExpComps_LenderTable[[#This Row], [Payroll]],"")</f>
      </c>
      <c r="AO2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7" ht="13.5" customHeight="1" hidden="1">
      <c r="B27">
        <v>16</v>
      </c>
      <c r="AN27">
        <f>IF(ExpComps_LenderTable[[#This Row], [R&amp;M]]+ExpComps_LenderTable[[#This Row], [Payroll]]&gt;0,ExpComps_LenderTable[[#This Row], [R&amp;M]]+ExpComps_LenderTable[[#This Row], [Payroll]],"")</f>
      </c>
      <c r="AO2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8" ht="13.5" customHeight="1" hidden="1">
      <c r="B28">
        <v>17</v>
      </c>
      <c r="AN28">
        <f>IF(ExpComps_LenderTable[[#This Row], [R&amp;M]]+ExpComps_LenderTable[[#This Row], [Payroll]]&gt;0,ExpComps_LenderTable[[#This Row], [R&amp;M]]+ExpComps_LenderTable[[#This Row], [Payroll]],"")</f>
      </c>
      <c r="AO2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9" ht="13.5" customHeight="1" hidden="1">
      <c r="B29">
        <v>18</v>
      </c>
      <c r="AN29">
        <f>IF(ExpComps_LenderTable[[#This Row], [R&amp;M]]+ExpComps_LenderTable[[#This Row], [Payroll]]&gt;0,ExpComps_LenderTable[[#This Row], [R&amp;M]]+ExpComps_LenderTable[[#This Row], [Payroll]],"")</f>
      </c>
      <c r="AO2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0" ht="13.5" customHeight="1" hidden="1">
      <c r="B30">
        <v>19</v>
      </c>
      <c r="AN30">
        <f>IF(ExpComps_LenderTable[[#This Row], [R&amp;M]]+ExpComps_LenderTable[[#This Row], [Payroll]]&gt;0,ExpComps_LenderTable[[#This Row], [R&amp;M]]+ExpComps_LenderTable[[#This Row], [Payroll]],"")</f>
      </c>
      <c r="AO3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1" ht="13.5" customHeight="1" hidden="1">
      <c r="B31">
        <v>20</v>
      </c>
      <c r="AN31">
        <f>IF(ExpComps_LenderTable[[#This Row], [R&amp;M]]+ExpComps_LenderTable[[#This Row], [Payroll]]&gt;0,ExpComps_LenderTable[[#This Row], [R&amp;M]]+ExpComps_LenderTable[[#This Row], [Payroll]],"")</f>
      </c>
      <c r="AO3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2" ht="13.5" customHeight="1" hidden="1">
      <c r="B32">
        <v>21</v>
      </c>
      <c r="AN32">
        <f>IF(ExpComps_LenderTable[[#This Row], [R&amp;M]]+ExpComps_LenderTable[[#This Row], [Payroll]]&gt;0,ExpComps_LenderTable[[#This Row], [R&amp;M]]+ExpComps_LenderTable[[#This Row], [Payroll]],"")</f>
      </c>
      <c r="AO3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3" ht="13.5" customHeight="1" hidden="1">
      <c r="B33">
        <v>22</v>
      </c>
      <c r="AN33">
        <f>IF(ExpComps_LenderTable[[#This Row], [R&amp;M]]+ExpComps_LenderTable[[#This Row], [Payroll]]&gt;0,ExpComps_LenderTable[[#This Row], [R&amp;M]]+ExpComps_LenderTable[[#This Row], [Payroll]],"")</f>
      </c>
      <c r="AO3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4" ht="13.5" customHeight="1" hidden="1">
      <c r="B34">
        <v>23</v>
      </c>
      <c r="AN34">
        <f>IF(ExpComps_LenderTable[[#This Row], [R&amp;M]]+ExpComps_LenderTable[[#This Row], [Payroll]]&gt;0,ExpComps_LenderTable[[#This Row], [R&amp;M]]+ExpComps_LenderTable[[#This Row], [Payroll]],"")</f>
      </c>
      <c r="AO3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5" ht="13.5" customHeight="1" hidden="1">
      <c r="B35">
        <v>24</v>
      </c>
      <c r="AN35">
        <f>IF(ExpComps_LenderTable[[#This Row], [R&amp;M]]+ExpComps_LenderTable[[#This Row], [Payroll]]&gt;0,ExpComps_LenderTable[[#This Row], [R&amp;M]]+ExpComps_LenderTable[[#This Row], [Payroll]],"")</f>
      </c>
      <c r="AO3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6" ht="13.5" customHeight="1" hidden="1">
      <c r="B36">
        <v>25</v>
      </c>
      <c r="AN36">
        <f>IF(ExpComps_LenderTable[[#This Row], [R&amp;M]]+ExpComps_LenderTable[[#This Row], [Payroll]]&gt;0,ExpComps_LenderTable[[#This Row], [R&amp;M]]+ExpComps_LenderTable[[#This Row], [Payroll]],"")</f>
      </c>
      <c r="AO3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7" ht="13.5" customHeight="1" hidden="1">
      <c r="B37">
        <v>26</v>
      </c>
      <c r="AN37">
        <f>IF(ExpComps_LenderTable[[#This Row], [R&amp;M]]+ExpComps_LenderTable[[#This Row], [Payroll]]&gt;0,ExpComps_LenderTable[[#This Row], [R&amp;M]]+ExpComps_LenderTable[[#This Row], [Payroll]],"")</f>
      </c>
      <c r="AO3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8" ht="13.5" customHeight="1" hidden="1">
      <c r="B38">
        <v>27</v>
      </c>
      <c r="AN38">
        <f>IF(ExpComps_LenderTable[[#This Row], [R&amp;M]]+ExpComps_LenderTable[[#This Row], [Payroll]]&gt;0,ExpComps_LenderTable[[#This Row], [R&amp;M]]+ExpComps_LenderTable[[#This Row], [Payroll]],"")</f>
      </c>
      <c r="AO3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39" ht="13.5" customHeight="1" hidden="1">
      <c r="B39">
        <v>28</v>
      </c>
      <c r="AN39">
        <f>IF(ExpComps_LenderTable[[#This Row], [R&amp;M]]+ExpComps_LenderTable[[#This Row], [Payroll]]&gt;0,ExpComps_LenderTable[[#This Row], [R&amp;M]]+ExpComps_LenderTable[[#This Row], [Payroll]],"")</f>
      </c>
      <c r="AO3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0" ht="13.5" customHeight="1" hidden="1">
      <c r="B40">
        <v>29</v>
      </c>
      <c r="AN40">
        <f>IF(ExpComps_LenderTable[[#This Row], [R&amp;M]]+ExpComps_LenderTable[[#This Row], [Payroll]]&gt;0,ExpComps_LenderTable[[#This Row], [R&amp;M]]+ExpComps_LenderTable[[#This Row], [Payroll]],"")</f>
      </c>
      <c r="AO4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1" ht="13.5" customHeight="1" hidden="1">
      <c r="B41">
        <v>30</v>
      </c>
      <c r="AN41">
        <f>IF(ExpComps_LenderTable[[#This Row], [R&amp;M]]+ExpComps_LenderTable[[#This Row], [Payroll]]&gt;0,ExpComps_LenderTable[[#This Row], [R&amp;M]]+ExpComps_LenderTable[[#This Row], [Payroll]],"")</f>
      </c>
      <c r="AO4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2" ht="13.5" customHeight="1" hidden="1">
      <c r="B42">
        <v>31</v>
      </c>
      <c r="AN42">
        <f>IF(ExpComps_LenderTable[[#This Row], [R&amp;M]]+ExpComps_LenderTable[[#This Row], [Payroll]]&gt;0,ExpComps_LenderTable[[#This Row], [R&amp;M]]+ExpComps_LenderTable[[#This Row], [Payroll]],"")</f>
      </c>
      <c r="AO4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3" ht="13.5" customHeight="1" hidden="1">
      <c r="B43">
        <v>32</v>
      </c>
      <c r="AN43">
        <f>IF(ExpComps_LenderTable[[#This Row], [R&amp;M]]+ExpComps_LenderTable[[#This Row], [Payroll]]&gt;0,ExpComps_LenderTable[[#This Row], [R&amp;M]]+ExpComps_LenderTable[[#This Row], [Payroll]],"")</f>
      </c>
      <c r="AO4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4" ht="13.5" customHeight="1" hidden="1">
      <c r="B44">
        <v>33</v>
      </c>
      <c r="AN44">
        <f>IF(ExpComps_LenderTable[[#This Row], [R&amp;M]]+ExpComps_LenderTable[[#This Row], [Payroll]]&gt;0,ExpComps_LenderTable[[#This Row], [R&amp;M]]+ExpComps_LenderTable[[#This Row], [Payroll]],"")</f>
      </c>
      <c r="AO4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5" ht="13.5" customHeight="1" hidden="1">
      <c r="B45">
        <v>34</v>
      </c>
      <c r="AN45">
        <f>IF(ExpComps_LenderTable[[#This Row], [R&amp;M]]+ExpComps_LenderTable[[#This Row], [Payroll]]&gt;0,ExpComps_LenderTable[[#This Row], [R&amp;M]]+ExpComps_LenderTable[[#This Row], [Payroll]],"")</f>
      </c>
      <c r="AO4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6" ht="13.5" customHeight="1" hidden="1">
      <c r="B46">
        <v>35</v>
      </c>
      <c r="AN46">
        <f>IF(ExpComps_LenderTable[[#This Row], [R&amp;M]]+ExpComps_LenderTable[[#This Row], [Payroll]]&gt;0,ExpComps_LenderTable[[#This Row], [R&amp;M]]+ExpComps_LenderTable[[#This Row], [Payroll]],"")</f>
      </c>
      <c r="AO4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7" ht="13.5" customHeight="1" hidden="1">
      <c r="B47">
        <v>36</v>
      </c>
      <c r="AN47">
        <f>IF(ExpComps_LenderTable[[#This Row], [R&amp;M]]+ExpComps_LenderTable[[#This Row], [Payroll]]&gt;0,ExpComps_LenderTable[[#This Row], [R&amp;M]]+ExpComps_LenderTable[[#This Row], [Payroll]],"")</f>
      </c>
      <c r="AO4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8" ht="13.5" customHeight="1" hidden="1">
      <c r="B48">
        <v>37</v>
      </c>
      <c r="AN48">
        <f>IF(ExpComps_LenderTable[[#This Row], [R&amp;M]]+ExpComps_LenderTable[[#This Row], [Payroll]]&gt;0,ExpComps_LenderTable[[#This Row], [R&amp;M]]+ExpComps_LenderTable[[#This Row], [Payroll]],"")</f>
      </c>
      <c r="AO4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49" ht="13.5" customHeight="1" hidden="1">
      <c r="B49">
        <v>38</v>
      </c>
      <c r="AN49">
        <f>IF(ExpComps_LenderTable[[#This Row], [R&amp;M]]+ExpComps_LenderTable[[#This Row], [Payroll]]&gt;0,ExpComps_LenderTable[[#This Row], [R&amp;M]]+ExpComps_LenderTable[[#This Row], [Payroll]],"")</f>
      </c>
      <c r="AO4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0" ht="13.5" customHeight="1" hidden="1">
      <c r="B50">
        <v>39</v>
      </c>
      <c r="AN50">
        <f>IF(ExpComps_LenderTable[[#This Row], [R&amp;M]]+ExpComps_LenderTable[[#This Row], [Payroll]]&gt;0,ExpComps_LenderTable[[#This Row], [R&amp;M]]+ExpComps_LenderTable[[#This Row], [Payroll]],"")</f>
      </c>
      <c r="AO5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1" ht="13.5" customHeight="1" hidden="1">
      <c r="B51">
        <v>40</v>
      </c>
      <c r="AN51">
        <f>IF(ExpComps_LenderTable[[#This Row], [R&amp;M]]+ExpComps_LenderTable[[#This Row], [Payroll]]&gt;0,ExpComps_LenderTable[[#This Row], [R&amp;M]]+ExpComps_LenderTable[[#This Row], [Payroll]],"")</f>
      </c>
      <c r="AO5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2" ht="13.5" customHeight="1" hidden="1">
      <c r="B52">
        <v>41</v>
      </c>
      <c r="AN52">
        <f>IF(ExpComps_LenderTable[[#This Row], [R&amp;M]]+ExpComps_LenderTable[[#This Row], [Payroll]]&gt;0,ExpComps_LenderTable[[#This Row], [R&amp;M]]+ExpComps_LenderTable[[#This Row], [Payroll]],"")</f>
      </c>
      <c r="AO5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3" ht="13.5" customHeight="1" hidden="1">
      <c r="B53">
        <v>42</v>
      </c>
      <c r="AN53">
        <f>IF(ExpComps_LenderTable[[#This Row], [R&amp;M]]+ExpComps_LenderTable[[#This Row], [Payroll]]&gt;0,ExpComps_LenderTable[[#This Row], [R&amp;M]]+ExpComps_LenderTable[[#This Row], [Payroll]],"")</f>
      </c>
      <c r="AO5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4" ht="13.5" customHeight="1" hidden="1">
      <c r="B54">
        <v>43</v>
      </c>
      <c r="AN54">
        <f>IF(ExpComps_LenderTable[[#This Row], [R&amp;M]]+ExpComps_LenderTable[[#This Row], [Payroll]]&gt;0,ExpComps_LenderTable[[#This Row], [R&amp;M]]+ExpComps_LenderTable[[#This Row], [Payroll]],"")</f>
      </c>
      <c r="AO5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5" ht="13.5" customHeight="1" hidden="1">
      <c r="B55">
        <v>44</v>
      </c>
      <c r="AN55">
        <f>IF(ExpComps_LenderTable[[#This Row], [R&amp;M]]+ExpComps_LenderTable[[#This Row], [Payroll]]&gt;0,ExpComps_LenderTable[[#This Row], [R&amp;M]]+ExpComps_LenderTable[[#This Row], [Payroll]],"")</f>
      </c>
      <c r="AO5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6" ht="13.5" customHeight="1" hidden="1">
      <c r="B56">
        <v>45</v>
      </c>
      <c r="AN56">
        <f>IF(ExpComps_LenderTable[[#This Row], [R&amp;M]]+ExpComps_LenderTable[[#This Row], [Payroll]]&gt;0,ExpComps_LenderTable[[#This Row], [R&amp;M]]+ExpComps_LenderTable[[#This Row], [Payroll]],"")</f>
      </c>
      <c r="AO5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7" ht="13.5" customHeight="1" hidden="1">
      <c r="B57">
        <v>46</v>
      </c>
      <c r="AN57">
        <f>IF(ExpComps_LenderTable[[#This Row], [R&amp;M]]+ExpComps_LenderTable[[#This Row], [Payroll]]&gt;0,ExpComps_LenderTable[[#This Row], [R&amp;M]]+ExpComps_LenderTable[[#This Row], [Payroll]],"")</f>
      </c>
      <c r="AO5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8" ht="13.5" customHeight="1" hidden="1">
      <c r="B58">
        <v>47</v>
      </c>
      <c r="AN58">
        <f>IF(ExpComps_LenderTable[[#This Row], [R&amp;M]]+ExpComps_LenderTable[[#This Row], [Payroll]]&gt;0,ExpComps_LenderTable[[#This Row], [R&amp;M]]+ExpComps_LenderTable[[#This Row], [Payroll]],"")</f>
      </c>
      <c r="AO5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59" ht="13.5" customHeight="1" hidden="1">
      <c r="B59">
        <v>48</v>
      </c>
      <c r="AN59">
        <f>IF(ExpComps_LenderTable[[#This Row], [R&amp;M]]+ExpComps_LenderTable[[#This Row], [Payroll]]&gt;0,ExpComps_LenderTable[[#This Row], [R&amp;M]]+ExpComps_LenderTable[[#This Row], [Payroll]],"")</f>
      </c>
      <c r="AO5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0" ht="13.5" customHeight="1" hidden="1">
      <c r="B60">
        <v>49</v>
      </c>
      <c r="AN60">
        <f>IF(ExpComps_LenderTable[[#This Row], [R&amp;M]]+ExpComps_LenderTable[[#This Row], [Payroll]]&gt;0,ExpComps_LenderTable[[#This Row], [R&amp;M]]+ExpComps_LenderTable[[#This Row], [Payroll]],"")</f>
      </c>
      <c r="AO6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1" ht="13.5" customHeight="1" hidden="1">
      <c r="B61">
        <v>50</v>
      </c>
      <c r="AN61">
        <f>IF(ExpComps_LenderTable[[#This Row], [R&amp;M]]+ExpComps_LenderTable[[#This Row], [Payroll]]&gt;0,ExpComps_LenderTable[[#This Row], [R&amp;M]]+ExpComps_LenderTable[[#This Row], [Payroll]],"")</f>
      </c>
      <c r="AO6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2" ht="13.5" customHeight="1" hidden="1">
      <c r="B62">
        <v>51</v>
      </c>
      <c r="AN62">
        <f>IF(ExpComps_LenderTable[[#This Row], [R&amp;M]]+ExpComps_LenderTable[[#This Row], [Payroll]]&gt;0,ExpComps_LenderTable[[#This Row], [R&amp;M]]+ExpComps_LenderTable[[#This Row], [Payroll]],"")</f>
      </c>
      <c r="AO6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3" ht="13.5" customHeight="1" hidden="1">
      <c r="B63">
        <v>52</v>
      </c>
      <c r="AN63">
        <f>IF(ExpComps_LenderTable[[#This Row], [R&amp;M]]+ExpComps_LenderTable[[#This Row], [Payroll]]&gt;0,ExpComps_LenderTable[[#This Row], [R&amp;M]]+ExpComps_LenderTable[[#This Row], [Payroll]],"")</f>
      </c>
      <c r="AO6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4" ht="13.5" customHeight="1" hidden="1">
      <c r="B64">
        <v>53</v>
      </c>
      <c r="AN64">
        <f>IF(ExpComps_LenderTable[[#This Row], [R&amp;M]]+ExpComps_LenderTable[[#This Row], [Payroll]]&gt;0,ExpComps_LenderTable[[#This Row], [R&amp;M]]+ExpComps_LenderTable[[#This Row], [Payroll]],"")</f>
      </c>
      <c r="AO6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5" ht="13.5" customHeight="1" hidden="1">
      <c r="B65">
        <v>54</v>
      </c>
      <c r="AN65">
        <f>IF(ExpComps_LenderTable[[#This Row], [R&amp;M]]+ExpComps_LenderTable[[#This Row], [Payroll]]&gt;0,ExpComps_LenderTable[[#This Row], [R&amp;M]]+ExpComps_LenderTable[[#This Row], [Payroll]],"")</f>
      </c>
      <c r="AO6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6" ht="13.5" customHeight="1" hidden="1">
      <c r="B66">
        <v>55</v>
      </c>
      <c r="AN66">
        <f>IF(ExpComps_LenderTable[[#This Row], [R&amp;M]]+ExpComps_LenderTable[[#This Row], [Payroll]]&gt;0,ExpComps_LenderTable[[#This Row], [R&amp;M]]+ExpComps_LenderTable[[#This Row], [Payroll]],"")</f>
      </c>
      <c r="AO6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7" ht="13.5" customHeight="1" hidden="1">
      <c r="B67">
        <v>56</v>
      </c>
      <c r="AN67">
        <f>IF(ExpComps_LenderTable[[#This Row], [R&amp;M]]+ExpComps_LenderTable[[#This Row], [Payroll]]&gt;0,ExpComps_LenderTable[[#This Row], [R&amp;M]]+ExpComps_LenderTable[[#This Row], [Payroll]],"")</f>
      </c>
      <c r="AO6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8" ht="13.5" customHeight="1" hidden="1">
      <c r="B68">
        <v>57</v>
      </c>
      <c r="AN68">
        <f>IF(ExpComps_LenderTable[[#This Row], [R&amp;M]]+ExpComps_LenderTable[[#This Row], [Payroll]]&gt;0,ExpComps_LenderTable[[#This Row], [R&amp;M]]+ExpComps_LenderTable[[#This Row], [Payroll]],"")</f>
      </c>
      <c r="AO6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69" ht="13.5" customHeight="1" hidden="1">
      <c r="B69">
        <v>58</v>
      </c>
      <c r="AN69">
        <f>IF(ExpComps_LenderTable[[#This Row], [R&amp;M]]+ExpComps_LenderTable[[#This Row], [Payroll]]&gt;0,ExpComps_LenderTable[[#This Row], [R&amp;M]]+ExpComps_LenderTable[[#This Row], [Payroll]],"")</f>
      </c>
      <c r="AO6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0" ht="13.5" customHeight="1" hidden="1">
      <c r="B70">
        <v>59</v>
      </c>
      <c r="AN70">
        <f>IF(ExpComps_LenderTable[[#This Row], [R&amp;M]]+ExpComps_LenderTable[[#This Row], [Payroll]]&gt;0,ExpComps_LenderTable[[#This Row], [R&amp;M]]+ExpComps_LenderTable[[#This Row], [Payroll]],"")</f>
      </c>
      <c r="AO7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1" ht="13.5" customHeight="1" hidden="1">
      <c r="B71">
        <v>60</v>
      </c>
      <c r="AN71">
        <f>IF(ExpComps_LenderTable[[#This Row], [R&amp;M]]+ExpComps_LenderTable[[#This Row], [Payroll]]&gt;0,ExpComps_LenderTable[[#This Row], [R&amp;M]]+ExpComps_LenderTable[[#This Row], [Payroll]],"")</f>
      </c>
      <c r="AO7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2" ht="13.5" customHeight="1" hidden="1">
      <c r="B72">
        <v>61</v>
      </c>
      <c r="AN72">
        <f>IF(ExpComps_LenderTable[[#This Row], [R&amp;M]]+ExpComps_LenderTable[[#This Row], [Payroll]]&gt;0,ExpComps_LenderTable[[#This Row], [R&amp;M]]+ExpComps_LenderTable[[#This Row], [Payroll]],"")</f>
      </c>
      <c r="AO7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3" ht="13.5" customHeight="1" hidden="1">
      <c r="B73">
        <v>62</v>
      </c>
      <c r="AN73">
        <f>IF(ExpComps_LenderTable[[#This Row], [R&amp;M]]+ExpComps_LenderTable[[#This Row], [Payroll]]&gt;0,ExpComps_LenderTable[[#This Row], [R&amp;M]]+ExpComps_LenderTable[[#This Row], [Payroll]],"")</f>
      </c>
      <c r="AO7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4" ht="13.5" customHeight="1" hidden="1">
      <c r="B74">
        <v>63</v>
      </c>
      <c r="AN74">
        <f>IF(ExpComps_LenderTable[[#This Row], [R&amp;M]]+ExpComps_LenderTable[[#This Row], [Payroll]]&gt;0,ExpComps_LenderTable[[#This Row], [R&amp;M]]+ExpComps_LenderTable[[#This Row], [Payroll]],"")</f>
      </c>
      <c r="AO7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5" ht="13.5" customHeight="1" hidden="1">
      <c r="B75">
        <v>64</v>
      </c>
      <c r="AN75">
        <f>IF(ExpComps_LenderTable[[#This Row], [R&amp;M]]+ExpComps_LenderTable[[#This Row], [Payroll]]&gt;0,ExpComps_LenderTable[[#This Row], [R&amp;M]]+ExpComps_LenderTable[[#This Row], [Payroll]],"")</f>
      </c>
      <c r="AO7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6" ht="13.5" customHeight="1" hidden="1">
      <c r="B76">
        <v>65</v>
      </c>
      <c r="AN76">
        <f>IF(ExpComps_LenderTable[[#This Row], [R&amp;M]]+ExpComps_LenderTable[[#This Row], [Payroll]]&gt;0,ExpComps_LenderTable[[#This Row], [R&amp;M]]+ExpComps_LenderTable[[#This Row], [Payroll]],"")</f>
      </c>
      <c r="AO7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7" ht="13.5" customHeight="1" hidden="1">
      <c r="B77">
        <v>66</v>
      </c>
      <c r="AN77">
        <f>IF(ExpComps_LenderTable[[#This Row], [R&amp;M]]+ExpComps_LenderTable[[#This Row], [Payroll]]&gt;0,ExpComps_LenderTable[[#This Row], [R&amp;M]]+ExpComps_LenderTable[[#This Row], [Payroll]],"")</f>
      </c>
      <c r="AO7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8" ht="13.5" customHeight="1" hidden="1">
      <c r="B78">
        <v>67</v>
      </c>
      <c r="AN78">
        <f>IF(ExpComps_LenderTable[[#This Row], [R&amp;M]]+ExpComps_LenderTable[[#This Row], [Payroll]]&gt;0,ExpComps_LenderTable[[#This Row], [R&amp;M]]+ExpComps_LenderTable[[#This Row], [Payroll]],"")</f>
      </c>
      <c r="AO7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79" ht="13.5" customHeight="1" hidden="1">
      <c r="B79">
        <v>68</v>
      </c>
      <c r="AN79">
        <f>IF(ExpComps_LenderTable[[#This Row], [R&amp;M]]+ExpComps_LenderTable[[#This Row], [Payroll]]&gt;0,ExpComps_LenderTable[[#This Row], [R&amp;M]]+ExpComps_LenderTable[[#This Row], [Payroll]],"")</f>
      </c>
      <c r="AO7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0" ht="13.5" customHeight="1" hidden="1">
      <c r="B80">
        <v>69</v>
      </c>
      <c r="AN80">
        <f>IF(ExpComps_LenderTable[[#This Row], [R&amp;M]]+ExpComps_LenderTable[[#This Row], [Payroll]]&gt;0,ExpComps_LenderTable[[#This Row], [R&amp;M]]+ExpComps_LenderTable[[#This Row], [Payroll]],"")</f>
      </c>
      <c r="AO8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1" ht="13.5" customHeight="1" hidden="1">
      <c r="B81">
        <v>70</v>
      </c>
      <c r="AN81">
        <f>IF(ExpComps_LenderTable[[#This Row], [R&amp;M]]+ExpComps_LenderTable[[#This Row], [Payroll]]&gt;0,ExpComps_LenderTable[[#This Row], [R&amp;M]]+ExpComps_LenderTable[[#This Row], [Payroll]],"")</f>
      </c>
      <c r="AO8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2" ht="13.5" customHeight="1" hidden="1">
      <c r="B82">
        <v>71</v>
      </c>
      <c r="AN82">
        <f>IF(ExpComps_LenderTable[[#This Row], [R&amp;M]]+ExpComps_LenderTable[[#This Row], [Payroll]]&gt;0,ExpComps_LenderTable[[#This Row], [R&amp;M]]+ExpComps_LenderTable[[#This Row], [Payroll]],"")</f>
      </c>
      <c r="AO8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3" ht="13.5" customHeight="1" hidden="1">
      <c r="B83">
        <v>72</v>
      </c>
      <c r="AN83">
        <f>IF(ExpComps_LenderTable[[#This Row], [R&amp;M]]+ExpComps_LenderTable[[#This Row], [Payroll]]&gt;0,ExpComps_LenderTable[[#This Row], [R&amp;M]]+ExpComps_LenderTable[[#This Row], [Payroll]],"")</f>
      </c>
      <c r="AO8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4" ht="13.5" customHeight="1" hidden="1">
      <c r="B84">
        <v>73</v>
      </c>
      <c r="AN84">
        <f>IF(ExpComps_LenderTable[[#This Row], [R&amp;M]]+ExpComps_LenderTable[[#This Row], [Payroll]]&gt;0,ExpComps_LenderTable[[#This Row], [R&amp;M]]+ExpComps_LenderTable[[#This Row], [Payroll]],"")</f>
      </c>
      <c r="AO8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5" ht="13.5" customHeight="1" hidden="1">
      <c r="B85">
        <v>74</v>
      </c>
      <c r="AN85">
        <f>IF(ExpComps_LenderTable[[#This Row], [R&amp;M]]+ExpComps_LenderTable[[#This Row], [Payroll]]&gt;0,ExpComps_LenderTable[[#This Row], [R&amp;M]]+ExpComps_LenderTable[[#This Row], [Payroll]],"")</f>
      </c>
      <c r="AO8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6" ht="13.5" customHeight="1" hidden="1">
      <c r="B86">
        <v>75</v>
      </c>
      <c r="AN86">
        <f>IF(ExpComps_LenderTable[[#This Row], [R&amp;M]]+ExpComps_LenderTable[[#This Row], [Payroll]]&gt;0,ExpComps_LenderTable[[#This Row], [R&amp;M]]+ExpComps_LenderTable[[#This Row], [Payroll]],"")</f>
      </c>
      <c r="AO8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7" ht="13.5" customHeight="1" hidden="1">
      <c r="B87">
        <v>76</v>
      </c>
      <c r="AN87">
        <f>IF(ExpComps_LenderTable[[#This Row], [R&amp;M]]+ExpComps_LenderTable[[#This Row], [Payroll]]&gt;0,ExpComps_LenderTable[[#This Row], [R&amp;M]]+ExpComps_LenderTable[[#This Row], [Payroll]],"")</f>
      </c>
      <c r="AO8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8" ht="13.5" customHeight="1" hidden="1">
      <c r="B88">
        <v>77</v>
      </c>
      <c r="AN88">
        <f>IF(ExpComps_LenderTable[[#This Row], [R&amp;M]]+ExpComps_LenderTable[[#This Row], [Payroll]]&gt;0,ExpComps_LenderTable[[#This Row], [R&amp;M]]+ExpComps_LenderTable[[#This Row], [Payroll]],"")</f>
      </c>
      <c r="AO8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89" ht="13.5" customHeight="1" hidden="1">
      <c r="B89">
        <v>78</v>
      </c>
      <c r="AN89">
        <f>IF(ExpComps_LenderTable[[#This Row], [R&amp;M]]+ExpComps_LenderTable[[#This Row], [Payroll]]&gt;0,ExpComps_LenderTable[[#This Row], [R&amp;M]]+ExpComps_LenderTable[[#This Row], [Payroll]],"")</f>
      </c>
      <c r="AO8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0" ht="13.5" customHeight="1" hidden="1">
      <c r="B90">
        <v>79</v>
      </c>
      <c r="AN90">
        <f>IF(ExpComps_LenderTable[[#This Row], [R&amp;M]]+ExpComps_LenderTable[[#This Row], [Payroll]]&gt;0,ExpComps_LenderTable[[#This Row], [R&amp;M]]+ExpComps_LenderTable[[#This Row], [Payroll]],"")</f>
      </c>
      <c r="AO9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1" ht="13.5" customHeight="1" hidden="1">
      <c r="B91">
        <v>80</v>
      </c>
      <c r="AN91">
        <f>IF(ExpComps_LenderTable[[#This Row], [R&amp;M]]+ExpComps_LenderTable[[#This Row], [Payroll]]&gt;0,ExpComps_LenderTable[[#This Row], [R&amp;M]]+ExpComps_LenderTable[[#This Row], [Payroll]],"")</f>
      </c>
      <c r="AO9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2" ht="13.5" customHeight="1" hidden="1">
      <c r="B92">
        <v>81</v>
      </c>
      <c r="AN92">
        <f>IF(ExpComps_LenderTable[[#This Row], [R&amp;M]]+ExpComps_LenderTable[[#This Row], [Payroll]]&gt;0,ExpComps_LenderTable[[#This Row], [R&amp;M]]+ExpComps_LenderTable[[#This Row], [Payroll]],"")</f>
      </c>
      <c r="AO9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3" ht="13.5" customHeight="1" hidden="1">
      <c r="B93">
        <v>82</v>
      </c>
      <c r="AN93">
        <f>IF(ExpComps_LenderTable[[#This Row], [R&amp;M]]+ExpComps_LenderTable[[#This Row], [Payroll]]&gt;0,ExpComps_LenderTable[[#This Row], [R&amp;M]]+ExpComps_LenderTable[[#This Row], [Payroll]],"")</f>
      </c>
      <c r="AO9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4" ht="13.5" customHeight="1" hidden="1">
      <c r="B94">
        <v>83</v>
      </c>
      <c r="AN94">
        <f>IF(ExpComps_LenderTable[[#This Row], [R&amp;M]]+ExpComps_LenderTable[[#This Row], [Payroll]]&gt;0,ExpComps_LenderTable[[#This Row], [R&amp;M]]+ExpComps_LenderTable[[#This Row], [Payroll]],"")</f>
      </c>
      <c r="AO9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5" ht="13.5" customHeight="1" hidden="1">
      <c r="B95">
        <v>84</v>
      </c>
      <c r="AN95">
        <f>IF(ExpComps_LenderTable[[#This Row], [R&amp;M]]+ExpComps_LenderTable[[#This Row], [Payroll]]&gt;0,ExpComps_LenderTable[[#This Row], [R&amp;M]]+ExpComps_LenderTable[[#This Row], [Payroll]],"")</f>
      </c>
      <c r="AO9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6" ht="13.5" customHeight="1" hidden="1">
      <c r="B96">
        <v>85</v>
      </c>
      <c r="AN96">
        <f>IF(ExpComps_LenderTable[[#This Row], [R&amp;M]]+ExpComps_LenderTable[[#This Row], [Payroll]]&gt;0,ExpComps_LenderTable[[#This Row], [R&amp;M]]+ExpComps_LenderTable[[#This Row], [Payroll]],"")</f>
      </c>
      <c r="AO9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7" ht="13.5" customHeight="1" hidden="1">
      <c r="B97">
        <v>86</v>
      </c>
      <c r="AN97">
        <f>IF(ExpComps_LenderTable[[#This Row], [R&amp;M]]+ExpComps_LenderTable[[#This Row], [Payroll]]&gt;0,ExpComps_LenderTable[[#This Row], [R&amp;M]]+ExpComps_LenderTable[[#This Row], [Payroll]],"")</f>
      </c>
      <c r="AO9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8" ht="13.5" customHeight="1" hidden="1">
      <c r="B98">
        <v>87</v>
      </c>
      <c r="AN98">
        <f>IF(ExpComps_LenderTable[[#This Row], [R&amp;M]]+ExpComps_LenderTable[[#This Row], [Payroll]]&gt;0,ExpComps_LenderTable[[#This Row], [R&amp;M]]+ExpComps_LenderTable[[#This Row], [Payroll]],"")</f>
      </c>
      <c r="AO9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99" ht="13.5" customHeight="1" hidden="1">
      <c r="B99">
        <v>88</v>
      </c>
      <c r="AN99">
        <f>IF(ExpComps_LenderTable[[#This Row], [R&amp;M]]+ExpComps_LenderTable[[#This Row], [Payroll]]&gt;0,ExpComps_LenderTable[[#This Row], [R&amp;M]]+ExpComps_LenderTable[[#This Row], [Payroll]],"")</f>
      </c>
      <c r="AO9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0" ht="13.5" customHeight="1" hidden="1">
      <c r="B100">
        <v>89</v>
      </c>
      <c r="AN100">
        <f>IF(ExpComps_LenderTable[[#This Row], [R&amp;M]]+ExpComps_LenderTable[[#This Row], [Payroll]]&gt;0,ExpComps_LenderTable[[#This Row], [R&amp;M]]+ExpComps_LenderTable[[#This Row], [Payroll]],"")</f>
      </c>
      <c r="AO10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1" ht="13.5" customHeight="1" hidden="1">
      <c r="B101">
        <v>90</v>
      </c>
      <c r="AN101">
        <f>IF(ExpComps_LenderTable[[#This Row], [R&amp;M]]+ExpComps_LenderTable[[#This Row], [Payroll]]&gt;0,ExpComps_LenderTable[[#This Row], [R&amp;M]]+ExpComps_LenderTable[[#This Row], [Payroll]],"")</f>
      </c>
      <c r="AO10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2" ht="13.5" customHeight="1" hidden="1">
      <c r="B102">
        <v>91</v>
      </c>
      <c r="AN102">
        <f>IF(ExpComps_LenderTable[[#This Row], [R&amp;M]]+ExpComps_LenderTable[[#This Row], [Payroll]]&gt;0,ExpComps_LenderTable[[#This Row], [R&amp;M]]+ExpComps_LenderTable[[#This Row], [Payroll]],"")</f>
      </c>
      <c r="AO10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3" ht="13.5" customHeight="1" hidden="1">
      <c r="B103">
        <v>92</v>
      </c>
      <c r="AN103">
        <f>IF(ExpComps_LenderTable[[#This Row], [R&amp;M]]+ExpComps_LenderTable[[#This Row], [Payroll]]&gt;0,ExpComps_LenderTable[[#This Row], [R&amp;M]]+ExpComps_LenderTable[[#This Row], [Payroll]],"")</f>
      </c>
      <c r="AO10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4" ht="13.5" customHeight="1" hidden="1">
      <c r="B104">
        <v>93</v>
      </c>
      <c r="AN104">
        <f>IF(ExpComps_LenderTable[[#This Row], [R&amp;M]]+ExpComps_LenderTable[[#This Row], [Payroll]]&gt;0,ExpComps_LenderTable[[#This Row], [R&amp;M]]+ExpComps_LenderTable[[#This Row], [Payroll]],"")</f>
      </c>
      <c r="AO10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5" ht="13.5" customHeight="1" hidden="1">
      <c r="B105">
        <v>94</v>
      </c>
      <c r="AN105">
        <f>IF(ExpComps_LenderTable[[#This Row], [R&amp;M]]+ExpComps_LenderTable[[#This Row], [Payroll]]&gt;0,ExpComps_LenderTable[[#This Row], [R&amp;M]]+ExpComps_LenderTable[[#This Row], [Payroll]],"")</f>
      </c>
      <c r="AO10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6" ht="13.5" customHeight="1" hidden="1">
      <c r="B106">
        <v>95</v>
      </c>
      <c r="AN106">
        <f>IF(ExpComps_LenderTable[[#This Row], [R&amp;M]]+ExpComps_LenderTable[[#This Row], [Payroll]]&gt;0,ExpComps_LenderTable[[#This Row], [R&amp;M]]+ExpComps_LenderTable[[#This Row], [Payroll]],"")</f>
      </c>
      <c r="AO10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7" ht="13.5" customHeight="1" hidden="1">
      <c r="B107">
        <v>96</v>
      </c>
      <c r="AN107">
        <f>IF(ExpComps_LenderTable[[#This Row], [R&amp;M]]+ExpComps_LenderTable[[#This Row], [Payroll]]&gt;0,ExpComps_LenderTable[[#This Row], [R&amp;M]]+ExpComps_LenderTable[[#This Row], [Payroll]],"")</f>
      </c>
      <c r="AO10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8" ht="13.5" customHeight="1" hidden="1">
      <c r="B108">
        <v>97</v>
      </c>
      <c r="AN108">
        <f>IF(ExpComps_LenderTable[[#This Row], [R&amp;M]]+ExpComps_LenderTable[[#This Row], [Payroll]]&gt;0,ExpComps_LenderTable[[#This Row], [R&amp;M]]+ExpComps_LenderTable[[#This Row], [Payroll]],"")</f>
      </c>
      <c r="AO10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09" ht="13.5" customHeight="1" hidden="1">
      <c r="B109">
        <v>98</v>
      </c>
      <c r="AN109">
        <f>IF(ExpComps_LenderTable[[#This Row], [R&amp;M]]+ExpComps_LenderTable[[#This Row], [Payroll]]&gt;0,ExpComps_LenderTable[[#This Row], [R&amp;M]]+ExpComps_LenderTable[[#This Row], [Payroll]],"")</f>
      </c>
      <c r="AO10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0" ht="13.5" customHeight="1" hidden="1">
      <c r="B110">
        <v>99</v>
      </c>
      <c r="AN110">
        <f>IF(ExpComps_LenderTable[[#This Row], [R&amp;M]]+ExpComps_LenderTable[[#This Row], [Payroll]]&gt;0,ExpComps_LenderTable[[#This Row], [R&amp;M]]+ExpComps_LenderTable[[#This Row], [Payroll]],"")</f>
      </c>
      <c r="AO11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1" ht="13.5" customHeight="1" hidden="1">
      <c r="B111">
        <v>100</v>
      </c>
      <c r="AN111">
        <f>IF(ExpComps_LenderTable[[#This Row], [R&amp;M]]+ExpComps_LenderTable[[#This Row], [Payroll]]&gt;0,ExpComps_LenderTable[[#This Row], [R&amp;M]]+ExpComps_LenderTable[[#This Row], [Payroll]],"")</f>
      </c>
      <c r="AO11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2" ht="13.5" customHeight="1" hidden="1">
      <c r="B112">
        <v>101</v>
      </c>
      <c r="AN112">
        <f>IF(ExpComps_LenderTable[[#This Row], [R&amp;M]]+ExpComps_LenderTable[[#This Row], [Payroll]]&gt;0,ExpComps_LenderTable[[#This Row], [R&amp;M]]+ExpComps_LenderTable[[#This Row], [Payroll]],"")</f>
      </c>
      <c r="AO11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3" ht="13.5" customHeight="1" hidden="1">
      <c r="B113">
        <v>102</v>
      </c>
      <c r="AN113">
        <f>IF(ExpComps_LenderTable[[#This Row], [R&amp;M]]+ExpComps_LenderTable[[#This Row], [Payroll]]&gt;0,ExpComps_LenderTable[[#This Row], [R&amp;M]]+ExpComps_LenderTable[[#This Row], [Payroll]],"")</f>
      </c>
      <c r="AO11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4" ht="13.5" customHeight="1" hidden="1">
      <c r="B114">
        <v>103</v>
      </c>
      <c r="AN114">
        <f>IF(ExpComps_LenderTable[[#This Row], [R&amp;M]]+ExpComps_LenderTable[[#This Row], [Payroll]]&gt;0,ExpComps_LenderTable[[#This Row], [R&amp;M]]+ExpComps_LenderTable[[#This Row], [Payroll]],"")</f>
      </c>
      <c r="AO11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5" ht="13.5" customHeight="1" hidden="1">
      <c r="B115">
        <v>104</v>
      </c>
      <c r="AN115">
        <f>IF(ExpComps_LenderTable[[#This Row], [R&amp;M]]+ExpComps_LenderTable[[#This Row], [Payroll]]&gt;0,ExpComps_LenderTable[[#This Row], [R&amp;M]]+ExpComps_LenderTable[[#This Row], [Payroll]],"")</f>
      </c>
      <c r="AO11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6" ht="13.5" customHeight="1" hidden="1">
      <c r="B116">
        <v>105</v>
      </c>
      <c r="AN116">
        <f>IF(ExpComps_LenderTable[[#This Row], [R&amp;M]]+ExpComps_LenderTable[[#This Row], [Payroll]]&gt;0,ExpComps_LenderTable[[#This Row], [R&amp;M]]+ExpComps_LenderTable[[#This Row], [Payroll]],"")</f>
      </c>
      <c r="AO11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7" ht="13.5" customHeight="1" hidden="1">
      <c r="B117">
        <v>106</v>
      </c>
      <c r="AN117">
        <f>IF(ExpComps_LenderTable[[#This Row], [R&amp;M]]+ExpComps_LenderTable[[#This Row], [Payroll]]&gt;0,ExpComps_LenderTable[[#This Row], [R&amp;M]]+ExpComps_LenderTable[[#This Row], [Payroll]],"")</f>
      </c>
      <c r="AO11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8" ht="13.5" customHeight="1" hidden="1">
      <c r="B118">
        <v>107</v>
      </c>
      <c r="AN118">
        <f>IF(ExpComps_LenderTable[[#This Row], [R&amp;M]]+ExpComps_LenderTable[[#This Row], [Payroll]]&gt;0,ExpComps_LenderTable[[#This Row], [R&amp;M]]+ExpComps_LenderTable[[#This Row], [Payroll]],"")</f>
      </c>
      <c r="AO11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19" ht="13.5" customHeight="1" hidden="1">
      <c r="B119">
        <v>108</v>
      </c>
      <c r="AN119">
        <f>IF(ExpComps_LenderTable[[#This Row], [R&amp;M]]+ExpComps_LenderTable[[#This Row], [Payroll]]&gt;0,ExpComps_LenderTable[[#This Row], [R&amp;M]]+ExpComps_LenderTable[[#This Row], [Payroll]],"")</f>
      </c>
      <c r="AO11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0" ht="13.5" customHeight="1" hidden="1">
      <c r="B120">
        <v>109</v>
      </c>
      <c r="AN120">
        <f>IF(ExpComps_LenderTable[[#This Row], [R&amp;M]]+ExpComps_LenderTable[[#This Row], [Payroll]]&gt;0,ExpComps_LenderTable[[#This Row], [R&amp;M]]+ExpComps_LenderTable[[#This Row], [Payroll]],"")</f>
      </c>
      <c r="AO12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1" ht="13.5" customHeight="1" hidden="1">
      <c r="B121">
        <v>110</v>
      </c>
      <c r="AN121">
        <f>IF(ExpComps_LenderTable[[#This Row], [R&amp;M]]+ExpComps_LenderTable[[#This Row], [Payroll]]&gt;0,ExpComps_LenderTable[[#This Row], [R&amp;M]]+ExpComps_LenderTable[[#This Row], [Payroll]],"")</f>
      </c>
      <c r="AO12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2" ht="13.5" customHeight="1" hidden="1">
      <c r="B122">
        <v>111</v>
      </c>
      <c r="AN122">
        <f>IF(ExpComps_LenderTable[[#This Row], [R&amp;M]]+ExpComps_LenderTable[[#This Row], [Payroll]]&gt;0,ExpComps_LenderTable[[#This Row], [R&amp;M]]+ExpComps_LenderTable[[#This Row], [Payroll]],"")</f>
      </c>
      <c r="AO12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3" ht="13.5" customHeight="1" hidden="1">
      <c r="B123">
        <v>112</v>
      </c>
      <c r="AN123">
        <f>IF(ExpComps_LenderTable[[#This Row], [R&amp;M]]+ExpComps_LenderTable[[#This Row], [Payroll]]&gt;0,ExpComps_LenderTable[[#This Row], [R&amp;M]]+ExpComps_LenderTable[[#This Row], [Payroll]],"")</f>
      </c>
      <c r="AO12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4" ht="13.5" customHeight="1" hidden="1">
      <c r="B124">
        <v>113</v>
      </c>
      <c r="AN124">
        <f>IF(ExpComps_LenderTable[[#This Row], [R&amp;M]]+ExpComps_LenderTable[[#This Row], [Payroll]]&gt;0,ExpComps_LenderTable[[#This Row], [R&amp;M]]+ExpComps_LenderTable[[#This Row], [Payroll]],"")</f>
      </c>
      <c r="AO12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5" ht="13.5" customHeight="1" hidden="1">
      <c r="B125">
        <v>114</v>
      </c>
      <c r="AN125">
        <f>IF(ExpComps_LenderTable[[#This Row], [R&amp;M]]+ExpComps_LenderTable[[#This Row], [Payroll]]&gt;0,ExpComps_LenderTable[[#This Row], [R&amp;M]]+ExpComps_LenderTable[[#This Row], [Payroll]],"")</f>
      </c>
      <c r="AO12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6" ht="13.5" customHeight="1" hidden="1">
      <c r="B126">
        <v>115</v>
      </c>
      <c r="AN126">
        <f>IF(ExpComps_LenderTable[[#This Row], [R&amp;M]]+ExpComps_LenderTable[[#This Row], [Payroll]]&gt;0,ExpComps_LenderTable[[#This Row], [R&amp;M]]+ExpComps_LenderTable[[#This Row], [Payroll]],"")</f>
      </c>
      <c r="AO12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7" ht="13.5" customHeight="1" hidden="1">
      <c r="B127">
        <v>116</v>
      </c>
      <c r="AN127">
        <f>IF(ExpComps_LenderTable[[#This Row], [R&amp;M]]+ExpComps_LenderTable[[#This Row], [Payroll]]&gt;0,ExpComps_LenderTable[[#This Row], [R&amp;M]]+ExpComps_LenderTable[[#This Row], [Payroll]],"")</f>
      </c>
      <c r="AO12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8" ht="13.5" customHeight="1" hidden="1">
      <c r="B128">
        <v>117</v>
      </c>
      <c r="AN128">
        <f>IF(ExpComps_LenderTable[[#This Row], [R&amp;M]]+ExpComps_LenderTable[[#This Row], [Payroll]]&gt;0,ExpComps_LenderTable[[#This Row], [R&amp;M]]+ExpComps_LenderTable[[#This Row], [Payroll]],"")</f>
      </c>
      <c r="AO12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29" ht="13.5" customHeight="1" hidden="1">
      <c r="B129">
        <v>118</v>
      </c>
      <c r="AN129">
        <f>IF(ExpComps_LenderTable[[#This Row], [R&amp;M]]+ExpComps_LenderTable[[#This Row], [Payroll]]&gt;0,ExpComps_LenderTable[[#This Row], [R&amp;M]]+ExpComps_LenderTable[[#This Row], [Payroll]],"")</f>
      </c>
      <c r="AO12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0" ht="13.5" customHeight="1" hidden="1">
      <c r="B130">
        <v>119</v>
      </c>
      <c r="AN130">
        <f>IF(ExpComps_LenderTable[[#This Row], [R&amp;M]]+ExpComps_LenderTable[[#This Row], [Payroll]]&gt;0,ExpComps_LenderTable[[#This Row], [R&amp;M]]+ExpComps_LenderTable[[#This Row], [Payroll]],"")</f>
      </c>
      <c r="AO13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1" ht="13.5" customHeight="1" hidden="1">
      <c r="B131">
        <v>120</v>
      </c>
      <c r="AN131">
        <f>IF(ExpComps_LenderTable[[#This Row], [R&amp;M]]+ExpComps_LenderTable[[#This Row], [Payroll]]&gt;0,ExpComps_LenderTable[[#This Row], [R&amp;M]]+ExpComps_LenderTable[[#This Row], [Payroll]],"")</f>
      </c>
      <c r="AO13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2" ht="13.5" customHeight="1" hidden="1">
      <c r="B132">
        <v>121</v>
      </c>
      <c r="AN132">
        <f>IF(ExpComps_LenderTable[[#This Row], [R&amp;M]]+ExpComps_LenderTable[[#This Row], [Payroll]]&gt;0,ExpComps_LenderTable[[#This Row], [R&amp;M]]+ExpComps_LenderTable[[#This Row], [Payroll]],"")</f>
      </c>
      <c r="AO13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3" ht="13.5" customHeight="1" hidden="1">
      <c r="B133">
        <v>122</v>
      </c>
      <c r="AN133">
        <f>IF(ExpComps_LenderTable[[#This Row], [R&amp;M]]+ExpComps_LenderTable[[#This Row], [Payroll]]&gt;0,ExpComps_LenderTable[[#This Row], [R&amp;M]]+ExpComps_LenderTable[[#This Row], [Payroll]],"")</f>
      </c>
      <c r="AO13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4" ht="13.5" customHeight="1" hidden="1">
      <c r="B134">
        <v>123</v>
      </c>
      <c r="AN134">
        <f>IF(ExpComps_LenderTable[[#This Row], [R&amp;M]]+ExpComps_LenderTable[[#This Row], [Payroll]]&gt;0,ExpComps_LenderTable[[#This Row], [R&amp;M]]+ExpComps_LenderTable[[#This Row], [Payroll]],"")</f>
      </c>
      <c r="AO13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5" ht="13.5" customHeight="1" hidden="1">
      <c r="B135">
        <v>124</v>
      </c>
      <c r="AN135">
        <f>IF(ExpComps_LenderTable[[#This Row], [R&amp;M]]+ExpComps_LenderTable[[#This Row], [Payroll]]&gt;0,ExpComps_LenderTable[[#This Row], [R&amp;M]]+ExpComps_LenderTable[[#This Row], [Payroll]],"")</f>
      </c>
      <c r="AO13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6" ht="13.5" customHeight="1" hidden="1">
      <c r="B136">
        <v>125</v>
      </c>
      <c r="AN136">
        <f>IF(ExpComps_LenderTable[[#This Row], [R&amp;M]]+ExpComps_LenderTable[[#This Row], [Payroll]]&gt;0,ExpComps_LenderTable[[#This Row], [R&amp;M]]+ExpComps_LenderTable[[#This Row], [Payroll]],"")</f>
      </c>
      <c r="AO13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7" ht="13.5" customHeight="1" hidden="1">
      <c r="B137">
        <v>126</v>
      </c>
      <c r="AN137">
        <f>IF(ExpComps_LenderTable[[#This Row], [R&amp;M]]+ExpComps_LenderTable[[#This Row], [Payroll]]&gt;0,ExpComps_LenderTable[[#This Row], [R&amp;M]]+ExpComps_LenderTable[[#This Row], [Payroll]],"")</f>
      </c>
      <c r="AO13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8" ht="13.5" customHeight="1" hidden="1">
      <c r="B138">
        <v>127</v>
      </c>
      <c r="AN138">
        <f>IF(ExpComps_LenderTable[[#This Row], [R&amp;M]]+ExpComps_LenderTable[[#This Row], [Payroll]]&gt;0,ExpComps_LenderTable[[#This Row], [R&amp;M]]+ExpComps_LenderTable[[#This Row], [Payroll]],"")</f>
      </c>
      <c r="AO13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39" ht="13.5" customHeight="1" hidden="1">
      <c r="B139">
        <v>128</v>
      </c>
      <c r="AN139">
        <f>IF(ExpComps_LenderTable[[#This Row], [R&amp;M]]+ExpComps_LenderTable[[#This Row], [Payroll]]&gt;0,ExpComps_LenderTable[[#This Row], [R&amp;M]]+ExpComps_LenderTable[[#This Row], [Payroll]],"")</f>
      </c>
      <c r="AO13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0" ht="13.5" customHeight="1" hidden="1">
      <c r="B140">
        <v>129</v>
      </c>
      <c r="AN140">
        <f>IF(ExpComps_LenderTable[[#This Row], [R&amp;M]]+ExpComps_LenderTable[[#This Row], [Payroll]]&gt;0,ExpComps_LenderTable[[#This Row], [R&amp;M]]+ExpComps_LenderTable[[#This Row], [Payroll]],"")</f>
      </c>
      <c r="AO14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1" ht="13.5" customHeight="1" hidden="1">
      <c r="B141">
        <v>130</v>
      </c>
      <c r="AN141">
        <f>IF(ExpComps_LenderTable[[#This Row], [R&amp;M]]+ExpComps_LenderTable[[#This Row], [Payroll]]&gt;0,ExpComps_LenderTable[[#This Row], [R&amp;M]]+ExpComps_LenderTable[[#This Row], [Payroll]],"")</f>
      </c>
      <c r="AO14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2" ht="13.5" customHeight="1" hidden="1">
      <c r="B142">
        <v>131</v>
      </c>
      <c r="AN142">
        <f>IF(ExpComps_LenderTable[[#This Row], [R&amp;M]]+ExpComps_LenderTable[[#This Row], [Payroll]]&gt;0,ExpComps_LenderTable[[#This Row], [R&amp;M]]+ExpComps_LenderTable[[#This Row], [Payroll]],"")</f>
      </c>
      <c r="AO14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3" ht="13.5" customHeight="1" hidden="1">
      <c r="B143">
        <v>132</v>
      </c>
      <c r="AN143">
        <f>IF(ExpComps_LenderTable[[#This Row], [R&amp;M]]+ExpComps_LenderTable[[#This Row], [Payroll]]&gt;0,ExpComps_LenderTable[[#This Row], [R&amp;M]]+ExpComps_LenderTable[[#This Row], [Payroll]],"")</f>
      </c>
      <c r="AO14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4" ht="13.5" customHeight="1" hidden="1">
      <c r="B144">
        <v>133</v>
      </c>
      <c r="AN144">
        <f>IF(ExpComps_LenderTable[[#This Row], [R&amp;M]]+ExpComps_LenderTable[[#This Row], [Payroll]]&gt;0,ExpComps_LenderTable[[#This Row], [R&amp;M]]+ExpComps_LenderTable[[#This Row], [Payroll]],"")</f>
      </c>
      <c r="AO14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5" ht="13.5" customHeight="1" hidden="1">
      <c r="B145">
        <v>134</v>
      </c>
      <c r="AN145">
        <f>IF(ExpComps_LenderTable[[#This Row], [R&amp;M]]+ExpComps_LenderTable[[#This Row], [Payroll]]&gt;0,ExpComps_LenderTable[[#This Row], [R&amp;M]]+ExpComps_LenderTable[[#This Row], [Payroll]],"")</f>
      </c>
      <c r="AO14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6" ht="13.5" customHeight="1" hidden="1">
      <c r="B146">
        <v>135</v>
      </c>
      <c r="AN146">
        <f>IF(ExpComps_LenderTable[[#This Row], [R&amp;M]]+ExpComps_LenderTable[[#This Row], [Payroll]]&gt;0,ExpComps_LenderTable[[#This Row], [R&amp;M]]+ExpComps_LenderTable[[#This Row], [Payroll]],"")</f>
      </c>
      <c r="AO14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7" ht="13.5" customHeight="1" hidden="1">
      <c r="B147">
        <v>136</v>
      </c>
      <c r="AN147">
        <f>IF(ExpComps_LenderTable[[#This Row], [R&amp;M]]+ExpComps_LenderTable[[#This Row], [Payroll]]&gt;0,ExpComps_LenderTable[[#This Row], [R&amp;M]]+ExpComps_LenderTable[[#This Row], [Payroll]],"")</f>
      </c>
      <c r="AO14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8" ht="13.5" customHeight="1" hidden="1">
      <c r="B148">
        <v>137</v>
      </c>
      <c r="AN148">
        <f>IF(ExpComps_LenderTable[[#This Row], [R&amp;M]]+ExpComps_LenderTable[[#This Row], [Payroll]]&gt;0,ExpComps_LenderTable[[#This Row], [R&amp;M]]+ExpComps_LenderTable[[#This Row], [Payroll]],"")</f>
      </c>
      <c r="AO14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49" ht="13.5" customHeight="1" hidden="1">
      <c r="B149">
        <v>138</v>
      </c>
      <c r="AN149">
        <f>IF(ExpComps_LenderTable[[#This Row], [R&amp;M]]+ExpComps_LenderTable[[#This Row], [Payroll]]&gt;0,ExpComps_LenderTable[[#This Row], [R&amp;M]]+ExpComps_LenderTable[[#This Row], [Payroll]],"")</f>
      </c>
      <c r="AO14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0" ht="13.5" customHeight="1" hidden="1">
      <c r="B150">
        <v>139</v>
      </c>
      <c r="AN150">
        <f>IF(ExpComps_LenderTable[[#This Row], [R&amp;M]]+ExpComps_LenderTable[[#This Row], [Payroll]]&gt;0,ExpComps_LenderTable[[#This Row], [R&amp;M]]+ExpComps_LenderTable[[#This Row], [Payroll]],"")</f>
      </c>
      <c r="AO15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1" ht="13.5" customHeight="1" hidden="1">
      <c r="B151">
        <v>140</v>
      </c>
      <c r="AN151">
        <f>IF(ExpComps_LenderTable[[#This Row], [R&amp;M]]+ExpComps_LenderTable[[#This Row], [Payroll]]&gt;0,ExpComps_LenderTable[[#This Row], [R&amp;M]]+ExpComps_LenderTable[[#This Row], [Payroll]],"")</f>
      </c>
      <c r="AO15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[R&amp;M]]+ExpComps_LenderTable[[#This Row], [Payroll]],"")</f>
      </c>
      <c r="AO15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3" ht="13.5" customHeight="1" hidden="1">
      <c r="B153">
        <v>142</v>
      </c>
      <c r="AN153">
        <f>IF(ExpComps_LenderTable[[#This Row], [R&amp;M]]+ExpComps_LenderTable[[#This Row], [Payroll]]&gt;0,ExpComps_LenderTable[[#This Row], [R&amp;M]]+ExpComps_LenderTable[[#This Row], [Payroll]],"")</f>
      </c>
      <c r="AO15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4" ht="13.5" customHeight="1" hidden="1">
      <c r="B154">
        <v>143</v>
      </c>
      <c r="AN154">
        <f>IF(ExpComps_LenderTable[[#This Row], [R&amp;M]]+ExpComps_LenderTable[[#This Row], [Payroll]]&gt;0,ExpComps_LenderTable[[#This Row], [R&amp;M]]+ExpComps_LenderTable[[#This Row], [Payroll]],"")</f>
      </c>
      <c r="AO15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5" ht="13.5" customHeight="1" hidden="1">
      <c r="B155">
        <v>144</v>
      </c>
      <c r="AN155">
        <f>IF(ExpComps_LenderTable[[#This Row], [R&amp;M]]+ExpComps_LenderTable[[#This Row], [Payroll]]&gt;0,ExpComps_LenderTable[[#This Row], [R&amp;M]]+ExpComps_LenderTable[[#This Row], [Payroll]],"")</f>
      </c>
      <c r="AO15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6" ht="13.5" customHeight="1" hidden="1">
      <c r="B156">
        <v>145</v>
      </c>
      <c r="AN156">
        <f>IF(ExpComps_LenderTable[[#This Row], [R&amp;M]]+ExpComps_LenderTable[[#This Row], [Payroll]]&gt;0,ExpComps_LenderTable[[#This Row], [R&amp;M]]+ExpComps_LenderTable[[#This Row], [Payroll]],"")</f>
      </c>
      <c r="AO15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7" ht="13.5" customHeight="1" hidden="1">
      <c r="B157">
        <v>146</v>
      </c>
      <c r="AN157">
        <f>IF(ExpComps_LenderTable[[#This Row], [R&amp;M]]+ExpComps_LenderTable[[#This Row], [Payroll]]&gt;0,ExpComps_LenderTable[[#This Row], [R&amp;M]]+ExpComps_LenderTable[[#This Row], [Payroll]],"")</f>
      </c>
      <c r="AO15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8" ht="13.5" customHeight="1" hidden="1">
      <c r="B158">
        <v>147</v>
      </c>
      <c r="AN158">
        <f>IF(ExpComps_LenderTable[[#This Row], [R&amp;M]]+ExpComps_LenderTable[[#This Row], [Payroll]]&gt;0,ExpComps_LenderTable[[#This Row], [R&amp;M]]+ExpComps_LenderTable[[#This Row], [Payroll]],"")</f>
      </c>
      <c r="AO15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59" ht="13.5" customHeight="1" hidden="1">
      <c r="B159">
        <v>148</v>
      </c>
      <c r="AN159">
        <f>IF(ExpComps_LenderTable[[#This Row], [R&amp;M]]+ExpComps_LenderTable[[#This Row], [Payroll]]&gt;0,ExpComps_LenderTable[[#This Row], [R&amp;M]]+ExpComps_LenderTable[[#This Row], [Payroll]],"")</f>
      </c>
      <c r="AO15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0" ht="13.5" customHeight="1" hidden="1">
      <c r="B160">
        <v>149</v>
      </c>
      <c r="AN160">
        <f>IF(ExpComps_LenderTable[[#This Row], [R&amp;M]]+ExpComps_LenderTable[[#This Row], [Payroll]]&gt;0,ExpComps_LenderTable[[#This Row], [R&amp;M]]+ExpComps_LenderTable[[#This Row], [Payroll]],"")</f>
      </c>
      <c r="AO16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1" ht="13.5" customHeight="1" hidden="1">
      <c r="B161">
        <v>150</v>
      </c>
      <c r="AN161">
        <f>IF(ExpComps_LenderTable[[#This Row], [R&amp;M]]+ExpComps_LenderTable[[#This Row], [Payroll]]&gt;0,ExpComps_LenderTable[[#This Row], [R&amp;M]]+ExpComps_LenderTable[[#This Row], [Payroll]],"")</f>
      </c>
      <c r="AO16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2" ht="13.5" customHeight="1" hidden="1">
      <c r="B162">
        <v>151</v>
      </c>
      <c r="AN162">
        <f>IF(ExpComps_LenderTable[[#This Row], [R&amp;M]]+ExpComps_LenderTable[[#This Row], [Payroll]]&gt;0,ExpComps_LenderTable[[#This Row], [R&amp;M]]+ExpComps_LenderTable[[#This Row], [Payroll]],"")</f>
      </c>
      <c r="AO16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3" ht="13.5" customHeight="1" hidden="1">
      <c r="B163">
        <v>152</v>
      </c>
      <c r="AN163">
        <f>IF(ExpComps_LenderTable[[#This Row], [R&amp;M]]+ExpComps_LenderTable[[#This Row], [Payroll]]&gt;0,ExpComps_LenderTable[[#This Row], [R&amp;M]]+ExpComps_LenderTable[[#This Row], [Payroll]],"")</f>
      </c>
      <c r="AO16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4" ht="13.5" customHeight="1" hidden="1">
      <c r="B164">
        <v>153</v>
      </c>
      <c r="AN164">
        <f>IF(ExpComps_LenderTable[[#This Row], [R&amp;M]]+ExpComps_LenderTable[[#This Row], [Payroll]]&gt;0,ExpComps_LenderTable[[#This Row], [R&amp;M]]+ExpComps_LenderTable[[#This Row], [Payroll]],"")</f>
      </c>
      <c r="AO16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5" ht="13.5" customHeight="1" hidden="1">
      <c r="B165">
        <v>154</v>
      </c>
      <c r="AN165">
        <f>IF(ExpComps_LenderTable[[#This Row], [R&amp;M]]+ExpComps_LenderTable[[#This Row], [Payroll]]&gt;0,ExpComps_LenderTable[[#This Row], [R&amp;M]]+ExpComps_LenderTable[[#This Row], [Payroll]],"")</f>
      </c>
      <c r="AO16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6" ht="13.5" customHeight="1" hidden="1">
      <c r="B166">
        <v>155</v>
      </c>
      <c r="AN166">
        <f>IF(ExpComps_LenderTable[[#This Row], [R&amp;M]]+ExpComps_LenderTable[[#This Row], [Payroll]]&gt;0,ExpComps_LenderTable[[#This Row], [R&amp;M]]+ExpComps_LenderTable[[#This Row], [Payroll]],"")</f>
      </c>
      <c r="AO16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7" ht="13.5" customHeight="1" hidden="1">
      <c r="B167">
        <v>156</v>
      </c>
      <c r="AN167">
        <f>IF(ExpComps_LenderTable[[#This Row], [R&amp;M]]+ExpComps_LenderTable[[#This Row], [Payroll]]&gt;0,ExpComps_LenderTable[[#This Row], [R&amp;M]]+ExpComps_LenderTable[[#This Row], [Payroll]],"")</f>
      </c>
      <c r="AO16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8" ht="13.5" customHeight="1" hidden="1">
      <c r="B168">
        <v>157</v>
      </c>
      <c r="AN168">
        <f>IF(ExpComps_LenderTable[[#This Row], [R&amp;M]]+ExpComps_LenderTable[[#This Row], [Payroll]]&gt;0,ExpComps_LenderTable[[#This Row], [R&amp;M]]+ExpComps_LenderTable[[#This Row], [Payroll]],"")</f>
      </c>
      <c r="AO16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69" ht="13.5" customHeight="1" hidden="1">
      <c r="B169">
        <v>158</v>
      </c>
      <c r="AN169">
        <f>IF(ExpComps_LenderTable[[#This Row], [R&amp;M]]+ExpComps_LenderTable[[#This Row], [Payroll]]&gt;0,ExpComps_LenderTable[[#This Row], [R&amp;M]]+ExpComps_LenderTable[[#This Row], [Payroll]],"")</f>
      </c>
      <c r="AO16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0" ht="13.5" customHeight="1" hidden="1">
      <c r="B170">
        <v>159</v>
      </c>
      <c r="AN170">
        <f>IF(ExpComps_LenderTable[[#This Row], [R&amp;M]]+ExpComps_LenderTable[[#This Row], [Payroll]]&gt;0,ExpComps_LenderTable[[#This Row], [R&amp;M]]+ExpComps_LenderTable[[#This Row], [Payroll]],"")</f>
      </c>
      <c r="AO17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1" ht="13.5" customHeight="1" hidden="1">
      <c r="B171">
        <v>160</v>
      </c>
      <c r="AN171">
        <f>IF(ExpComps_LenderTable[[#This Row], [R&amp;M]]+ExpComps_LenderTable[[#This Row], [Payroll]]&gt;0,ExpComps_LenderTable[[#This Row], [R&amp;M]]+ExpComps_LenderTable[[#This Row], [Payroll]],"")</f>
      </c>
      <c r="AO17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2" ht="13.5" customHeight="1" hidden="1">
      <c r="B172">
        <v>161</v>
      </c>
      <c r="AN172">
        <f>IF(ExpComps_LenderTable[[#This Row], [R&amp;M]]+ExpComps_LenderTable[[#This Row], [Payroll]]&gt;0,ExpComps_LenderTable[[#This Row], [R&amp;M]]+ExpComps_LenderTable[[#This Row], [Payroll]],"")</f>
      </c>
      <c r="AO17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3" ht="13.5" customHeight="1" hidden="1">
      <c r="B173">
        <v>162</v>
      </c>
      <c r="AN173">
        <f>IF(ExpComps_LenderTable[[#This Row], [R&amp;M]]+ExpComps_LenderTable[[#This Row], [Payroll]]&gt;0,ExpComps_LenderTable[[#This Row], [R&amp;M]]+ExpComps_LenderTable[[#This Row], [Payroll]],"")</f>
      </c>
      <c r="AO17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4" ht="13.5" customHeight="1" hidden="1">
      <c r="B174">
        <v>163</v>
      </c>
      <c r="AN174">
        <f>IF(ExpComps_LenderTable[[#This Row], [R&amp;M]]+ExpComps_LenderTable[[#This Row], [Payroll]]&gt;0,ExpComps_LenderTable[[#This Row], [R&amp;M]]+ExpComps_LenderTable[[#This Row], [Payroll]],"")</f>
      </c>
      <c r="AO17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5" ht="13.5" customHeight="1" hidden="1">
      <c r="B175">
        <v>164</v>
      </c>
      <c r="AN175">
        <f>IF(ExpComps_LenderTable[[#This Row], [R&amp;M]]+ExpComps_LenderTable[[#This Row], [Payroll]]&gt;0,ExpComps_LenderTable[[#This Row], [R&amp;M]]+ExpComps_LenderTable[[#This Row], [Payroll]],"")</f>
      </c>
      <c r="AO17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6" ht="13.5" customHeight="1" hidden="1">
      <c r="B176">
        <v>165</v>
      </c>
      <c r="AN176">
        <f>IF(ExpComps_LenderTable[[#This Row], [R&amp;M]]+ExpComps_LenderTable[[#This Row], [Payroll]]&gt;0,ExpComps_LenderTable[[#This Row], [R&amp;M]]+ExpComps_LenderTable[[#This Row], [Payroll]],"")</f>
      </c>
      <c r="AO17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7" ht="13.5" customHeight="1" hidden="1">
      <c r="B177">
        <v>166</v>
      </c>
      <c r="AN177">
        <f>IF(ExpComps_LenderTable[[#This Row], [R&amp;M]]+ExpComps_LenderTable[[#This Row], [Payroll]]&gt;0,ExpComps_LenderTable[[#This Row], [R&amp;M]]+ExpComps_LenderTable[[#This Row], [Payroll]],"")</f>
      </c>
      <c r="AO17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8" ht="13.5" customHeight="1" hidden="1">
      <c r="B178">
        <v>167</v>
      </c>
      <c r="AN178">
        <f>IF(ExpComps_LenderTable[[#This Row], [R&amp;M]]+ExpComps_LenderTable[[#This Row], [Payroll]]&gt;0,ExpComps_LenderTable[[#This Row], [R&amp;M]]+ExpComps_LenderTable[[#This Row], [Payroll]],"")</f>
      </c>
      <c r="AO17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79" ht="13.5" customHeight="1" hidden="1">
      <c r="B179">
        <v>168</v>
      </c>
      <c r="AN179">
        <f>IF(ExpComps_LenderTable[[#This Row], [R&amp;M]]+ExpComps_LenderTable[[#This Row], [Payroll]]&gt;0,ExpComps_LenderTable[[#This Row], [R&amp;M]]+ExpComps_LenderTable[[#This Row], [Payroll]],"")</f>
      </c>
      <c r="AO17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0" ht="13.5" customHeight="1" hidden="1">
      <c r="B180">
        <v>169</v>
      </c>
      <c r="AN180">
        <f>IF(ExpComps_LenderTable[[#This Row], [R&amp;M]]+ExpComps_LenderTable[[#This Row], [Payroll]]&gt;0,ExpComps_LenderTable[[#This Row], [R&amp;M]]+ExpComps_LenderTable[[#This Row], [Payroll]],"")</f>
      </c>
      <c r="AO18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1" ht="13.5" customHeight="1" hidden="1">
      <c r="B181">
        <v>170</v>
      </c>
      <c r="AN181">
        <f>IF(ExpComps_LenderTable[[#This Row], [R&amp;M]]+ExpComps_LenderTable[[#This Row], [Payroll]]&gt;0,ExpComps_LenderTable[[#This Row], [R&amp;M]]+ExpComps_LenderTable[[#This Row], [Payroll]],"")</f>
      </c>
      <c r="AO18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2" ht="13.5" customHeight="1" hidden="1">
      <c r="B182">
        <v>171</v>
      </c>
      <c r="AN182">
        <f>IF(ExpComps_LenderTable[[#This Row], [R&amp;M]]+ExpComps_LenderTable[[#This Row], [Payroll]]&gt;0,ExpComps_LenderTable[[#This Row], [R&amp;M]]+ExpComps_LenderTable[[#This Row], [Payroll]],"")</f>
      </c>
      <c r="AO18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3" ht="13.5" customHeight="1" hidden="1">
      <c r="B183">
        <v>172</v>
      </c>
      <c r="AN183">
        <f>IF(ExpComps_LenderTable[[#This Row], [R&amp;M]]+ExpComps_LenderTable[[#This Row], [Payroll]]&gt;0,ExpComps_LenderTable[[#This Row], [R&amp;M]]+ExpComps_LenderTable[[#This Row], [Payroll]],"")</f>
      </c>
      <c r="AO18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4" ht="13.5" customHeight="1" hidden="1">
      <c r="B184">
        <v>173</v>
      </c>
      <c r="AN184">
        <f>IF(ExpComps_LenderTable[[#This Row], [R&amp;M]]+ExpComps_LenderTable[[#This Row], [Payroll]]&gt;0,ExpComps_LenderTable[[#This Row], [R&amp;M]]+ExpComps_LenderTable[[#This Row], [Payroll]],"")</f>
      </c>
      <c r="AO18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5" ht="13.5" customHeight="1" hidden="1">
      <c r="B185">
        <v>174</v>
      </c>
      <c r="AN185">
        <f>IF(ExpComps_LenderTable[[#This Row], [R&amp;M]]+ExpComps_LenderTable[[#This Row], [Payroll]]&gt;0,ExpComps_LenderTable[[#This Row], [R&amp;M]]+ExpComps_LenderTable[[#This Row], [Payroll]],"")</f>
      </c>
      <c r="AO18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6" ht="13.5" customHeight="1" hidden="1">
      <c r="B186">
        <v>175</v>
      </c>
      <c r="AN186">
        <f>IF(ExpComps_LenderTable[[#This Row], [R&amp;M]]+ExpComps_LenderTable[[#This Row], [Payroll]]&gt;0,ExpComps_LenderTable[[#This Row], [R&amp;M]]+ExpComps_LenderTable[[#This Row], [Payroll]],"")</f>
      </c>
      <c r="AO18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7" ht="13.5" customHeight="1" hidden="1">
      <c r="B187">
        <v>176</v>
      </c>
      <c r="AN187">
        <f>IF(ExpComps_LenderTable[[#This Row], [R&amp;M]]+ExpComps_LenderTable[[#This Row], [Payroll]]&gt;0,ExpComps_LenderTable[[#This Row], [R&amp;M]]+ExpComps_LenderTable[[#This Row], [Payroll]],"")</f>
      </c>
      <c r="AO18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8" ht="13.5" customHeight="1" hidden="1">
      <c r="B188">
        <v>177</v>
      </c>
      <c r="AN188">
        <f>IF(ExpComps_LenderTable[[#This Row], [R&amp;M]]+ExpComps_LenderTable[[#This Row], [Payroll]]&gt;0,ExpComps_LenderTable[[#This Row], [R&amp;M]]+ExpComps_LenderTable[[#This Row], [Payroll]],"")</f>
      </c>
      <c r="AO18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89" ht="13.5" customHeight="1" hidden="1">
      <c r="B189">
        <v>178</v>
      </c>
      <c r="AN189">
        <f>IF(ExpComps_LenderTable[[#This Row], [R&amp;M]]+ExpComps_LenderTable[[#This Row], [Payroll]]&gt;0,ExpComps_LenderTable[[#This Row], [R&amp;M]]+ExpComps_LenderTable[[#This Row], [Payroll]],"")</f>
      </c>
      <c r="AO18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0" ht="13.5" customHeight="1" hidden="1">
      <c r="B190">
        <v>179</v>
      </c>
      <c r="AN190">
        <f>IF(ExpComps_LenderTable[[#This Row], [R&amp;M]]+ExpComps_LenderTable[[#This Row], [Payroll]]&gt;0,ExpComps_LenderTable[[#This Row], [R&amp;M]]+ExpComps_LenderTable[[#This Row], [Payroll]],"")</f>
      </c>
      <c r="AO19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1" ht="13.5" customHeight="1" hidden="1">
      <c r="B191">
        <v>180</v>
      </c>
      <c r="AN191">
        <f>IF(ExpComps_LenderTable[[#This Row], [R&amp;M]]+ExpComps_LenderTable[[#This Row], [Payroll]]&gt;0,ExpComps_LenderTable[[#This Row], [R&amp;M]]+ExpComps_LenderTable[[#This Row], [Payroll]],"")</f>
      </c>
      <c r="AO19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2" ht="13.5" customHeight="1" hidden="1">
      <c r="B192">
        <v>181</v>
      </c>
      <c r="AN192">
        <f>IF(ExpComps_LenderTable[[#This Row], [R&amp;M]]+ExpComps_LenderTable[[#This Row], [Payroll]]&gt;0,ExpComps_LenderTable[[#This Row], [R&amp;M]]+ExpComps_LenderTable[[#This Row], [Payroll]],"")</f>
      </c>
      <c r="AO19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3" ht="13.5" customHeight="1" hidden="1">
      <c r="B193">
        <v>182</v>
      </c>
      <c r="AN193">
        <f>IF(ExpComps_LenderTable[[#This Row], [R&amp;M]]+ExpComps_LenderTable[[#This Row], [Payroll]]&gt;0,ExpComps_LenderTable[[#This Row], [R&amp;M]]+ExpComps_LenderTable[[#This Row], [Payroll]],"")</f>
      </c>
      <c r="AO19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4" ht="13.5" customHeight="1" hidden="1">
      <c r="B194">
        <v>183</v>
      </c>
      <c r="AN194">
        <f>IF(ExpComps_LenderTable[[#This Row], [R&amp;M]]+ExpComps_LenderTable[[#This Row], [Payroll]]&gt;0,ExpComps_LenderTable[[#This Row], [R&amp;M]]+ExpComps_LenderTable[[#This Row], [Payroll]],"")</f>
      </c>
      <c r="AO19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5" ht="13.5" customHeight="1" hidden="1">
      <c r="B195">
        <v>184</v>
      </c>
      <c r="AN195">
        <f>IF(ExpComps_LenderTable[[#This Row], [R&amp;M]]+ExpComps_LenderTable[[#This Row], [Payroll]]&gt;0,ExpComps_LenderTable[[#This Row], [R&amp;M]]+ExpComps_LenderTable[[#This Row], [Payroll]],"")</f>
      </c>
      <c r="AO19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6" ht="13.5" customHeight="1" hidden="1">
      <c r="B196">
        <v>185</v>
      </c>
      <c r="AN196">
        <f>IF(ExpComps_LenderTable[[#This Row], [R&amp;M]]+ExpComps_LenderTable[[#This Row], [Payroll]]&gt;0,ExpComps_LenderTable[[#This Row], [R&amp;M]]+ExpComps_LenderTable[[#This Row], [Payroll]],"")</f>
      </c>
      <c r="AO19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7" ht="13.5" customHeight="1" hidden="1">
      <c r="B197">
        <v>186</v>
      </c>
      <c r="AN197">
        <f>IF(ExpComps_LenderTable[[#This Row], [R&amp;M]]+ExpComps_LenderTable[[#This Row], [Payroll]]&gt;0,ExpComps_LenderTable[[#This Row], [R&amp;M]]+ExpComps_LenderTable[[#This Row], [Payroll]],"")</f>
      </c>
      <c r="AO19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8" ht="13.5" customHeight="1" hidden="1">
      <c r="B198">
        <v>187</v>
      </c>
      <c r="AN198">
        <f>IF(ExpComps_LenderTable[[#This Row], [R&amp;M]]+ExpComps_LenderTable[[#This Row], [Payroll]]&gt;0,ExpComps_LenderTable[[#This Row], [R&amp;M]]+ExpComps_LenderTable[[#This Row], [Payroll]],"")</f>
      </c>
      <c r="AO19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199" ht="13.5" customHeight="1" hidden="1">
      <c r="B199">
        <v>188</v>
      </c>
      <c r="AN199">
        <f>IF(ExpComps_LenderTable[[#This Row], [R&amp;M]]+ExpComps_LenderTable[[#This Row], [Payroll]]&gt;0,ExpComps_LenderTable[[#This Row], [R&amp;M]]+ExpComps_LenderTable[[#This Row], [Payroll]],"")</f>
      </c>
      <c r="AO19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0" ht="13.5" customHeight="1" hidden="1">
      <c r="B200">
        <v>189</v>
      </c>
      <c r="AN200">
        <f>IF(ExpComps_LenderTable[[#This Row], [R&amp;M]]+ExpComps_LenderTable[[#This Row], [Payroll]]&gt;0,ExpComps_LenderTable[[#This Row], [R&amp;M]]+ExpComps_LenderTable[[#This Row], [Payroll]],"")</f>
      </c>
      <c r="AO20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1" ht="13.5" customHeight="1" hidden="1">
      <c r="B201">
        <v>190</v>
      </c>
      <c r="AN201">
        <f>IF(ExpComps_LenderTable[[#This Row], [R&amp;M]]+ExpComps_LenderTable[[#This Row], [Payroll]]&gt;0,ExpComps_LenderTable[[#This Row], [R&amp;M]]+ExpComps_LenderTable[[#This Row], [Payroll]],"")</f>
      </c>
      <c r="AO20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2" ht="13.5" customHeight="1" hidden="1">
      <c r="B202">
        <v>191</v>
      </c>
      <c r="AN202">
        <f>IF(ExpComps_LenderTable[[#This Row], [R&amp;M]]+ExpComps_LenderTable[[#This Row], [Payroll]]&gt;0,ExpComps_LenderTable[[#This Row], [R&amp;M]]+ExpComps_LenderTable[[#This Row], [Payroll]],"")</f>
      </c>
      <c r="AO202">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3" ht="13.5" customHeight="1" hidden="1">
      <c r="B203">
        <v>192</v>
      </c>
      <c r="AN203">
        <f>IF(ExpComps_LenderTable[[#This Row], [R&amp;M]]+ExpComps_LenderTable[[#This Row], [Payroll]]&gt;0,ExpComps_LenderTable[[#This Row], [R&amp;M]]+ExpComps_LenderTable[[#This Row], [Payroll]],"")</f>
      </c>
      <c r="AO203">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4" ht="13.5" customHeight="1" hidden="1">
      <c r="B204">
        <v>193</v>
      </c>
      <c r="AN204">
        <f>IF(ExpComps_LenderTable[[#This Row], [R&amp;M]]+ExpComps_LenderTable[[#This Row], [Payroll]]&gt;0,ExpComps_LenderTable[[#This Row], [R&amp;M]]+ExpComps_LenderTable[[#This Row], [Payroll]],"")</f>
      </c>
      <c r="AO204">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5" ht="13.5" customHeight="1" hidden="1">
      <c r="B205">
        <v>194</v>
      </c>
      <c r="AN205">
        <f>IF(ExpComps_LenderTable[[#This Row], [R&amp;M]]+ExpComps_LenderTable[[#This Row], [Payroll]]&gt;0,ExpComps_LenderTable[[#This Row], [R&amp;M]]+ExpComps_LenderTable[[#This Row], [Payroll]],"")</f>
      </c>
      <c r="AO205">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6" ht="13.5" customHeight="1" hidden="1">
      <c r="B206">
        <v>195</v>
      </c>
      <c r="AN206">
        <f>IF(ExpComps_LenderTable[[#This Row], [R&amp;M]]+ExpComps_LenderTable[[#This Row], [Payroll]]&gt;0,ExpComps_LenderTable[[#This Row], [R&amp;M]]+ExpComps_LenderTable[[#This Row], [Payroll]],"")</f>
      </c>
      <c r="AO206">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7" ht="13.5" customHeight="1" hidden="1">
      <c r="B207">
        <v>196</v>
      </c>
      <c r="AN207">
        <f>IF(ExpComps_LenderTable[[#This Row], [R&amp;M]]+ExpComps_LenderTable[[#This Row], [Payroll]]&gt;0,ExpComps_LenderTable[[#This Row], [R&amp;M]]+ExpComps_LenderTable[[#This Row], [Payroll]],"")</f>
      </c>
      <c r="AO207">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8" ht="13.5" customHeight="1" hidden="1">
      <c r="B208">
        <v>197</v>
      </c>
      <c r="AN208">
        <f>IF(ExpComps_LenderTable[[#This Row], [R&amp;M]]+ExpComps_LenderTable[[#This Row], [Payroll]]&gt;0,ExpComps_LenderTable[[#This Row], [R&amp;M]]+ExpComps_LenderTable[[#This Row], [Payroll]],"")</f>
      </c>
      <c r="AO208">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09" ht="13.5" customHeight="1" hidden="1">
      <c r="B209">
        <v>198</v>
      </c>
      <c r="AN209">
        <f>IF(ExpComps_LenderTable[[#This Row], [R&amp;M]]+ExpComps_LenderTable[[#This Row], [Payroll]]&gt;0,ExpComps_LenderTable[[#This Row], [R&amp;M]]+ExpComps_LenderTable[[#This Row], [Payroll]],"")</f>
      </c>
      <c r="AO209">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10" ht="13.5" customHeight="1" hidden="1">
      <c r="B210">
        <v>199</v>
      </c>
      <c r="AN210">
        <f>IF(ExpComps_LenderTable[[#This Row], [R&amp;M]]+ExpComps_LenderTable[[#This Row], [Payroll]]&gt;0,ExpComps_LenderTable[[#This Row], [R&amp;M]]+ExpComps_LenderTable[[#This Row], [Payroll]],"")</f>
      </c>
      <c r="AO210">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11" ht="13.5" customHeight="1" hidden="1">
      <c r="B211">
        <v>200</v>
      </c>
      <c r="AN211">
        <f>IF(ExpComps_LenderTable[[#This Row], [R&amp;M]]+ExpComps_LenderTable[[#This Row], [Payroll]]&gt;0,ExpComps_LenderTable[[#This Row], [R&amp;M]]+ExpComps_LenderTable[[#This Row], [Payroll]],"")</f>
      </c>
      <c r="AO211">
        <f>IF(ExpComps_LenderTable[[#This Row], [Payroll]]+ExpComps_LenderTable[[#This Row], [R&amp;M]]+ExpComps_LenderTable[[#This Row], [Admin]]+ExpComps_LenderTable[[#This Row], [Prof]]+ExpComps_LenderTable[[#This Row], [Adv]]&gt;0,ExpComps_LenderTable[[#This Row], [Payroll]]+ExpComps_LenderTable[[#This Row], [R&amp;M]]+ExpComps_LenderTable[[#This Row], [Admin]]+ExpComps_LenderTable[[#This Row], [Prof]]+ExpComps_LenderTable[[#This Row], [Adv]],"")</f>
      </c>
    </row>
    <row r="212" ht="15" customHeight="1"/>
    <row r="213" ht="15" customHeight="1">
      <c r="B213" t="s">
        <v>774</v>
      </c>
      <c r="I213">
        <f t="shared" si="1" ref="I213:AO213">MIN(I12:I211)</f>
        <v>0</v>
      </c>
      <c r="J213">
        <f t="shared" si="1"/>
        <v>0</v>
      </c>
      <c r="K213">
        <f t="shared" si="1"/>
        <v>0</v>
      </c>
      <c r="L213">
        <f t="shared" si="1"/>
        <v>0</v>
      </c>
      <c r="M213">
        <f t="shared" si="1"/>
        <v>0</v>
      </c>
      <c r="N213">
        <f t="shared" si="1"/>
        <v>0</v>
      </c>
      <c r="O213">
        <f t="shared" si="1"/>
        <v>0</v>
      </c>
      <c r="P213">
        <f t="shared" si="1"/>
        <v>0</v>
      </c>
      <c r="Q213">
        <f t="shared" si="1"/>
        <v>0</v>
      </c>
      <c r="R213">
        <f t="shared" si="1"/>
        <v>0</v>
      </c>
      <c r="S213">
        <f t="shared" si="1"/>
        <v>0</v>
      </c>
      <c r="T213">
        <f t="shared" si="1"/>
        <v>0</v>
      </c>
      <c r="U213">
        <f t="shared" si="1"/>
        <v>0</v>
      </c>
      <c r="V213">
        <f t="shared" si="1"/>
        <v>0</v>
      </c>
      <c r="W213">
        <f t="shared" si="1"/>
        <v>0</v>
      </c>
      <c r="X213">
        <f t="shared" si="1"/>
        <v>0</v>
      </c>
      <c r="Y213">
        <f t="shared" si="1"/>
        <v>0</v>
      </c>
      <c r="Z213">
        <f t="shared" si="1"/>
        <v>0</v>
      </c>
      <c r="AA213">
        <f t="shared" si="1"/>
        <v>0</v>
      </c>
      <c r="AB213">
        <f t="shared" si="1"/>
        <v>0</v>
      </c>
      <c r="AC213">
        <f t="shared" si="1"/>
        <v>0</v>
      </c>
      <c r="AD213">
        <f t="shared" si="1"/>
        <v>0</v>
      </c>
      <c r="AE213">
        <f t="shared" si="1"/>
        <v>0</v>
      </c>
      <c r="AF213">
        <f t="shared" si="1"/>
        <v>0</v>
      </c>
      <c r="AG213">
        <f t="shared" si="1"/>
        <v>0</v>
      </c>
      <c r="AH213">
        <f t="shared" si="1"/>
        <v>0</v>
      </c>
      <c r="AI213">
        <f t="shared" si="1"/>
        <v>0</v>
      </c>
      <c r="AJ213">
        <f t="shared" si="1"/>
        <v>0</v>
      </c>
      <c r="AK213">
        <f t="shared" si="1"/>
        <v>0</v>
      </c>
      <c r="AL213">
        <f t="shared" si="1"/>
        <v>0</v>
      </c>
      <c r="AM213">
        <f t="shared" si="1"/>
        <v>0</v>
      </c>
      <c r="AN213">
        <f t="shared" si="1"/>
        <v>0</v>
      </c>
      <c r="AO213">
        <f t="shared" si="1"/>
        <v>0</v>
      </c>
    </row>
    <row r="214" ht="15" customHeight="1">
      <c r="B214" t="s">
        <v>3129</v>
      </c>
      <c r="I214">
        <f t="shared" si="2" ref="I214:AO214">MAX(I12:I211)</f>
        <v>0</v>
      </c>
      <c r="J214">
        <f t="shared" si="2"/>
        <v>0</v>
      </c>
      <c r="K214">
        <f t="shared" si="2"/>
        <v>0</v>
      </c>
      <c r="L214">
        <f t="shared" si="2"/>
        <v>0</v>
      </c>
      <c r="M214">
        <f t="shared" si="2"/>
        <v>0</v>
      </c>
      <c r="N214">
        <f t="shared" si="2"/>
        <v>0</v>
      </c>
      <c r="O214">
        <f t="shared" si="2"/>
        <v>0</v>
      </c>
      <c r="P214">
        <f t="shared" si="2"/>
        <v>0</v>
      </c>
      <c r="Q214">
        <f t="shared" si="2"/>
        <v>0</v>
      </c>
      <c r="R214">
        <f t="shared" si="2"/>
        <v>0</v>
      </c>
      <c r="S214">
        <f t="shared" si="2"/>
        <v>0</v>
      </c>
      <c r="T214">
        <f t="shared" si="2"/>
        <v>0</v>
      </c>
      <c r="U214">
        <f t="shared" si="2"/>
        <v>0</v>
      </c>
      <c r="V214">
        <f t="shared" si="2"/>
        <v>0</v>
      </c>
      <c r="W214">
        <f t="shared" si="2"/>
        <v>0</v>
      </c>
      <c r="X214">
        <f t="shared" si="2"/>
        <v>0</v>
      </c>
      <c r="Y214">
        <f t="shared" si="2"/>
        <v>0</v>
      </c>
      <c r="Z214">
        <f t="shared" si="2"/>
        <v>0</v>
      </c>
      <c r="AA214">
        <f t="shared" si="2"/>
        <v>0</v>
      </c>
      <c r="AB214">
        <f t="shared" si="2"/>
        <v>0</v>
      </c>
      <c r="AC214">
        <f t="shared" si="2"/>
        <v>0</v>
      </c>
      <c r="AD214">
        <f t="shared" si="2"/>
        <v>0</v>
      </c>
      <c r="AE214">
        <f t="shared" si="2"/>
        <v>0</v>
      </c>
      <c r="AF214">
        <f t="shared" si="2"/>
        <v>0</v>
      </c>
      <c r="AG214">
        <f t="shared" si="2"/>
        <v>0</v>
      </c>
      <c r="AH214">
        <f t="shared" si="2"/>
        <v>0</v>
      </c>
      <c r="AI214">
        <f t="shared" si="2"/>
        <v>0</v>
      </c>
      <c r="AJ214">
        <f t="shared" si="2"/>
        <v>0</v>
      </c>
      <c r="AK214">
        <f t="shared" si="2"/>
        <v>0</v>
      </c>
      <c r="AL214">
        <f t="shared" si="2"/>
        <v>0</v>
      </c>
      <c r="AM214">
        <f t="shared" si="2"/>
        <v>0</v>
      </c>
      <c r="AN214">
        <f t="shared" si="2"/>
        <v>0</v>
      </c>
      <c r="AO214">
        <f t="shared" si="2"/>
        <v>0</v>
      </c>
    </row>
    <row r="215" ht="15" customHeight="1">
      <c r="B215" t="s">
        <v>1780</v>
      </c>
      <c r="I215">
        <f t="shared" si="3" ref="I215:K215">_xlfn.IFERROR(AVERAGE(I12:I211),0)</f>
        <v>0</v>
      </c>
      <c r="J215">
        <f t="shared" si="3"/>
        <v>0</v>
      </c>
      <c r="K215">
        <f t="shared" si="3"/>
        <v>0</v>
      </c>
      <c r="L215">
        <f t="shared" si="4" ref="L215:AO215">_xlfn.IFERROR(_xlfn.AVERAGEIF(L12:L211,"&gt;0",L12:L211),0)</f>
        <v>0</v>
      </c>
      <c r="M215">
        <f t="shared" si="4"/>
        <v>0</v>
      </c>
      <c r="N215">
        <f t="shared" si="4"/>
        <v>0</v>
      </c>
      <c r="O215">
        <f t="shared" si="4"/>
        <v>0</v>
      </c>
      <c r="P215">
        <f t="shared" si="4"/>
        <v>0</v>
      </c>
      <c r="Q215">
        <f t="shared" si="4"/>
        <v>0</v>
      </c>
      <c r="R215">
        <f t="shared" si="4"/>
        <v>0</v>
      </c>
      <c r="S215">
        <f t="shared" si="4"/>
        <v>0</v>
      </c>
      <c r="T215">
        <f t="shared" si="4"/>
        <v>0</v>
      </c>
      <c r="U215">
        <f t="shared" si="4"/>
        <v>0</v>
      </c>
      <c r="V215">
        <f t="shared" si="4"/>
        <v>0</v>
      </c>
      <c r="W215">
        <f t="shared" si="4"/>
        <v>0</v>
      </c>
      <c r="X215">
        <f t="shared" si="4"/>
        <v>0</v>
      </c>
      <c r="Y215">
        <f t="shared" si="4"/>
        <v>0</v>
      </c>
      <c r="Z215">
        <f t="shared" si="4"/>
        <v>0</v>
      </c>
      <c r="AA215">
        <f t="shared" si="4"/>
        <v>0</v>
      </c>
      <c r="AB215">
        <f t="shared" si="4"/>
        <v>0</v>
      </c>
      <c r="AC215">
        <f t="shared" si="4"/>
        <v>0</v>
      </c>
      <c r="AD215">
        <f t="shared" si="4"/>
        <v>0</v>
      </c>
      <c r="AE215">
        <f t="shared" si="4"/>
        <v>0</v>
      </c>
      <c r="AF215">
        <f t="shared" si="4"/>
        <v>0</v>
      </c>
      <c r="AG215">
        <f t="shared" si="4"/>
        <v>0</v>
      </c>
      <c r="AH215">
        <f t="shared" si="4"/>
        <v>0</v>
      </c>
      <c r="AI215">
        <f t="shared" si="4"/>
        <v>0</v>
      </c>
      <c r="AJ215">
        <f t="shared" si="4"/>
        <v>0</v>
      </c>
      <c r="AK215">
        <f t="shared" si="4"/>
        <v>0</v>
      </c>
      <c r="AL215">
        <f t="shared" si="4"/>
        <v>0</v>
      </c>
      <c r="AM215">
        <f t="shared" si="4"/>
        <v>0</v>
      </c>
      <c r="AN215">
        <f t="shared" si="4"/>
        <v>0</v>
      </c>
      <c r="AO215">
        <f t="shared" si="4"/>
        <v>0</v>
      </c>
    </row>
    <row r="216" ht="15.75" customHeight="1"/>
    <row r="217" ht="15.75" customHeight="1">
      <c r="B217" t="s">
        <v>3130</v>
      </c>
      <c r="C217" t="str">
        <f>PropertyName_DataPageTab</f>
        <v>XXXX</v>
      </c>
      <c r="D217" t="str">
        <f>City_DataPageTab</f>
        <v>City</v>
      </c>
      <c r="E217">
        <f>MSA_DataPageTab</f>
      </c>
      <c r="F217" t="str">
        <f>State_DataPageTab</f>
        <v>XX</v>
      </c>
      <c r="I217" t="str">
        <f>YearBuilt_DataPageTab</f>
        <v>XXXX</v>
      </c>
      <c r="J217">
        <f>IF(C7="Dedicated Student",TotalBeds,TotalUnits)</f>
        <v>85</v>
      </c>
      <c r="L217">
        <f>_xlfn.IFERROR(SOps_UnderwrittenEGI/$J$217,0)</f>
        <v>13056.917647058823</v>
      </c>
      <c r="M217">
        <f>HOps_ManagementFee</f>
        <v>0.035</v>
      </c>
      <c r="N217">
        <f>_xlfn.IFERROR('Summary OPS'!AU35/$J$217,0)</f>
        <v>456.9921176470588</v>
      </c>
      <c r="O217">
        <f>_xlfn.IFERROR('Summary OPS'!AU37/$J$217,0)</f>
        <v>601.3261176470588</v>
      </c>
      <c r="P217">
        <f>_xlfn.IFERROR('Summary OPS'!AU38/$J$217,0)</f>
        <v>222.79505882352944</v>
      </c>
      <c r="Q217">
        <f>_xlfn.IFERROR(('Summary OPS'!AU36+'Summary OPS'!AU39+'Summary OPS'!AU40+'Summary OPS'!AU47+'Summary OPS'!AU48)/$J$217,0)</f>
        <v>2646.1911764705883</v>
      </c>
      <c r="R217">
        <f>_xlfn.IFERROR('Summary OPS'!AU41/$J$217,0)</f>
        <v>5794.040823529412</v>
      </c>
      <c r="S217">
        <f>_xlfn.IFERROR('Summary OPS'!AU42/$J$217,0)</f>
        <v>2154.0208235294117</v>
      </c>
      <c r="T217">
        <f>_xlfn.IFERROR('Summary OPS'!AU43/$J$217,0)</f>
        <v>1383.5202352941176</v>
      </c>
      <c r="U217">
        <f>_xlfn.IFERROR('Summary OPS'!AU44/$J$217,0)</f>
        <v>4656.072588235294</v>
      </c>
      <c r="V217">
        <f>_xlfn.IFERROR('Summary OPS'!AU45/$J$217,0)</f>
        <v>2945.715176470588</v>
      </c>
      <c r="W217">
        <f>_xlfn.IFERROR('Summary OPS'!AU46/$J$217,0)</f>
        <v>12192.74011764706</v>
      </c>
      <c r="X217">
        <f>_xlfn.IFERROR('Summary OPS'!AU51/$J$217,0)</f>
        <v>250</v>
      </c>
      <c r="Y217">
        <f t="shared" si="12" ref="Y217:Y250">SUM(N217:X217)</f>
        <v>33303.41423529412</v>
      </c>
      <c r="Z217">
        <f t="shared" si="15" ref="Z217:Z253">Y217-W217-X217</f>
        <v>20860.67411764706</v>
      </c>
      <c r="AB217">
        <f>'Summary OPS'!AV54</f>
        <v>2.550633705099303</v>
      </c>
      <c r="AC217">
        <f>_xlfn.IFERROR('Summary OPS'!AU57/$J$217,0)</f>
        <v>-20246.496588235295</v>
      </c>
      <c r="AF217">
        <f>Actual_UW_DSCR</f>
        <v>0</v>
      </c>
      <c r="AH217">
        <f>_xlfn.IFERROR(UW_Value/$J$217,0)</f>
        <v>-404929.9317647058</v>
      </c>
      <c r="AI217">
        <f>_xlfn.IFERROR(LoanAmount/$J$217,0)</f>
        <v>0</v>
      </c>
      <c r="AJ217">
        <f>LTV</f>
        <v>0</v>
      </c>
      <c r="AK217">
        <f>_xlfn.IFERROR(UW_NCF/$J$217,0)</f>
        <v>-20246.496588235295</v>
      </c>
      <c r="AL217">
        <f>C6</f>
        <v>2022</v>
      </c>
      <c r="AN217">
        <f>R217+U217</f>
        <v>10450.113411764705</v>
      </c>
      <c r="AO217">
        <f>R217+U217+Q217+P217+O217</f>
        <v>13920.42576470588</v>
      </c>
    </row>
    <row r="218" ht="15" customHeight="1"/>
    <row r="219" ht="18" customHeight="1">
      <c r="B219" t="s">
        <v>3131</v>
      </c>
    </row>
    <row r="220" ht="15" customHeight="1">
      <c r="L220" t="str">
        <f t="shared" si="5"/>
        <v>2022 Per Unit Expenses</v>
      </c>
    </row>
    <row r="221" ht="42" customHeight="1">
      <c r="B221" t="s">
        <v>3103</v>
      </c>
      <c r="C221" t="s">
        <v>3104</v>
      </c>
      <c r="D221" t="s">
        <v>279</v>
      </c>
      <c r="E221" t="s">
        <v>2675</v>
      </c>
      <c r="F221" t="s">
        <v>289</v>
      </c>
      <c r="G221" t="s">
        <v>3105</v>
      </c>
      <c r="H221" t="s">
        <v>201</v>
      </c>
      <c r="I221" t="s">
        <v>660</v>
      </c>
      <c r="J221" t="s">
        <v>3106</v>
      </c>
      <c r="K221" t="s">
        <v>3107</v>
      </c>
      <c r="L221" t="s">
        <v>1409</v>
      </c>
      <c r="M221" t="s">
        <v>3108</v>
      </c>
      <c r="N221" t="s">
        <v>3109</v>
      </c>
      <c r="O221" t="s">
        <v>3110</v>
      </c>
      <c r="P221" t="s">
        <v>3111</v>
      </c>
      <c r="Q221" t="s">
        <v>3112</v>
      </c>
      <c r="R221" t="s">
        <v>1416</v>
      </c>
      <c r="S221" t="s">
        <v>1417</v>
      </c>
      <c r="T221" t="s">
        <v>3113</v>
      </c>
      <c r="U221" t="s">
        <v>3114</v>
      </c>
      <c r="V221" t="s">
        <v>3115</v>
      </c>
      <c r="W221" t="s">
        <v>3116</v>
      </c>
      <c r="X221" t="s">
        <v>3117</v>
      </c>
      <c r="Y221" t="s">
        <v>2968</v>
      </c>
      <c r="Z221" t="s">
        <v>3118</v>
      </c>
      <c r="AA221" t="s">
        <v>3127</v>
      </c>
      <c r="AB221" t="s">
        <v>3128</v>
      </c>
    </row>
    <row r="222" ht="15" customHeight="1">
      <c r="B222">
        <v>1</v>
      </c>
      <c r="Y222">
        <f t="shared" si="6" ref="Y222:Y260">IF(SUM(N222:X222)&gt;0,SUM(N222:X222),"")</f>
      </c>
      <c r="Z222">
        <f t="shared" si="7" ref="Z222:Z260">IF(LEN(Y222)&gt;0,Y222-W222-X222,"")</f>
      </c>
      <c r="AA222">
        <f>IF(ExpComps_AppraiserTable[[#This Row], [R&amp;M]]+ExpComps_AppraiserTable[[#This Row], [Payroll]]&gt;0,ExpComps_AppraiserTable[[#This Row], [R&amp;M]]+ExpComps_AppraiserTable[[#This Row], [Payroll]],"")</f>
      </c>
      <c r="AB222">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3" ht="15" customHeight="1">
      <c r="B223">
        <v>2</v>
      </c>
      <c r="Y223">
        <f t="shared" si="6"/>
      </c>
      <c r="Z223">
        <f t="shared" si="7"/>
      </c>
      <c r="AA223">
        <f>IF(ExpComps_AppraiserTable[[#This Row], [R&amp;M]]+ExpComps_AppraiserTable[[#This Row], [Payroll]]&gt;0,ExpComps_AppraiserTable[[#This Row], [R&amp;M]]+ExpComps_AppraiserTable[[#This Row], [Payroll]],"")</f>
      </c>
      <c r="AB223">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4" ht="15" customHeight="1">
      <c r="B224">
        <v>3</v>
      </c>
      <c r="Y224">
        <f t="shared" si="6"/>
      </c>
      <c r="Z224">
        <f t="shared" si="7"/>
      </c>
      <c r="AA224">
        <f>IF(ExpComps_AppraiserTable[[#This Row], [R&amp;M]]+ExpComps_AppraiserTable[[#This Row], [Payroll]]&gt;0,ExpComps_AppraiserTable[[#This Row], [R&amp;M]]+ExpComps_AppraiserTable[[#This Row], [Payroll]],"")</f>
      </c>
      <c r="AB224">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5" ht="15" customHeight="1">
      <c r="B225">
        <v>4</v>
      </c>
      <c r="Y225">
        <f t="shared" si="6"/>
      </c>
      <c r="Z225">
        <f t="shared" si="7"/>
      </c>
      <c r="AA225">
        <f>IF(ExpComps_AppraiserTable[[#This Row], [R&amp;M]]+ExpComps_AppraiserTable[[#This Row], [Payroll]]&gt;0,ExpComps_AppraiserTable[[#This Row], [R&amp;M]]+ExpComps_AppraiserTable[[#This Row], [Payroll]],"")</f>
      </c>
      <c r="AB225">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6" ht="15" customHeight="1">
      <c r="B226">
        <v>5</v>
      </c>
      <c r="Y226">
        <f t="shared" si="6"/>
      </c>
      <c r="Z226">
        <f t="shared" si="7"/>
      </c>
      <c r="AA226">
        <f>IF(ExpComps_AppraiserTable[[#This Row], [R&amp;M]]+ExpComps_AppraiserTable[[#This Row], [Payroll]]&gt;0,ExpComps_AppraiserTable[[#This Row], [R&amp;M]]+ExpComps_AppraiserTable[[#This Row], [Payroll]],"")</f>
      </c>
      <c r="AB226">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7" ht="15" customHeight="1">
      <c r="B227">
        <v>6</v>
      </c>
      <c r="Y227">
        <f t="shared" si="6"/>
      </c>
      <c r="Z227">
        <f t="shared" si="7"/>
      </c>
      <c r="AA227">
        <f>IF(ExpComps_AppraiserTable[[#This Row], [R&amp;M]]+ExpComps_AppraiserTable[[#This Row], [Payroll]]&gt;0,ExpComps_AppraiserTable[[#This Row], [R&amp;M]]+ExpComps_AppraiserTable[[#This Row], [Payroll]],"")</f>
      </c>
      <c r="AB227">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8" ht="15" customHeight="1">
      <c r="B228">
        <v>7</v>
      </c>
      <c r="Y228">
        <f t="shared" si="6"/>
      </c>
      <c r="Z228">
        <f t="shared" si="7"/>
      </c>
      <c r="AA228">
        <f>IF(ExpComps_AppraiserTable[[#This Row], [R&amp;M]]+ExpComps_AppraiserTable[[#This Row], [Payroll]]&gt;0,ExpComps_AppraiserTable[[#This Row], [R&amp;M]]+ExpComps_AppraiserTable[[#This Row], [Payroll]],"")</f>
      </c>
      <c r="AB228">
        <f>IF(ExpComps_AppraiserTable[[#This Row], [Payroll]]+ExpComps_AppraiserTable[[#This Row], [R&amp;M]]+ExpComps_AppraiserTable[[#This Row], [Admin]]+ExpComps_AppraiserTable[[#This Row], [Prof]]+ExpComps_AppraiserTable[[#This Row], [Adv]]&gt;0,ExpComps_AppraiserTable[[#This Row], [Payroll]]+ExpComps_AppraiserTable[[#This Row], [R&amp;M]]+ExpComps_AppraiserTable[[#This Row], [Admin]]+ExpComps_AppraiserTable[[#This Row], [Prof]]+ExpComps_AppraiserTable[[#This Row], [Adv]],"")</f>
      </c>
    </row>
    <row r="229" ht="15" customHeight="1"/>
    <row r="230" ht="15" customHeight="1">
      <c r="B230" t="s">
        <v>774</v>
      </c>
      <c r="I230">
        <f t="shared" si="8" ref="I230:X248">MIN(I222:I228)</f>
        <v>0</v>
      </c>
      <c r="J230">
        <f t="shared" si="8"/>
        <v>0</v>
      </c>
      <c r="K230">
        <f t="shared" si="8"/>
        <v>0</v>
      </c>
      <c r="L230">
        <f t="shared" si="8"/>
        <v>0</v>
      </c>
      <c r="M230">
        <f t="shared" si="8"/>
        <v>0</v>
      </c>
      <c r="N230">
        <f t="shared" si="8"/>
        <v>0</v>
      </c>
      <c r="O230">
        <f t="shared" si="8"/>
        <v>0</v>
      </c>
      <c r="P230">
        <f t="shared" si="8"/>
        <v>0</v>
      </c>
      <c r="Q230">
        <f t="shared" si="8"/>
        <v>0</v>
      </c>
      <c r="R230">
        <f t="shared" si="8"/>
        <v>0</v>
      </c>
      <c r="S230">
        <f t="shared" si="8"/>
        <v>0</v>
      </c>
      <c r="T230">
        <f t="shared" si="8"/>
        <v>0</v>
      </c>
      <c r="U230">
        <f t="shared" si="8"/>
        <v>0</v>
      </c>
      <c r="V230">
        <f t="shared" si="8"/>
        <v>0</v>
      </c>
      <c r="W230">
        <f t="shared" si="8"/>
        <v>0</v>
      </c>
      <c r="X230">
        <f t="shared" si="8"/>
        <v>0</v>
      </c>
      <c r="Y230">
        <f t="shared" si="9" ref="Y230:AB248">_xlfn.IFERROR(_xlfn.MINIFS(Y222:Y228,Y222:Y228,"&gt;0"),0)</f>
        <v>0</v>
      </c>
      <c r="Z230">
        <f t="shared" si="9"/>
        <v>0</v>
      </c>
      <c r="AA230">
        <f t="shared" si="9"/>
        <v>0</v>
      </c>
      <c r="AB230">
        <f t="shared" si="9"/>
        <v>0</v>
      </c>
    </row>
    <row r="231" ht="15" customHeight="1">
      <c r="B231" t="s">
        <v>3129</v>
      </c>
      <c r="I231">
        <f t="shared" si="10" ref="I231:AB249">MAX(I222:I228)</f>
        <v>0</v>
      </c>
      <c r="J231">
        <f t="shared" si="10"/>
        <v>0</v>
      </c>
      <c r="K231">
        <f t="shared" si="10"/>
        <v>0</v>
      </c>
      <c r="L231">
        <f t="shared" si="10"/>
        <v>0</v>
      </c>
      <c r="M231">
        <f t="shared" si="10"/>
        <v>0</v>
      </c>
      <c r="N231">
        <f t="shared" si="10"/>
        <v>0</v>
      </c>
      <c r="O231">
        <f t="shared" si="10"/>
        <v>0</v>
      </c>
      <c r="P231">
        <f t="shared" si="10"/>
        <v>0</v>
      </c>
      <c r="Q231">
        <f t="shared" si="10"/>
        <v>0</v>
      </c>
      <c r="R231">
        <f t="shared" si="10"/>
        <v>0</v>
      </c>
      <c r="S231">
        <f t="shared" si="10"/>
        <v>0</v>
      </c>
      <c r="T231">
        <f t="shared" si="10"/>
        <v>0</v>
      </c>
      <c r="U231">
        <f t="shared" si="10"/>
        <v>0</v>
      </c>
      <c r="V231">
        <f t="shared" si="10"/>
        <v>0</v>
      </c>
      <c r="W231">
        <f t="shared" si="10"/>
        <v>0</v>
      </c>
      <c r="X231">
        <f t="shared" si="10"/>
        <v>0</v>
      </c>
      <c r="Y231">
        <f t="shared" si="10"/>
        <v>0</v>
      </c>
      <c r="Z231">
        <f t="shared" si="10"/>
        <v>0</v>
      </c>
      <c r="AA231">
        <f t="shared" si="10"/>
        <v>0</v>
      </c>
      <c r="AB231">
        <f t="shared" si="10"/>
        <v>0</v>
      </c>
    </row>
    <row r="232" ht="15" customHeight="1">
      <c r="B232" t="s">
        <v>1780</v>
      </c>
      <c r="I232">
        <f t="shared" si="11" ref="I232:X250">_xlfn.IFERROR(_xlfn.AVERAGEIFS(I222:I228,I222:I228,"&lt;&gt;"),0)</f>
        <v>0</v>
      </c>
      <c r="J232">
        <f t="shared" si="11"/>
        <v>0</v>
      </c>
      <c r="K232">
        <f t="shared" si="11"/>
        <v>0</v>
      </c>
      <c r="L232">
        <f t="shared" si="11"/>
        <v>0</v>
      </c>
      <c r="M232">
        <f t="shared" si="11"/>
        <v>0</v>
      </c>
      <c r="N232">
        <f t="shared" si="11"/>
        <v>0</v>
      </c>
      <c r="O232">
        <f t="shared" si="11"/>
        <v>0</v>
      </c>
      <c r="P232">
        <f t="shared" si="11"/>
        <v>0</v>
      </c>
      <c r="Q232">
        <f t="shared" si="11"/>
        <v>0</v>
      </c>
      <c r="R232">
        <f t="shared" si="11"/>
        <v>0</v>
      </c>
      <c r="S232">
        <f t="shared" si="11"/>
        <v>0</v>
      </c>
      <c r="T232">
        <f t="shared" si="11"/>
        <v>0</v>
      </c>
      <c r="U232">
        <f t="shared" si="11"/>
        <v>0</v>
      </c>
      <c r="V232">
        <f t="shared" si="11"/>
        <v>0</v>
      </c>
      <c r="W232">
        <f t="shared" si="11"/>
        <v>0</v>
      </c>
      <c r="X232">
        <f t="shared" si="11"/>
        <v>0</v>
      </c>
      <c r="Y232">
        <f t="shared" si="12"/>
        <v>0</v>
      </c>
      <c r="Z232">
        <f t="shared" si="13" ref="Z232:AB250">_xlfn.IFERROR(_xlfn.AVERAGEIF(Z222:Z228,"&gt;0",Z222:Z228),0)</f>
        <v>0</v>
      </c>
      <c r="AA232">
        <f t="shared" si="13"/>
        <v>0</v>
      </c>
      <c r="AB232">
        <f t="shared" si="13"/>
        <v>0</v>
      </c>
    </row>
    <row r="233" ht="15.75" customHeight="1"/>
    <row r="234" ht="15.75" customHeight="1">
      <c r="B234" t="s">
        <v>3130</v>
      </c>
      <c r="C234" t="str">
        <f t="shared" si="14" ref="C234:Z266">C$217</f>
        <v>XXXX</v>
      </c>
      <c r="D234" t="str">
        <f t="shared" si="14"/>
        <v>City</v>
      </c>
      <c r="E234">
        <f t="shared" si="14"/>
      </c>
      <c r="F234" t="str">
        <f t="shared" si="14"/>
        <v>XX</v>
      </c>
      <c r="I234" t="str">
        <f t="shared" si="14"/>
        <v>XXXX</v>
      </c>
      <c r="J234">
        <f t="shared" si="14"/>
        <v>85</v>
      </c>
      <c r="L234">
        <f>L217</f>
        <v>13056.917647058823</v>
      </c>
      <c r="M234">
        <f t="shared" si="14"/>
        <v>0.035</v>
      </c>
      <c r="N234">
        <f t="shared" si="14"/>
        <v>456.9921176470588</v>
      </c>
      <c r="O234">
        <f t="shared" si="14"/>
        <v>601.3261176470588</v>
      </c>
      <c r="P234">
        <f t="shared" si="14"/>
        <v>222.79505882352944</v>
      </c>
      <c r="Q234">
        <f t="shared" si="14"/>
        <v>2646.1911764705883</v>
      </c>
      <c r="R234">
        <f t="shared" si="14"/>
        <v>5794.040823529412</v>
      </c>
      <c r="S234">
        <f t="shared" si="14"/>
        <v>2154.0208235294117</v>
      </c>
      <c r="T234">
        <f t="shared" si="14"/>
        <v>1383.5202352941176</v>
      </c>
      <c r="U234">
        <f t="shared" si="14"/>
        <v>4656.072588235294</v>
      </c>
      <c r="V234">
        <f t="shared" si="14"/>
        <v>2945.715176470588</v>
      </c>
      <c r="W234">
        <f t="shared" si="14"/>
        <v>12192.74011764706</v>
      </c>
      <c r="X234">
        <f t="shared" si="14"/>
        <v>250</v>
      </c>
      <c r="Y234">
        <f t="shared" si="14"/>
        <v>33303.41423529412</v>
      </c>
      <c r="Z234">
        <f t="shared" si="14"/>
        <v>20860.67411764706</v>
      </c>
      <c r="AA234">
        <f t="shared" si="16" ref="AA234:AA253">R234+U234</f>
        <v>10450.113411764705</v>
      </c>
      <c r="AB234">
        <f t="shared" si="17" ref="AB234:AB253">R234+U234+Q234+P234+O234</f>
        <v>13920.42576470588</v>
      </c>
    </row>
    <row r="235" ht="15.75" customHeight="1">
      <c r="B235" t="s">
        <v>1866</v>
      </c>
      <c r="C235" t="str">
        <f t="shared" si="14"/>
        <v>XXXX</v>
      </c>
      <c r="D235" t="str">
        <f t="shared" si="14"/>
        <v>City</v>
      </c>
      <c r="E235">
        <f t="shared" si="14"/>
      </c>
      <c r="F235" t="str">
        <f t="shared" si="14"/>
        <v>XX</v>
      </c>
      <c r="I235" t="str">
        <f t="shared" si="14"/>
        <v>XXXX</v>
      </c>
      <c r="J235">
        <f t="shared" si="14"/>
        <v>85</v>
      </c>
      <c r="L235">
        <f t="shared" si="18" ref="L235:L253">_xlfn.IFERROR(SOps_AppraisalEGI/J235,0)</f>
        <v>0</v>
      </c>
      <c r="M235">
        <f>'Summary OPS'!$AF$35</f>
        <v>0</v>
      </c>
      <c r="N235">
        <f>_xlfn.IFERROR('Summary OPS'!$AE$35/J235,0)</f>
        <v>0</v>
      </c>
      <c r="O235">
        <f>_xlfn.IFERROR('Summary OPS'!$AE$37/J235,0)</f>
        <v>0</v>
      </c>
      <c r="P235">
        <f>_xlfn.IFERROR('Summary OPS'!$AE$38/J235,0)</f>
        <v>0</v>
      </c>
      <c r="Q235">
        <f>_xlfn.IFERROR(('Summary OPS'!$AE$36+'Summary OPS'!$AE$39+'Summary OPS'!$AE$40+'Summary OPS'!$AE$47+'Summary OPS'!$AE$48)/J235,0)</f>
        <v>0</v>
      </c>
      <c r="R235">
        <f>_xlfn.IFERROR('Summary OPS'!$AE$41/J235,0)</f>
        <v>0</v>
      </c>
      <c r="S235">
        <f>_xlfn.IFERROR('Summary OPS'!$AE$42/J235,0)</f>
        <v>0</v>
      </c>
      <c r="T235">
        <f>_xlfn.IFERROR('Summary OPS'!$AE$43/J235,0)</f>
        <v>0</v>
      </c>
      <c r="U235">
        <f>_xlfn.IFERROR('Summary OPS'!$AE$44/J235,0)</f>
        <v>0</v>
      </c>
      <c r="V235">
        <f>_xlfn.IFERROR('Summary OPS'!$AE$45/J235,0)</f>
        <v>0</v>
      </c>
      <c r="W235">
        <f>_xlfn.IFERROR('Summary OPS'!$AE$46/J235,0)</f>
        <v>0</v>
      </c>
      <c r="X235">
        <f>_xlfn.IFERROR('Summary OPS'!$AE$51/J235,0)</f>
        <v>0</v>
      </c>
      <c r="Y235">
        <f>_xlfn.IFERROR('Summary OPS'!$AE$53/J235,0)</f>
        <v>0</v>
      </c>
      <c r="Z235">
        <f t="shared" si="15"/>
        <v>0</v>
      </c>
      <c r="AA235">
        <f t="shared" si="16"/>
        <v>0</v>
      </c>
      <c r="AB235">
        <f t="shared" si="17"/>
        <v>0</v>
      </c>
    </row>
    <row r="236" ht="15" customHeight="1"/>
    <row r="237" ht="18" customHeight="1">
      <c r="B237" t="s">
        <v>3132</v>
      </c>
    </row>
    <row r="238" ht="15" customHeight="1">
      <c r="L238" t="str">
        <f t="shared" si="5"/>
        <v>2022 Per Unit Expenses</v>
      </c>
    </row>
    <row r="239" ht="36" customHeight="1">
      <c r="B239" t="s">
        <v>3103</v>
      </c>
      <c r="C239" t="s">
        <v>3104</v>
      </c>
      <c r="D239" t="s">
        <v>279</v>
      </c>
      <c r="E239" t="s">
        <v>2675</v>
      </c>
      <c r="F239" t="s">
        <v>289</v>
      </c>
      <c r="G239" t="s">
        <v>3105</v>
      </c>
      <c r="H239" t="s">
        <v>201</v>
      </c>
      <c r="I239" t="s">
        <v>660</v>
      </c>
      <c r="J239" t="s">
        <v>3106</v>
      </c>
      <c r="K239" t="s">
        <v>3107</v>
      </c>
      <c r="L239" t="s">
        <v>1409</v>
      </c>
      <c r="M239" t="s">
        <v>3108</v>
      </c>
      <c r="N239" t="s">
        <v>3109</v>
      </c>
      <c r="O239" t="s">
        <v>3110</v>
      </c>
      <c r="P239" t="s">
        <v>3111</v>
      </c>
      <c r="Q239" t="s">
        <v>3112</v>
      </c>
      <c r="R239" t="s">
        <v>1416</v>
      </c>
      <c r="S239" t="s">
        <v>1417</v>
      </c>
      <c r="T239" t="s">
        <v>3113</v>
      </c>
      <c r="U239" t="s">
        <v>3114</v>
      </c>
      <c r="V239" t="s">
        <v>3115</v>
      </c>
      <c r="W239" t="s">
        <v>3116</v>
      </c>
      <c r="X239" t="s">
        <v>3117</v>
      </c>
      <c r="Y239" t="s">
        <v>2968</v>
      </c>
      <c r="Z239" t="s">
        <v>3118</v>
      </c>
      <c r="AA239" t="s">
        <v>3127</v>
      </c>
      <c r="AB239" t="s">
        <v>3128</v>
      </c>
    </row>
    <row r="240" ht="15" customHeight="1">
      <c r="B240">
        <v>1</v>
      </c>
      <c r="Y240">
        <f t="shared" si="6"/>
      </c>
      <c r="Z240">
        <f t="shared" si="7"/>
      </c>
      <c r="AA240">
        <f>IF(ExpComps_DusTable[[#This Row], [R&amp;M]]+ExpComps_DusTable[[#This Row], [Payroll]]&gt;0,ExpComps_DusTable[[#This Row], [R&amp;M]]+ExpComps_DusTable[[#This Row], [Payroll]],"")</f>
      </c>
      <c r="AB240">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1" ht="15" customHeight="1">
      <c r="B241">
        <v>2</v>
      </c>
      <c r="Y241">
        <f t="shared" si="6"/>
      </c>
      <c r="Z241">
        <f t="shared" si="7"/>
      </c>
      <c r="AA241">
        <f>IF(ExpComps_DusTable[[#This Row], [R&amp;M]]+ExpComps_DusTable[[#This Row], [Payroll]]&gt;0,ExpComps_DusTable[[#This Row], [R&amp;M]]+ExpComps_DusTable[[#This Row], [Payroll]],"")</f>
      </c>
      <c r="AB241">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2" ht="15" customHeight="1">
      <c r="B242">
        <v>3</v>
      </c>
      <c r="Y242">
        <f t="shared" si="6"/>
      </c>
      <c r="Z242">
        <f t="shared" si="7"/>
      </c>
      <c r="AA242">
        <f>IF(ExpComps_DusTable[[#This Row], [R&amp;M]]+ExpComps_DusTable[[#This Row], [Payroll]]&gt;0,ExpComps_DusTable[[#This Row], [R&amp;M]]+ExpComps_DusTable[[#This Row], [Payroll]],"")</f>
      </c>
      <c r="AB242">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3" ht="15" customHeight="1">
      <c r="B243">
        <v>4</v>
      </c>
      <c r="Y243">
        <f t="shared" si="6"/>
      </c>
      <c r="Z243">
        <f t="shared" si="7"/>
      </c>
      <c r="AA243">
        <f>IF(ExpComps_DusTable[[#This Row], [R&amp;M]]+ExpComps_DusTable[[#This Row], [Payroll]]&gt;0,ExpComps_DusTable[[#This Row], [R&amp;M]]+ExpComps_DusTable[[#This Row], [Payroll]],"")</f>
      </c>
      <c r="AB243">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4" ht="15" customHeight="1">
      <c r="B244">
        <v>5</v>
      </c>
      <c r="Y244">
        <f t="shared" si="6"/>
      </c>
      <c r="Z244">
        <f t="shared" si="7"/>
      </c>
      <c r="AA244">
        <f>IF(ExpComps_DusTable[[#This Row], [R&amp;M]]+ExpComps_DusTable[[#This Row], [Payroll]]&gt;0,ExpComps_DusTable[[#This Row], [R&amp;M]]+ExpComps_DusTable[[#This Row], [Payroll]],"")</f>
      </c>
      <c r="AB244">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5" ht="15" customHeight="1">
      <c r="B245">
        <v>6</v>
      </c>
      <c r="Y245">
        <f t="shared" si="6"/>
      </c>
      <c r="Z245">
        <f t="shared" si="7"/>
      </c>
      <c r="AA245">
        <f>IF(ExpComps_DusTable[[#This Row], [R&amp;M]]+ExpComps_DusTable[[#This Row], [Payroll]]&gt;0,ExpComps_DusTable[[#This Row], [R&amp;M]]+ExpComps_DusTable[[#This Row], [Payroll]],"")</f>
      </c>
      <c r="AB245">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6" ht="15" customHeight="1">
      <c r="B246">
        <v>7</v>
      </c>
      <c r="Y246">
        <f t="shared" si="6"/>
      </c>
      <c r="Z246">
        <f t="shared" si="7"/>
      </c>
      <c r="AA246">
        <f>IF(ExpComps_DusTable[[#This Row], [R&amp;M]]+ExpComps_DusTable[[#This Row], [Payroll]]&gt;0,ExpComps_DusTable[[#This Row], [R&amp;M]]+ExpComps_DusTable[[#This Row], [Payroll]],"")</f>
      </c>
      <c r="AB246">
        <f>IF(ExpComps_DusTable[[#This Row], [Payroll]]+ExpComps_DusTable[[#This Row], [R&amp;M]]+ExpComps_DusTable[[#This Row], [Admin]]+ExpComps_DusTable[[#This Row], [Prof]]+ExpComps_DusTable[[#This Row], [Adv]]&gt;0,ExpComps_DusTable[[#This Row], [Payroll]]+ExpComps_DusTable[[#This Row], [R&amp;M]]+ExpComps_DusTable[[#This Row], [Admin]]+ExpComps_DusTable[[#This Row], [Prof]]+ExpComps_DusTable[[#This Row], [Adv]],"")</f>
      </c>
    </row>
    <row r="247" ht="15" customHeight="1"/>
    <row r="248" ht="15" customHeight="1">
      <c r="B248" t="s">
        <v>774</v>
      </c>
      <c r="I248">
        <f t="shared" si="8"/>
        <v>0</v>
      </c>
      <c r="J248">
        <f t="shared" si="8"/>
        <v>0</v>
      </c>
      <c r="K248">
        <f t="shared" si="8"/>
        <v>0</v>
      </c>
      <c r="L248">
        <f t="shared" si="8"/>
        <v>0</v>
      </c>
      <c r="M248">
        <f t="shared" si="8"/>
        <v>0</v>
      </c>
      <c r="N248">
        <f t="shared" si="8"/>
        <v>0</v>
      </c>
      <c r="O248">
        <f t="shared" si="8"/>
        <v>0</v>
      </c>
      <c r="P248">
        <f t="shared" si="8"/>
        <v>0</v>
      </c>
      <c r="Q248">
        <f t="shared" si="8"/>
        <v>0</v>
      </c>
      <c r="R248">
        <f t="shared" si="8"/>
        <v>0</v>
      </c>
      <c r="S248">
        <f t="shared" si="8"/>
        <v>0</v>
      </c>
      <c r="T248">
        <f t="shared" si="8"/>
        <v>0</v>
      </c>
      <c r="U248">
        <f t="shared" si="8"/>
        <v>0</v>
      </c>
      <c r="V248">
        <f t="shared" si="8"/>
        <v>0</v>
      </c>
      <c r="W248">
        <f t="shared" si="8"/>
        <v>0</v>
      </c>
      <c r="X248">
        <f t="shared" si="8"/>
        <v>0</v>
      </c>
      <c r="Y248">
        <f t="shared" si="9"/>
        <v>0</v>
      </c>
      <c r="Z248">
        <f t="shared" si="9"/>
        <v>0</v>
      </c>
      <c r="AA248">
        <f t="shared" si="9"/>
        <v>0</v>
      </c>
      <c r="AB248">
        <f t="shared" si="9"/>
        <v>0</v>
      </c>
    </row>
    <row r="249" ht="15" customHeight="1">
      <c r="B249" t="s">
        <v>3129</v>
      </c>
      <c r="I249">
        <f t="shared" si="10"/>
        <v>0</v>
      </c>
      <c r="J249">
        <f t="shared" si="10"/>
        <v>0</v>
      </c>
      <c r="K249">
        <f t="shared" si="10"/>
        <v>0</v>
      </c>
      <c r="L249">
        <f t="shared" si="10"/>
        <v>0</v>
      </c>
      <c r="M249">
        <f t="shared" si="10"/>
        <v>0</v>
      </c>
      <c r="N249">
        <f t="shared" si="10"/>
        <v>0</v>
      </c>
      <c r="O249">
        <f t="shared" si="10"/>
        <v>0</v>
      </c>
      <c r="P249">
        <f t="shared" si="10"/>
        <v>0</v>
      </c>
      <c r="Q249">
        <f t="shared" si="10"/>
        <v>0</v>
      </c>
      <c r="R249">
        <f t="shared" si="10"/>
        <v>0</v>
      </c>
      <c r="S249">
        <f t="shared" si="10"/>
        <v>0</v>
      </c>
      <c r="T249">
        <f t="shared" si="10"/>
        <v>0</v>
      </c>
      <c r="U249">
        <f t="shared" si="10"/>
        <v>0</v>
      </c>
      <c r="V249">
        <f t="shared" si="10"/>
        <v>0</v>
      </c>
      <c r="W249">
        <f t="shared" si="10"/>
        <v>0</v>
      </c>
      <c r="X249">
        <f t="shared" si="10"/>
        <v>0</v>
      </c>
      <c r="Y249">
        <f t="shared" si="10"/>
        <v>0</v>
      </c>
      <c r="Z249">
        <f t="shared" si="10"/>
        <v>0</v>
      </c>
      <c r="AA249">
        <f t="shared" si="10"/>
        <v>0</v>
      </c>
      <c r="AB249">
        <f t="shared" si="10"/>
        <v>0</v>
      </c>
    </row>
    <row r="250" ht="15" customHeight="1">
      <c r="B250" t="s">
        <v>1780</v>
      </c>
      <c r="I250">
        <f t="shared" si="11"/>
        <v>0</v>
      </c>
      <c r="J250">
        <f t="shared" si="11"/>
        <v>0</v>
      </c>
      <c r="K250">
        <f t="shared" si="11"/>
        <v>0</v>
      </c>
      <c r="L250">
        <f t="shared" si="11"/>
        <v>0</v>
      </c>
      <c r="M250">
        <f t="shared" si="11"/>
        <v>0</v>
      </c>
      <c r="N250">
        <f t="shared" si="11"/>
        <v>0</v>
      </c>
      <c r="O250">
        <f t="shared" si="11"/>
        <v>0</v>
      </c>
      <c r="P250">
        <f t="shared" si="11"/>
        <v>0</v>
      </c>
      <c r="Q250">
        <f t="shared" si="11"/>
        <v>0</v>
      </c>
      <c r="R250">
        <f t="shared" si="11"/>
        <v>0</v>
      </c>
      <c r="S250">
        <f t="shared" si="11"/>
        <v>0</v>
      </c>
      <c r="T250">
        <f t="shared" si="11"/>
        <v>0</v>
      </c>
      <c r="U250">
        <f t="shared" si="11"/>
        <v>0</v>
      </c>
      <c r="V250">
        <f t="shared" si="11"/>
        <v>0</v>
      </c>
      <c r="W250">
        <f t="shared" si="11"/>
        <v>0</v>
      </c>
      <c r="X250">
        <f t="shared" si="11"/>
        <v>0</v>
      </c>
      <c r="Y250">
        <f t="shared" si="12"/>
        <v>0</v>
      </c>
      <c r="Z250">
        <f t="shared" si="13"/>
        <v>0</v>
      </c>
      <c r="AA250">
        <f t="shared" si="13"/>
        <v>0</v>
      </c>
      <c r="AB250">
        <f t="shared" si="13"/>
        <v>0</v>
      </c>
    </row>
    <row r="251" ht="15.75" customHeight="1"/>
    <row r="252" ht="15.75" customHeight="1">
      <c r="B252" t="s">
        <v>3130</v>
      </c>
      <c r="C252" t="str">
        <f t="shared" si="14"/>
        <v>XXXX</v>
      </c>
      <c r="D252" t="str">
        <f t="shared" si="14"/>
        <v>City</v>
      </c>
      <c r="E252">
        <f t="shared" si="14"/>
      </c>
      <c r="F252" t="str">
        <f t="shared" si="14"/>
        <v>XX</v>
      </c>
      <c r="I252" t="str">
        <f t="shared" si="14"/>
        <v>XXXX</v>
      </c>
      <c r="J252">
        <f t="shared" si="14"/>
        <v>85</v>
      </c>
      <c r="L252">
        <f t="shared" si="14"/>
        <v>13056.917647058823</v>
      </c>
      <c r="M252">
        <f t="shared" si="14"/>
        <v>0.035</v>
      </c>
      <c r="N252">
        <f t="shared" si="14"/>
        <v>456.9921176470588</v>
      </c>
      <c r="O252">
        <f t="shared" si="14"/>
        <v>601.3261176470588</v>
      </c>
      <c r="P252">
        <f t="shared" si="14"/>
        <v>222.79505882352944</v>
      </c>
      <c r="Q252">
        <f t="shared" si="14"/>
        <v>2646.1911764705883</v>
      </c>
      <c r="R252">
        <f t="shared" si="14"/>
        <v>5794.040823529412</v>
      </c>
      <c r="S252">
        <f t="shared" si="14"/>
        <v>2154.0208235294117</v>
      </c>
      <c r="T252">
        <f t="shared" si="14"/>
        <v>1383.5202352941176</v>
      </c>
      <c r="U252">
        <f t="shared" si="14"/>
        <v>4656.072588235294</v>
      </c>
      <c r="V252">
        <f t="shared" si="14"/>
        <v>2945.715176470588</v>
      </c>
      <c r="W252">
        <f t="shared" si="14"/>
        <v>12192.74011764706</v>
      </c>
      <c r="X252">
        <f t="shared" si="14"/>
        <v>250</v>
      </c>
      <c r="Y252">
        <f t="shared" si="14"/>
        <v>33303.41423529412</v>
      </c>
      <c r="Z252">
        <f t="shared" si="14"/>
        <v>20860.67411764706</v>
      </c>
      <c r="AA252">
        <f t="shared" si="16"/>
        <v>10450.113411764705</v>
      </c>
      <c r="AB252">
        <f t="shared" si="17"/>
        <v>13920.42576470588</v>
      </c>
    </row>
    <row r="253" ht="15.75" customHeight="1">
      <c r="B253" t="s">
        <v>1866</v>
      </c>
      <c r="C253" t="str">
        <f t="shared" si="14"/>
        <v>XXXX</v>
      </c>
      <c r="D253" t="str">
        <f t="shared" si="14"/>
        <v>City</v>
      </c>
      <c r="E253">
        <f t="shared" si="14"/>
      </c>
      <c r="F253" t="str">
        <f t="shared" si="14"/>
        <v>XX</v>
      </c>
      <c r="I253" t="str">
        <f t="shared" si="14"/>
        <v>XXXX</v>
      </c>
      <c r="J253">
        <f t="shared" si="14"/>
        <v>85</v>
      </c>
      <c r="L253">
        <f t="shared" si="18"/>
        <v>0</v>
      </c>
      <c r="M253">
        <f>'Summary OPS'!$AF$35</f>
        <v>0</v>
      </c>
      <c r="N253">
        <f>_xlfn.IFERROR('Summary OPS'!$AE$35/J253,0)</f>
        <v>0</v>
      </c>
      <c r="O253">
        <f>_xlfn.IFERROR('Summary OPS'!$AE$37/J253,0)</f>
        <v>0</v>
      </c>
      <c r="P253">
        <f>_xlfn.IFERROR('Summary OPS'!$AE$38/J253,0)</f>
        <v>0</v>
      </c>
      <c r="Q253">
        <f>_xlfn.IFERROR(('Summary OPS'!$AE$36+'Summary OPS'!$AE$39+'Summary OPS'!$AE$40+'Summary OPS'!$AE$47+'Summary OPS'!$AE$48)/J253,0)</f>
        <v>0</v>
      </c>
      <c r="R253">
        <f>_xlfn.IFERROR('Summary OPS'!$AE$41/J253,0)</f>
        <v>0</v>
      </c>
      <c r="S253">
        <f>_xlfn.IFERROR('Summary OPS'!$AE$42/J253,0)</f>
        <v>0</v>
      </c>
      <c r="T253">
        <f>_xlfn.IFERROR('Summary OPS'!$AE$43/J253,0)</f>
        <v>0</v>
      </c>
      <c r="U253">
        <f>_xlfn.IFERROR('Summary OPS'!$AE$44/J253,0)</f>
        <v>0</v>
      </c>
      <c r="V253">
        <f>_xlfn.IFERROR('Summary OPS'!$AE$45/J253,0)</f>
        <v>0</v>
      </c>
      <c r="W253">
        <f>_xlfn.IFERROR('Summary OPS'!$AE$46/J253,0)</f>
        <v>0</v>
      </c>
      <c r="X253">
        <f>_xlfn.IFERROR('Summary OPS'!$AE$51/J253,0)</f>
        <v>0</v>
      </c>
      <c r="Y253">
        <f>_xlfn.IFERROR('Summary OPS'!$AE$53/J253,0)</f>
        <v>0</v>
      </c>
      <c r="Z253">
        <f t="shared" si="15"/>
        <v>0</v>
      </c>
      <c r="AA253">
        <f t="shared" si="16"/>
        <v>0</v>
      </c>
      <c r="AB253">
        <f t="shared" si="17"/>
        <v>0</v>
      </c>
    </row>
    <row r="254" ht="15" customHeight="1"/>
    <row r="255" ht="18" customHeight="1">
      <c r="B255" t="s">
        <v>3133</v>
      </c>
    </row>
    <row r="256" ht="15" customHeight="1">
      <c r="L256" t="str">
        <f t="shared" si="5"/>
        <v>2022 Per Unit Expenses</v>
      </c>
    </row>
    <row r="257" ht="41.25" customHeight="1">
      <c r="B257" t="s">
        <v>3103</v>
      </c>
      <c r="C257" t="s">
        <v>3104</v>
      </c>
      <c r="D257" t="s">
        <v>279</v>
      </c>
      <c r="E257" t="s">
        <v>2675</v>
      </c>
      <c r="F257" t="s">
        <v>289</v>
      </c>
      <c r="G257" t="s">
        <v>3105</v>
      </c>
      <c r="H257" t="s">
        <v>201</v>
      </c>
      <c r="I257" t="s">
        <v>660</v>
      </c>
      <c r="J257" t="s">
        <v>3106</v>
      </c>
      <c r="K257" t="s">
        <v>3107</v>
      </c>
      <c r="L257" t="s">
        <v>1409</v>
      </c>
      <c r="M257" t="s">
        <v>3108</v>
      </c>
      <c r="N257" t="s">
        <v>3109</v>
      </c>
      <c r="O257" t="s">
        <v>3110</v>
      </c>
      <c r="P257" t="s">
        <v>3111</v>
      </c>
      <c r="Q257" t="s">
        <v>3112</v>
      </c>
      <c r="R257" t="s">
        <v>1416</v>
      </c>
      <c r="S257" t="s">
        <v>1417</v>
      </c>
      <c r="T257" t="s">
        <v>3113</v>
      </c>
      <c r="U257" t="s">
        <v>3114</v>
      </c>
      <c r="V257" t="s">
        <v>3115</v>
      </c>
      <c r="W257" t="s">
        <v>3116</v>
      </c>
      <c r="X257" t="s">
        <v>3117</v>
      </c>
      <c r="Y257" t="s">
        <v>2968</v>
      </c>
      <c r="Z257" t="s">
        <v>3118</v>
      </c>
      <c r="AA257" t="s">
        <v>3127</v>
      </c>
      <c r="AB257" t="s">
        <v>3128</v>
      </c>
    </row>
    <row r="258" ht="15" customHeight="1">
      <c r="B258">
        <v>1</v>
      </c>
      <c r="Y258">
        <f t="shared" si="6"/>
      </c>
      <c r="Z258">
        <f t="shared" si="7"/>
      </c>
      <c r="AA258">
        <f>IF(ExpComps_BorrowerTable[[#This Row], [R&amp;M]]+ExpComps_BorrowerTable[[#This Row], [Payroll]]&gt;0,ExpComps_BorrowerTable[[#This Row], [R&amp;M]]+ExpComps_BorrowerTable[[#This Row], [Payroll]],"")</f>
      </c>
      <c r="AB258">
        <f>IF(ExpComps_BorrowerTable[[#This Row], [Payroll]]+ExpComps_BorrowerTable[[#This Row], [R&amp;M]]+ExpComps_BorrowerTable[[#This Row], [Admin]]+ExpComps_BorrowerTable[[#This Row], [Prof]]+ExpComps_BorrowerTable[[#This Row], [Adv]]&gt;0,ExpComps_BorrowerTable[[#This Row], [Payroll]]+ExpComps_BorrowerTable[[#This Row], [R&amp;M]]+ExpComps_BorrowerTable[[#This Row], [Admin]]+ExpComps_BorrowerTable[[#This Row], [Prof]]+ExpComps_BorrowerTable[[#This Row], [Adv]],"")</f>
      </c>
    </row>
    <row r="259" ht="15" customHeight="1">
      <c r="B259">
        <v>2</v>
      </c>
      <c r="Y259">
        <f t="shared" si="6"/>
      </c>
      <c r="Z259">
        <f t="shared" si="7"/>
      </c>
      <c r="AA259">
        <f>IF(ExpComps_BorrowerTable[[#This Row], [R&amp;M]]+ExpComps_BorrowerTable[[#This Row], [Payroll]]&gt;0,ExpComps_BorrowerTable[[#This Row], [R&amp;M]]+ExpComps_BorrowerTable[[#This Row], [Payroll]],"")</f>
      </c>
      <c r="AB259">
        <f>IF(ExpComps_BorrowerTable[[#This Row], [Payroll]]+ExpComps_BorrowerTable[[#This Row], [R&amp;M]]+ExpComps_BorrowerTable[[#This Row], [Admin]]+ExpComps_BorrowerTable[[#This Row], [Prof]]+ExpComps_BorrowerTable[[#This Row], [Adv]]&gt;0,ExpComps_BorrowerTable[[#This Row], [Payroll]]+ExpComps_BorrowerTable[[#This Row], [R&amp;M]]+ExpComps_BorrowerTable[[#This Row], [Admin]]+ExpComps_BorrowerTable[[#This Row], [Prof]]+ExpComps_BorrowerTable[[#This Row], [Adv]],"")</f>
      </c>
    </row>
    <row r="260" ht="15" customHeight="1">
      <c r="B260">
        <v>3</v>
      </c>
      <c r="Y260">
        <f t="shared" si="6"/>
      </c>
      <c r="Z260">
        <f t="shared" si="7"/>
      </c>
      <c r="AA260">
        <f>IF(ExpComps_BorrowerTable[[#This Row], [R&amp;M]]+ExpComps_BorrowerTable[[#This Row], [Payroll]]&gt;0,ExpComps_BorrowerTable[[#This Row], [R&amp;M]]+ExpComps_BorrowerTable[[#This Row], [Payroll]],"")</f>
      </c>
      <c r="AB260">
        <f>IF(ExpComps_BorrowerTable[[#This Row], [Payroll]]+ExpComps_BorrowerTable[[#This Row], [R&amp;M]]+ExpComps_BorrowerTable[[#This Row], [Admin]]+ExpComps_BorrowerTable[[#This Row], [Prof]]+ExpComps_BorrowerTable[[#This Row], [Adv]]&gt;0,ExpComps_BorrowerTable[[#This Row], [Payroll]]+ExpComps_BorrowerTable[[#This Row], [R&amp;M]]+ExpComps_BorrowerTable[[#This Row], [Admin]]+ExpComps_BorrowerTable[[#This Row], [Prof]]+ExpComps_BorrowerTable[[#This Row], [Adv]],"")</f>
      </c>
    </row>
    <row r="261" ht="15" customHeight="1"/>
    <row r="262" ht="15" customHeight="1">
      <c r="B262" t="s">
        <v>774</v>
      </c>
      <c r="I262">
        <f t="shared" si="19" ref="I262:AB262">MIN(I258:I260)</f>
        <v>0</v>
      </c>
      <c r="J262">
        <f t="shared" si="19"/>
        <v>0</v>
      </c>
      <c r="K262">
        <f t="shared" si="19"/>
        <v>0</v>
      </c>
      <c r="L262">
        <f t="shared" si="19"/>
        <v>0</v>
      </c>
      <c r="M262">
        <f t="shared" si="19"/>
        <v>0</v>
      </c>
      <c r="N262">
        <f t="shared" si="19"/>
        <v>0</v>
      </c>
      <c r="O262">
        <f t="shared" si="19"/>
        <v>0</v>
      </c>
      <c r="P262">
        <f t="shared" si="19"/>
        <v>0</v>
      </c>
      <c r="Q262">
        <f t="shared" si="19"/>
        <v>0</v>
      </c>
      <c r="R262">
        <f t="shared" si="19"/>
        <v>0</v>
      </c>
      <c r="S262">
        <f t="shared" si="19"/>
        <v>0</v>
      </c>
      <c r="T262">
        <f t="shared" si="19"/>
        <v>0</v>
      </c>
      <c r="U262">
        <f t="shared" si="19"/>
        <v>0</v>
      </c>
      <c r="V262">
        <f t="shared" si="19"/>
        <v>0</v>
      </c>
      <c r="W262">
        <f t="shared" si="19"/>
        <v>0</v>
      </c>
      <c r="X262">
        <f t="shared" si="19"/>
        <v>0</v>
      </c>
      <c r="Y262">
        <f>_xlfn.IFERROR(_xlfn.MINIFS(Y258:Y260,Y258:Y260,"&gt;0"),0)</f>
        <v>0</v>
      </c>
      <c r="Z262">
        <f t="shared" si="19"/>
        <v>0</v>
      </c>
      <c r="AA262">
        <f t="shared" si="19"/>
        <v>0</v>
      </c>
      <c r="AB262">
        <f t="shared" si="19"/>
        <v>0</v>
      </c>
    </row>
    <row r="263" ht="15" customHeight="1">
      <c r="B263" t="s">
        <v>3129</v>
      </c>
      <c r="I263">
        <f t="shared" si="20" ref="I263:AB263">MAX(I258:I260)</f>
        <v>0</v>
      </c>
      <c r="J263">
        <f t="shared" si="20"/>
        <v>0</v>
      </c>
      <c r="K263">
        <f t="shared" si="20"/>
        <v>0</v>
      </c>
      <c r="L263">
        <f t="shared" si="20"/>
        <v>0</v>
      </c>
      <c r="M263">
        <f t="shared" si="20"/>
        <v>0</v>
      </c>
      <c r="N263">
        <f t="shared" si="20"/>
        <v>0</v>
      </c>
      <c r="O263">
        <f t="shared" si="20"/>
        <v>0</v>
      </c>
      <c r="P263">
        <f t="shared" si="20"/>
        <v>0</v>
      </c>
      <c r="Q263">
        <f t="shared" si="20"/>
        <v>0</v>
      </c>
      <c r="R263">
        <f t="shared" si="20"/>
        <v>0</v>
      </c>
      <c r="S263">
        <f t="shared" si="20"/>
        <v>0</v>
      </c>
      <c r="T263">
        <f t="shared" si="20"/>
        <v>0</v>
      </c>
      <c r="U263">
        <f t="shared" si="20"/>
        <v>0</v>
      </c>
      <c r="V263">
        <f t="shared" si="20"/>
        <v>0</v>
      </c>
      <c r="W263">
        <f t="shared" si="20"/>
        <v>0</v>
      </c>
      <c r="X263">
        <f t="shared" si="20"/>
        <v>0</v>
      </c>
      <c r="Y263">
        <f t="shared" si="20"/>
        <v>0</v>
      </c>
      <c r="Z263">
        <f t="shared" si="20"/>
        <v>0</v>
      </c>
      <c r="AA263">
        <f t="shared" si="20"/>
        <v>0</v>
      </c>
      <c r="AB263">
        <f t="shared" si="20"/>
        <v>0</v>
      </c>
    </row>
    <row r="264" ht="15" customHeight="1">
      <c r="B264" t="s">
        <v>1780</v>
      </c>
      <c r="I264">
        <f t="shared" si="21" ref="I264:K264">_xlfn.IFERROR(AVERAGE(I258:I260),0)</f>
        <v>0</v>
      </c>
      <c r="J264">
        <f t="shared" si="21"/>
        <v>0</v>
      </c>
      <c r="K264">
        <f t="shared" si="21"/>
        <v>0</v>
      </c>
      <c r="L264">
        <f t="shared" si="22" ref="L264:AB264">_xlfn.IFERROR(_xlfn.AVERAGEIF(L258:L260,"&gt;0",L258:L260),0)</f>
        <v>0</v>
      </c>
      <c r="M264">
        <f t="shared" si="22"/>
        <v>0</v>
      </c>
      <c r="N264">
        <f t="shared" si="22"/>
        <v>0</v>
      </c>
      <c r="O264">
        <f t="shared" si="22"/>
        <v>0</v>
      </c>
      <c r="P264">
        <f t="shared" si="22"/>
        <v>0</v>
      </c>
      <c r="Q264">
        <f t="shared" si="22"/>
        <v>0</v>
      </c>
      <c r="R264">
        <f t="shared" si="22"/>
        <v>0</v>
      </c>
      <c r="S264">
        <f t="shared" si="22"/>
        <v>0</v>
      </c>
      <c r="T264">
        <f t="shared" si="22"/>
        <v>0</v>
      </c>
      <c r="U264">
        <f t="shared" si="22"/>
        <v>0</v>
      </c>
      <c r="V264">
        <f t="shared" si="22"/>
        <v>0</v>
      </c>
      <c r="W264">
        <f t="shared" si="22"/>
        <v>0</v>
      </c>
      <c r="X264">
        <f t="shared" si="22"/>
        <v>0</v>
      </c>
      <c r="Y264">
        <f>_xlfn.IFERROR(SUM(N264:X264),0)</f>
        <v>0</v>
      </c>
      <c r="Z264">
        <f t="shared" si="22"/>
        <v>0</v>
      </c>
      <c r="AA264">
        <f t="shared" si="22"/>
        <v>0</v>
      </c>
      <c r="AB264">
        <f t="shared" si="22"/>
        <v>0</v>
      </c>
    </row>
    <row r="265" ht="15.75" customHeight="1"/>
    <row r="266" ht="15.75" customHeight="1">
      <c r="B266" t="s">
        <v>3130</v>
      </c>
      <c r="C266" t="str">
        <f t="shared" si="14"/>
        <v>XXXX</v>
      </c>
      <c r="D266" t="str">
        <f t="shared" si="14"/>
        <v>City</v>
      </c>
      <c r="E266">
        <f t="shared" si="14"/>
      </c>
      <c r="F266" t="str">
        <f t="shared" si="14"/>
        <v>XX</v>
      </c>
      <c r="I266" t="str">
        <f t="shared" si="14"/>
        <v>XXXX</v>
      </c>
      <c r="J266">
        <f t="shared" si="14"/>
        <v>85</v>
      </c>
      <c r="L266">
        <f>L217</f>
        <v>13056.917647058823</v>
      </c>
      <c r="M266">
        <f t="shared" si="14"/>
        <v>0.035</v>
      </c>
      <c r="N266">
        <f t="shared" si="14"/>
        <v>456.9921176470588</v>
      </c>
      <c r="O266">
        <f t="shared" si="14"/>
        <v>601.3261176470588</v>
      </c>
      <c r="P266">
        <f t="shared" si="14"/>
        <v>222.79505882352944</v>
      </c>
      <c r="Q266">
        <f t="shared" si="14"/>
        <v>2646.1911764705883</v>
      </c>
      <c r="R266">
        <f t="shared" si="14"/>
        <v>5794.040823529412</v>
      </c>
      <c r="S266">
        <f t="shared" si="14"/>
        <v>2154.0208235294117</v>
      </c>
      <c r="T266">
        <f t="shared" si="14"/>
        <v>1383.5202352941176</v>
      </c>
      <c r="U266">
        <f t="shared" si="14"/>
        <v>4656.072588235294</v>
      </c>
      <c r="V266">
        <f t="shared" si="14"/>
        <v>2945.715176470588</v>
      </c>
      <c r="W266">
        <f t="shared" si="14"/>
        <v>12192.74011764706</v>
      </c>
      <c r="X266">
        <f t="shared" si="14"/>
        <v>250</v>
      </c>
      <c r="Y266">
        <f t="shared" si="14"/>
        <v>33303.41423529412</v>
      </c>
      <c r="Z266">
        <f t="shared" si="14"/>
        <v>20860.67411764706</v>
      </c>
      <c r="AA266">
        <f t="shared" si="23" ref="AA266:AB266">AA234</f>
        <v>10450.113411764705</v>
      </c>
      <c r="AB266">
        <f t="shared" si="23"/>
        <v>13920.42576470588</v>
      </c>
    </row>
    <row r="267" ht="15" customHeight="1"/>
    <row r="268" ht="15" customHeight="1"/>
    <row r="269" ht="15" customHeight="1"/>
    <row r="270" ht="14.25" customHeight="1" hidden="1"/>
    <row r="271" ht="14.25" customHeight="1" hidden="1"/>
    <row r="272" ht="14.25" customHeight="1" hidden="1"/>
    <row r="273" ht="14.25" customHeight="1" hidden="1"/>
    <row r="274" ht="14.25" customHeight="1" hidden="1"/>
    <row r="275" ht="14.25" customHeight="1" hidden="1"/>
    <row r="276" ht="14.25" customHeight="1" hidden="1"/>
    <row r="277" ht="14.25" customHeight="1" hidden="1"/>
    <row r="278" ht="14.25" customHeight="1" hidden="1"/>
    <row r="279" ht="14.25" customHeight="1" hidden="1"/>
    <row r="280" ht="14.25" customHeight="1" hidden="1"/>
    <row r="281" ht="14.25" customHeight="1" hidden="1"/>
  </sheetData>
  <hyperlinks>
    <hyperlink ref="B3" r:id="rId1" display="Enodo Expense Comps"/>
  </hyperlinks>
  <printOptions horizontalCentered="1"/>
  <pageMargins left="0.25" right="0.25" top="0.25" bottom="0.25" header="0.3" footer="0.3"/>
  <pageSetup useFirstPageNumber="1" fitToHeight="1" fitToWidth="1" paperSize="5" firstPageNumber="1" scale="41" pageOrder="downThenOver" orientation="landscape"/>
  <headerFooter>
    <oddHeader>&amp;L&amp;C&amp;R</oddHeader>
    <oddFooter>&amp;L&amp;C&amp;R</oddFooter>
  </headerFooter>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9F945BC-2F78-6C87-17A3-27CDB81FD1ED}" mc:Ignorable="x14ac xr xr2 xr3">
  <sheetPr>
    <pageSetUpPr fitToPage="1"/>
  </sheetPr>
  <dimension ref="A1:FS377"/>
  <sheetViews>
    <sheetView showGridLines="0" topLeftCell="C1" zoomScale="90" workbookViewId="0">
      <selection activeCell="K155" sqref="K155"/>
    </sheetView>
  </sheetViews>
  <sheetFormatPr defaultRowHeight="14.497499999999997" defaultColWidth="9.57421875" customHeight="1"/>
  <cols>
    <col min="1" max="1" width="17.57421875" hidden="1" customWidth="1"/>
    <col min="2" max="2" width="9.57421875" hidden="1" customWidth="1"/>
    <col min="3" max="3" width="2.8515625" customWidth="1"/>
    <col min="4" max="4" width="10.7109375" customWidth="1"/>
    <col min="5" max="5" width="11.140625" customWidth="1"/>
    <col min="6" max="6" width="12.00390625" customWidth="1"/>
    <col min="7" max="8" width="11.28125" customWidth="1"/>
    <col min="9" max="9" width="11.00390625" customWidth="1"/>
    <col min="10" max="10" width="10.57421875" customWidth="1"/>
    <col min="11" max="11" width="11.57421875" customWidth="1"/>
    <col min="12" max="14" width="12.57421875" customWidth="1"/>
    <col min="15" max="15" width="16.57421875" customWidth="1"/>
    <col min="16" max="16" width="11.57421875" customWidth="1"/>
    <col min="18" max="18" width="14.57421875" customWidth="1"/>
    <col min="19" max="19" width="17.8515625" customWidth="1"/>
    <col min="21" max="21" width="11.57421875" customWidth="1"/>
  </cols>
  <sheetData>
    <row r="1" ht="6.75" customHeight="1"/>
    <row r="2" ht="14.25" customHeight="1">
      <c r="E2" t="str">
        <f>PropertyName_DataPageTab&amp;" - Unit Mix"</f>
        <v>XXXX - Unit Mix</v>
      </c>
    </row>
    <row r="3" ht="6.75" customHeight="1"/>
    <row r="4" ht="12.75" customHeight="1">
      <c r="A4" t="s">
        <v>3135</v>
      </c>
      <c r="B4" t="b">
        <f>AND(E149=E173,E149=E176)</f>
        <v>0</v>
      </c>
      <c r="E4" cm="1" t="str">
        <f t="array" ref="E4">IF(NOT(UnitMix_HasUnitCountsMatch),"Warning - Unit Counts for DataPage and Unit Counts for Rent Comps don't match","Counts Match")</f>
        <v>Warning - Unit Counts for DataPage and Unit Counts for Rent Comps don't match</v>
      </c>
    </row>
    <row r="5" ht="8.25" customHeight="1"/>
    <row r="6" ht="14.25" customHeight="1">
      <c r="D6" t="s">
        <v>2669</v>
      </c>
      <c r="E6" t="s">
        <v>223</v>
      </c>
      <c r="F6" t="s">
        <v>3137</v>
      </c>
      <c r="G6" t="s">
        <v>3138</v>
      </c>
      <c r="H6" t="s">
        <v>3139</v>
      </c>
      <c r="I6" t="s">
        <v>3140</v>
      </c>
      <c r="J6" t="s">
        <v>3141</v>
      </c>
      <c r="K6" t="s">
        <v>3142</v>
      </c>
      <c r="L6" t="s">
        <v>3143</v>
      </c>
      <c r="M6" t="s">
        <v>3144</v>
      </c>
      <c r="N6" t="s">
        <v>3145</v>
      </c>
      <c r="O6" t="s">
        <v>3146</v>
      </c>
      <c r="P6" t="s">
        <v>3147</v>
      </c>
      <c r="Q6" t="s">
        <v>3148</v>
      </c>
      <c r="R6" t="s">
        <v>3149</v>
      </c>
      <c r="S6" t="s">
        <v>3150</v>
      </c>
    </row>
    <row r="7" ht="14.25" customHeight="1"/>
    <row r="8" ht="14.25" customHeight="1">
      <c r="A8" t="s">
        <v>3151</v>
      </c>
      <c r="B8" t="s">
        <v>3152</v>
      </c>
    </row>
    <row r="9" ht="14.25" customHeight="1">
      <c r="A9" t="s">
        <v>2543</v>
      </c>
      <c r="B9" t="s">
        <v>2547</v>
      </c>
      <c r="D9" t="str">
        <f t="shared" si="0" ref="D9:D148">IF(G9&amp;"/"&amp;H9="N/A/N/A","N/A",G9&amp;"/"&amp;H9)</f>
        <v>1/0</v>
      </c>
      <c r="E9" cm="1">
        <f t="array" ref="E9">SUMPRODUCT((--EXACT(S9,'Rent Roll'!$G$24:$G$125)))</f>
        <v>32</v>
      </c>
      <c r="F9">
        <f t="shared" si="1" ref="F9:F148">_xlfn.IFERROR(E9/$E$149,0)</f>
        <v>0.31683168316831684</v>
      </c>
      <c r="G9">
        <f>IF('Rent Roll'!Q17="# Bedrooms","N/A",'Rent Roll'!Q$17)</f>
        <v>1</v>
      </c>
      <c r="H9">
        <f>IF('Rent Roll'!Q$18="# Baths","N/A",'Rent Roll'!Q$18)</f>
        <v>0</v>
      </c>
      <c r="I9">
        <f>IF('Rent Roll'!$Q$22="Square Footage","N/A",'Rent Roll'!$Q$22)</f>
        <v>704</v>
      </c>
      <c r="J9">
        <f>IF('Rent Roll'!Q$21="Market Rent","N/A",'Rent Roll'!Q$21)</f>
        <v>1159</v>
      </c>
      <c r="K9">
        <f t="shared" si="2" ref="K9:K149">_xlfn.IFERROR(J9/I9,0)</f>
        <v>1.6463068181818181</v>
      </c>
      <c r="L9">
        <f>'Rent Roll'!Q$126</f>
        <v>36220</v>
      </c>
      <c r="M9">
        <f>'Rent Roll'!Q$130</f>
        <v>1131.875</v>
      </c>
      <c r="N9">
        <f>IF('Rent Roll'!Q$126=0,"N/A",('Rent Roll'!Q$126-SUMIF('Rent Roll'!$G$24:$G$125,'Rent Roll'!Q$20,'Rent Roll'!$K$24:$K$125))/($E9-$Q9))</f>
        <v>1131.875</v>
      </c>
      <c r="O9">
        <f t="shared" si="3" ref="O9:O148">_xlfn.IFERROR(M9/I9,0)</f>
        <v>1.6077769886363635</v>
      </c>
      <c r="P9">
        <f t="shared" si="4" ref="P9:P148">E9-Q9</f>
        <v>32</v>
      </c>
      <c r="Q9">
        <f>'Rent Roll'!Q$128</f>
        <v>0</v>
      </c>
      <c r="R9">
        <f t="shared" si="5" ref="R9:R149">_xlfn.IFERROR(Q9/E9,0)</f>
        <v>0</v>
      </c>
      <c r="S9" t="str">
        <f>'Rent Roll'!$Q$20</f>
        <v>1 BR</v>
      </c>
    </row>
    <row r="10" ht="14.25" customHeight="1">
      <c r="A10" t="s">
        <v>2544</v>
      </c>
      <c r="B10" t="str">
        <f t="shared" si="6" ref="B10:B148">IF(E10&gt;0,"S","H")</f>
        <v>S</v>
      </c>
      <c r="D10" t="str">
        <f t="shared" si="0"/>
        <v>0/0</v>
      </c>
      <c r="E10" cm="1">
        <f t="array" ref="E10">SUMPRODUCT((--EXACT(S10,'Rent Roll'!$G$24:$G$125)))</f>
        <v>28</v>
      </c>
      <c r="F10">
        <f t="shared" si="1"/>
        <v>0.27722772277227725</v>
      </c>
      <c r="G10">
        <f>IF('Rent Roll'!R$17="# Bedrooms","N/A",'Rent Roll'!R$17)</f>
        <v>0</v>
      </c>
      <c r="H10">
        <f>IF('Rent Roll'!R$18="# Baths","N/A",'Rent Roll'!R$18)</f>
        <v>0</v>
      </c>
      <c r="I10">
        <f>IF('Rent Roll'!$R$22="Square Footage","N/A",'Rent Roll'!$R$22)</f>
        <v>800</v>
      </c>
      <c r="J10">
        <f>IF('Rent Roll'!R$21="Market Rent","N/A",'Rent Roll'!R$21)</f>
        <v>1217</v>
      </c>
      <c r="K10">
        <f t="shared" si="2"/>
        <v>1.52125</v>
      </c>
      <c r="L10">
        <f>'Rent Roll'!R$126</f>
        <v>33765</v>
      </c>
      <c r="M10">
        <f>'Rent Roll'!R$130</f>
        <v>1205.892857142857</v>
      </c>
      <c r="N10">
        <f>IF('Rent Roll'!R$126=0,"N/A",('Rent Roll'!R$126-SUMIF('Rent Roll'!$G$24:$G$125,'Rent Roll'!R$20,'Rent Roll'!$K$24:$K$125))/($E10-$Q10))</f>
        <v>1205.892857142857</v>
      </c>
      <c r="O10">
        <f t="shared" si="3"/>
        <v>1.5073660714285715</v>
      </c>
      <c r="P10">
        <f t="shared" si="4"/>
        <v>28</v>
      </c>
      <c r="Q10">
        <f>'Rent Roll'!R$128</f>
        <v>0</v>
      </c>
      <c r="R10">
        <f t="shared" si="5"/>
        <v>0</v>
      </c>
      <c r="S10" t="str">
        <f>'Rent Roll'!$R$20</f>
        <v>1 TH</v>
      </c>
    </row>
    <row r="11" ht="14.25" customHeight="1">
      <c r="A11" t="s">
        <v>2545</v>
      </c>
      <c r="B11" t="str">
        <f t="shared" si="6"/>
        <v>S</v>
      </c>
      <c r="D11" t="str">
        <f t="shared" si="0"/>
        <v>2/0</v>
      </c>
      <c r="E11" cm="1">
        <f t="array" ref="E11">SUMPRODUCT((--EXACT(S11,'Rent Roll'!$G$24:$G$125)))</f>
        <v>16</v>
      </c>
      <c r="F11">
        <f t="shared" si="1"/>
        <v>0.15841584158415842</v>
      </c>
      <c r="G11">
        <f>IF('Rent Roll'!S$17="# Bedrooms","N/A",'Rent Roll'!S$17)</f>
        <v>2</v>
      </c>
      <c r="H11">
        <f>IF('Rent Roll'!S$18="# Baths","N/A",'Rent Roll'!S$18)</f>
        <v>0</v>
      </c>
      <c r="I11">
        <f>IF('Rent Roll'!$S$22="Square Footage","N/A",'Rent Roll'!$S$22)</f>
        <v>851</v>
      </c>
      <c r="J11">
        <f>IF('Rent Roll'!S$21="Market Rent","N/A",'Rent Roll'!S$21)</f>
        <v>1410</v>
      </c>
      <c r="K11">
        <f t="shared" si="2"/>
        <v>1.6568742655699178</v>
      </c>
      <c r="L11">
        <f>'Rent Roll'!S$126</f>
        <v>20467</v>
      </c>
      <c r="M11">
        <f>'Rent Roll'!S$130</f>
        <v>1364.4666666666667</v>
      </c>
      <c r="N11">
        <f>IF('Rent Roll'!S$126=0,"N/A",('Rent Roll'!S$126-SUMIF('Rent Roll'!$G$24:$G$125,'Rent Roll'!S$20,'Rent Roll'!$K$24:$K$125))/($E11-$Q11))</f>
        <v>1364.4666666666667</v>
      </c>
      <c r="O11">
        <f t="shared" si="3"/>
        <v>1.6033685859772817</v>
      </c>
      <c r="P11">
        <f t="shared" si="4"/>
        <v>15</v>
      </c>
      <c r="Q11">
        <f>'Rent Roll'!S$128</f>
        <v>1</v>
      </c>
      <c r="R11">
        <f t="shared" si="5"/>
        <v>0.0625</v>
      </c>
      <c r="S11" t="str">
        <f>'Rent Roll'!$S$20</f>
        <v>2 BR</v>
      </c>
    </row>
    <row r="12" ht="15" customHeight="1">
      <c r="A12" t="s">
        <v>2546</v>
      </c>
      <c r="B12" t="str">
        <f t="shared" si="6"/>
        <v>S</v>
      </c>
      <c r="D12" t="str">
        <f t="shared" si="0"/>
        <v>0/0</v>
      </c>
      <c r="E12" cm="1">
        <f t="array" ref="E12">SUMPRODUCT((--EXACT(S12,'Rent Roll'!$G$24:$G$125)))</f>
        <v>24</v>
      </c>
      <c r="F12">
        <f t="shared" si="1"/>
        <v>0.2376237623762376</v>
      </c>
      <c r="G12">
        <f>IF('Rent Roll'!T$17="# Bedrooms","N/A",'Rent Roll'!T$17)</f>
        <v>0</v>
      </c>
      <c r="H12">
        <f>IF('Rent Roll'!T$18="# Baths","N/A",'Rent Roll'!T$18)</f>
        <v>0</v>
      </c>
      <c r="I12">
        <f>IF('Rent Roll'!$T$22="Square Footage","N/A",'Rent Roll'!$T$22)</f>
        <v>1050</v>
      </c>
      <c r="J12">
        <f>IF('Rent Roll'!T$21="Market Rent","N/A",'Rent Roll'!T$21)</f>
        <v>1533</v>
      </c>
      <c r="K12">
        <f t="shared" si="2"/>
        <v>1.46</v>
      </c>
      <c r="L12">
        <f>'Rent Roll'!T$126</f>
        <v>30704</v>
      </c>
      <c r="M12">
        <f>'Rent Roll'!T$130</f>
        <v>1535.2</v>
      </c>
      <c r="N12">
        <f>IF('Rent Roll'!T$126=0,"N/A",('Rent Roll'!T$126-SUMIF('Rent Roll'!$G$24:$G$125,'Rent Roll'!T$20,'Rent Roll'!$K$24:$K$125))/($E12-$Q12))</f>
        <v>1535.2</v>
      </c>
      <c r="O12">
        <f t="shared" si="3"/>
        <v>1.4620952380952381</v>
      </c>
      <c r="P12">
        <f t="shared" si="4"/>
        <v>20</v>
      </c>
      <c r="Q12">
        <f>'Rent Roll'!T$128</f>
        <v>4</v>
      </c>
      <c r="R12">
        <f t="shared" si="5"/>
        <v>0.16666666666666666</v>
      </c>
      <c r="S12" t="str">
        <f>'Rent Roll'!$T$20</f>
        <v>2 TH</v>
      </c>
    </row>
    <row r="13" ht="14.25" customHeight="1" hidden="1">
      <c r="A13" t="s">
        <v>2547</v>
      </c>
      <c r="B13" t="str">
        <f t="shared" si="6"/>
        <v>S</v>
      </c>
      <c r="D13" t="str">
        <f t="shared" si="0"/>
        <v>0/0</v>
      </c>
      <c r="E13" cm="1">
        <f t="array" ref="E13">SUMPRODUCT((--EXACT(S13,'Rent Roll'!$G$24:$G$125)))</f>
        <v>1</v>
      </c>
      <c r="F13">
        <f t="shared" si="1"/>
        <v>0.009900990099009901</v>
      </c>
      <c r="G13">
        <f>IF('Rent Roll'!U$17="# Bedrooms","N/A",'Rent Roll'!U$17)</f>
        <v>0</v>
      </c>
      <c r="H13">
        <f>IF('Rent Roll'!U$18="# Baths","N/A",'Rent Roll'!U$18)</f>
        <v>0</v>
      </c>
      <c r="I13">
        <f>IF('Rent Roll'!$U$22="Square Footage","N/A",'Rent Roll'!$U$22)</f>
        <v>1247</v>
      </c>
      <c r="J13">
        <f>IF('Rent Roll'!U$21="Market Rent","N/A",'Rent Roll'!U$21)</f>
        <v>1081</v>
      </c>
      <c r="K13">
        <f t="shared" si="2"/>
        <v>0.8668805132317562</v>
      </c>
      <c r="L13">
        <f>'Rent Roll'!U$126</f>
        <v>1017</v>
      </c>
      <c r="M13">
        <f>'Rent Roll'!U$130</f>
        <v>1017</v>
      </c>
      <c r="N13">
        <f>IF('Rent Roll'!U$126=0,"N/A",('Rent Roll'!U$126-SUMIF('Rent Roll'!$G$24:$G$125,'Rent Roll'!U$20,'Rent Roll'!$K$24:$K$125))/($E13-$Q13))</f>
        <v>1017</v>
      </c>
      <c r="O13">
        <f t="shared" si="3"/>
        <v>0.8155573376102646</v>
      </c>
      <c r="P13">
        <f t="shared" si="4"/>
        <v>1</v>
      </c>
      <c r="Q13">
        <f>'Rent Roll'!U$128</f>
        <v>0</v>
      </c>
      <c r="R13">
        <f t="shared" si="5"/>
        <v>0</v>
      </c>
      <c r="S13" t="str">
        <f>'Rent Roll'!$U$20</f>
        <v>1 CH</v>
      </c>
    </row>
    <row r="14" ht="14.25" customHeight="1" hidden="1">
      <c r="A14" t="s">
        <v>2548</v>
      </c>
      <c r="B14" t="str">
        <f t="shared" si="6"/>
        <v>H</v>
      </c>
      <c r="D14" t="str">
        <f t="shared" si="0"/>
        <v>N/A</v>
      </c>
      <c r="E14" cm="1">
        <f t="array" ref="E14">SUMPRODUCT((--EXACT(S14,'Rent Roll'!$G$24:$G$125)))</f>
        <v>0</v>
      </c>
      <c r="F14">
        <f t="shared" si="1"/>
        <v>0</v>
      </c>
      <c r="G14" t="str">
        <f>IF('Rent Roll'!V$17="# Bedrooms","N/A",'Rent Roll'!V$17)</f>
        <v>N/A</v>
      </c>
      <c r="H14" t="str">
        <f>IF('Rent Roll'!V$18="# Baths","N/A",'Rent Roll'!V$18)</f>
        <v>N/A</v>
      </c>
      <c r="I14" t="str">
        <f>IF('Rent Roll'!$V$22="Square Footage","N/A",'Rent Roll'!$V$22)</f>
        <v>N/A</v>
      </c>
      <c r="J14" t="str">
        <f>IF('Rent Roll'!V$21="Market Rent","N/A",'Rent Roll'!V$21)</f>
        <v>N/A</v>
      </c>
      <c r="K14">
        <f t="shared" si="2"/>
        <v>0</v>
      </c>
      <c r="L14">
        <f>'Rent Roll'!V$126</f>
        <v>0</v>
      </c>
      <c r="M14">
        <f>'Rent Roll'!V$130</f>
        <v>0</v>
      </c>
      <c r="N14" t="str">
        <f>IF('Rent Roll'!V$126=0,"N/A",('Rent Roll'!V$126-SUMIF('Rent Roll'!$G$24:$G$125,'Rent Roll'!V$20,'Rent Roll'!$K$24:$K$125))/($E14-$Q14))</f>
        <v>N/A</v>
      </c>
      <c r="O14">
        <f t="shared" si="3"/>
        <v>0</v>
      </c>
      <c r="P14">
        <f t="shared" si="4"/>
        <v>0</v>
      </c>
      <c r="Q14">
        <f>'Rent Roll'!V$128</f>
        <v>0</v>
      </c>
      <c r="R14">
        <f t="shared" si="5"/>
        <v>0</v>
      </c>
      <c r="S14" t="str">
        <f>'Rent Roll'!$V$20</f>
        <v>F</v>
      </c>
    </row>
    <row r="15" ht="14.25" customHeight="1" hidden="1">
      <c r="A15" t="s">
        <v>2549</v>
      </c>
      <c r="B15" t="str">
        <f t="shared" si="6"/>
        <v>H</v>
      </c>
      <c r="D15" t="str">
        <f t="shared" si="0"/>
        <v>N/A</v>
      </c>
      <c r="E15" cm="1">
        <f t="array" ref="E15">SUMPRODUCT((--EXACT(S15,'Rent Roll'!$G$24:$G$125)))</f>
        <v>0</v>
      </c>
      <c r="F15">
        <f t="shared" si="1"/>
        <v>0</v>
      </c>
      <c r="G15" t="str">
        <f>IF('Rent Roll'!W$17="# Bedrooms","N/A",'Rent Roll'!W$17)</f>
        <v>N/A</v>
      </c>
      <c r="H15" t="str">
        <f>IF('Rent Roll'!W$18="# Baths","N/A",'Rent Roll'!W$18)</f>
        <v>N/A</v>
      </c>
      <c r="I15" t="str">
        <f>IF('Rent Roll'!$W$22="Square Footage","N/A",'Rent Roll'!$W$22)</f>
        <v>N/A</v>
      </c>
      <c r="J15" t="str">
        <f>IF('Rent Roll'!W$21="Market Rent","N/A",'Rent Roll'!W$21)</f>
        <v>N/A</v>
      </c>
      <c r="K15">
        <f t="shared" si="2"/>
        <v>0</v>
      </c>
      <c r="L15">
        <f>'Rent Roll'!W$126</f>
        <v>0</v>
      </c>
      <c r="M15">
        <f>'Rent Roll'!W$130</f>
        <v>0</v>
      </c>
      <c r="N15" t="str">
        <f>IF('Rent Roll'!W$126=0,"N/A",('Rent Roll'!W$126-SUMIF('Rent Roll'!$G$24:$G$125,'Rent Roll'!W$20,'Rent Roll'!$K$24:$K$125))/($E15-$Q15))</f>
        <v>N/A</v>
      </c>
      <c r="O15">
        <f t="shared" si="3"/>
        <v>0</v>
      </c>
      <c r="P15">
        <f t="shared" si="4"/>
        <v>0</v>
      </c>
      <c r="Q15">
        <f>'Rent Roll'!W$128</f>
        <v>0</v>
      </c>
      <c r="R15">
        <f t="shared" si="5"/>
        <v>0</v>
      </c>
      <c r="S15" t="str">
        <f>'Rent Roll'!$W$20</f>
        <v>G</v>
      </c>
    </row>
    <row r="16" ht="14.25" customHeight="1" hidden="1">
      <c r="A16" t="s">
        <v>2550</v>
      </c>
      <c r="B16" t="str">
        <f t="shared" si="6"/>
        <v>H</v>
      </c>
      <c r="D16" t="str">
        <f t="shared" si="0"/>
        <v>N/A</v>
      </c>
      <c r="E16" cm="1">
        <f t="array" ref="E16">SUMPRODUCT((--EXACT(S16,'Rent Roll'!$G$24:$G$125)))</f>
        <v>0</v>
      </c>
      <c r="F16">
        <f t="shared" si="1"/>
        <v>0</v>
      </c>
      <c r="G16" t="str">
        <f>IF('Rent Roll'!X$17="# Bedrooms","N/A",'Rent Roll'!X$17)</f>
        <v>N/A</v>
      </c>
      <c r="H16" t="str">
        <f>IF('Rent Roll'!X$18="# Baths","N/A",'Rent Roll'!X$18)</f>
        <v>N/A</v>
      </c>
      <c r="I16" t="str">
        <f>IF('Rent Roll'!$X$22="Square Footage","N/A",'Rent Roll'!$X$22)</f>
        <v>N/A</v>
      </c>
      <c r="J16" t="str">
        <f>IF('Rent Roll'!X$21="Market Rent","N/A",'Rent Roll'!X$21)</f>
        <v>N/A</v>
      </c>
      <c r="K16">
        <f t="shared" si="2"/>
        <v>0</v>
      </c>
      <c r="L16">
        <f>'Rent Roll'!X$126</f>
        <v>0</v>
      </c>
      <c r="M16">
        <f>'Rent Roll'!X$130</f>
        <v>0</v>
      </c>
      <c r="N16" t="str">
        <f>IF('Rent Roll'!X$126=0,"N/A",('Rent Roll'!X$126-SUMIF('Rent Roll'!$G$24:$G$125,'Rent Roll'!X$20,'Rent Roll'!$K$24:$K$125))/($E16-$Q16))</f>
        <v>N/A</v>
      </c>
      <c r="O16">
        <f t="shared" si="3"/>
        <v>0</v>
      </c>
      <c r="P16">
        <f t="shared" si="4"/>
        <v>0</v>
      </c>
      <c r="Q16">
        <f>'Rent Roll'!X$128</f>
        <v>0</v>
      </c>
      <c r="R16">
        <f t="shared" si="5"/>
        <v>0</v>
      </c>
      <c r="S16" t="str">
        <f>'Rent Roll'!$X$20</f>
        <v>H</v>
      </c>
    </row>
    <row r="17" ht="14.25" customHeight="1" hidden="1">
      <c r="A17" t="s">
        <v>2551</v>
      </c>
      <c r="B17" t="str">
        <f t="shared" si="6"/>
        <v>H</v>
      </c>
      <c r="D17" t="str">
        <f t="shared" si="0"/>
        <v>N/A</v>
      </c>
      <c r="E17" cm="1">
        <f t="array" ref="E17">SUMPRODUCT((--EXACT(S17,'Rent Roll'!$G$24:$G$125)))</f>
        <v>0</v>
      </c>
      <c r="F17">
        <f t="shared" si="1"/>
        <v>0</v>
      </c>
      <c r="G17" t="str">
        <f>IF('Rent Roll'!Y$17="# Bedrooms","N/A",'Rent Roll'!Y$17)</f>
        <v>N/A</v>
      </c>
      <c r="H17" t="str">
        <f>IF('Rent Roll'!Y$18="# Baths","N/A",'Rent Roll'!Y$18)</f>
        <v>N/A</v>
      </c>
      <c r="I17" t="str">
        <f>IF('Rent Roll'!$Y$22="Square Footage","N/A",'Rent Roll'!$Y$22)</f>
        <v>N/A</v>
      </c>
      <c r="J17" t="str">
        <f>IF('Rent Roll'!Y$21="Market Rent","N/A",'Rent Roll'!Y$21)</f>
        <v>N/A</v>
      </c>
      <c r="K17">
        <f t="shared" si="2"/>
        <v>0</v>
      </c>
      <c r="L17">
        <f>'Rent Roll'!Y$126</f>
        <v>0</v>
      </c>
      <c r="M17">
        <f>'Rent Roll'!Y$130</f>
        <v>0</v>
      </c>
      <c r="N17" t="str">
        <f>IF('Rent Roll'!Y$126=0,"N/A",('Rent Roll'!Y$126-SUMIF('Rent Roll'!$G$24:$G$125,'Rent Roll'!Y$20,'Rent Roll'!$K$24:$K$125))/($E17-$Q17))</f>
        <v>N/A</v>
      </c>
      <c r="O17">
        <f t="shared" si="3"/>
        <v>0</v>
      </c>
      <c r="P17">
        <f t="shared" si="4"/>
        <v>0</v>
      </c>
      <c r="Q17">
        <f>'Rent Roll'!Y$128</f>
        <v>0</v>
      </c>
      <c r="R17">
        <f t="shared" si="5"/>
        <v>0</v>
      </c>
      <c r="S17" t="str">
        <f>'Rent Roll'!$Y$20</f>
        <v>I</v>
      </c>
    </row>
    <row r="18" ht="14.25" customHeight="1" hidden="1">
      <c r="A18" t="s">
        <v>2552</v>
      </c>
      <c r="B18" t="str">
        <f t="shared" si="6"/>
        <v>H</v>
      </c>
      <c r="D18" t="str">
        <f t="shared" si="0"/>
        <v>N/A</v>
      </c>
      <c r="E18" cm="1">
        <f t="array" ref="E18">SUMPRODUCT((--EXACT(S18,'Rent Roll'!$G$24:$G$125)))</f>
        <v>0</v>
      </c>
      <c r="F18">
        <f t="shared" si="1"/>
        <v>0</v>
      </c>
      <c r="G18" t="str">
        <f>IF('Rent Roll'!Z$17="# Bedrooms","N/A",'Rent Roll'!Z$17)</f>
        <v>N/A</v>
      </c>
      <c r="H18" t="str">
        <f>IF('Rent Roll'!Z$18="# Baths","N/A",'Rent Roll'!Z$18)</f>
        <v>N/A</v>
      </c>
      <c r="I18" t="str">
        <f>IF('Rent Roll'!$Z$22="Square Footage","N/A",'Rent Roll'!$Z$22)</f>
        <v>N/A</v>
      </c>
      <c r="J18" t="str">
        <f>IF('Rent Roll'!Z$21="Market Rent","N/A",'Rent Roll'!Z$21)</f>
        <v>N/A</v>
      </c>
      <c r="K18">
        <f t="shared" si="2"/>
        <v>0</v>
      </c>
      <c r="L18">
        <f>'Rent Roll'!Z$126</f>
        <v>0</v>
      </c>
      <c r="M18">
        <f>'Rent Roll'!Z$130</f>
        <v>0</v>
      </c>
      <c r="N18" t="str">
        <f>IF('Rent Roll'!Z$126=0,"N/A",('Rent Roll'!Z$126-SUMIF('Rent Roll'!$G$24:$G$125,'Rent Roll'!Z$20,'Rent Roll'!$K$24:$K$125))/($E18-$Q18))</f>
        <v>N/A</v>
      </c>
      <c r="O18">
        <f t="shared" si="3"/>
        <v>0</v>
      </c>
      <c r="P18">
        <f t="shared" si="4"/>
        <v>0</v>
      </c>
      <c r="Q18">
        <f>'Rent Roll'!Z$128</f>
        <v>0</v>
      </c>
      <c r="R18">
        <f t="shared" si="5"/>
        <v>0</v>
      </c>
      <c r="S18" t="str">
        <f>'Rent Roll'!$Z$20</f>
        <v>J</v>
      </c>
    </row>
    <row r="19" ht="14.25" customHeight="1" hidden="1">
      <c r="A19" t="s">
        <v>2553</v>
      </c>
      <c r="B19" t="str">
        <f t="shared" si="6"/>
        <v>H</v>
      </c>
      <c r="D19" t="str">
        <f t="shared" si="0"/>
        <v>N/A</v>
      </c>
      <c r="E19" cm="1">
        <f t="array" ref="E19">SUMPRODUCT((--EXACT(S19,'Rent Roll'!$G$24:$G$125)))</f>
        <v>0</v>
      </c>
      <c r="F19">
        <f t="shared" si="1"/>
        <v>0</v>
      </c>
      <c r="G19" t="str">
        <f>IF('Rent Roll'!AA$17="# Bedrooms","N/A",'Rent Roll'!AA$17)</f>
        <v>N/A</v>
      </c>
      <c r="H19" t="str">
        <f>IF('Rent Roll'!AA$18="# Baths","N/A",'Rent Roll'!AA$18)</f>
        <v>N/A</v>
      </c>
      <c r="I19" t="str">
        <f>IF('Rent Roll'!$AA$22="Square Footage","N/A",'Rent Roll'!$AA$22)</f>
        <v>N/A</v>
      </c>
      <c r="J19" t="str">
        <f>IF('Rent Roll'!AA$21="Market Rent","N/A",'Rent Roll'!AA$21)</f>
        <v>N/A</v>
      </c>
      <c r="K19">
        <f t="shared" si="2"/>
        <v>0</v>
      </c>
      <c r="L19">
        <f>'Rent Roll'!AA$126</f>
        <v>0</v>
      </c>
      <c r="M19">
        <f>'Rent Roll'!AA$130</f>
        <v>0</v>
      </c>
      <c r="N19" t="str">
        <f>IF('Rent Roll'!AA$126=0,"N/A",('Rent Roll'!AA$126-SUMIF('Rent Roll'!$G$24:$G$125,'Rent Roll'!AA$20,'Rent Roll'!$K$24:$K$125))/($E19-$Q19))</f>
        <v>N/A</v>
      </c>
      <c r="O19">
        <f t="shared" si="3"/>
        <v>0</v>
      </c>
      <c r="P19">
        <f t="shared" si="4"/>
        <v>0</v>
      </c>
      <c r="Q19">
        <f>'Rent Roll'!AA$128</f>
        <v>0</v>
      </c>
      <c r="R19">
        <f t="shared" si="5"/>
        <v>0</v>
      </c>
      <c r="S19" t="str">
        <f>'Rent Roll'!$AA$20</f>
        <v>K</v>
      </c>
    </row>
    <row r="20" ht="14.25" customHeight="1" hidden="1">
      <c r="A20" t="s">
        <v>2554</v>
      </c>
      <c r="B20" t="str">
        <f t="shared" si="6"/>
        <v>H</v>
      </c>
      <c r="D20" t="str">
        <f t="shared" si="0"/>
        <v>N/A</v>
      </c>
      <c r="E20" cm="1">
        <f t="array" ref="E20">SUMPRODUCT((--EXACT(S20,'Rent Roll'!$G$24:$G$125)))</f>
        <v>0</v>
      </c>
      <c r="F20">
        <f t="shared" si="1"/>
        <v>0</v>
      </c>
      <c r="G20" t="str">
        <f>IF('Rent Roll'!AB$17="# Bedrooms","N/A",'Rent Roll'!AB$17)</f>
        <v>N/A</v>
      </c>
      <c r="H20" t="str">
        <f>IF('Rent Roll'!AB$18="# Baths","N/A",'Rent Roll'!AB$18)</f>
        <v>N/A</v>
      </c>
      <c r="I20" t="str">
        <f>IF('Rent Roll'!$AB$22="Square Footage","N/A",'Rent Roll'!$AB$22)</f>
        <v>N/A</v>
      </c>
      <c r="J20" t="str">
        <f>IF('Rent Roll'!AB$21="Market Rent","N/A",'Rent Roll'!AB$21)</f>
        <v>N/A</v>
      </c>
      <c r="K20">
        <f t="shared" si="2"/>
        <v>0</v>
      </c>
      <c r="L20">
        <f>'Rent Roll'!AB$126</f>
        <v>0</v>
      </c>
      <c r="M20">
        <f>'Rent Roll'!AB$130</f>
        <v>0</v>
      </c>
      <c r="N20" t="str">
        <f>IF('Rent Roll'!AB$126=0,"N/A",('Rent Roll'!AB$126-SUMIF('Rent Roll'!$G$24:$G$125,'Rent Roll'!AB$20,'Rent Roll'!$K$24:$K$125))/($E20-$Q20))</f>
        <v>N/A</v>
      </c>
      <c r="O20">
        <f t="shared" si="3"/>
        <v>0</v>
      </c>
      <c r="P20">
        <f t="shared" si="4"/>
        <v>0</v>
      </c>
      <c r="Q20">
        <f>'Rent Roll'!AB$128</f>
        <v>0</v>
      </c>
      <c r="R20">
        <f t="shared" si="5"/>
        <v>0</v>
      </c>
      <c r="S20" t="str">
        <f>'Rent Roll'!$AB$20</f>
        <v>L</v>
      </c>
    </row>
    <row r="21" ht="14.25" customHeight="1" hidden="1">
      <c r="A21" t="s">
        <v>3156</v>
      </c>
      <c r="B21" t="str">
        <f t="shared" si="6"/>
        <v>H</v>
      </c>
      <c r="D21" t="str">
        <f t="shared" si="0"/>
        <v>N/A</v>
      </c>
      <c r="E21" cm="1">
        <f t="array" ref="E21">SUMPRODUCT((--EXACT(S21,'Rent Roll'!$G$24:$G$125)))</f>
        <v>0</v>
      </c>
      <c r="F21">
        <f t="shared" si="1"/>
        <v>0</v>
      </c>
      <c r="G21" t="str">
        <f>IF('Rent Roll'!AC$17="# Bedrooms","N/A",'Rent Roll'!AC$17)</f>
        <v>N/A</v>
      </c>
      <c r="H21" t="str">
        <f>IF('Rent Roll'!AC$18="# Baths","N/A",'Rent Roll'!AC$18)</f>
        <v>N/A</v>
      </c>
      <c r="I21" t="str">
        <f>IF('Rent Roll'!$AC$22="Square Footage","N/A",'Rent Roll'!$AC$22)</f>
        <v>N/A</v>
      </c>
      <c r="J21" t="str">
        <f>IF('Rent Roll'!AC$21="Market Rent","N/A",'Rent Roll'!AC$21)</f>
        <v>N/A</v>
      </c>
      <c r="K21">
        <f t="shared" si="2"/>
        <v>0</v>
      </c>
      <c r="L21">
        <f>'Rent Roll'!AC$126</f>
        <v>0</v>
      </c>
      <c r="M21">
        <f>'Rent Roll'!AC$130</f>
        <v>0</v>
      </c>
      <c r="N21" t="str">
        <f>IF('Rent Roll'!AC$126=0,"N/A",('Rent Roll'!AC$126-SUMIF('Rent Roll'!$G$24:$G$125,'Rent Roll'!AC$20,'Rent Roll'!$K$24:$K$125))/($E21-$Q21))</f>
        <v>N/A</v>
      </c>
      <c r="O21">
        <f t="shared" si="3"/>
        <v>0</v>
      </c>
      <c r="P21">
        <f t="shared" si="4"/>
        <v>0</v>
      </c>
      <c r="Q21">
        <f>'Rent Roll'!AC$128</f>
        <v>0</v>
      </c>
      <c r="R21">
        <f t="shared" si="5"/>
        <v>0</v>
      </c>
      <c r="S21" t="str">
        <f>'Rent Roll'!$AC$20</f>
        <v>M</v>
      </c>
    </row>
    <row r="22" ht="14.25" customHeight="1" hidden="1">
      <c r="A22" t="s">
        <v>3157</v>
      </c>
      <c r="B22" t="str">
        <f t="shared" si="6"/>
        <v>H</v>
      </c>
      <c r="D22" t="str">
        <f t="shared" si="0"/>
        <v>N/A</v>
      </c>
      <c r="E22" cm="1">
        <f t="array" ref="E22">SUMPRODUCT((--EXACT(S22,'Rent Roll'!$G$24:$G$125)))</f>
        <v>0</v>
      </c>
      <c r="F22">
        <f t="shared" si="1"/>
        <v>0</v>
      </c>
      <c r="G22" t="str">
        <f>IF('Rent Roll'!AD$17="# Bedrooms","N/A",'Rent Roll'!AD$17)</f>
        <v>N/A</v>
      </c>
      <c r="H22" t="str">
        <f>IF('Rent Roll'!AD$18="# Baths","N/A",'Rent Roll'!AD$18)</f>
        <v>N/A</v>
      </c>
      <c r="I22" t="str">
        <f>IF('Rent Roll'!$AD$22="Square Footage","N/A",'Rent Roll'!$AD$22)</f>
        <v>N/A</v>
      </c>
      <c r="J22" t="str">
        <f>IF('Rent Roll'!AD$21="Market Rent","N/A",'Rent Roll'!AD$21)</f>
        <v>N/A</v>
      </c>
      <c r="K22">
        <f t="shared" si="2"/>
        <v>0</v>
      </c>
      <c r="L22">
        <f>'Rent Roll'!AD$126</f>
        <v>0</v>
      </c>
      <c r="M22">
        <f>'Rent Roll'!AD$130</f>
        <v>0</v>
      </c>
      <c r="N22" t="str">
        <f>IF('Rent Roll'!AD$126=0,"N/A",('Rent Roll'!AD$126-SUMIF('Rent Roll'!$G$24:$G$125,'Rent Roll'!AD$20,'Rent Roll'!$K$24:$K$125))/($E22-$Q22))</f>
        <v>N/A</v>
      </c>
      <c r="O22">
        <f t="shared" si="3"/>
        <v>0</v>
      </c>
      <c r="P22">
        <f t="shared" si="4"/>
        <v>0</v>
      </c>
      <c r="Q22">
        <f>'Rent Roll'!AD$128</f>
        <v>0</v>
      </c>
      <c r="R22">
        <f t="shared" si="5"/>
        <v>0</v>
      </c>
      <c r="S22" t="str">
        <f>'Rent Roll'!$AD$20</f>
        <v>N</v>
      </c>
    </row>
    <row r="23" ht="14.25" customHeight="1" hidden="1">
      <c r="A23" t="s">
        <v>3158</v>
      </c>
      <c r="B23" t="str">
        <f t="shared" si="6"/>
        <v>H</v>
      </c>
      <c r="D23" t="str">
        <f t="shared" si="0"/>
        <v>N/A</v>
      </c>
      <c r="E23" cm="1">
        <f t="array" ref="E23">SUMPRODUCT((--EXACT(S23,'Rent Roll'!$G$24:$G$125)))</f>
        <v>0</v>
      </c>
      <c r="F23">
        <f t="shared" si="1"/>
        <v>0</v>
      </c>
      <c r="G23" t="str">
        <f>IF('Rent Roll'!AE$17="# Bedrooms","N/A",'Rent Roll'!AE$17)</f>
        <v>N/A</v>
      </c>
      <c r="H23" t="str">
        <f>IF('Rent Roll'!AE$18="# Baths","N/A",'Rent Roll'!AE$18)</f>
        <v>N/A</v>
      </c>
      <c r="I23" t="str">
        <f>IF('Rent Roll'!$AE$22="Square Footage","N/A",'Rent Roll'!$AE$22)</f>
        <v>N/A</v>
      </c>
      <c r="J23" t="str">
        <f>IF('Rent Roll'!AE$21="Market Rent","N/A",'Rent Roll'!AE$21)</f>
        <v>N/A</v>
      </c>
      <c r="K23">
        <f t="shared" si="2"/>
        <v>0</v>
      </c>
      <c r="L23">
        <f>'Rent Roll'!AE$126</f>
        <v>0</v>
      </c>
      <c r="M23">
        <f>'Rent Roll'!AE$130</f>
        <v>0</v>
      </c>
      <c r="N23" t="str">
        <f>IF('Rent Roll'!AE$126=0,"N/A",('Rent Roll'!AE$126-SUMIF('Rent Roll'!$G$24:$G$125,'Rent Roll'!AE$20,'Rent Roll'!$K$24:$K$125))/($E23-$Q23))</f>
        <v>N/A</v>
      </c>
      <c r="O23">
        <f t="shared" si="3"/>
        <v>0</v>
      </c>
      <c r="P23">
        <f t="shared" si="4"/>
        <v>0</v>
      </c>
      <c r="Q23">
        <f>'Rent Roll'!AE$128</f>
        <v>0</v>
      </c>
      <c r="R23">
        <f t="shared" si="5"/>
        <v>0</v>
      </c>
      <c r="S23" t="str">
        <f>'Rent Roll'!$AE$20</f>
        <v>O</v>
      </c>
    </row>
    <row r="24" ht="14.25" customHeight="1" hidden="1">
      <c r="A24" t="s">
        <v>3159</v>
      </c>
      <c r="B24" t="str">
        <f t="shared" si="6"/>
        <v>H</v>
      </c>
      <c r="D24" t="str">
        <f t="shared" si="0"/>
        <v>N/A</v>
      </c>
      <c r="E24" cm="1">
        <f t="array" ref="E24">SUMPRODUCT((--EXACT(S24,'Rent Roll'!$G$24:$G$125)))</f>
        <v>0</v>
      </c>
      <c r="F24">
        <f t="shared" si="1"/>
        <v>0</v>
      </c>
      <c r="G24" t="str">
        <f>IF('Rent Roll'!AF$17="# Bedrooms","N/A",'Rent Roll'!AF$17)</f>
        <v>N/A</v>
      </c>
      <c r="H24" t="str">
        <f>IF('Rent Roll'!AF$18="# Baths","N/A",'Rent Roll'!AF$18)</f>
        <v>N/A</v>
      </c>
      <c r="I24" t="str">
        <f>IF('Rent Roll'!$AF$22="Square Footage","N/A",'Rent Roll'!$AF$22)</f>
        <v>N/A</v>
      </c>
      <c r="J24" t="str">
        <f>IF('Rent Roll'!AF$21="Market Rent","N/A",'Rent Roll'!AF$21)</f>
        <v>N/A</v>
      </c>
      <c r="K24">
        <f t="shared" si="2"/>
        <v>0</v>
      </c>
      <c r="L24">
        <f>'Rent Roll'!AF$126</f>
        <v>0</v>
      </c>
      <c r="M24">
        <f>'Rent Roll'!AF$130</f>
        <v>0</v>
      </c>
      <c r="N24" t="str">
        <f>IF('Rent Roll'!AF$126=0,"N/A",('Rent Roll'!AF$126-SUMIF('Rent Roll'!$G$24:$G$125,'Rent Roll'!AF$20,'Rent Roll'!$K$24:$K$125))/($E24-$Q24))</f>
        <v>N/A</v>
      </c>
      <c r="O24">
        <f t="shared" si="3"/>
        <v>0</v>
      </c>
      <c r="P24">
        <f t="shared" si="4"/>
        <v>0</v>
      </c>
      <c r="Q24">
        <f>'Rent Roll'!AF$128</f>
        <v>0</v>
      </c>
      <c r="R24">
        <f t="shared" si="5"/>
        <v>0</v>
      </c>
      <c r="S24" t="str">
        <f>'Rent Roll'!$AF$20</f>
        <v>P</v>
      </c>
    </row>
    <row r="25" ht="14.25" customHeight="1" hidden="1">
      <c r="A25" t="s">
        <v>3160</v>
      </c>
      <c r="B25" t="str">
        <f t="shared" si="6"/>
        <v>H</v>
      </c>
      <c r="D25" t="str">
        <f t="shared" si="0"/>
        <v>N/A</v>
      </c>
      <c r="E25" cm="1">
        <f t="array" ref="E25">SUMPRODUCT((--EXACT(S25,'Rent Roll'!$G$24:$G$125)))</f>
        <v>0</v>
      </c>
      <c r="F25">
        <f t="shared" si="1"/>
        <v>0</v>
      </c>
      <c r="G25" t="str">
        <f>IF('Rent Roll'!AG$17="# Bedrooms","N/A",'Rent Roll'!AG$17)</f>
        <v>N/A</v>
      </c>
      <c r="H25" t="str">
        <f>IF('Rent Roll'!AG$18="# Baths","N/A",'Rent Roll'!AG$18)</f>
        <v>N/A</v>
      </c>
      <c r="I25" t="str">
        <f>IF('Rent Roll'!$AG$22="Square Footage","N/A",'Rent Roll'!$AG$22)</f>
        <v>N/A</v>
      </c>
      <c r="J25" t="str">
        <f>IF('Rent Roll'!AG$21="Market Rent","N/A",'Rent Roll'!AG$21)</f>
        <v>N/A</v>
      </c>
      <c r="K25">
        <f t="shared" si="2"/>
        <v>0</v>
      </c>
      <c r="L25">
        <f>'Rent Roll'!AG$126</f>
        <v>0</v>
      </c>
      <c r="M25">
        <f>'Rent Roll'!AG$130</f>
        <v>0</v>
      </c>
      <c r="N25" t="str">
        <f>IF('Rent Roll'!AG$126=0,"N/A",('Rent Roll'!AG$126-SUMIF('Rent Roll'!$G$24:$G$125,'Rent Roll'!AG$20,'Rent Roll'!$K$24:$K$125))/($E25-$Q25))</f>
        <v>N/A</v>
      </c>
      <c r="O25">
        <f t="shared" si="3"/>
        <v>0</v>
      </c>
      <c r="P25">
        <f t="shared" si="4"/>
        <v>0</v>
      </c>
      <c r="Q25">
        <f>'Rent Roll'!AG$128</f>
        <v>0</v>
      </c>
      <c r="R25">
        <f t="shared" si="5"/>
        <v>0</v>
      </c>
      <c r="S25" t="str">
        <f>'Rent Roll'!$AG$20</f>
        <v>Q</v>
      </c>
    </row>
    <row r="26" ht="14.25" customHeight="1" hidden="1">
      <c r="A26" t="s">
        <v>3161</v>
      </c>
      <c r="B26" t="str">
        <f t="shared" si="6"/>
        <v>H</v>
      </c>
      <c r="D26" t="str">
        <f t="shared" si="0"/>
        <v>N/A</v>
      </c>
      <c r="E26" cm="1">
        <f t="array" ref="E26">SUMPRODUCT((--EXACT(S26,'Rent Roll'!$G$24:$G$125)))</f>
        <v>0</v>
      </c>
      <c r="F26">
        <f t="shared" si="1"/>
        <v>0</v>
      </c>
      <c r="G26" t="str">
        <f>IF('Rent Roll'!AH$17="# Bedrooms","N/A",'Rent Roll'!AH$17)</f>
        <v>N/A</v>
      </c>
      <c r="H26" t="str">
        <f>IF('Rent Roll'!AH$18="# Baths","N/A",'Rent Roll'!AH$18)</f>
        <v>N/A</v>
      </c>
      <c r="I26" t="str">
        <f>IF('Rent Roll'!$AH$22="Square Footage","N/A",'Rent Roll'!$AH$22)</f>
        <v>N/A</v>
      </c>
      <c r="J26" t="str">
        <f>IF('Rent Roll'!AH$21="Market Rent","N/A",'Rent Roll'!AH$21)</f>
        <v>N/A</v>
      </c>
      <c r="K26">
        <f t="shared" si="2"/>
        <v>0</v>
      </c>
      <c r="L26">
        <f>'Rent Roll'!AH$126</f>
        <v>0</v>
      </c>
      <c r="M26">
        <f>'Rent Roll'!AH$130</f>
        <v>0</v>
      </c>
      <c r="N26" t="str">
        <f>IF('Rent Roll'!AH$126=0,"N/A",('Rent Roll'!AH$126-SUMIF('Rent Roll'!$G$24:$G$125,'Rent Roll'!AH$20,'Rent Roll'!$K$24:$K$125))/($E26-$Q26))</f>
        <v>N/A</v>
      </c>
      <c r="O26">
        <f t="shared" si="3"/>
        <v>0</v>
      </c>
      <c r="P26">
        <f t="shared" si="4"/>
        <v>0</v>
      </c>
      <c r="Q26">
        <f>'Rent Roll'!AH$128</f>
        <v>0</v>
      </c>
      <c r="R26">
        <f t="shared" si="5"/>
        <v>0</v>
      </c>
      <c r="S26" t="str">
        <f>'Rent Roll'!$AH$20</f>
        <v>R</v>
      </c>
    </row>
    <row r="27" ht="14.25" customHeight="1" hidden="1">
      <c r="A27" t="s">
        <v>3162</v>
      </c>
      <c r="B27" t="str">
        <f t="shared" si="6"/>
        <v>H</v>
      </c>
      <c r="D27" t="str">
        <f t="shared" si="0"/>
        <v>N/A</v>
      </c>
      <c r="E27" cm="1">
        <f t="array" ref="E27">SUMPRODUCT((--EXACT(S27,'Rent Roll'!$G$24:$G$125)))</f>
        <v>0</v>
      </c>
      <c r="F27">
        <f t="shared" si="1"/>
        <v>0</v>
      </c>
      <c r="G27" t="str">
        <f>IF('Rent Roll'!AI$17="# Bedrooms","N/A",'Rent Roll'!AI$17)</f>
        <v>N/A</v>
      </c>
      <c r="H27" t="str">
        <f>IF('Rent Roll'!AI$18="# Baths","N/A",'Rent Roll'!AI$18)</f>
        <v>N/A</v>
      </c>
      <c r="I27" t="str">
        <f>IF('Rent Roll'!$AI$22="Square Footage","N/A",'Rent Roll'!$AI$22)</f>
        <v>N/A</v>
      </c>
      <c r="J27" t="str">
        <f>IF('Rent Roll'!AI$21="Market Rent","N/A",'Rent Roll'!AI$21)</f>
        <v>N/A</v>
      </c>
      <c r="K27">
        <f t="shared" si="2"/>
        <v>0</v>
      </c>
      <c r="L27">
        <f>'Rent Roll'!AI$126</f>
        <v>0</v>
      </c>
      <c r="M27">
        <f>'Rent Roll'!AI$130</f>
        <v>0</v>
      </c>
      <c r="N27" t="str">
        <f>IF('Rent Roll'!AI$126=0,"N/A",('Rent Roll'!AI$126-SUMIF('Rent Roll'!$G$24:$G$125,'Rent Roll'!AI$20,'Rent Roll'!$K$24:$K$125))/($E27-$Q27))</f>
        <v>N/A</v>
      </c>
      <c r="O27">
        <f t="shared" si="3"/>
        <v>0</v>
      </c>
      <c r="P27">
        <f t="shared" si="4"/>
        <v>0</v>
      </c>
      <c r="Q27">
        <f>'Rent Roll'!AI$128</f>
        <v>0</v>
      </c>
      <c r="R27">
        <f t="shared" si="5"/>
        <v>0</v>
      </c>
      <c r="S27" t="str">
        <f>'Rent Roll'!$AI$20</f>
        <v>S</v>
      </c>
    </row>
    <row r="28" ht="14.25" customHeight="1" hidden="1">
      <c r="A28" t="s">
        <v>3163</v>
      </c>
      <c r="B28" t="str">
        <f t="shared" si="6"/>
        <v>H</v>
      </c>
      <c r="D28" t="str">
        <f t="shared" si="0"/>
        <v>N/A</v>
      </c>
      <c r="E28" cm="1">
        <f t="array" ref="E28">SUMPRODUCT((--EXACT(S28,'Rent Roll'!$G$24:$G$125)))</f>
        <v>0</v>
      </c>
      <c r="F28">
        <f t="shared" si="1"/>
        <v>0</v>
      </c>
      <c r="G28" t="str">
        <f>IF('Rent Roll'!AJ$17="# Bedrooms","N/A",'Rent Roll'!AJ$17)</f>
        <v>N/A</v>
      </c>
      <c r="H28" t="str">
        <f>IF('Rent Roll'!AJ$18="# Baths","N/A",'Rent Roll'!AJ$18)</f>
        <v>N/A</v>
      </c>
      <c r="I28" t="str">
        <f>IF('Rent Roll'!$AJ$22="Square Footage","N/A",'Rent Roll'!$AJ$22)</f>
        <v>N/A</v>
      </c>
      <c r="J28" t="str">
        <f>IF('Rent Roll'!AJ$21="Market Rent","N/A",'Rent Roll'!AJ$21)</f>
        <v>N/A</v>
      </c>
      <c r="K28">
        <f t="shared" si="2"/>
        <v>0</v>
      </c>
      <c r="L28">
        <f>'Rent Roll'!AJ$126</f>
        <v>0</v>
      </c>
      <c r="M28">
        <f>'Rent Roll'!AJ$130</f>
        <v>0</v>
      </c>
      <c r="N28" t="str">
        <f>IF('Rent Roll'!AJ$126=0,"N/A",('Rent Roll'!AJ$126-SUMIF('Rent Roll'!$G$24:$G$125,'Rent Roll'!AJ$20,'Rent Roll'!$K$24:$K$125))/($E28-$Q28))</f>
        <v>N/A</v>
      </c>
      <c r="O28">
        <f t="shared" si="3"/>
        <v>0</v>
      </c>
      <c r="P28">
        <f t="shared" si="4"/>
        <v>0</v>
      </c>
      <c r="Q28">
        <f>'Rent Roll'!AJ$128</f>
        <v>0</v>
      </c>
      <c r="R28">
        <f t="shared" si="5"/>
        <v>0</v>
      </c>
      <c r="S28" t="str">
        <f>'Rent Roll'!$AJ$20</f>
        <v>T</v>
      </c>
    </row>
    <row r="29" ht="14.25" customHeight="1" hidden="1">
      <c r="A29" t="s">
        <v>3164</v>
      </c>
      <c r="B29" t="str">
        <f t="shared" si="6"/>
        <v>H</v>
      </c>
      <c r="D29" t="str">
        <f t="shared" si="0"/>
        <v>N/A</v>
      </c>
      <c r="E29" cm="1">
        <f t="array" ref="E29">SUMPRODUCT((--EXACT(S29,'Rent Roll'!$G$24:$G$125)))</f>
        <v>0</v>
      </c>
      <c r="F29">
        <f t="shared" si="1"/>
        <v>0</v>
      </c>
      <c r="G29" t="str">
        <f>IF('Rent Roll'!AK$17="# Bedrooms","N/A",'Rent Roll'!AK$17)</f>
        <v>N/A</v>
      </c>
      <c r="H29" t="str">
        <f>IF('Rent Roll'!AK$18="# Baths","N/A",'Rent Roll'!AK$18)</f>
        <v>N/A</v>
      </c>
      <c r="I29" t="str">
        <f>IF('Rent Roll'!$AK$22="Square Footage","N/A",'Rent Roll'!$AK$22)</f>
        <v>N/A</v>
      </c>
      <c r="J29" t="str">
        <f>IF('Rent Roll'!AK$21="Market Rent","N/A",'Rent Roll'!AK$21)</f>
        <v>N/A</v>
      </c>
      <c r="K29">
        <f t="shared" si="2"/>
        <v>0</v>
      </c>
      <c r="L29">
        <f>'Rent Roll'!AK$126</f>
        <v>0</v>
      </c>
      <c r="M29">
        <f>'Rent Roll'!AK$130</f>
        <v>0</v>
      </c>
      <c r="N29" t="str">
        <f>IF('Rent Roll'!AK$126=0,"N/A",('Rent Roll'!AK$126-SUMIF('Rent Roll'!$G$24:$G$125,'Rent Roll'!AK$20,'Rent Roll'!$K$24:$K$125))/($E29-$Q29))</f>
        <v>N/A</v>
      </c>
      <c r="O29">
        <f t="shared" si="3"/>
        <v>0</v>
      </c>
      <c r="P29">
        <f t="shared" si="4"/>
        <v>0</v>
      </c>
      <c r="Q29">
        <f>'Rent Roll'!AK$128</f>
        <v>0</v>
      </c>
      <c r="R29">
        <f t="shared" si="5"/>
        <v>0</v>
      </c>
      <c r="S29" t="str">
        <f>'Rent Roll'!$AK$20</f>
        <v>U</v>
      </c>
    </row>
    <row r="30" ht="14.25" customHeight="1" hidden="1">
      <c r="A30" t="s">
        <v>3165</v>
      </c>
      <c r="B30" t="str">
        <f t="shared" si="6"/>
        <v>H</v>
      </c>
      <c r="D30" t="str">
        <f t="shared" si="0"/>
        <v>N/A</v>
      </c>
      <c r="E30" cm="1">
        <f t="array" ref="E30">SUMPRODUCT((--EXACT(S30,'Rent Roll'!$G$24:$G$125)))</f>
        <v>0</v>
      </c>
      <c r="F30">
        <f t="shared" si="1"/>
        <v>0</v>
      </c>
      <c r="G30" t="str">
        <f>IF('Rent Roll'!AL$17="# Bedrooms","N/A",'Rent Roll'!AL$17)</f>
        <v>N/A</v>
      </c>
      <c r="H30" t="str">
        <f>IF('Rent Roll'!AL$18="# Baths","N/A",'Rent Roll'!AL$18)</f>
        <v>N/A</v>
      </c>
      <c r="I30" t="str">
        <f>IF('Rent Roll'!$AL$22="Square Footage","N/A",'Rent Roll'!$AL$22)</f>
        <v>N/A</v>
      </c>
      <c r="J30" t="str">
        <f>IF('Rent Roll'!AL$21="Market Rent","N/A",'Rent Roll'!AL$21)</f>
        <v>N/A</v>
      </c>
      <c r="K30">
        <f t="shared" si="2"/>
        <v>0</v>
      </c>
      <c r="L30">
        <f>'Rent Roll'!AL$126</f>
        <v>0</v>
      </c>
      <c r="M30">
        <f>'Rent Roll'!AL$130</f>
        <v>0</v>
      </c>
      <c r="N30" t="str">
        <f>IF('Rent Roll'!AL$126=0,"N/A",('Rent Roll'!AL$126-SUMIF('Rent Roll'!$G$24:$G$125,'Rent Roll'!AL$20,'Rent Roll'!$K$24:$K$125))/($E30-$Q30))</f>
        <v>N/A</v>
      </c>
      <c r="O30">
        <f t="shared" si="3"/>
        <v>0</v>
      </c>
      <c r="P30">
        <f t="shared" si="4"/>
        <v>0</v>
      </c>
      <c r="Q30">
        <f>'Rent Roll'!AL$128</f>
        <v>0</v>
      </c>
      <c r="R30">
        <f t="shared" si="5"/>
        <v>0</v>
      </c>
      <c r="S30" t="str">
        <f>'Rent Roll'!$AL$20</f>
        <v>V</v>
      </c>
    </row>
    <row r="31" ht="14.25" customHeight="1" hidden="1">
      <c r="A31" t="s">
        <v>3166</v>
      </c>
      <c r="B31" t="str">
        <f t="shared" si="6"/>
        <v>H</v>
      </c>
      <c r="D31" t="str">
        <f t="shared" si="0"/>
        <v>N/A</v>
      </c>
      <c r="E31" cm="1">
        <f t="array" ref="E31">SUMPRODUCT((--EXACT(S31,'Rent Roll'!$G$24:$G$125)))</f>
        <v>0</v>
      </c>
      <c r="F31">
        <f t="shared" si="1"/>
        <v>0</v>
      </c>
      <c r="G31" t="str">
        <f>IF('Rent Roll'!AM$17="# Bedrooms","N/A",'Rent Roll'!AM$17)</f>
        <v>N/A</v>
      </c>
      <c r="H31" t="str">
        <f>IF('Rent Roll'!AM$18="# Baths","N/A",'Rent Roll'!AM$18)</f>
        <v>N/A</v>
      </c>
      <c r="I31" t="str">
        <f>IF('Rent Roll'!$AM$22="Square Footage","N/A",'Rent Roll'!$AM$22)</f>
        <v>N/A</v>
      </c>
      <c r="J31" t="str">
        <f>IF('Rent Roll'!AM$21="Market Rent","N/A",'Rent Roll'!AM$21)</f>
        <v>N/A</v>
      </c>
      <c r="K31">
        <f t="shared" si="2"/>
        <v>0</v>
      </c>
      <c r="L31">
        <f>'Rent Roll'!AM$126</f>
        <v>0</v>
      </c>
      <c r="M31">
        <f>'Rent Roll'!AM$130</f>
        <v>0</v>
      </c>
      <c r="N31" t="str">
        <f>IF('Rent Roll'!AM$126=0,"N/A",('Rent Roll'!AM$126-SUMIF('Rent Roll'!$G$24:$G$125,'Rent Roll'!AM$20,'Rent Roll'!$K$24:$K$125))/($E31-$Q31))</f>
        <v>N/A</v>
      </c>
      <c r="O31">
        <f t="shared" si="3"/>
        <v>0</v>
      </c>
      <c r="P31">
        <f t="shared" si="4"/>
        <v>0</v>
      </c>
      <c r="Q31">
        <f>'Rent Roll'!AM$128</f>
        <v>0</v>
      </c>
      <c r="R31">
        <f t="shared" si="5"/>
        <v>0</v>
      </c>
      <c r="S31" t="str">
        <f>'Rent Roll'!$AM$20</f>
        <v>W</v>
      </c>
    </row>
    <row r="32" ht="14.25" customHeight="1" hidden="1">
      <c r="A32" t="s">
        <v>3167</v>
      </c>
      <c r="B32" t="str">
        <f t="shared" si="6"/>
        <v>H</v>
      </c>
      <c r="D32" t="str">
        <f t="shared" si="0"/>
        <v>N/A</v>
      </c>
      <c r="E32" cm="1">
        <f t="array" ref="E32">SUMPRODUCT((--EXACT(S32,'Rent Roll'!$G$24:$G$125)))</f>
        <v>0</v>
      </c>
      <c r="F32">
        <f t="shared" si="1"/>
        <v>0</v>
      </c>
      <c r="G32" t="str">
        <f>IF('Rent Roll'!AN$17="# Bedrooms","N/A",'Rent Roll'!AN$17)</f>
        <v>N/A</v>
      </c>
      <c r="H32" t="str">
        <f>IF('Rent Roll'!AN$18="# Baths","N/A",'Rent Roll'!AN$18)</f>
        <v>N/A</v>
      </c>
      <c r="I32" t="str">
        <f>IF('Rent Roll'!$AN$22="Square Footage","N/A",'Rent Roll'!$AN$22)</f>
        <v>N/A</v>
      </c>
      <c r="J32" t="str">
        <f>IF('Rent Roll'!AN$21="Market Rent","N/A",'Rent Roll'!AN$21)</f>
        <v>N/A</v>
      </c>
      <c r="K32">
        <f t="shared" si="2"/>
        <v>0</v>
      </c>
      <c r="L32">
        <f>'Rent Roll'!AN$126</f>
        <v>0</v>
      </c>
      <c r="M32">
        <f>'Rent Roll'!AN$130</f>
        <v>0</v>
      </c>
      <c r="N32" t="str">
        <f>IF('Rent Roll'!AN$126=0,"N/A",('Rent Roll'!AN$126-SUMIF('Rent Roll'!$G$24:$G$125,'Rent Roll'!AN$20,'Rent Roll'!$K$24:$K$125))/($E32-$Q32))</f>
        <v>N/A</v>
      </c>
      <c r="O32">
        <f t="shared" si="3"/>
        <v>0</v>
      </c>
      <c r="P32">
        <f t="shared" si="4"/>
        <v>0</v>
      </c>
      <c r="Q32">
        <f>'Rent Roll'!AN$128</f>
        <v>0</v>
      </c>
      <c r="R32">
        <f t="shared" si="5"/>
        <v>0</v>
      </c>
      <c r="S32" t="str">
        <f>'Rent Roll'!$AN$20</f>
        <v>X</v>
      </c>
    </row>
    <row r="33" ht="14.25" customHeight="1" hidden="1">
      <c r="A33" t="s">
        <v>3168</v>
      </c>
      <c r="B33" t="str">
        <f t="shared" si="6"/>
        <v>H</v>
      </c>
      <c r="D33" t="str">
        <f t="shared" si="0"/>
        <v>N/A</v>
      </c>
      <c r="E33" cm="1">
        <f t="array" ref="E33">SUMPRODUCT((--EXACT(S33,'Rent Roll'!$G$24:$G$125)))</f>
        <v>0</v>
      </c>
      <c r="F33">
        <f t="shared" si="1"/>
        <v>0</v>
      </c>
      <c r="G33" t="str">
        <f>IF('Rent Roll'!AO$17="# Bedrooms","N/A",'Rent Roll'!AO$17)</f>
        <v>N/A</v>
      </c>
      <c r="H33" t="str">
        <f>IF('Rent Roll'!AO$18="# Baths","N/A",'Rent Roll'!AO$18)</f>
        <v>N/A</v>
      </c>
      <c r="I33" t="str">
        <f>IF('Rent Roll'!$AO$22="Square Footage","N/A",'Rent Roll'!$AO$22)</f>
        <v>N/A</v>
      </c>
      <c r="J33" t="str">
        <f>IF('Rent Roll'!AO$21="Market Rent","N/A",'Rent Roll'!AO$21)</f>
        <v>N/A</v>
      </c>
      <c r="K33">
        <f t="shared" si="2"/>
        <v>0</v>
      </c>
      <c r="L33">
        <f>'Rent Roll'!AO$126</f>
        <v>0</v>
      </c>
      <c r="M33">
        <f>'Rent Roll'!AO$130</f>
        <v>0</v>
      </c>
      <c r="N33" t="str">
        <f>IF('Rent Roll'!AO$126=0,"N/A",('Rent Roll'!AO$126-SUMIF('Rent Roll'!$G$24:$G$125,'Rent Roll'!AO$20,'Rent Roll'!$K$24:$K$125))/($E33-$Q33))</f>
        <v>N/A</v>
      </c>
      <c r="O33">
        <f t="shared" si="3"/>
        <v>0</v>
      </c>
      <c r="P33">
        <f t="shared" si="4"/>
        <v>0</v>
      </c>
      <c r="Q33">
        <f>'Rent Roll'!AO$128</f>
        <v>0</v>
      </c>
      <c r="R33">
        <f t="shared" si="5"/>
        <v>0</v>
      </c>
      <c r="S33" t="str">
        <f>'Rent Roll'!$AO$20</f>
        <v>Y</v>
      </c>
    </row>
    <row r="34" ht="14.25" customHeight="1" hidden="1">
      <c r="A34" t="s">
        <v>3169</v>
      </c>
      <c r="B34" t="str">
        <f t="shared" si="6"/>
        <v>H</v>
      </c>
      <c r="D34" t="str">
        <f t="shared" si="0"/>
        <v>N/A</v>
      </c>
      <c r="E34" cm="1">
        <f t="array" ref="E34">SUMPRODUCT((--EXACT(S34,'Rent Roll'!$G$24:$G$125)))</f>
        <v>0</v>
      </c>
      <c r="F34">
        <f t="shared" si="1"/>
        <v>0</v>
      </c>
      <c r="G34" t="str">
        <f>IF('Rent Roll'!AP$17="# Bedrooms","N/A",'Rent Roll'!AP$17)</f>
        <v>N/A</v>
      </c>
      <c r="H34" t="str">
        <f>IF('Rent Roll'!AP$18="# Baths","N/A",'Rent Roll'!AP$18)</f>
        <v>N/A</v>
      </c>
      <c r="I34" t="str">
        <f>IF('Rent Roll'!$AP$22="Square Footage","N/A",'Rent Roll'!$AP$22)</f>
        <v>N/A</v>
      </c>
      <c r="J34" t="str">
        <f>IF('Rent Roll'!AP$21="Market Rent","N/A",'Rent Roll'!AP$21)</f>
        <v>N/A</v>
      </c>
      <c r="K34">
        <f t="shared" si="2"/>
        <v>0</v>
      </c>
      <c r="L34">
        <f>'Rent Roll'!AP$126</f>
        <v>0</v>
      </c>
      <c r="M34">
        <f>'Rent Roll'!AP$130</f>
        <v>0</v>
      </c>
      <c r="N34" t="str">
        <f>IF('Rent Roll'!AP$126=0,"N/A",('Rent Roll'!AP$126-SUMIF('Rent Roll'!$G$24:$G$125,'Rent Roll'!AP$20,'Rent Roll'!$K$24:$K$125))/($E34-$Q34))</f>
        <v>N/A</v>
      </c>
      <c r="O34">
        <f t="shared" si="3"/>
        <v>0</v>
      </c>
      <c r="P34">
        <f t="shared" si="4"/>
        <v>0</v>
      </c>
      <c r="Q34">
        <f>'Rent Roll'!AP$128</f>
        <v>0</v>
      </c>
      <c r="R34">
        <f t="shared" si="5"/>
        <v>0</v>
      </c>
      <c r="S34" t="str">
        <f>'Rent Roll'!$AP$20</f>
        <v>Z</v>
      </c>
    </row>
    <row r="35" ht="14.25" customHeight="1" hidden="1">
      <c r="A35" t="s">
        <v>3170</v>
      </c>
      <c r="B35" t="str">
        <f t="shared" si="6"/>
        <v>H</v>
      </c>
      <c r="D35" t="str">
        <f t="shared" si="0"/>
        <v>N/A</v>
      </c>
      <c r="E35" cm="1">
        <f t="array" ref="E35">SUMPRODUCT((--EXACT(S35,'Rent Roll'!$G$24:$G$125)))</f>
        <v>0</v>
      </c>
      <c r="F35">
        <f t="shared" si="1"/>
        <v>0</v>
      </c>
      <c r="G35" t="str">
        <f>IF('Rent Roll'!AQ$17="# Bedrooms","N/A",'Rent Roll'!AQ$17)</f>
        <v>N/A</v>
      </c>
      <c r="H35" t="str">
        <f>IF('Rent Roll'!AQ$18="# Baths","N/A",'Rent Roll'!AQ$18)</f>
        <v>N/A</v>
      </c>
      <c r="I35" t="str">
        <f>IF('Rent Roll'!$AQ$22="Square Footage","N/A",'Rent Roll'!$AQ$22)</f>
        <v>N/A</v>
      </c>
      <c r="J35" t="str">
        <f>IF('Rent Roll'!AQ$21="Market Rent","N/A",'Rent Roll'!AQ$21)</f>
        <v>N/A</v>
      </c>
      <c r="K35">
        <f t="shared" si="2"/>
        <v>0</v>
      </c>
      <c r="L35">
        <f>'Rent Roll'!AQ$126</f>
        <v>0</v>
      </c>
      <c r="M35">
        <f>'Rent Roll'!AQ$130</f>
        <v>0</v>
      </c>
      <c r="N35" t="str">
        <f>IF('Rent Roll'!AQ$126=0,"N/A",('Rent Roll'!AQ$126-SUMIF('Rent Roll'!$G$24:$G$125,'Rent Roll'!AQ$20,'Rent Roll'!$K$24:$K$125))/($E35-$Q35))</f>
        <v>N/A</v>
      </c>
      <c r="O35">
        <f t="shared" si="3"/>
        <v>0</v>
      </c>
      <c r="P35">
        <f t="shared" si="4"/>
        <v>0</v>
      </c>
      <c r="Q35">
        <f>'Rent Roll'!AQ$128</f>
        <v>0</v>
      </c>
      <c r="R35">
        <f t="shared" si="5"/>
        <v>0</v>
      </c>
      <c r="S35" t="str">
        <f>'Rent Roll'!$AQ$20</f>
        <v>BA</v>
      </c>
    </row>
    <row r="36" ht="14.25" customHeight="1" hidden="1">
      <c r="A36" t="s">
        <v>3171</v>
      </c>
      <c r="B36" t="str">
        <f t="shared" si="6"/>
        <v>H</v>
      </c>
      <c r="D36" t="str">
        <f t="shared" si="0"/>
        <v>N/A</v>
      </c>
      <c r="E36" cm="1">
        <f t="array" ref="E36">SUMPRODUCT((--EXACT(S36,'Rent Roll'!$G$24:$G$125)))</f>
        <v>0</v>
      </c>
      <c r="F36">
        <f t="shared" si="1"/>
        <v>0</v>
      </c>
      <c r="G36" t="str">
        <f>IF('Rent Roll'!AR$17="# Bedrooms","N/A",'Rent Roll'!AR$17)</f>
        <v>N/A</v>
      </c>
      <c r="H36" t="str">
        <f>IF('Rent Roll'!AR$18="# Baths","N/A",'Rent Roll'!AR$18)</f>
        <v>N/A</v>
      </c>
      <c r="I36" t="str">
        <f>IF('Rent Roll'!$AR$22="Square Footage","N/A",'Rent Roll'!$AR$22)</f>
        <v>N/A</v>
      </c>
      <c r="J36" t="str">
        <f>IF('Rent Roll'!AR$21="Market Rent","N/A",'Rent Roll'!AR$21)</f>
        <v>N/A</v>
      </c>
      <c r="K36">
        <f t="shared" si="2"/>
        <v>0</v>
      </c>
      <c r="L36">
        <f>'Rent Roll'!AR$126</f>
        <v>0</v>
      </c>
      <c r="M36">
        <f>'Rent Roll'!AR$130</f>
        <v>0</v>
      </c>
      <c r="N36" t="str">
        <f>IF('Rent Roll'!AR$126=0,"N/A",('Rent Roll'!AR$126-SUMIF('Rent Roll'!$G$24:$G$125,'Rent Roll'!AR$20,'Rent Roll'!$K$24:$K$125))/($E36-$Q36))</f>
        <v>N/A</v>
      </c>
      <c r="O36">
        <f t="shared" si="3"/>
        <v>0</v>
      </c>
      <c r="P36">
        <f t="shared" si="4"/>
        <v>0</v>
      </c>
      <c r="Q36">
        <f>'Rent Roll'!AR$128</f>
        <v>0</v>
      </c>
      <c r="R36">
        <f t="shared" si="5"/>
        <v>0</v>
      </c>
      <c r="S36" t="str">
        <f>'Rent Roll'!$AR$20</f>
        <v>BB</v>
      </c>
    </row>
    <row r="37" ht="14.25" customHeight="1" hidden="1">
      <c r="A37" t="s">
        <v>3172</v>
      </c>
      <c r="B37" t="str">
        <f t="shared" si="6"/>
        <v>H</v>
      </c>
      <c r="D37" t="str">
        <f t="shared" si="0"/>
        <v>N/A</v>
      </c>
      <c r="E37" cm="1">
        <f t="array" ref="E37">SUMPRODUCT((--EXACT(S37,'Rent Roll'!$G$24:$G$125)))</f>
        <v>0</v>
      </c>
      <c r="F37">
        <f t="shared" si="1"/>
        <v>0</v>
      </c>
      <c r="G37" t="str">
        <f>IF('Rent Roll'!AS$17="# Bedrooms","N/A",'Rent Roll'!AS$17)</f>
        <v>N/A</v>
      </c>
      <c r="H37" t="str">
        <f>IF('Rent Roll'!AS$18="# Baths","N/A",'Rent Roll'!AS$18)</f>
        <v>N/A</v>
      </c>
      <c r="I37" t="str">
        <f>IF('Rent Roll'!$AS$22="Square Footage","N/A",'Rent Roll'!$AS$22)</f>
        <v>N/A</v>
      </c>
      <c r="J37" t="str">
        <f>IF('Rent Roll'!AS$21="Market Rent","N/A",'Rent Roll'!AS$21)</f>
        <v>N/A</v>
      </c>
      <c r="K37">
        <f t="shared" si="2"/>
        <v>0</v>
      </c>
      <c r="L37">
        <f>'Rent Roll'!AS$126</f>
        <v>0</v>
      </c>
      <c r="M37">
        <f>'Rent Roll'!AS$130</f>
        <v>0</v>
      </c>
      <c r="N37" t="str">
        <f>IF('Rent Roll'!AS$126=0,"N/A",('Rent Roll'!AS$126-SUMIF('Rent Roll'!$G$24:$G$125,'Rent Roll'!AS$20,'Rent Roll'!$K$24:$K$125))/($E37-$Q37))</f>
        <v>N/A</v>
      </c>
      <c r="O37">
        <f t="shared" si="3"/>
        <v>0</v>
      </c>
      <c r="P37">
        <f t="shared" si="4"/>
        <v>0</v>
      </c>
      <c r="Q37">
        <f>'Rent Roll'!AS$128</f>
        <v>0</v>
      </c>
      <c r="R37">
        <f t="shared" si="5"/>
        <v>0</v>
      </c>
      <c r="S37" t="str">
        <f>'Rent Roll'!$AS$20</f>
        <v>BC</v>
      </c>
    </row>
    <row r="38" ht="14.25" customHeight="1" hidden="1">
      <c r="A38" t="s">
        <v>3173</v>
      </c>
      <c r="B38" t="str">
        <f t="shared" si="6"/>
        <v>H</v>
      </c>
      <c r="D38" t="str">
        <f t="shared" si="0"/>
        <v>N/A</v>
      </c>
      <c r="E38" cm="1">
        <f t="array" ref="E38">SUMPRODUCT((--EXACT(S38,'Rent Roll'!$G$24:$G$125)))</f>
        <v>0</v>
      </c>
      <c r="F38">
        <f t="shared" si="1"/>
        <v>0</v>
      </c>
      <c r="G38" t="str">
        <f>IF('Rent Roll'!AT$17="# Bedrooms","N/A",'Rent Roll'!AT$17)</f>
        <v>N/A</v>
      </c>
      <c r="H38" t="str">
        <f>IF('Rent Roll'!AT$18="# Baths","N/A",'Rent Roll'!AT$18)</f>
        <v>N/A</v>
      </c>
      <c r="I38" t="str">
        <f>IF('Rent Roll'!$AT$22="Square Footage","N/A",'Rent Roll'!$AT$22)</f>
        <v>N/A</v>
      </c>
      <c r="J38" t="str">
        <f>IF('Rent Roll'!AT$21="Market Rent","N/A",'Rent Roll'!AT$21)</f>
        <v>N/A</v>
      </c>
      <c r="K38">
        <f t="shared" si="2"/>
        <v>0</v>
      </c>
      <c r="L38">
        <f>'Rent Roll'!AT$126</f>
        <v>0</v>
      </c>
      <c r="M38">
        <f>'Rent Roll'!AT$130</f>
        <v>0</v>
      </c>
      <c r="N38" t="str">
        <f>IF('Rent Roll'!AT$126=0,"N/A",('Rent Roll'!AT$126-SUMIF('Rent Roll'!$G$24:$G$125,'Rent Roll'!AT$20,'Rent Roll'!$K$24:$K$125))/($E38-$Q38))</f>
        <v>N/A</v>
      </c>
      <c r="O38">
        <f t="shared" si="3"/>
        <v>0</v>
      </c>
      <c r="P38">
        <f t="shared" si="4"/>
        <v>0</v>
      </c>
      <c r="Q38">
        <f>'Rent Roll'!AT$128</f>
        <v>0</v>
      </c>
      <c r="R38">
        <f t="shared" si="5"/>
        <v>0</v>
      </c>
      <c r="S38" t="str">
        <f>'Rent Roll'!$AT$20</f>
        <v>BD</v>
      </c>
    </row>
    <row r="39" ht="14.25" customHeight="1" hidden="1">
      <c r="A39" t="s">
        <v>3174</v>
      </c>
      <c r="B39" t="str">
        <f t="shared" si="6"/>
        <v>H</v>
      </c>
      <c r="D39" t="str">
        <f t="shared" si="0"/>
        <v>N/A</v>
      </c>
      <c r="E39" cm="1">
        <f t="array" ref="E39">SUMPRODUCT((--EXACT(S39,'Rent Roll'!$G$24:$G$125)))</f>
        <v>0</v>
      </c>
      <c r="F39">
        <f t="shared" si="1"/>
        <v>0</v>
      </c>
      <c r="G39" t="str">
        <f>IF('Rent Roll'!AU$17="# Bedrooms","N/A",'Rent Roll'!AU$17)</f>
        <v>N/A</v>
      </c>
      <c r="H39" t="str">
        <f>IF('Rent Roll'!AU$18="# Baths","N/A",'Rent Roll'!AU$18)</f>
        <v>N/A</v>
      </c>
      <c r="I39" t="str">
        <f>IF('Rent Roll'!$AU$22="Square Footage","N/A",'Rent Roll'!$AU$22)</f>
        <v>N/A</v>
      </c>
      <c r="J39" t="str">
        <f>IF('Rent Roll'!AU$21="Market Rent","N/A",'Rent Roll'!AU$21)</f>
        <v>N/A</v>
      </c>
      <c r="K39">
        <f t="shared" si="2"/>
        <v>0</v>
      </c>
      <c r="L39">
        <f>'Rent Roll'!AU$126</f>
        <v>0</v>
      </c>
      <c r="M39">
        <f>'Rent Roll'!AU$130</f>
        <v>0</v>
      </c>
      <c r="N39" t="str">
        <f>IF('Rent Roll'!AU$126=0,"N/A",('Rent Roll'!AU$126-SUMIF('Rent Roll'!$G$24:$G$125,'Rent Roll'!AU$20,'Rent Roll'!$K$24:$K$125))/($E39-$Q39))</f>
        <v>N/A</v>
      </c>
      <c r="O39">
        <f t="shared" si="3"/>
        <v>0</v>
      </c>
      <c r="P39">
        <f t="shared" si="4"/>
        <v>0</v>
      </c>
      <c r="Q39">
        <f>'Rent Roll'!AU$128</f>
        <v>0</v>
      </c>
      <c r="R39">
        <f t="shared" si="5"/>
        <v>0</v>
      </c>
      <c r="S39" t="str">
        <f>'Rent Roll'!$AU$20</f>
        <v>BE</v>
      </c>
    </row>
    <row r="40" ht="14.25" customHeight="1" hidden="1">
      <c r="A40" t="s">
        <v>3175</v>
      </c>
      <c r="B40" t="str">
        <f t="shared" si="6"/>
        <v>H</v>
      </c>
      <c r="D40" t="str">
        <f t="shared" si="0"/>
        <v>N/A</v>
      </c>
      <c r="E40" cm="1">
        <f t="array" ref="E40">SUMPRODUCT((--EXACT(S40,'Rent Roll'!$G$24:$G$125)))</f>
        <v>0</v>
      </c>
      <c r="F40">
        <f t="shared" si="1"/>
        <v>0</v>
      </c>
      <c r="G40" t="str">
        <f>IF('Rent Roll'!AV$17="# Bedrooms","N/A",'Rent Roll'!AV$17)</f>
        <v>N/A</v>
      </c>
      <c r="H40" t="str">
        <f>IF('Rent Roll'!AV$18="# Baths","N/A",'Rent Roll'!AV$18)</f>
        <v>N/A</v>
      </c>
      <c r="I40" t="str">
        <f>IF('Rent Roll'!$AV$22="Square Footage","N/A",'Rent Roll'!$AV$22)</f>
        <v>N/A</v>
      </c>
      <c r="J40" t="str">
        <f>IF('Rent Roll'!AV$21="Market Rent","N/A",'Rent Roll'!AV$21)</f>
        <v>N/A</v>
      </c>
      <c r="K40">
        <f t="shared" si="2"/>
        <v>0</v>
      </c>
      <c r="L40">
        <f>'Rent Roll'!AV$126</f>
        <v>0</v>
      </c>
      <c r="M40">
        <f>'Rent Roll'!AV$130</f>
        <v>0</v>
      </c>
      <c r="N40" t="str">
        <f>IF('Rent Roll'!AV$126=0,"N/A",('Rent Roll'!AV$126-SUMIF('Rent Roll'!$G$24:$G$125,'Rent Roll'!AV$20,'Rent Roll'!$K$24:$K$125))/($E40-$Q40))</f>
        <v>N/A</v>
      </c>
      <c r="O40">
        <f t="shared" si="3"/>
        <v>0</v>
      </c>
      <c r="P40">
        <f t="shared" si="4"/>
        <v>0</v>
      </c>
      <c r="Q40">
        <f>'Rent Roll'!AV$128</f>
        <v>0</v>
      </c>
      <c r="R40">
        <f t="shared" si="5"/>
        <v>0</v>
      </c>
      <c r="S40" t="str">
        <f>'Rent Roll'!$AV$20</f>
        <v>BF</v>
      </c>
    </row>
    <row r="41" ht="14.25" customHeight="1" hidden="1">
      <c r="A41" t="s">
        <v>3176</v>
      </c>
      <c r="B41" t="str">
        <f t="shared" si="6"/>
        <v>H</v>
      </c>
      <c r="D41" t="str">
        <f t="shared" si="0"/>
        <v>N/A</v>
      </c>
      <c r="E41" cm="1">
        <f t="array" ref="E41">SUMPRODUCT((--EXACT(S41,'Rent Roll'!$G$24:$G$125)))</f>
        <v>0</v>
      </c>
      <c r="F41">
        <f t="shared" si="1"/>
        <v>0</v>
      </c>
      <c r="G41" t="str">
        <f>IF('Rent Roll'!AW$17="# Bedrooms","N/A",'Rent Roll'!AW$17)</f>
        <v>N/A</v>
      </c>
      <c r="H41" t="str">
        <f>IF('Rent Roll'!AW$18="# Baths","N/A",'Rent Roll'!AW$18)</f>
        <v>N/A</v>
      </c>
      <c r="I41" t="str">
        <f>IF('Rent Roll'!$AW$22="Square Footage","N/A",'Rent Roll'!$AW$22)</f>
        <v>N/A</v>
      </c>
      <c r="J41" t="str">
        <f>IF('Rent Roll'!AW$21="Market Rent","N/A",'Rent Roll'!AW$21)</f>
        <v>N/A</v>
      </c>
      <c r="K41">
        <f t="shared" si="2"/>
        <v>0</v>
      </c>
      <c r="L41">
        <f>'Rent Roll'!AW$126</f>
        <v>0</v>
      </c>
      <c r="M41">
        <f>'Rent Roll'!AW$130</f>
        <v>0</v>
      </c>
      <c r="N41" t="str">
        <f>IF('Rent Roll'!AW$126=0,"N/A",('Rent Roll'!AW$126-SUMIF('Rent Roll'!$G$24:$G$125,'Rent Roll'!AW$20,'Rent Roll'!$K$24:$K$125))/($E41-$Q41))</f>
        <v>N/A</v>
      </c>
      <c r="O41">
        <f t="shared" si="3"/>
        <v>0</v>
      </c>
      <c r="P41">
        <f t="shared" si="4"/>
        <v>0</v>
      </c>
      <c r="Q41">
        <f>'Rent Roll'!AW$128</f>
        <v>0</v>
      </c>
      <c r="R41">
        <f t="shared" si="5"/>
        <v>0</v>
      </c>
      <c r="S41" t="str">
        <f>'Rent Roll'!$AW$20</f>
        <v>BG</v>
      </c>
    </row>
    <row r="42" ht="14.25" customHeight="1" hidden="1">
      <c r="A42" t="s">
        <v>3177</v>
      </c>
      <c r="B42" t="str">
        <f t="shared" si="6"/>
        <v>H</v>
      </c>
      <c r="D42" t="str">
        <f t="shared" si="0"/>
        <v>N/A</v>
      </c>
      <c r="E42" cm="1">
        <f t="array" ref="E42">SUMPRODUCT((--EXACT(S42,'Rent Roll'!$G$24:$G$125)))</f>
        <v>0</v>
      </c>
      <c r="F42">
        <f t="shared" si="1"/>
        <v>0</v>
      </c>
      <c r="G42" t="str">
        <f>IF('Rent Roll'!AX$17="# Bedrooms","N/A",'Rent Roll'!AX$17)</f>
        <v>N/A</v>
      </c>
      <c r="H42" t="str">
        <f>IF('Rent Roll'!AX$18="# Baths","N/A",'Rent Roll'!AX$18)</f>
        <v>N/A</v>
      </c>
      <c r="I42" t="str">
        <f>IF('Rent Roll'!$AX$22="Square Footage","N/A",'Rent Roll'!$AX$22)</f>
        <v>N/A</v>
      </c>
      <c r="J42" t="str">
        <f>IF('Rent Roll'!AX$21="Market Rent","N/A",'Rent Roll'!AX$21)</f>
        <v>N/A</v>
      </c>
      <c r="K42">
        <f t="shared" si="2"/>
        <v>0</v>
      </c>
      <c r="L42">
        <f>'Rent Roll'!AX$126</f>
        <v>0</v>
      </c>
      <c r="M42">
        <f>'Rent Roll'!AX$130</f>
        <v>0</v>
      </c>
      <c r="N42" t="str">
        <f>IF('Rent Roll'!AX$126=0,"N/A",('Rent Roll'!AX$126-SUMIF('Rent Roll'!$G$24:$G$125,'Rent Roll'!AX$20,'Rent Roll'!$K$24:$K$125))/($E42-$Q42))</f>
        <v>N/A</v>
      </c>
      <c r="O42">
        <f t="shared" si="3"/>
        <v>0</v>
      </c>
      <c r="P42">
        <f t="shared" si="4"/>
        <v>0</v>
      </c>
      <c r="Q42">
        <f>'Rent Roll'!AX$128</f>
        <v>0</v>
      </c>
      <c r="R42">
        <f t="shared" si="5"/>
        <v>0</v>
      </c>
      <c r="S42" t="str">
        <f>'Rent Roll'!$AX$20</f>
        <v>BH</v>
      </c>
    </row>
    <row r="43" ht="14.25" customHeight="1" hidden="1">
      <c r="A43" t="s">
        <v>3178</v>
      </c>
      <c r="B43" t="str">
        <f t="shared" si="6"/>
        <v>H</v>
      </c>
      <c r="D43" t="str">
        <f t="shared" si="0"/>
        <v>N/A</v>
      </c>
      <c r="E43" cm="1">
        <f t="array" ref="E43">SUMPRODUCT((--EXACT(S43,'Rent Roll'!$G$24:$G$125)))</f>
        <v>0</v>
      </c>
      <c r="F43">
        <f t="shared" si="1"/>
        <v>0</v>
      </c>
      <c r="G43" t="str">
        <f>IF('Rent Roll'!AY$17="# Bedrooms","N/A",'Rent Roll'!AY$17)</f>
        <v>N/A</v>
      </c>
      <c r="H43" t="str">
        <f>IF('Rent Roll'!AY$18="# Baths","N/A",'Rent Roll'!AY$18)</f>
        <v>N/A</v>
      </c>
      <c r="I43" t="str">
        <f>IF('Rent Roll'!$AY$22="Square Footage","N/A",'Rent Roll'!$AY$22)</f>
        <v>N/A</v>
      </c>
      <c r="J43" t="str">
        <f>IF('Rent Roll'!AY$21="Market Rent","N/A",'Rent Roll'!AY$21)</f>
        <v>N/A</v>
      </c>
      <c r="K43">
        <f t="shared" si="2"/>
        <v>0</v>
      </c>
      <c r="L43">
        <f>'Rent Roll'!AY$126</f>
        <v>0</v>
      </c>
      <c r="M43">
        <f>'Rent Roll'!AY$130</f>
        <v>0</v>
      </c>
      <c r="N43" t="str">
        <f>IF('Rent Roll'!AY$126=0,"N/A",('Rent Roll'!AY$126-SUMIF('Rent Roll'!$G$24:$G$125,'Rent Roll'!AY$20,'Rent Roll'!$K$24:$K$125))/($E43-$Q43))</f>
        <v>N/A</v>
      </c>
      <c r="O43">
        <f t="shared" si="3"/>
        <v>0</v>
      </c>
      <c r="P43">
        <f t="shared" si="4"/>
        <v>0</v>
      </c>
      <c r="Q43">
        <f>'Rent Roll'!AY$128</f>
        <v>0</v>
      </c>
      <c r="R43">
        <f t="shared" si="5"/>
        <v>0</v>
      </c>
      <c r="S43" t="str">
        <f>'Rent Roll'!$AY$20</f>
        <v>BI</v>
      </c>
    </row>
    <row r="44" ht="14.25" customHeight="1" hidden="1">
      <c r="A44" t="s">
        <v>3179</v>
      </c>
      <c r="B44" t="str">
        <f t="shared" si="6"/>
        <v>H</v>
      </c>
      <c r="D44" t="str">
        <f t="shared" si="0"/>
        <v>N/A</v>
      </c>
      <c r="E44" cm="1">
        <f t="array" ref="E44">SUMPRODUCT((--EXACT(S44,'Rent Roll'!$G$24:$G$125)))</f>
        <v>0</v>
      </c>
      <c r="F44">
        <f t="shared" si="1"/>
        <v>0</v>
      </c>
      <c r="G44" t="str">
        <f>IF('Rent Roll'!AZ$17="# Bedrooms","N/A",'Rent Roll'!AZ$17)</f>
        <v>N/A</v>
      </c>
      <c r="H44" t="str">
        <f>IF('Rent Roll'!AZ$18="# Baths","N/A",'Rent Roll'!AZ$18)</f>
        <v>N/A</v>
      </c>
      <c r="I44" t="str">
        <f>IF('Rent Roll'!$AZ$22="Square Footage","N/A",'Rent Roll'!$AZ$22)</f>
        <v>N/A</v>
      </c>
      <c r="J44" t="str">
        <f>IF('Rent Roll'!AZ$21="Market Rent","N/A",'Rent Roll'!AZ$21)</f>
        <v>N/A</v>
      </c>
      <c r="K44">
        <f t="shared" si="2"/>
        <v>0</v>
      </c>
      <c r="L44">
        <f>'Rent Roll'!AZ$126</f>
        <v>0</v>
      </c>
      <c r="M44">
        <f>'Rent Roll'!AZ$130</f>
        <v>0</v>
      </c>
      <c r="N44" t="str">
        <f>IF('Rent Roll'!AZ$126=0,"N/A",('Rent Roll'!AZ$126-SUMIF('Rent Roll'!$G$24:$G$125,'Rent Roll'!AZ$20,'Rent Roll'!$K$24:$K$125))/($E44-$Q44))</f>
        <v>N/A</v>
      </c>
      <c r="O44">
        <f t="shared" si="3"/>
        <v>0</v>
      </c>
      <c r="P44">
        <f t="shared" si="4"/>
        <v>0</v>
      </c>
      <c r="Q44">
        <f>'Rent Roll'!AZ$128</f>
        <v>0</v>
      </c>
      <c r="R44">
        <f t="shared" si="5"/>
        <v>0</v>
      </c>
      <c r="S44" t="str">
        <f>'Rent Roll'!$AZ$20</f>
        <v>BJ</v>
      </c>
    </row>
    <row r="45" ht="14.25" customHeight="1" hidden="1">
      <c r="A45" t="s">
        <v>3180</v>
      </c>
      <c r="B45" t="str">
        <f t="shared" si="6"/>
        <v>H</v>
      </c>
      <c r="D45" t="str">
        <f t="shared" si="0"/>
        <v>N/A</v>
      </c>
      <c r="E45" cm="1">
        <f t="array" ref="E45">SUMPRODUCT((--EXACT(S45,'Rent Roll'!$G$24:$G$125)))</f>
        <v>0</v>
      </c>
      <c r="F45">
        <f t="shared" si="1"/>
        <v>0</v>
      </c>
      <c r="G45" t="str">
        <f>IF('Rent Roll'!BA$17="# Bedrooms","N/A",'Rent Roll'!BA$17)</f>
        <v>N/A</v>
      </c>
      <c r="H45" t="str">
        <f>IF('Rent Roll'!BA$18="# Baths","N/A",'Rent Roll'!BA$18)</f>
        <v>N/A</v>
      </c>
      <c r="I45" t="str">
        <f>IF('Rent Roll'!$BA$22="Square Footage","N/A",'Rent Roll'!$BA$22)</f>
        <v>N/A</v>
      </c>
      <c r="J45" t="str">
        <f>IF('Rent Roll'!BA$21="Market Rent","N/A",'Rent Roll'!BA$21)</f>
        <v>N/A</v>
      </c>
      <c r="K45">
        <f t="shared" si="2"/>
        <v>0</v>
      </c>
      <c r="L45">
        <f>'Rent Roll'!BA$126</f>
        <v>0</v>
      </c>
      <c r="M45">
        <f>'Rent Roll'!BA$130</f>
        <v>0</v>
      </c>
      <c r="N45" t="str">
        <f>IF('Rent Roll'!BA$126=0,"N/A",('Rent Roll'!BA$126-SUMIF('Rent Roll'!$G$24:$G$125,'Rent Roll'!BA$20,'Rent Roll'!$K$24:$K$125))/($E45-$Q45))</f>
        <v>N/A</v>
      </c>
      <c r="O45">
        <f t="shared" si="3"/>
        <v>0</v>
      </c>
      <c r="P45">
        <f t="shared" si="4"/>
        <v>0</v>
      </c>
      <c r="Q45">
        <f>'Rent Roll'!BA$128</f>
        <v>0</v>
      </c>
      <c r="R45">
        <f t="shared" si="5"/>
        <v>0</v>
      </c>
      <c r="S45" t="str">
        <f>'Rent Roll'!$BA$20</f>
        <v>BK</v>
      </c>
    </row>
    <row r="46" ht="14.25" customHeight="1" hidden="1">
      <c r="A46" t="s">
        <v>3181</v>
      </c>
      <c r="B46" t="str">
        <f t="shared" si="6"/>
        <v>H</v>
      </c>
      <c r="D46" t="str">
        <f t="shared" si="0"/>
        <v>N/A</v>
      </c>
      <c r="E46" cm="1">
        <f t="array" ref="E46">SUMPRODUCT((--EXACT(S46,'Rent Roll'!$G$24:$G$125)))</f>
        <v>0</v>
      </c>
      <c r="F46">
        <f t="shared" si="1"/>
        <v>0</v>
      </c>
      <c r="G46" t="str">
        <f>IF('Rent Roll'!BB$17="# Bedrooms","N/A",'Rent Roll'!BB$17)</f>
        <v>N/A</v>
      </c>
      <c r="H46" t="str">
        <f>IF('Rent Roll'!BB$18="# Baths","N/A",'Rent Roll'!BB$18)</f>
        <v>N/A</v>
      </c>
      <c r="I46" t="str">
        <f>IF('Rent Roll'!$BB$22="Square Footage","N/A",'Rent Roll'!$BB$22)</f>
        <v>N/A</v>
      </c>
      <c r="J46" t="str">
        <f>IF('Rent Roll'!BB$21="Market Rent","N/A",'Rent Roll'!BB$21)</f>
        <v>N/A</v>
      </c>
      <c r="K46">
        <f t="shared" si="2"/>
        <v>0</v>
      </c>
      <c r="L46">
        <f>'Rent Roll'!BB$126</f>
        <v>0</v>
      </c>
      <c r="M46">
        <f>'Rent Roll'!BB$130</f>
        <v>0</v>
      </c>
      <c r="N46" t="str">
        <f>IF('Rent Roll'!BB$126=0,"N/A",('Rent Roll'!BB$126-SUMIF('Rent Roll'!$G$24:$G$125,'Rent Roll'!BB$20,'Rent Roll'!$K$24:$K$125))/($E46-$Q46))</f>
        <v>N/A</v>
      </c>
      <c r="O46">
        <f t="shared" si="3"/>
        <v>0</v>
      </c>
      <c r="P46">
        <f t="shared" si="4"/>
        <v>0</v>
      </c>
      <c r="Q46">
        <f>'Rent Roll'!BB$128</f>
        <v>0</v>
      </c>
      <c r="R46">
        <f t="shared" si="5"/>
        <v>0</v>
      </c>
      <c r="S46" t="str">
        <f>'Rent Roll'!$BB$20</f>
        <v>BL</v>
      </c>
    </row>
    <row r="47" ht="14.25" customHeight="1" hidden="1">
      <c r="A47" t="s">
        <v>2555</v>
      </c>
      <c r="B47" t="str">
        <f t="shared" si="6"/>
        <v>H</v>
      </c>
      <c r="D47" t="str">
        <f t="shared" si="0"/>
        <v>N/A</v>
      </c>
      <c r="E47" cm="1">
        <f t="array" ref="E47">SUMPRODUCT((--EXACT(S47,'Rent Roll'!$G$24:$G$125)))</f>
        <v>0</v>
      </c>
      <c r="F47">
        <f t="shared" si="1"/>
        <v>0</v>
      </c>
      <c r="G47" t="str">
        <f>IF('Rent Roll'!BC$17="# Bedrooms","N/A",'Rent Roll'!BC$17)</f>
        <v>N/A</v>
      </c>
      <c r="H47" t="str">
        <f>IF('Rent Roll'!BC$18="# Baths","N/A",'Rent Roll'!BC$18)</f>
        <v>N/A</v>
      </c>
      <c r="I47" t="str">
        <f>IF('Rent Roll'!$BC$22="Square Footage","N/A",'Rent Roll'!$BC$22)</f>
        <v>N/A</v>
      </c>
      <c r="J47" t="str">
        <f>IF('Rent Roll'!BC$21="Market Rent","N/A",'Rent Roll'!BC$21)</f>
        <v>N/A</v>
      </c>
      <c r="K47">
        <f t="shared" si="2"/>
        <v>0</v>
      </c>
      <c r="L47">
        <f>'Rent Roll'!BC$126</f>
        <v>0</v>
      </c>
      <c r="M47">
        <f>'Rent Roll'!BC$130</f>
        <v>0</v>
      </c>
      <c r="N47" t="str">
        <f>IF('Rent Roll'!BC$126=0,"N/A",('Rent Roll'!BC$126-SUMIF('Rent Roll'!$G$24:$G$125,'Rent Roll'!BC$20,'Rent Roll'!$K$24:$K$125))/($E47-$Q47))</f>
        <v>N/A</v>
      </c>
      <c r="O47">
        <f t="shared" si="3"/>
        <v>0</v>
      </c>
      <c r="P47">
        <f t="shared" si="4"/>
        <v>0</v>
      </c>
      <c r="Q47">
        <f>'Rent Roll'!BC$128</f>
        <v>0</v>
      </c>
      <c r="R47">
        <f t="shared" si="5"/>
        <v>0</v>
      </c>
      <c r="S47" t="str">
        <f>'Rent Roll'!$BC$20</f>
        <v>BM</v>
      </c>
    </row>
    <row r="48" ht="14.25" customHeight="1" hidden="1">
      <c r="A48" t="s">
        <v>2556</v>
      </c>
      <c r="B48" t="str">
        <f t="shared" si="6"/>
        <v>H</v>
      </c>
      <c r="D48" t="str">
        <f t="shared" si="0"/>
        <v>N/A</v>
      </c>
      <c r="E48" cm="1">
        <f t="array" ref="E48">SUMPRODUCT((--EXACT(S48,'Rent Roll'!$G$24:$G$125)))</f>
        <v>0</v>
      </c>
      <c r="F48">
        <f t="shared" si="1"/>
        <v>0</v>
      </c>
      <c r="G48" t="str">
        <f>IF('Rent Roll'!BD$17="# Bedrooms","N/A",'Rent Roll'!BD$17)</f>
        <v>N/A</v>
      </c>
      <c r="H48" t="str">
        <f>IF('Rent Roll'!BD$18="# Baths","N/A",'Rent Roll'!BD$18)</f>
        <v>N/A</v>
      </c>
      <c r="I48" t="str">
        <f>IF('Rent Roll'!$BD$22="Square Footage","N/A",'Rent Roll'!$BD$22)</f>
        <v>N/A</v>
      </c>
      <c r="J48" t="str">
        <f>IF('Rent Roll'!BD$21="Market Rent","N/A",'Rent Roll'!BD$21)</f>
        <v>N/A</v>
      </c>
      <c r="K48">
        <f t="shared" si="2"/>
        <v>0</v>
      </c>
      <c r="L48">
        <f>'Rent Roll'!BD$126</f>
        <v>0</v>
      </c>
      <c r="M48">
        <f>'Rent Roll'!BD$130</f>
        <v>0</v>
      </c>
      <c r="N48" t="str">
        <f>IF('Rent Roll'!BD$126=0,"N/A",('Rent Roll'!BD$126-SUMIF('Rent Roll'!$G$24:$G$125,'Rent Roll'!BD$20,'Rent Roll'!$K$24:$K$125))/($E48-$Q48))</f>
        <v>N/A</v>
      </c>
      <c r="O48">
        <f t="shared" si="3"/>
        <v>0</v>
      </c>
      <c r="P48">
        <f t="shared" si="4"/>
        <v>0</v>
      </c>
      <c r="Q48">
        <f>'Rent Roll'!BD$128</f>
        <v>0</v>
      </c>
      <c r="R48">
        <f t="shared" si="5"/>
        <v>0</v>
      </c>
      <c r="S48" t="str">
        <f>'Rent Roll'!$BD$20</f>
        <v>BN</v>
      </c>
    </row>
    <row r="49" ht="14.25" customHeight="1" hidden="1">
      <c r="A49" t="s">
        <v>2557</v>
      </c>
      <c r="B49" t="str">
        <f t="shared" si="6"/>
        <v>H</v>
      </c>
      <c r="D49" t="str">
        <f t="shared" si="0"/>
        <v>N/A</v>
      </c>
      <c r="E49" cm="1">
        <f t="array" ref="E49">SUMPRODUCT((--EXACT(S49,'Rent Roll'!$G$24:$G$125)))</f>
        <v>0</v>
      </c>
      <c r="F49">
        <f t="shared" si="1"/>
        <v>0</v>
      </c>
      <c r="G49" t="str">
        <f>IF('Rent Roll'!BE$17="# Bedrooms","N/A",'Rent Roll'!BE$17)</f>
        <v>N/A</v>
      </c>
      <c r="H49" t="str">
        <f>IF('Rent Roll'!BE$18="# Baths","N/A",'Rent Roll'!BE$18)</f>
        <v>N/A</v>
      </c>
      <c r="I49" t="str">
        <f>IF('Rent Roll'!$BE$22="Square Footage","N/A",'Rent Roll'!$BE$22)</f>
        <v>N/A</v>
      </c>
      <c r="J49" t="str">
        <f>IF('Rent Roll'!BE$21="Market Rent","N/A",'Rent Roll'!BE$21)</f>
        <v>N/A</v>
      </c>
      <c r="K49">
        <f t="shared" si="2"/>
        <v>0</v>
      </c>
      <c r="L49">
        <f>'Rent Roll'!BE$126</f>
        <v>0</v>
      </c>
      <c r="M49">
        <f>'Rent Roll'!BE$130</f>
        <v>0</v>
      </c>
      <c r="N49" t="str">
        <f>IF('Rent Roll'!BE$126=0,"N/A",('Rent Roll'!BE$126-SUMIF('Rent Roll'!$G$24:$G$125,'Rent Roll'!BE$20,'Rent Roll'!$K$24:$K$125))/($E49-$Q49))</f>
        <v>N/A</v>
      </c>
      <c r="O49">
        <f t="shared" si="3"/>
        <v>0</v>
      </c>
      <c r="P49">
        <f t="shared" si="4"/>
        <v>0</v>
      </c>
      <c r="Q49">
        <f>'Rent Roll'!BE$128</f>
        <v>0</v>
      </c>
      <c r="R49">
        <f t="shared" si="5"/>
        <v>0</v>
      </c>
      <c r="S49" t="str">
        <f>'Rent Roll'!$BE$20</f>
        <v>BO</v>
      </c>
    </row>
    <row r="50" ht="14.25" customHeight="1" hidden="1">
      <c r="A50" t="s">
        <v>2558</v>
      </c>
      <c r="B50" t="str">
        <f t="shared" si="6"/>
        <v>H</v>
      </c>
      <c r="D50" t="str">
        <f t="shared" si="0"/>
        <v>N/A</v>
      </c>
      <c r="E50" cm="1">
        <f t="array" ref="E50">SUMPRODUCT((--EXACT(S50,'Rent Roll'!$G$24:$G$125)))</f>
        <v>0</v>
      </c>
      <c r="F50">
        <f t="shared" si="1"/>
        <v>0</v>
      </c>
      <c r="G50" t="str">
        <f>IF('Rent Roll'!BF$17="# Bedrooms","N/A",'Rent Roll'!BF$17)</f>
        <v>N/A</v>
      </c>
      <c r="H50" t="str">
        <f>IF('Rent Roll'!BF$18="# Baths","N/A",'Rent Roll'!BF$18)</f>
        <v>N/A</v>
      </c>
      <c r="I50" t="str">
        <f>IF('Rent Roll'!$BF$22="Square Footage","N/A",'Rent Roll'!$BF$22)</f>
        <v>N/A</v>
      </c>
      <c r="J50" t="str">
        <f>IF('Rent Roll'!BF$21="Market Rent","N/A",'Rent Roll'!BF$21)</f>
        <v>N/A</v>
      </c>
      <c r="K50">
        <f t="shared" si="2"/>
        <v>0</v>
      </c>
      <c r="L50">
        <f>'Rent Roll'!BF$126</f>
        <v>0</v>
      </c>
      <c r="M50">
        <f>'Rent Roll'!BF$130</f>
        <v>0</v>
      </c>
      <c r="N50" t="str">
        <f>IF('Rent Roll'!BF$126=0,"N/A",('Rent Roll'!BF$126-SUMIF('Rent Roll'!$G$24:$G$125,'Rent Roll'!BF$20,'Rent Roll'!$K$24:$K$125))/($E50-$Q50))</f>
        <v>N/A</v>
      </c>
      <c r="O50">
        <f t="shared" si="3"/>
        <v>0</v>
      </c>
      <c r="P50">
        <f t="shared" si="4"/>
        <v>0</v>
      </c>
      <c r="Q50">
        <f>'Rent Roll'!BF$128</f>
        <v>0</v>
      </c>
      <c r="R50">
        <f t="shared" si="5"/>
        <v>0</v>
      </c>
      <c r="S50" t="str">
        <f>'Rent Roll'!$BF$20</f>
        <v>BP</v>
      </c>
    </row>
    <row r="51" ht="14.25" customHeight="1" hidden="1">
      <c r="A51" t="s">
        <v>2559</v>
      </c>
      <c r="B51" t="str">
        <f t="shared" si="6"/>
        <v>H</v>
      </c>
      <c r="D51" t="str">
        <f t="shared" si="0"/>
        <v>N/A</v>
      </c>
      <c r="E51" cm="1">
        <f t="array" ref="E51">SUMPRODUCT((--EXACT(S51,'Rent Roll'!$G$24:$G$125)))</f>
        <v>0</v>
      </c>
      <c r="F51">
        <f t="shared" si="1"/>
        <v>0</v>
      </c>
      <c r="G51" t="str">
        <f>IF('Rent Roll'!BG$17="# Bedrooms","N/A",'Rent Roll'!BG$17)</f>
        <v>N/A</v>
      </c>
      <c r="H51" t="str">
        <f>IF('Rent Roll'!BG$18="# Baths","N/A",'Rent Roll'!BG$18)</f>
        <v>N/A</v>
      </c>
      <c r="I51" t="str">
        <f>IF('Rent Roll'!$BG$22="Square Footage","N/A",'Rent Roll'!$BG$22)</f>
        <v>N/A</v>
      </c>
      <c r="J51" t="str">
        <f>IF('Rent Roll'!BG$21="Market Rent","N/A",'Rent Roll'!BG$21)</f>
        <v>N/A</v>
      </c>
      <c r="K51">
        <f t="shared" si="2"/>
        <v>0</v>
      </c>
      <c r="L51">
        <f>'Rent Roll'!BG$126</f>
        <v>0</v>
      </c>
      <c r="M51">
        <f>'Rent Roll'!BG$130</f>
        <v>0</v>
      </c>
      <c r="N51" t="str">
        <f>IF('Rent Roll'!BG$126=0,"N/A",('Rent Roll'!BG$126-SUMIF('Rent Roll'!$G$24:$G$125,'Rent Roll'!BG$20,'Rent Roll'!$K$24:$K$125))/($E51-$Q51))</f>
        <v>N/A</v>
      </c>
      <c r="O51">
        <f t="shared" si="3"/>
        <v>0</v>
      </c>
      <c r="P51">
        <f t="shared" si="4"/>
        <v>0</v>
      </c>
      <c r="Q51">
        <f>'Rent Roll'!BG$128</f>
        <v>0</v>
      </c>
      <c r="R51">
        <f t="shared" si="5"/>
        <v>0</v>
      </c>
      <c r="S51" t="str">
        <f>'Rent Roll'!$BG$20</f>
        <v>BQ</v>
      </c>
    </row>
    <row r="52" ht="14.25" customHeight="1" hidden="1">
      <c r="A52" t="s">
        <v>2560</v>
      </c>
      <c r="B52" t="str">
        <f t="shared" si="6"/>
        <v>H</v>
      </c>
      <c r="D52" t="str">
        <f t="shared" si="0"/>
        <v>N/A</v>
      </c>
      <c r="E52" cm="1">
        <f t="array" ref="E52">SUMPRODUCT((--EXACT(S52,'Rent Roll'!$G$24:$G$125)))</f>
        <v>0</v>
      </c>
      <c r="F52">
        <f t="shared" si="1"/>
        <v>0</v>
      </c>
      <c r="G52" t="str">
        <f>IF('Rent Roll'!BH$17="# Bedrooms","N/A",'Rent Roll'!BH$17)</f>
        <v>N/A</v>
      </c>
      <c r="H52" t="str">
        <f>IF('Rent Roll'!BH$18="# Baths","N/A",'Rent Roll'!BH$18)</f>
        <v>N/A</v>
      </c>
      <c r="I52" t="str">
        <f>IF('Rent Roll'!$BH$22="Square Footage","N/A",'Rent Roll'!$BH$22)</f>
        <v>N/A</v>
      </c>
      <c r="J52" t="str">
        <f>IF('Rent Roll'!BH$21="Market Rent","N/A",'Rent Roll'!BH$21)</f>
        <v>N/A</v>
      </c>
      <c r="K52">
        <f t="shared" si="2"/>
        <v>0</v>
      </c>
      <c r="L52">
        <f>'Rent Roll'!BH$126</f>
        <v>0</v>
      </c>
      <c r="M52">
        <f>'Rent Roll'!BH$130</f>
        <v>0</v>
      </c>
      <c r="N52" t="str">
        <f>IF('Rent Roll'!BH$126=0,"N/A",('Rent Roll'!BH$126-SUMIF('Rent Roll'!$G$24:$G$125,'Rent Roll'!BH$20,'Rent Roll'!$K$24:$K$125))/($E52-$Q52))</f>
        <v>N/A</v>
      </c>
      <c r="O52">
        <f t="shared" si="3"/>
        <v>0</v>
      </c>
      <c r="P52">
        <f t="shared" si="4"/>
        <v>0</v>
      </c>
      <c r="Q52">
        <f>'Rent Roll'!BH$128</f>
        <v>0</v>
      </c>
      <c r="R52">
        <f t="shared" si="5"/>
        <v>0</v>
      </c>
      <c r="S52" t="str">
        <f>'Rent Roll'!$BH$20</f>
        <v>BR</v>
      </c>
    </row>
    <row r="53" ht="14.25" customHeight="1" hidden="1">
      <c r="A53" t="s">
        <v>2561</v>
      </c>
      <c r="B53" t="str">
        <f t="shared" si="6"/>
        <v>H</v>
      </c>
      <c r="D53" t="str">
        <f t="shared" si="0"/>
        <v>N/A</v>
      </c>
      <c r="E53" cm="1">
        <f t="array" ref="E53">SUMPRODUCT((--EXACT(S53,'Rent Roll'!$G$24:$G$125)))</f>
        <v>0</v>
      </c>
      <c r="F53">
        <f t="shared" si="1"/>
        <v>0</v>
      </c>
      <c r="G53" t="str">
        <f>IF('Rent Roll'!BI$17="# Bedrooms","N/A",'Rent Roll'!BI$17)</f>
        <v>N/A</v>
      </c>
      <c r="H53" t="str">
        <f>IF('Rent Roll'!BI$18="# Baths","N/A",'Rent Roll'!BI$18)</f>
        <v>N/A</v>
      </c>
      <c r="I53" t="str">
        <f>IF('Rent Roll'!$BI$22="Square Footage","N/A",'Rent Roll'!$BI$22)</f>
        <v>N/A</v>
      </c>
      <c r="J53" t="str">
        <f>IF('Rent Roll'!BI$21="Market Rent","N/A",'Rent Roll'!BI$21)</f>
        <v>N/A</v>
      </c>
      <c r="K53">
        <f t="shared" si="2"/>
        <v>0</v>
      </c>
      <c r="L53">
        <f>'Rent Roll'!BI$126</f>
        <v>0</v>
      </c>
      <c r="M53">
        <f>'Rent Roll'!BI$130</f>
        <v>0</v>
      </c>
      <c r="N53" t="str">
        <f>IF('Rent Roll'!BI$126=0,"N/A",('Rent Roll'!BI$126-SUMIF('Rent Roll'!$G$24:$G$125,'Rent Roll'!BI$20,'Rent Roll'!$K$24:$K$125))/($E53-$Q53))</f>
        <v>N/A</v>
      </c>
      <c r="O53">
        <f t="shared" si="3"/>
        <v>0</v>
      </c>
      <c r="P53">
        <f t="shared" si="4"/>
        <v>0</v>
      </c>
      <c r="Q53">
        <f>'Rent Roll'!BI$128</f>
        <v>0</v>
      </c>
      <c r="R53">
        <f t="shared" si="5"/>
        <v>0</v>
      </c>
      <c r="S53" t="str">
        <f>'Rent Roll'!$BI$20</f>
        <v>BS</v>
      </c>
    </row>
    <row r="54" ht="14.25" customHeight="1" hidden="1">
      <c r="A54" t="s">
        <v>2562</v>
      </c>
      <c r="B54" t="str">
        <f t="shared" si="6"/>
        <v>H</v>
      </c>
      <c r="D54" t="str">
        <f t="shared" si="0"/>
        <v>N/A</v>
      </c>
      <c r="E54" cm="1">
        <f t="array" ref="E54">SUMPRODUCT((--EXACT(S54,'Rent Roll'!$G$24:$G$125)))</f>
        <v>0</v>
      </c>
      <c r="F54">
        <f t="shared" si="1"/>
        <v>0</v>
      </c>
      <c r="G54" t="str">
        <f>IF('Rent Roll'!BJ$17="# Bedrooms","N/A",'Rent Roll'!BJ$17)</f>
        <v>N/A</v>
      </c>
      <c r="H54" t="str">
        <f>IF('Rent Roll'!BJ$18="# Baths","N/A",'Rent Roll'!BJ$18)</f>
        <v>N/A</v>
      </c>
      <c r="I54" t="str">
        <f>IF('Rent Roll'!$BJ$22="Square Footage","N/A",'Rent Roll'!$BJ$22)</f>
        <v>N/A</v>
      </c>
      <c r="J54" t="str">
        <f>IF('Rent Roll'!BJ$21="Market Rent","N/A",'Rent Roll'!BJ$21)</f>
        <v>N/A</v>
      </c>
      <c r="K54">
        <f t="shared" si="2"/>
        <v>0</v>
      </c>
      <c r="L54">
        <f>'Rent Roll'!BJ$126</f>
        <v>0</v>
      </c>
      <c r="M54">
        <f>'Rent Roll'!BJ$130</f>
        <v>0</v>
      </c>
      <c r="N54" t="str">
        <f>IF('Rent Roll'!BJ$126=0,"N/A",('Rent Roll'!BJ$126-SUMIF('Rent Roll'!$G$24:$G$125,'Rent Roll'!BJ$20,'Rent Roll'!$K$24:$K$125))/($E54-$Q54))</f>
        <v>N/A</v>
      </c>
      <c r="O54">
        <f t="shared" si="3"/>
        <v>0</v>
      </c>
      <c r="P54">
        <f t="shared" si="4"/>
        <v>0</v>
      </c>
      <c r="Q54">
        <f>'Rent Roll'!BJ$128</f>
        <v>0</v>
      </c>
      <c r="R54">
        <f t="shared" si="5"/>
        <v>0</v>
      </c>
      <c r="S54" t="str">
        <f>'Rent Roll'!$BJ$20</f>
        <v>BT</v>
      </c>
    </row>
    <row r="55" ht="14.25" customHeight="1" hidden="1">
      <c r="A55" t="s">
        <v>2563</v>
      </c>
      <c r="B55" t="str">
        <f t="shared" si="6"/>
        <v>H</v>
      </c>
      <c r="D55" t="str">
        <f t="shared" si="0"/>
        <v>N/A</v>
      </c>
      <c r="E55" cm="1">
        <f t="array" ref="E55">SUMPRODUCT((--EXACT(S55,'Rent Roll'!$G$24:$G$125)))</f>
        <v>0</v>
      </c>
      <c r="F55">
        <f t="shared" si="1"/>
        <v>0</v>
      </c>
      <c r="G55" t="str">
        <f>IF('Rent Roll'!BK$17="# Bedrooms","N/A",'Rent Roll'!BK$17)</f>
        <v>N/A</v>
      </c>
      <c r="H55" t="str">
        <f>IF('Rent Roll'!BK$18="# Baths","N/A",'Rent Roll'!BK$18)</f>
        <v>N/A</v>
      </c>
      <c r="I55" t="str">
        <f>IF('Rent Roll'!$BK$22="Square Footage","N/A",'Rent Roll'!$BK$22)</f>
        <v>N/A</v>
      </c>
      <c r="J55" t="str">
        <f>IF('Rent Roll'!BK$21="Market Rent","N/A",'Rent Roll'!BK$21)</f>
        <v>N/A</v>
      </c>
      <c r="K55">
        <f t="shared" si="2"/>
        <v>0</v>
      </c>
      <c r="L55">
        <f>'Rent Roll'!BK$126</f>
        <v>0</v>
      </c>
      <c r="M55">
        <f>'Rent Roll'!BK$130</f>
        <v>0</v>
      </c>
      <c r="N55" t="str">
        <f>IF('Rent Roll'!BK$126=0,"N/A",('Rent Roll'!BK$126-SUMIF('Rent Roll'!$G$24:$G$125,'Rent Roll'!BK$20,'Rent Roll'!$K$24:$K$125))/($E55-$Q55))</f>
        <v>N/A</v>
      </c>
      <c r="O55">
        <f t="shared" si="3"/>
        <v>0</v>
      </c>
      <c r="P55">
        <f t="shared" si="4"/>
        <v>0</v>
      </c>
      <c r="Q55">
        <f>'Rent Roll'!BK$128</f>
        <v>0</v>
      </c>
      <c r="R55">
        <f t="shared" si="5"/>
        <v>0</v>
      </c>
      <c r="S55" t="str">
        <f>'Rent Roll'!$BK$20</f>
        <v>BU</v>
      </c>
    </row>
    <row r="56" ht="14.25" customHeight="1" hidden="1">
      <c r="A56" t="s">
        <v>2564</v>
      </c>
      <c r="B56" t="str">
        <f t="shared" si="6"/>
        <v>H</v>
      </c>
      <c r="D56" t="str">
        <f t="shared" si="0"/>
        <v>N/A</v>
      </c>
      <c r="E56" cm="1">
        <f t="array" ref="E56">SUMPRODUCT((--EXACT(S56,'Rent Roll'!$G$24:$G$125)))</f>
        <v>0</v>
      </c>
      <c r="F56">
        <f t="shared" si="1"/>
        <v>0</v>
      </c>
      <c r="G56" t="str">
        <f>IF('Rent Roll'!BL$17="# Bedrooms","N/A",'Rent Roll'!BL$17)</f>
        <v>N/A</v>
      </c>
      <c r="H56" t="str">
        <f>IF('Rent Roll'!BL$18="# Baths","N/A",'Rent Roll'!BL$18)</f>
        <v>N/A</v>
      </c>
      <c r="I56" t="str">
        <f>IF('Rent Roll'!$BL$22="Square Footage","N/A",'Rent Roll'!$BL$22)</f>
        <v>N/A</v>
      </c>
      <c r="J56" t="str">
        <f>IF('Rent Roll'!BL$21="Market Rent","N/A",'Rent Roll'!BL$21)</f>
        <v>N/A</v>
      </c>
      <c r="K56">
        <f t="shared" si="2"/>
        <v>0</v>
      </c>
      <c r="L56">
        <f>'Rent Roll'!BL$126</f>
        <v>0</v>
      </c>
      <c r="M56">
        <f>'Rent Roll'!BL$130</f>
        <v>0</v>
      </c>
      <c r="N56" t="str">
        <f>IF('Rent Roll'!BL$126=0,"N/A",('Rent Roll'!BL$126-SUMIF('Rent Roll'!$G$24:$G$125,'Rent Roll'!BL$20,'Rent Roll'!$K$24:$K$125))/($E56-$Q56))</f>
        <v>N/A</v>
      </c>
      <c r="O56">
        <f t="shared" si="3"/>
        <v>0</v>
      </c>
      <c r="P56">
        <f t="shared" si="4"/>
        <v>0</v>
      </c>
      <c r="Q56">
        <f>'Rent Roll'!BL$128</f>
        <v>0</v>
      </c>
      <c r="R56">
        <f t="shared" si="5"/>
        <v>0</v>
      </c>
      <c r="S56" t="str">
        <f>'Rent Roll'!$BL$20</f>
        <v>BV</v>
      </c>
    </row>
    <row r="57" ht="14.25" customHeight="1" hidden="1">
      <c r="A57" t="s">
        <v>2565</v>
      </c>
      <c r="B57" t="str">
        <f t="shared" si="6"/>
        <v>H</v>
      </c>
      <c r="D57" t="str">
        <f t="shared" si="0"/>
        <v>N/A</v>
      </c>
      <c r="E57" cm="1">
        <f t="array" ref="E57">SUMPRODUCT((--EXACT(S57,'Rent Roll'!$G$24:$G$125)))</f>
        <v>0</v>
      </c>
      <c r="F57">
        <f t="shared" si="1"/>
        <v>0</v>
      </c>
      <c r="G57" t="str">
        <f>IF('Rent Roll'!BM$17="# Bedrooms","N/A",'Rent Roll'!BM$17)</f>
        <v>N/A</v>
      </c>
      <c r="H57" t="str">
        <f>IF('Rent Roll'!BM$18="# Baths","N/A",'Rent Roll'!BM$18)</f>
        <v>N/A</v>
      </c>
      <c r="I57" t="str">
        <f>IF('Rent Roll'!$BM$22="Square Footage","N/A",'Rent Roll'!$BM$22)</f>
        <v>N/A</v>
      </c>
      <c r="J57" t="str">
        <f>IF('Rent Roll'!BM$21="Market Rent","N/A",'Rent Roll'!BM$21)</f>
        <v>N/A</v>
      </c>
      <c r="K57">
        <f t="shared" si="2"/>
        <v>0</v>
      </c>
      <c r="L57">
        <f>'Rent Roll'!BM$126</f>
        <v>0</v>
      </c>
      <c r="M57">
        <f>'Rent Roll'!BM$130</f>
        <v>0</v>
      </c>
      <c r="N57" t="str">
        <f>IF('Rent Roll'!BM$126=0,"N/A",('Rent Roll'!BM$126-SUMIF('Rent Roll'!$G$24:$G$125,'Rent Roll'!BM$20,'Rent Roll'!$K$24:$K$125))/($E57-$Q57))</f>
        <v>N/A</v>
      </c>
      <c r="O57">
        <f t="shared" si="3"/>
        <v>0</v>
      </c>
      <c r="P57">
        <f t="shared" si="4"/>
        <v>0</v>
      </c>
      <c r="Q57">
        <f>'Rent Roll'!BM$128</f>
        <v>0</v>
      </c>
      <c r="R57">
        <f t="shared" si="5"/>
        <v>0</v>
      </c>
      <c r="S57" t="str">
        <f>'Rent Roll'!$BM$20</f>
        <v>BW</v>
      </c>
    </row>
    <row r="58" ht="14.25" customHeight="1" hidden="1">
      <c r="A58" t="s">
        <v>2566</v>
      </c>
      <c r="B58" t="str">
        <f t="shared" si="6"/>
        <v>H</v>
      </c>
      <c r="D58" t="str">
        <f t="shared" si="0"/>
        <v>N/A</v>
      </c>
      <c r="E58" cm="1">
        <f t="array" ref="E58">SUMPRODUCT((--EXACT(S58,'Rent Roll'!$G$24:$G$125)))</f>
        <v>0</v>
      </c>
      <c r="F58">
        <f t="shared" si="1"/>
        <v>0</v>
      </c>
      <c r="G58" t="str">
        <f>IF('Rent Roll'!BN$17="# Bedrooms","N/A",'Rent Roll'!BN$17)</f>
        <v>N/A</v>
      </c>
      <c r="H58" t="str">
        <f>IF('Rent Roll'!BN$18="# Baths","N/A",'Rent Roll'!BN$18)</f>
        <v>N/A</v>
      </c>
      <c r="I58" t="str">
        <f>IF('Rent Roll'!$BN$22="Square Footage","N/A",'Rent Roll'!$BN$22)</f>
        <v>N/A</v>
      </c>
      <c r="J58" t="str">
        <f>IF('Rent Roll'!BN$21="Market Rent","N/A",'Rent Roll'!BN$21)</f>
        <v>N/A</v>
      </c>
      <c r="K58">
        <f t="shared" si="2"/>
        <v>0</v>
      </c>
      <c r="L58">
        <f>'Rent Roll'!BN$126</f>
        <v>0</v>
      </c>
      <c r="M58">
        <f>'Rent Roll'!BN$130</f>
        <v>0</v>
      </c>
      <c r="N58" t="str">
        <f>IF('Rent Roll'!BN$126=0,"N/A",('Rent Roll'!BN$126-SUMIF('Rent Roll'!$G$24:$G$125,'Rent Roll'!BN$20,'Rent Roll'!$K$24:$K$125))/($E58-$Q58))</f>
        <v>N/A</v>
      </c>
      <c r="O58">
        <f t="shared" si="3"/>
        <v>0</v>
      </c>
      <c r="P58">
        <f t="shared" si="4"/>
        <v>0</v>
      </c>
      <c r="Q58">
        <f>'Rent Roll'!BN$128</f>
        <v>0</v>
      </c>
      <c r="R58">
        <f t="shared" si="5"/>
        <v>0</v>
      </c>
      <c r="S58" t="str">
        <f>'Rent Roll'!$BN$20</f>
        <v>BX</v>
      </c>
    </row>
    <row r="59" ht="14.25" customHeight="1" hidden="1">
      <c r="A59" t="s">
        <v>2567</v>
      </c>
      <c r="B59" t="str">
        <f t="shared" si="6"/>
        <v>H</v>
      </c>
      <c r="D59" t="str">
        <f t="shared" si="0"/>
        <v>N/A</v>
      </c>
      <c r="E59" cm="1">
        <f t="array" ref="E59">SUMPRODUCT((--EXACT(S59,'Rent Roll'!$G$24:$G$125)))</f>
        <v>0</v>
      </c>
      <c r="F59">
        <f t="shared" si="1"/>
        <v>0</v>
      </c>
      <c r="G59" t="str">
        <f>IF('Rent Roll'!BO$17="# Bedrooms","N/A",'Rent Roll'!BO$17)</f>
        <v>N/A</v>
      </c>
      <c r="H59" t="str">
        <f>IF('Rent Roll'!BO$18="# Baths","N/A",'Rent Roll'!BO$18)</f>
        <v>N/A</v>
      </c>
      <c r="I59" t="str">
        <f>IF('Rent Roll'!$BO$22="Square Footage","N/A",'Rent Roll'!$BO$22)</f>
        <v>N/A</v>
      </c>
      <c r="J59" t="str">
        <f>IF('Rent Roll'!BO$21="Market Rent","N/A",'Rent Roll'!BO$21)</f>
        <v>N/A</v>
      </c>
      <c r="K59">
        <f t="shared" si="2"/>
        <v>0</v>
      </c>
      <c r="L59">
        <f>'Rent Roll'!BO$126</f>
        <v>0</v>
      </c>
      <c r="M59">
        <f>'Rent Roll'!BO$130</f>
        <v>0</v>
      </c>
      <c r="N59" t="str">
        <f>IF('Rent Roll'!BO$126=0,"N/A",('Rent Roll'!BO$126-SUMIF('Rent Roll'!$G$24:$G$125,'Rent Roll'!BO$20,'Rent Roll'!$K$24:$K$125))/($E59-$Q59))</f>
        <v>N/A</v>
      </c>
      <c r="O59">
        <f t="shared" si="3"/>
        <v>0</v>
      </c>
      <c r="P59">
        <f t="shared" si="4"/>
        <v>0</v>
      </c>
      <c r="Q59">
        <f>'Rent Roll'!BO$128</f>
        <v>0</v>
      </c>
      <c r="R59">
        <f t="shared" si="5"/>
        <v>0</v>
      </c>
      <c r="S59" t="str">
        <f>'Rent Roll'!$BO$20</f>
        <v>BY</v>
      </c>
    </row>
    <row r="60" ht="14.25" customHeight="1" hidden="1">
      <c r="A60" t="s">
        <v>2568</v>
      </c>
      <c r="B60" t="str">
        <f t="shared" si="6"/>
        <v>H</v>
      </c>
      <c r="D60" t="str">
        <f t="shared" si="0"/>
        <v>N/A</v>
      </c>
      <c r="E60" cm="1">
        <f t="array" ref="E60">SUMPRODUCT((--EXACT(S60,'Rent Roll'!$G$24:$G$125)))</f>
        <v>0</v>
      </c>
      <c r="F60">
        <f t="shared" si="1"/>
        <v>0</v>
      </c>
      <c r="G60" t="str">
        <f>IF('Rent Roll'!BP$17="# Bedrooms","N/A",'Rent Roll'!BP$17)</f>
        <v>N/A</v>
      </c>
      <c r="H60" t="str">
        <f>IF('Rent Roll'!BP$18="# Baths","N/A",'Rent Roll'!BP$18)</f>
        <v>N/A</v>
      </c>
      <c r="I60" t="str">
        <f>IF('Rent Roll'!$BP$22="Square Footage","N/A",'Rent Roll'!$BP$22)</f>
        <v>N/A</v>
      </c>
      <c r="J60" t="str">
        <f>IF('Rent Roll'!BP$21="Market Rent","N/A",'Rent Roll'!BP$21)</f>
        <v>N/A</v>
      </c>
      <c r="K60">
        <f t="shared" si="2"/>
        <v>0</v>
      </c>
      <c r="L60">
        <f>'Rent Roll'!BP$126</f>
        <v>0</v>
      </c>
      <c r="M60">
        <f>'Rent Roll'!BP$130</f>
        <v>0</v>
      </c>
      <c r="N60" t="str">
        <f>IF('Rent Roll'!BP$126=0,"N/A",('Rent Roll'!BP$126-SUMIF('Rent Roll'!$G$24:$G$125,'Rent Roll'!BP$20,'Rent Roll'!$K$24:$K$125))/($E60-$Q60))</f>
        <v>N/A</v>
      </c>
      <c r="O60">
        <f t="shared" si="3"/>
        <v>0</v>
      </c>
      <c r="P60">
        <f t="shared" si="4"/>
        <v>0</v>
      </c>
      <c r="Q60">
        <f>'Rent Roll'!BP$128</f>
        <v>0</v>
      </c>
      <c r="R60">
        <f t="shared" si="5"/>
        <v>0</v>
      </c>
      <c r="S60" t="str">
        <f>'Rent Roll'!$BP$20</f>
        <v>BZ</v>
      </c>
    </row>
    <row r="61" ht="14.25" customHeight="1" hidden="1">
      <c r="A61" t="s">
        <v>2569</v>
      </c>
      <c r="B61" t="str">
        <f t="shared" si="6"/>
        <v>H</v>
      </c>
      <c r="D61" t="str">
        <f t="shared" si="0"/>
        <v>N/A</v>
      </c>
      <c r="E61" cm="1">
        <f t="array" ref="E61">SUMPRODUCT((--EXACT(S61,'Rent Roll'!$G$24:$G$125)))</f>
        <v>0</v>
      </c>
      <c r="F61">
        <f t="shared" si="1"/>
        <v>0</v>
      </c>
      <c r="G61" t="str">
        <f>IF('Rent Roll'!BQ$17="# Bedrooms","N/A",'Rent Roll'!BQ$17)</f>
        <v>N/A</v>
      </c>
      <c r="H61" t="str">
        <f>IF('Rent Roll'!BQ$18="# Baths","N/A",'Rent Roll'!BQ$18)</f>
        <v>N/A</v>
      </c>
      <c r="I61" t="str">
        <f>IF('Rent Roll'!$BQ$22="Square Footage","N/A",'Rent Roll'!$BQ$22)</f>
        <v>N/A</v>
      </c>
      <c r="J61" t="str">
        <f>IF('Rent Roll'!BQ$21="Market Rent","N/A",'Rent Roll'!BQ$21)</f>
        <v>N/A</v>
      </c>
      <c r="K61">
        <f t="shared" si="2"/>
        <v>0</v>
      </c>
      <c r="L61">
        <f>'Rent Roll'!BQ$126</f>
        <v>0</v>
      </c>
      <c r="M61">
        <f>'Rent Roll'!BQ$130</f>
        <v>0</v>
      </c>
      <c r="N61" t="str">
        <f>IF('Rent Roll'!BQ$126=0,"N/A",('Rent Roll'!BQ$126-SUMIF('Rent Roll'!$G$24:$G$125,'Rent Roll'!BQ$20,'Rent Roll'!$K$24:$K$125))/($E61-$Q61))</f>
        <v>N/A</v>
      </c>
      <c r="O61">
        <f t="shared" si="3"/>
        <v>0</v>
      </c>
      <c r="P61">
        <f t="shared" si="4"/>
        <v>0</v>
      </c>
      <c r="Q61">
        <f>'Rent Roll'!BQ$128</f>
        <v>0</v>
      </c>
      <c r="R61">
        <f t="shared" si="5"/>
        <v>0</v>
      </c>
      <c r="S61" t="str">
        <f>'Rent Roll'!$BQ$20</f>
        <v>CA</v>
      </c>
    </row>
    <row r="62" ht="14.25" customHeight="1" hidden="1">
      <c r="A62" t="s">
        <v>2570</v>
      </c>
      <c r="B62" t="str">
        <f t="shared" si="6"/>
        <v>H</v>
      </c>
      <c r="D62" t="str">
        <f t="shared" si="0"/>
        <v>N/A</v>
      </c>
      <c r="E62" cm="1">
        <f t="array" ref="E62">SUMPRODUCT((--EXACT(S62,'Rent Roll'!$G$24:$G$125)))</f>
        <v>0</v>
      </c>
      <c r="F62">
        <f t="shared" si="1"/>
        <v>0</v>
      </c>
      <c r="G62" t="str">
        <f>IF('Rent Roll'!BR$17="# Bedrooms","N/A",'Rent Roll'!BR$17)</f>
        <v>N/A</v>
      </c>
      <c r="H62" t="str">
        <f>IF('Rent Roll'!BR$18="# Baths","N/A",'Rent Roll'!BR$18)</f>
        <v>N/A</v>
      </c>
      <c r="I62" t="str">
        <f>IF('Rent Roll'!$BR$22="Square Footage","N/A",'Rent Roll'!$BR$22)</f>
        <v>N/A</v>
      </c>
      <c r="J62" t="str">
        <f>IF('Rent Roll'!BR$21="Market Rent","N/A",'Rent Roll'!BR$21)</f>
        <v>N/A</v>
      </c>
      <c r="K62">
        <f t="shared" si="2"/>
        <v>0</v>
      </c>
      <c r="L62">
        <f>'Rent Roll'!BR$126</f>
        <v>0</v>
      </c>
      <c r="M62">
        <f>'Rent Roll'!BR$130</f>
        <v>0</v>
      </c>
      <c r="N62" t="str">
        <f>IF('Rent Roll'!BR$126=0,"N/A",('Rent Roll'!BR$126-SUMIF('Rent Roll'!$G$24:$G$125,'Rent Roll'!BR$20,'Rent Roll'!$K$24:$K$125))/($E62-$Q62))</f>
        <v>N/A</v>
      </c>
      <c r="O62">
        <f t="shared" si="3"/>
        <v>0</v>
      </c>
      <c r="P62">
        <f t="shared" si="4"/>
        <v>0</v>
      </c>
      <c r="Q62">
        <f>'Rent Roll'!BR$128</f>
        <v>0</v>
      </c>
      <c r="R62">
        <f t="shared" si="5"/>
        <v>0</v>
      </c>
      <c r="S62" t="str">
        <f>'Rent Roll'!$BR$20</f>
        <v>CB</v>
      </c>
    </row>
    <row r="63" ht="14.25" customHeight="1" hidden="1">
      <c r="A63" t="s">
        <v>2571</v>
      </c>
      <c r="B63" t="str">
        <f t="shared" si="6"/>
        <v>H</v>
      </c>
      <c r="D63" t="str">
        <f t="shared" si="0"/>
        <v>N/A</v>
      </c>
      <c r="E63" cm="1">
        <f t="array" ref="E63">SUMPRODUCT((--EXACT(S63,'Rent Roll'!$G$24:$G$125)))</f>
        <v>0</v>
      </c>
      <c r="F63">
        <f t="shared" si="1"/>
        <v>0</v>
      </c>
      <c r="G63" t="str">
        <f>IF('Rent Roll'!BS$17="# Bedrooms","N/A",'Rent Roll'!BS$17)</f>
        <v>N/A</v>
      </c>
      <c r="H63" t="str">
        <f>IF('Rent Roll'!BS$18="# Baths","N/A",'Rent Roll'!BS$18)</f>
        <v>N/A</v>
      </c>
      <c r="I63" t="str">
        <f>IF('Rent Roll'!$BS$22="Square Footage","N/A",'Rent Roll'!$BS$22)</f>
        <v>N/A</v>
      </c>
      <c r="J63" t="str">
        <f>IF('Rent Roll'!BS$21="Market Rent","N/A",'Rent Roll'!BS$21)</f>
        <v>N/A</v>
      </c>
      <c r="K63">
        <f t="shared" si="2"/>
        <v>0</v>
      </c>
      <c r="L63">
        <f>'Rent Roll'!BS$126</f>
        <v>0</v>
      </c>
      <c r="M63">
        <f>'Rent Roll'!BS$130</f>
        <v>0</v>
      </c>
      <c r="N63" t="str">
        <f>IF('Rent Roll'!BS$126=0,"N/A",('Rent Roll'!BS$126-SUMIF('Rent Roll'!$G$24:$G$125,'Rent Roll'!BS$20,'Rent Roll'!$K$24:$K$125))/($E63-$Q63))</f>
        <v>N/A</v>
      </c>
      <c r="O63">
        <f t="shared" si="3"/>
        <v>0</v>
      </c>
      <c r="P63">
        <f t="shared" si="4"/>
        <v>0</v>
      </c>
      <c r="Q63">
        <f>'Rent Roll'!BS$128</f>
        <v>0</v>
      </c>
      <c r="R63">
        <f t="shared" si="5"/>
        <v>0</v>
      </c>
      <c r="S63" t="str">
        <f>'Rent Roll'!$BS$20</f>
        <v>CC</v>
      </c>
    </row>
    <row r="64" ht="14.25" customHeight="1" hidden="1">
      <c r="A64" t="s">
        <v>2572</v>
      </c>
      <c r="B64" t="str">
        <f t="shared" si="6"/>
        <v>H</v>
      </c>
      <c r="D64" t="str">
        <f t="shared" si="0"/>
        <v>N/A</v>
      </c>
      <c r="E64" cm="1">
        <f t="array" ref="E64">SUMPRODUCT((--EXACT(S64,'Rent Roll'!$G$24:$G$125)))</f>
        <v>0</v>
      </c>
      <c r="F64">
        <f t="shared" si="1"/>
        <v>0</v>
      </c>
      <c r="G64" t="str">
        <f>IF('Rent Roll'!BT$17="# Bedrooms","N/A",'Rent Roll'!BT$17)</f>
        <v>N/A</v>
      </c>
      <c r="H64" t="str">
        <f>IF('Rent Roll'!BT$18="# Baths","N/A",'Rent Roll'!BT$18)</f>
        <v>N/A</v>
      </c>
      <c r="I64" t="str">
        <f>IF('Rent Roll'!$BT$22="Square Footage","N/A",'Rent Roll'!$BT$22)</f>
        <v>N/A</v>
      </c>
      <c r="J64" t="str">
        <f>IF('Rent Roll'!BT$21="Market Rent","N/A",'Rent Roll'!BT$21)</f>
        <v>N/A</v>
      </c>
      <c r="K64">
        <f t="shared" si="2"/>
        <v>0</v>
      </c>
      <c r="L64">
        <f>'Rent Roll'!BT$126</f>
        <v>0</v>
      </c>
      <c r="M64">
        <f>'Rent Roll'!BT$130</f>
        <v>0</v>
      </c>
      <c r="N64" t="str">
        <f>IF('Rent Roll'!BT$126=0,"N/A",('Rent Roll'!BT$126-SUMIF('Rent Roll'!$G$24:$G$125,'Rent Roll'!BT$20,'Rent Roll'!$K$24:$K$125))/($E64-$Q64))</f>
        <v>N/A</v>
      </c>
      <c r="O64">
        <f t="shared" si="3"/>
        <v>0</v>
      </c>
      <c r="P64">
        <f t="shared" si="4"/>
        <v>0</v>
      </c>
      <c r="Q64">
        <f>'Rent Roll'!BT$128</f>
        <v>0</v>
      </c>
      <c r="R64">
        <f t="shared" si="5"/>
        <v>0</v>
      </c>
      <c r="S64" t="str">
        <f>'Rent Roll'!$BT$20</f>
        <v>CD</v>
      </c>
    </row>
    <row r="65" ht="14.25" customHeight="1" hidden="1">
      <c r="A65" t="s">
        <v>2573</v>
      </c>
      <c r="B65" t="str">
        <f t="shared" si="6"/>
        <v>H</v>
      </c>
      <c r="D65" t="str">
        <f t="shared" si="0"/>
        <v>N/A</v>
      </c>
      <c r="E65" cm="1">
        <f t="array" ref="E65">SUMPRODUCT((--EXACT(S65,'Rent Roll'!$G$24:$G$125)))</f>
        <v>0</v>
      </c>
      <c r="F65">
        <f t="shared" si="1"/>
        <v>0</v>
      </c>
      <c r="G65" t="str">
        <f>IF('Rent Roll'!BU$17="# Bedrooms","N/A",'Rent Roll'!BU$17)</f>
        <v>N/A</v>
      </c>
      <c r="H65" t="str">
        <f>IF('Rent Roll'!BU$18="# Baths","N/A",'Rent Roll'!BU$18)</f>
        <v>N/A</v>
      </c>
      <c r="I65" t="str">
        <f>IF('Rent Roll'!$BU$22="Square Footage","N/A",'Rent Roll'!$BU$22)</f>
        <v>N/A</v>
      </c>
      <c r="J65" t="str">
        <f>IF('Rent Roll'!BU$21="Market Rent","N/A",'Rent Roll'!BU$21)</f>
        <v>N/A</v>
      </c>
      <c r="K65">
        <f t="shared" si="2"/>
        <v>0</v>
      </c>
      <c r="L65">
        <f>'Rent Roll'!BU$126</f>
        <v>0</v>
      </c>
      <c r="M65">
        <f>'Rent Roll'!BU$130</f>
        <v>0</v>
      </c>
      <c r="N65" t="str">
        <f>IF('Rent Roll'!BU$126=0,"N/A",('Rent Roll'!BU$126-SUMIF('Rent Roll'!$G$24:$G$125,'Rent Roll'!BU$20,'Rent Roll'!$K$24:$K$125))/($E65-$Q65))</f>
        <v>N/A</v>
      </c>
      <c r="O65">
        <f t="shared" si="3"/>
        <v>0</v>
      </c>
      <c r="P65">
        <f t="shared" si="4"/>
        <v>0</v>
      </c>
      <c r="Q65">
        <f>'Rent Roll'!BU$128</f>
        <v>0</v>
      </c>
      <c r="R65">
        <f t="shared" si="5"/>
        <v>0</v>
      </c>
      <c r="S65" t="str">
        <f>'Rent Roll'!$BU$20</f>
        <v>CE</v>
      </c>
    </row>
    <row r="66" ht="14.25" customHeight="1" hidden="1">
      <c r="A66" t="s">
        <v>2574</v>
      </c>
      <c r="B66" t="str">
        <f t="shared" si="6"/>
        <v>H</v>
      </c>
      <c r="D66" t="str">
        <f t="shared" si="0"/>
        <v>N/A</v>
      </c>
      <c r="E66" cm="1">
        <f t="array" ref="E66">SUMPRODUCT((--EXACT(S66,'Rent Roll'!$G$24:$G$125)))</f>
        <v>0</v>
      </c>
      <c r="F66">
        <f t="shared" si="1"/>
        <v>0</v>
      </c>
      <c r="G66" t="str">
        <f>IF('Rent Roll'!BV$17="# Bedrooms","N/A",'Rent Roll'!BV$17)</f>
        <v>N/A</v>
      </c>
      <c r="H66" t="str">
        <f>IF('Rent Roll'!BV$18="# Baths","N/A",'Rent Roll'!BV$18)</f>
        <v>N/A</v>
      </c>
      <c r="I66" t="str">
        <f>IF('Rent Roll'!$BV$22="Square Footage","N/A",'Rent Roll'!$BV$22)</f>
        <v>N/A</v>
      </c>
      <c r="J66" t="str">
        <f>IF('Rent Roll'!BV$21="Market Rent","N/A",'Rent Roll'!BV$21)</f>
        <v>N/A</v>
      </c>
      <c r="K66">
        <f t="shared" si="2"/>
        <v>0</v>
      </c>
      <c r="L66">
        <f>'Rent Roll'!BV$126</f>
        <v>0</v>
      </c>
      <c r="M66">
        <f>'Rent Roll'!BV$130</f>
        <v>0</v>
      </c>
      <c r="N66" t="str">
        <f>IF('Rent Roll'!BV$126=0,"N/A",('Rent Roll'!BV$126-SUMIF('Rent Roll'!$G$24:$G$125,'Rent Roll'!BV$20,'Rent Roll'!$K$24:$K$125))/($E66-$Q66))</f>
        <v>N/A</v>
      </c>
      <c r="O66">
        <f t="shared" si="3"/>
        <v>0</v>
      </c>
      <c r="P66">
        <f t="shared" si="4"/>
        <v>0</v>
      </c>
      <c r="Q66">
        <f>'Rent Roll'!BV$128</f>
        <v>0</v>
      </c>
      <c r="R66">
        <f t="shared" si="5"/>
        <v>0</v>
      </c>
      <c r="S66" t="str">
        <f>'Rent Roll'!$BV$20</f>
        <v>CF</v>
      </c>
    </row>
    <row r="67" ht="14.25" customHeight="1" hidden="1">
      <c r="A67" t="s">
        <v>2575</v>
      </c>
      <c r="B67" t="str">
        <f t="shared" si="6"/>
        <v>H</v>
      </c>
      <c r="D67" t="str">
        <f t="shared" si="0"/>
        <v>N/A</v>
      </c>
      <c r="E67" cm="1">
        <f t="array" ref="E67">SUMPRODUCT((--EXACT(S67,'Rent Roll'!$G$24:$G$125)))</f>
        <v>0</v>
      </c>
      <c r="F67">
        <f t="shared" si="1"/>
        <v>0</v>
      </c>
      <c r="G67" t="str">
        <f>IF('Rent Roll'!BW$17="# Bedrooms","N/A",'Rent Roll'!BW$17)</f>
        <v>N/A</v>
      </c>
      <c r="H67" t="str">
        <f>IF('Rent Roll'!BW$18="# Baths","N/A",'Rent Roll'!BW$18)</f>
        <v>N/A</v>
      </c>
      <c r="I67" t="str">
        <f>IF('Rent Roll'!$BW$22="Square Footage","N/A",'Rent Roll'!$BW$22)</f>
        <v>N/A</v>
      </c>
      <c r="J67" t="str">
        <f>IF('Rent Roll'!BW$21="Market Rent","N/A",'Rent Roll'!BW$21)</f>
        <v>N/A</v>
      </c>
      <c r="K67">
        <f t="shared" si="2"/>
        <v>0</v>
      </c>
      <c r="L67">
        <f>'Rent Roll'!BW$126</f>
        <v>0</v>
      </c>
      <c r="M67">
        <f>'Rent Roll'!BW$130</f>
        <v>0</v>
      </c>
      <c r="N67" t="str">
        <f>IF('Rent Roll'!BW$126=0,"N/A",('Rent Roll'!BW$126-SUMIF('Rent Roll'!$G$24:$G$125,'Rent Roll'!BW$20,'Rent Roll'!$K$24:$K$125))/($E67-$Q67))</f>
        <v>N/A</v>
      </c>
      <c r="O67">
        <f t="shared" si="3"/>
        <v>0</v>
      </c>
      <c r="P67">
        <f t="shared" si="4"/>
        <v>0</v>
      </c>
      <c r="Q67">
        <f>'Rent Roll'!BW$128</f>
        <v>0</v>
      </c>
      <c r="R67">
        <f t="shared" si="5"/>
        <v>0</v>
      </c>
      <c r="S67" t="str">
        <f>'Rent Roll'!$BW$20</f>
        <v>CG</v>
      </c>
    </row>
    <row r="68" ht="14.25" customHeight="1" hidden="1">
      <c r="A68" t="s">
        <v>2576</v>
      </c>
      <c r="B68" t="str">
        <f t="shared" si="6"/>
        <v>H</v>
      </c>
      <c r="D68" t="str">
        <f t="shared" si="0"/>
        <v>N/A</v>
      </c>
      <c r="E68" cm="1">
        <f t="array" ref="E68">SUMPRODUCT((--EXACT(S68,'Rent Roll'!$G$24:$G$125)))</f>
        <v>0</v>
      </c>
      <c r="F68">
        <f t="shared" si="1"/>
        <v>0</v>
      </c>
      <c r="G68" t="str">
        <f>IF('Rent Roll'!BX$17="# Bedrooms","N/A",'Rent Roll'!BX$17)</f>
        <v>N/A</v>
      </c>
      <c r="H68" t="str">
        <f>IF('Rent Roll'!BX$18="# Baths","N/A",'Rent Roll'!BX$18)</f>
        <v>N/A</v>
      </c>
      <c r="I68" t="str">
        <f>IF('Rent Roll'!$BX$22="Square Footage","N/A",'Rent Roll'!$BX$22)</f>
        <v>N/A</v>
      </c>
      <c r="J68" t="str">
        <f>IF('Rent Roll'!BX$21="Market Rent","N/A",'Rent Roll'!BX$21)</f>
        <v>N/A</v>
      </c>
      <c r="K68">
        <f t="shared" si="2"/>
        <v>0</v>
      </c>
      <c r="L68">
        <f>'Rent Roll'!BX$126</f>
        <v>0</v>
      </c>
      <c r="M68">
        <f>'Rent Roll'!BX$130</f>
        <v>0</v>
      </c>
      <c r="N68" t="str">
        <f>IF('Rent Roll'!BX$126=0,"N/A",('Rent Roll'!BX$126-SUMIF('Rent Roll'!$G$24:$G$125,'Rent Roll'!BX$20,'Rent Roll'!$K$24:$K$125))/($E68-$Q68))</f>
        <v>N/A</v>
      </c>
      <c r="O68">
        <f t="shared" si="3"/>
        <v>0</v>
      </c>
      <c r="P68">
        <f t="shared" si="4"/>
        <v>0</v>
      </c>
      <c r="Q68">
        <f>'Rent Roll'!BX$128</f>
        <v>0</v>
      </c>
      <c r="R68">
        <f t="shared" si="5"/>
        <v>0</v>
      </c>
      <c r="S68" t="str">
        <f>'Rent Roll'!$BX$20</f>
        <v>CH</v>
      </c>
    </row>
    <row r="69" ht="14.25" customHeight="1" hidden="1">
      <c r="A69" t="s">
        <v>2577</v>
      </c>
      <c r="B69" t="str">
        <f t="shared" si="6"/>
        <v>H</v>
      </c>
      <c r="D69" t="str">
        <f t="shared" si="0"/>
        <v>N/A</v>
      </c>
      <c r="E69" cm="1">
        <f t="array" ref="E69">SUMPRODUCT((--EXACT(S69,'Rent Roll'!$G$24:$G$125)))</f>
        <v>0</v>
      </c>
      <c r="F69">
        <f t="shared" si="1"/>
        <v>0</v>
      </c>
      <c r="G69" t="str">
        <f>IF('Rent Roll'!BY$17="# Bedrooms","N/A",'Rent Roll'!BY$17)</f>
        <v>N/A</v>
      </c>
      <c r="H69" t="str">
        <f>IF('Rent Roll'!BY$18="# Baths","N/A",'Rent Roll'!BY$18)</f>
        <v>N/A</v>
      </c>
      <c r="I69" t="str">
        <f>IF('Rent Roll'!$BY$22="Square Footage","N/A",'Rent Roll'!$BY$22)</f>
        <v>N/A</v>
      </c>
      <c r="J69" t="str">
        <f>IF('Rent Roll'!BY$21="Market Rent","N/A",'Rent Roll'!BY$21)</f>
        <v>N/A</v>
      </c>
      <c r="K69">
        <f t="shared" si="2"/>
        <v>0</v>
      </c>
      <c r="L69">
        <f>'Rent Roll'!BY$126</f>
        <v>0</v>
      </c>
      <c r="M69">
        <f>'Rent Roll'!BY$130</f>
        <v>0</v>
      </c>
      <c r="N69" t="str">
        <f>IF('Rent Roll'!BY$126=0,"N/A",('Rent Roll'!BY$126-SUMIF('Rent Roll'!$G$24:$G$125,'Rent Roll'!BY$20,'Rent Roll'!$K$24:$K$125))/($E69-$Q69))</f>
        <v>N/A</v>
      </c>
      <c r="O69">
        <f t="shared" si="3"/>
        <v>0</v>
      </c>
      <c r="P69">
        <f t="shared" si="4"/>
        <v>0</v>
      </c>
      <c r="Q69">
        <f>'Rent Roll'!BY$128</f>
        <v>0</v>
      </c>
      <c r="R69">
        <f t="shared" si="5"/>
        <v>0</v>
      </c>
      <c r="S69" t="str">
        <f>'Rent Roll'!$BY$20</f>
        <v>CI</v>
      </c>
    </row>
    <row r="70" ht="14.25" customHeight="1" hidden="1">
      <c r="A70" t="s">
        <v>2578</v>
      </c>
      <c r="B70" t="str">
        <f t="shared" si="6"/>
        <v>H</v>
      </c>
      <c r="D70" t="str">
        <f t="shared" si="0"/>
        <v>N/A</v>
      </c>
      <c r="E70" cm="1">
        <f t="array" ref="E70">SUMPRODUCT((--EXACT(S70,'Rent Roll'!$G$24:$G$125)))</f>
        <v>0</v>
      </c>
      <c r="F70">
        <f t="shared" si="1"/>
        <v>0</v>
      </c>
      <c r="G70" t="str">
        <f>IF('Rent Roll'!BZ$17="# Bedrooms","N/A",'Rent Roll'!BZ$17)</f>
        <v>N/A</v>
      </c>
      <c r="H70" t="str">
        <f>IF('Rent Roll'!BZ$18="# Baths","N/A",'Rent Roll'!BZ$18)</f>
        <v>N/A</v>
      </c>
      <c r="I70" t="str">
        <f>IF('Rent Roll'!$BZ$22="Square Footage","N/A",'Rent Roll'!$BZ$22)</f>
        <v>N/A</v>
      </c>
      <c r="J70" t="str">
        <f>IF('Rent Roll'!BZ$21="Market Rent","N/A",'Rent Roll'!BZ$21)</f>
        <v>N/A</v>
      </c>
      <c r="K70">
        <f t="shared" si="2"/>
        <v>0</v>
      </c>
      <c r="L70">
        <f>'Rent Roll'!BZ$126</f>
        <v>0</v>
      </c>
      <c r="M70">
        <f>'Rent Roll'!BZ$130</f>
        <v>0</v>
      </c>
      <c r="N70" t="str">
        <f>IF('Rent Roll'!BZ$126=0,"N/A",('Rent Roll'!BZ$126-SUMIF('Rent Roll'!$G$24:$G$125,'Rent Roll'!BZ$20,'Rent Roll'!$K$24:$K$125))/($E70-$Q70))</f>
        <v>N/A</v>
      </c>
      <c r="O70">
        <f t="shared" si="3"/>
        <v>0</v>
      </c>
      <c r="P70">
        <f t="shared" si="4"/>
        <v>0</v>
      </c>
      <c r="Q70">
        <f>'Rent Roll'!BZ$128</f>
        <v>0</v>
      </c>
      <c r="R70">
        <f t="shared" si="5"/>
        <v>0</v>
      </c>
      <c r="S70" t="str">
        <f>'Rent Roll'!$BZ$20</f>
        <v>CJ</v>
      </c>
    </row>
    <row r="71" ht="14.25" customHeight="1" hidden="1">
      <c r="A71" t="s">
        <v>2579</v>
      </c>
      <c r="B71" t="str">
        <f t="shared" si="6"/>
        <v>H</v>
      </c>
      <c r="D71" t="str">
        <f t="shared" si="0"/>
        <v>N/A</v>
      </c>
      <c r="E71" cm="1">
        <f t="array" ref="E71">SUMPRODUCT((--EXACT(S71,'Rent Roll'!$G$24:$G$125)))</f>
        <v>0</v>
      </c>
      <c r="F71">
        <f t="shared" si="1"/>
        <v>0</v>
      </c>
      <c r="G71" t="str">
        <f>IF('Rent Roll'!CA$17="# Bedrooms","N/A",'Rent Roll'!CA$17)</f>
        <v>N/A</v>
      </c>
      <c r="H71" t="str">
        <f>IF('Rent Roll'!CA$18="# Baths","N/A",'Rent Roll'!CA$18)</f>
        <v>N/A</v>
      </c>
      <c r="I71" t="str">
        <f>IF('Rent Roll'!$CA$22="Square Footage","N/A",'Rent Roll'!$CA$22)</f>
        <v>N/A</v>
      </c>
      <c r="J71" t="str">
        <f>IF('Rent Roll'!CA$21="Market Rent","N/A",'Rent Roll'!CA$21)</f>
        <v>N/A</v>
      </c>
      <c r="K71">
        <f t="shared" si="2"/>
        <v>0</v>
      </c>
      <c r="L71">
        <f>'Rent Roll'!CA$126</f>
        <v>0</v>
      </c>
      <c r="M71">
        <f>'Rent Roll'!CA$130</f>
        <v>0</v>
      </c>
      <c r="N71" t="str">
        <f>IF('Rent Roll'!CA$126=0,"N/A",('Rent Roll'!CA$126-SUMIF('Rent Roll'!$G$24:$G$125,'Rent Roll'!CA$20,'Rent Roll'!$K$24:$K$125))/($E71-$Q71))</f>
        <v>N/A</v>
      </c>
      <c r="O71">
        <f t="shared" si="3"/>
        <v>0</v>
      </c>
      <c r="P71">
        <f t="shared" si="4"/>
        <v>0</v>
      </c>
      <c r="Q71">
        <f>'Rent Roll'!CA$128</f>
        <v>0</v>
      </c>
      <c r="R71">
        <f t="shared" si="5"/>
        <v>0</v>
      </c>
      <c r="S71" t="str">
        <f>'Rent Roll'!$CA$20</f>
        <v>CK</v>
      </c>
    </row>
    <row r="72" ht="14.25" customHeight="1" hidden="1">
      <c r="A72" t="s">
        <v>2580</v>
      </c>
      <c r="B72" t="str">
        <f t="shared" si="6"/>
        <v>H</v>
      </c>
      <c r="D72" t="str">
        <f t="shared" si="0"/>
        <v>N/A</v>
      </c>
      <c r="E72" cm="1">
        <f t="array" ref="E72">SUMPRODUCT((--EXACT(S72,'Rent Roll'!$G$24:$G$125)))</f>
        <v>0</v>
      </c>
      <c r="F72">
        <f t="shared" si="1"/>
        <v>0</v>
      </c>
      <c r="G72" t="str">
        <f>IF('Rent Roll'!CB$17="# Bedrooms","N/A",'Rent Roll'!CB$17)</f>
        <v>N/A</v>
      </c>
      <c r="H72" t="str">
        <f>IF('Rent Roll'!CB$18="# Baths","N/A",'Rent Roll'!CB$18)</f>
        <v>N/A</v>
      </c>
      <c r="I72" t="str">
        <f>IF('Rent Roll'!$CB$22="Square Footage","N/A",'Rent Roll'!$CB$22)</f>
        <v>N/A</v>
      </c>
      <c r="J72" t="str">
        <f>IF('Rent Roll'!CB$21="Market Rent","N/A",'Rent Roll'!CB$21)</f>
        <v>N/A</v>
      </c>
      <c r="K72">
        <f t="shared" si="2"/>
        <v>0</v>
      </c>
      <c r="L72">
        <f>'Rent Roll'!CB$126</f>
        <v>0</v>
      </c>
      <c r="M72">
        <f>'Rent Roll'!CB$130</f>
        <v>0</v>
      </c>
      <c r="N72" t="str">
        <f>IF('Rent Roll'!CB$126=0,"N/A",('Rent Roll'!CB$126-SUMIF('Rent Roll'!$G$24:$G$125,'Rent Roll'!CB$20,'Rent Roll'!$K$24:$K$125))/($E72-$Q72))</f>
        <v>N/A</v>
      </c>
      <c r="O72">
        <f t="shared" si="3"/>
        <v>0</v>
      </c>
      <c r="P72">
        <f t="shared" si="4"/>
        <v>0</v>
      </c>
      <c r="Q72">
        <f>'Rent Roll'!CB$128</f>
        <v>0</v>
      </c>
      <c r="R72">
        <f t="shared" si="5"/>
        <v>0</v>
      </c>
      <c r="S72" t="str">
        <f>'Rent Roll'!$CB$20</f>
        <v>CL</v>
      </c>
    </row>
    <row r="73" ht="14.25" customHeight="1" hidden="1">
      <c r="A73" t="s">
        <v>2581</v>
      </c>
      <c r="B73" t="str">
        <f t="shared" si="6"/>
        <v>H</v>
      </c>
      <c r="D73" t="str">
        <f t="shared" si="0"/>
        <v>N/A</v>
      </c>
      <c r="E73" cm="1">
        <f t="array" ref="E73">SUMPRODUCT((--EXACT(S73,'Rent Roll'!$G$24:$G$125)))</f>
        <v>0</v>
      </c>
      <c r="F73">
        <f t="shared" si="1"/>
        <v>0</v>
      </c>
      <c r="G73" t="str">
        <f>IF('Rent Roll'!CC$17="# Bedrooms","N/A",'Rent Roll'!CC$17)</f>
        <v>N/A</v>
      </c>
      <c r="H73" t="str">
        <f>IF('Rent Roll'!CC$18="# Baths","N/A",'Rent Roll'!CC$18)</f>
        <v>N/A</v>
      </c>
      <c r="I73" t="str">
        <f>IF('Rent Roll'!$CC$22="Square Footage","N/A",'Rent Roll'!$CC$22)</f>
        <v>N/A</v>
      </c>
      <c r="J73" t="str">
        <f>IF('Rent Roll'!CC$21="Market Rent","N/A",'Rent Roll'!CC$21)</f>
        <v>N/A</v>
      </c>
      <c r="K73">
        <f t="shared" si="2"/>
        <v>0</v>
      </c>
      <c r="L73">
        <f>'Rent Roll'!CC$126</f>
        <v>0</v>
      </c>
      <c r="M73">
        <f>'Rent Roll'!CC$130</f>
        <v>0</v>
      </c>
      <c r="N73" t="str">
        <f>IF('Rent Roll'!CC$126=0,"N/A",('Rent Roll'!CC$126-SUMIF('Rent Roll'!$G$24:$G$125,'Rent Roll'!CC$20,'Rent Roll'!$K$24:$K$125))/($E73-$Q73))</f>
        <v>N/A</v>
      </c>
      <c r="O73">
        <f t="shared" si="3"/>
        <v>0</v>
      </c>
      <c r="P73">
        <f t="shared" si="4"/>
        <v>0</v>
      </c>
      <c r="Q73">
        <f>'Rent Roll'!CC$128</f>
        <v>0</v>
      </c>
      <c r="R73">
        <f t="shared" si="5"/>
        <v>0</v>
      </c>
      <c r="S73" t="str">
        <f>'Rent Roll'!$CC$20</f>
        <v>CM</v>
      </c>
    </row>
    <row r="74" ht="14.25" customHeight="1" hidden="1">
      <c r="A74" t="s">
        <v>2582</v>
      </c>
      <c r="B74" t="str">
        <f t="shared" si="6"/>
        <v>H</v>
      </c>
      <c r="D74" t="str">
        <f t="shared" si="0"/>
        <v>N/A</v>
      </c>
      <c r="E74" cm="1">
        <f t="array" ref="E74">SUMPRODUCT((--EXACT(S74,'Rent Roll'!$G$24:$G$125)))</f>
        <v>0</v>
      </c>
      <c r="F74">
        <f t="shared" si="1"/>
        <v>0</v>
      </c>
      <c r="G74" t="str">
        <f>IF('Rent Roll'!CD$17="# Bedrooms","N/A",'Rent Roll'!CD$17)</f>
        <v>N/A</v>
      </c>
      <c r="H74" t="str">
        <f>IF('Rent Roll'!CD$18="# Baths","N/A",'Rent Roll'!CD$18)</f>
        <v>N/A</v>
      </c>
      <c r="I74" t="str">
        <f>IF('Rent Roll'!$CD$22="Square Footage","N/A",'Rent Roll'!$CD$22)</f>
        <v>N/A</v>
      </c>
      <c r="J74" t="str">
        <f>IF('Rent Roll'!CD$21="Market Rent","N/A",'Rent Roll'!CD$21)</f>
        <v>N/A</v>
      </c>
      <c r="K74">
        <f t="shared" si="2"/>
        <v>0</v>
      </c>
      <c r="L74">
        <f>'Rent Roll'!CD$126</f>
        <v>0</v>
      </c>
      <c r="M74">
        <f>'Rent Roll'!CD$130</f>
        <v>0</v>
      </c>
      <c r="N74" t="str">
        <f>IF('Rent Roll'!CD$126=0,"N/A",('Rent Roll'!CD$126-SUMIF('Rent Roll'!$G$24:$G$125,'Rent Roll'!CD$20,'Rent Roll'!$K$24:$K$125))/($E74-$Q74))</f>
        <v>N/A</v>
      </c>
      <c r="O74">
        <f t="shared" si="3"/>
        <v>0</v>
      </c>
      <c r="P74">
        <f t="shared" si="4"/>
        <v>0</v>
      </c>
      <c r="Q74">
        <f>'Rent Roll'!CD$128</f>
        <v>0</v>
      </c>
      <c r="R74">
        <f t="shared" si="5"/>
        <v>0</v>
      </c>
      <c r="S74" t="str">
        <f>'Rent Roll'!$CD$20</f>
        <v>CN</v>
      </c>
    </row>
    <row r="75" ht="14.25" customHeight="1" hidden="1">
      <c r="A75" t="s">
        <v>2583</v>
      </c>
      <c r="B75" t="str">
        <f t="shared" si="6"/>
        <v>H</v>
      </c>
      <c r="D75" t="str">
        <f t="shared" si="0"/>
        <v>N/A</v>
      </c>
      <c r="E75" cm="1">
        <f t="array" ref="E75">SUMPRODUCT((--EXACT(S75,'Rent Roll'!$G$24:$G$125)))</f>
        <v>0</v>
      </c>
      <c r="F75">
        <f t="shared" si="1"/>
        <v>0</v>
      </c>
      <c r="G75" t="str">
        <f>IF('Rent Roll'!CE$17="# Bedrooms","N/A",'Rent Roll'!CE$17)</f>
        <v>N/A</v>
      </c>
      <c r="H75" t="str">
        <f>IF('Rent Roll'!CE$18="# Baths","N/A",'Rent Roll'!CE$18)</f>
        <v>N/A</v>
      </c>
      <c r="I75" t="str">
        <f>IF('Rent Roll'!$CE$22="Square Footage","N/A",'Rent Roll'!$CE$22)</f>
        <v>N/A</v>
      </c>
      <c r="J75" t="str">
        <f>IF('Rent Roll'!CE$21="Market Rent","N/A",'Rent Roll'!CE$21)</f>
        <v>N/A</v>
      </c>
      <c r="K75">
        <f t="shared" si="2"/>
        <v>0</v>
      </c>
      <c r="L75">
        <f>'Rent Roll'!CE$126</f>
        <v>0</v>
      </c>
      <c r="M75">
        <f>'Rent Roll'!CE$130</f>
        <v>0</v>
      </c>
      <c r="N75" t="str">
        <f>IF('Rent Roll'!CE$126=0,"N/A",('Rent Roll'!CE$126-SUMIF('Rent Roll'!$G$24:$G$125,'Rent Roll'!CE$20,'Rent Roll'!$K$24:$K$125))/($E75-$Q75))</f>
        <v>N/A</v>
      </c>
      <c r="O75">
        <f t="shared" si="3"/>
        <v>0</v>
      </c>
      <c r="P75">
        <f t="shared" si="4"/>
        <v>0</v>
      </c>
      <c r="Q75">
        <f>'Rent Roll'!CE$128</f>
        <v>0</v>
      </c>
      <c r="R75">
        <f t="shared" si="5"/>
        <v>0</v>
      </c>
      <c r="S75" t="str">
        <f>'Rent Roll'!$CE$20</f>
        <v>CO</v>
      </c>
    </row>
    <row r="76" ht="14.25" customHeight="1" hidden="1">
      <c r="A76" t="s">
        <v>2584</v>
      </c>
      <c r="B76" t="str">
        <f t="shared" si="6"/>
        <v>H</v>
      </c>
      <c r="D76" t="str">
        <f t="shared" si="0"/>
        <v>N/A</v>
      </c>
      <c r="E76" cm="1">
        <f t="array" ref="E76">SUMPRODUCT((--EXACT(S76,'Rent Roll'!$G$24:$G$125)))</f>
        <v>0</v>
      </c>
      <c r="F76">
        <f t="shared" si="1"/>
        <v>0</v>
      </c>
      <c r="G76" t="str">
        <f>IF('Rent Roll'!CF$17="# Bedrooms","N/A",'Rent Roll'!CF$17)</f>
        <v>N/A</v>
      </c>
      <c r="H76" t="str">
        <f>IF('Rent Roll'!CF$18="# Baths","N/A",'Rent Roll'!CF$18)</f>
        <v>N/A</v>
      </c>
      <c r="I76" t="str">
        <f>IF('Rent Roll'!$CF$22="Square Footage","N/A",'Rent Roll'!$CF$22)</f>
        <v>N/A</v>
      </c>
      <c r="J76" t="str">
        <f>IF('Rent Roll'!CF$21="Market Rent","N/A",'Rent Roll'!CF$21)</f>
        <v>N/A</v>
      </c>
      <c r="K76">
        <f t="shared" si="2"/>
        <v>0</v>
      </c>
      <c r="L76">
        <f>'Rent Roll'!CF$126</f>
        <v>0</v>
      </c>
      <c r="M76">
        <f>'Rent Roll'!CF$130</f>
        <v>0</v>
      </c>
      <c r="N76" t="str">
        <f>IF('Rent Roll'!CF$126=0,"N/A",('Rent Roll'!CF$126-SUMIF('Rent Roll'!$G$24:$G$125,'Rent Roll'!CF$20,'Rent Roll'!$K$24:$K$125))/($E76-$Q76))</f>
        <v>N/A</v>
      </c>
      <c r="O76">
        <f t="shared" si="3"/>
        <v>0</v>
      </c>
      <c r="P76">
        <f t="shared" si="4"/>
        <v>0</v>
      </c>
      <c r="Q76">
        <f>'Rent Roll'!CF$128</f>
        <v>0</v>
      </c>
      <c r="R76">
        <f t="shared" si="5"/>
        <v>0</v>
      </c>
      <c r="S76" t="str">
        <f>'Rent Roll'!$CF$20</f>
        <v>CP</v>
      </c>
    </row>
    <row r="77" ht="14.25" customHeight="1" hidden="1">
      <c r="A77" t="s">
        <v>2585</v>
      </c>
      <c r="B77" t="str">
        <f t="shared" si="6"/>
        <v>H</v>
      </c>
      <c r="D77" t="str">
        <f t="shared" si="0"/>
        <v>N/A</v>
      </c>
      <c r="E77" cm="1">
        <f t="array" ref="E77">SUMPRODUCT((--EXACT(S77,'Rent Roll'!$G$24:$G$125)))</f>
        <v>0</v>
      </c>
      <c r="F77">
        <f t="shared" si="1"/>
        <v>0</v>
      </c>
      <c r="G77" t="str">
        <f>IF('Rent Roll'!CG$17="# Bedrooms","N/A",'Rent Roll'!CG$17)</f>
        <v>N/A</v>
      </c>
      <c r="H77" t="str">
        <f>IF('Rent Roll'!CG$18="# Baths","N/A",'Rent Roll'!CG$18)</f>
        <v>N/A</v>
      </c>
      <c r="I77" t="str">
        <f>IF('Rent Roll'!$CG$22="Square Footage","N/A",'Rent Roll'!$CG$22)</f>
        <v>N/A</v>
      </c>
      <c r="J77" t="str">
        <f>IF('Rent Roll'!CG$21="Market Rent","N/A",'Rent Roll'!CG$21)</f>
        <v>N/A</v>
      </c>
      <c r="K77">
        <f t="shared" si="2"/>
        <v>0</v>
      </c>
      <c r="L77">
        <f>'Rent Roll'!CG$126</f>
        <v>0</v>
      </c>
      <c r="M77">
        <f>'Rent Roll'!CG$130</f>
        <v>0</v>
      </c>
      <c r="N77" t="str">
        <f>IF('Rent Roll'!CG$126=0,"N/A",('Rent Roll'!CG$126-SUMIF('Rent Roll'!$G$24:$G$125,'Rent Roll'!CG$20,'Rent Roll'!$K$24:$K$125))/($E77-$Q77))</f>
        <v>N/A</v>
      </c>
      <c r="O77">
        <f t="shared" si="3"/>
        <v>0</v>
      </c>
      <c r="P77">
        <f t="shared" si="4"/>
        <v>0</v>
      </c>
      <c r="Q77">
        <f>'Rent Roll'!CG$128</f>
        <v>0</v>
      </c>
      <c r="R77">
        <f t="shared" si="5"/>
        <v>0</v>
      </c>
      <c r="S77" t="str">
        <f>'Rent Roll'!$CG$20</f>
        <v>CQ</v>
      </c>
    </row>
    <row r="78" ht="14.25" customHeight="1" hidden="1">
      <c r="A78" t="s">
        <v>2586</v>
      </c>
      <c r="B78" t="str">
        <f t="shared" si="6"/>
        <v>H</v>
      </c>
      <c r="D78" t="str">
        <f t="shared" si="0"/>
        <v>N/A</v>
      </c>
      <c r="E78" cm="1">
        <f t="array" ref="E78">SUMPRODUCT((--EXACT(S78,'Rent Roll'!$G$24:$G$125)))</f>
        <v>0</v>
      </c>
      <c r="F78">
        <f t="shared" si="1"/>
        <v>0</v>
      </c>
      <c r="G78" t="str">
        <f>IF('Rent Roll'!CH$17="# Bedrooms","N/A",'Rent Roll'!CH$17)</f>
        <v>N/A</v>
      </c>
      <c r="H78" t="str">
        <f>IF('Rent Roll'!CH$18="# Baths","N/A",'Rent Roll'!CH$18)</f>
        <v>N/A</v>
      </c>
      <c r="I78" t="str">
        <f>IF('Rent Roll'!$CH$22="Square Footage","N/A",'Rent Roll'!$CH$22)</f>
        <v>N/A</v>
      </c>
      <c r="J78" t="str">
        <f>IF('Rent Roll'!CH$21="Market Rent","N/A",'Rent Roll'!CH$21)</f>
        <v>N/A</v>
      </c>
      <c r="K78">
        <f t="shared" si="2"/>
        <v>0</v>
      </c>
      <c r="L78">
        <f>'Rent Roll'!CH$126</f>
        <v>0</v>
      </c>
      <c r="M78">
        <f>'Rent Roll'!CH$130</f>
        <v>0</v>
      </c>
      <c r="N78" t="str">
        <f>IF('Rent Roll'!CH$126=0,"N/A",('Rent Roll'!CH$126-SUMIF('Rent Roll'!$G$24:$G$125,'Rent Roll'!CH$20,'Rent Roll'!$K$24:$K$125))/($E78-$Q78))</f>
        <v>N/A</v>
      </c>
      <c r="O78">
        <f t="shared" si="3"/>
        <v>0</v>
      </c>
      <c r="P78">
        <f t="shared" si="4"/>
        <v>0</v>
      </c>
      <c r="Q78">
        <f>'Rent Roll'!CH$128</f>
        <v>0</v>
      </c>
      <c r="R78">
        <f t="shared" si="5"/>
        <v>0</v>
      </c>
      <c r="S78" t="str">
        <f>'Rent Roll'!$CH$20</f>
        <v>CR</v>
      </c>
    </row>
    <row r="79" ht="14.25" customHeight="1" hidden="1">
      <c r="A79" t="s">
        <v>2587</v>
      </c>
      <c r="B79" t="str">
        <f t="shared" si="6"/>
        <v>H</v>
      </c>
      <c r="D79" t="str">
        <f t="shared" si="0"/>
        <v>N/A</v>
      </c>
      <c r="E79" cm="1">
        <f t="array" ref="E79">SUMPRODUCT((--EXACT(S79,'Rent Roll'!$G$24:$G$125)))</f>
        <v>0</v>
      </c>
      <c r="F79">
        <f t="shared" si="1"/>
        <v>0</v>
      </c>
      <c r="G79" t="str">
        <f>IF('Rent Roll'!CI$17="# Bedrooms","N/A",'Rent Roll'!CI$17)</f>
        <v>N/A</v>
      </c>
      <c r="H79" t="str">
        <f>IF('Rent Roll'!CI$18="# Baths","N/A",'Rent Roll'!CI$18)</f>
        <v>N/A</v>
      </c>
      <c r="I79" t="str">
        <f>IF('Rent Roll'!$CI$22="Square Footage","N/A",'Rent Roll'!$CI$22)</f>
        <v>N/A</v>
      </c>
      <c r="J79" t="str">
        <f>IF('Rent Roll'!CI$21="Market Rent","N/A",'Rent Roll'!CI$21)</f>
        <v>N/A</v>
      </c>
      <c r="K79">
        <f t="shared" si="2"/>
        <v>0</v>
      </c>
      <c r="L79">
        <f>'Rent Roll'!CI$126</f>
        <v>0</v>
      </c>
      <c r="M79">
        <f>'Rent Roll'!CI$130</f>
        <v>0</v>
      </c>
      <c r="N79" t="str">
        <f>IF('Rent Roll'!CI$126=0,"N/A",('Rent Roll'!CI$126-SUMIF('Rent Roll'!$G$24:$G$125,'Rent Roll'!CI$20,'Rent Roll'!$K$24:$K$125))/($E79-$Q79))</f>
        <v>N/A</v>
      </c>
      <c r="O79">
        <f t="shared" si="3"/>
        <v>0</v>
      </c>
      <c r="P79">
        <f t="shared" si="4"/>
        <v>0</v>
      </c>
      <c r="Q79">
        <f>'Rent Roll'!CI$128</f>
        <v>0</v>
      </c>
      <c r="R79">
        <f t="shared" si="5"/>
        <v>0</v>
      </c>
      <c r="S79" t="str">
        <f>'Rent Roll'!$CI$20</f>
        <v>CS</v>
      </c>
    </row>
    <row r="80" ht="14.25" customHeight="1" hidden="1">
      <c r="A80" t="s">
        <v>2588</v>
      </c>
      <c r="B80" t="str">
        <f t="shared" si="6"/>
        <v>H</v>
      </c>
      <c r="D80" t="str">
        <f t="shared" si="0"/>
        <v>N/A</v>
      </c>
      <c r="E80" cm="1">
        <f t="array" ref="E80">SUMPRODUCT((--EXACT(S80,'Rent Roll'!$G$24:$G$125)))</f>
        <v>0</v>
      </c>
      <c r="F80">
        <f t="shared" si="1"/>
        <v>0</v>
      </c>
      <c r="G80" t="str">
        <f>IF('Rent Roll'!CJ$17="# Bedrooms","N/A",'Rent Roll'!CJ$17)</f>
        <v>N/A</v>
      </c>
      <c r="H80" t="str">
        <f>IF('Rent Roll'!CJ$18="# Baths","N/A",'Rent Roll'!CJ$18)</f>
        <v>N/A</v>
      </c>
      <c r="I80" t="str">
        <f>IF('Rent Roll'!$CJ$22="Square Footage","N/A",'Rent Roll'!$CJ$22)</f>
        <v>N/A</v>
      </c>
      <c r="J80" t="str">
        <f>IF('Rent Roll'!CJ$21="Market Rent","N/A",'Rent Roll'!CJ$21)</f>
        <v>N/A</v>
      </c>
      <c r="K80">
        <f t="shared" si="2"/>
        <v>0</v>
      </c>
      <c r="L80">
        <f>'Rent Roll'!CJ$126</f>
        <v>0</v>
      </c>
      <c r="M80">
        <f>'Rent Roll'!CJ$130</f>
        <v>0</v>
      </c>
      <c r="N80" t="str">
        <f>IF('Rent Roll'!CJ$126=0,"N/A",('Rent Roll'!CJ$126-SUMIF('Rent Roll'!$G$24:$G$125,'Rent Roll'!CJ$20,'Rent Roll'!$K$24:$K$125))/($E80-$Q80))</f>
        <v>N/A</v>
      </c>
      <c r="O80">
        <f t="shared" si="3"/>
        <v>0</v>
      </c>
      <c r="P80">
        <f t="shared" si="4"/>
        <v>0</v>
      </c>
      <c r="Q80">
        <f>'Rent Roll'!CJ$128</f>
        <v>0</v>
      </c>
      <c r="R80">
        <f t="shared" si="5"/>
        <v>0</v>
      </c>
      <c r="S80" t="str">
        <f>'Rent Roll'!$CJ$20</f>
        <v>CT</v>
      </c>
    </row>
    <row r="81" ht="14.25" customHeight="1" hidden="1">
      <c r="A81" t="s">
        <v>2589</v>
      </c>
      <c r="B81" t="str">
        <f t="shared" si="6"/>
        <v>H</v>
      </c>
      <c r="D81" t="str">
        <f t="shared" si="0"/>
        <v>N/A</v>
      </c>
      <c r="E81" cm="1">
        <f t="array" ref="E81">SUMPRODUCT((--EXACT(S81,'Rent Roll'!$G$24:$G$125)))</f>
        <v>0</v>
      </c>
      <c r="F81">
        <f t="shared" si="1"/>
        <v>0</v>
      </c>
      <c r="G81" t="str">
        <f>IF('Rent Roll'!CK$17="# Bedrooms","N/A",'Rent Roll'!CK$17)</f>
        <v>N/A</v>
      </c>
      <c r="H81" t="str">
        <f>IF('Rent Roll'!CK$18="# Baths","N/A",'Rent Roll'!CK$18)</f>
        <v>N/A</v>
      </c>
      <c r="I81" t="str">
        <f>IF('Rent Roll'!$CK$22="Square Footage","N/A",'Rent Roll'!$CK$22)</f>
        <v>N/A</v>
      </c>
      <c r="J81" t="str">
        <f>IF('Rent Roll'!CK$21="Market Rent","N/A",'Rent Roll'!CK$21)</f>
        <v>N/A</v>
      </c>
      <c r="K81">
        <f t="shared" si="2"/>
        <v>0</v>
      </c>
      <c r="L81">
        <f>'Rent Roll'!CK$126</f>
        <v>0</v>
      </c>
      <c r="M81">
        <f>'Rent Roll'!CK$130</f>
        <v>0</v>
      </c>
      <c r="N81" t="str">
        <f>IF('Rent Roll'!CK$126=0,"N/A",('Rent Roll'!CK$126-SUMIF('Rent Roll'!$G$24:$G$125,'Rent Roll'!CK$20,'Rent Roll'!$K$24:$K$125))/($E81-$Q81))</f>
        <v>N/A</v>
      </c>
      <c r="O81">
        <f t="shared" si="3"/>
        <v>0</v>
      </c>
      <c r="P81">
        <f t="shared" si="4"/>
        <v>0</v>
      </c>
      <c r="Q81">
        <f>'Rent Roll'!CK$128</f>
        <v>0</v>
      </c>
      <c r="R81">
        <f t="shared" si="5"/>
        <v>0</v>
      </c>
      <c r="S81" t="str">
        <f>'Rent Roll'!$CK$20</f>
        <v>CU</v>
      </c>
    </row>
    <row r="82" ht="14.25" customHeight="1" hidden="1">
      <c r="A82" t="s">
        <v>2590</v>
      </c>
      <c r="B82" t="str">
        <f t="shared" si="6"/>
        <v>H</v>
      </c>
      <c r="D82" t="str">
        <f t="shared" si="0"/>
        <v>N/A</v>
      </c>
      <c r="E82" cm="1">
        <f t="array" ref="E82">SUMPRODUCT((--EXACT(S82,'Rent Roll'!$G$24:$G$125)))</f>
        <v>0</v>
      </c>
      <c r="F82">
        <f t="shared" si="1"/>
        <v>0</v>
      </c>
      <c r="G82" t="str">
        <f>IF('Rent Roll'!CL$17="# Bedrooms","N/A",'Rent Roll'!CL$17)</f>
        <v>N/A</v>
      </c>
      <c r="H82" t="str">
        <f>IF('Rent Roll'!CL$18="# Baths","N/A",'Rent Roll'!CL$18)</f>
        <v>N/A</v>
      </c>
      <c r="I82" t="str">
        <f>IF('Rent Roll'!$CL$22="Square Footage","N/A",'Rent Roll'!$CL$22)</f>
        <v>N/A</v>
      </c>
      <c r="J82" t="str">
        <f>IF('Rent Roll'!CL$21="Market Rent","N/A",'Rent Roll'!CL$21)</f>
        <v>N/A</v>
      </c>
      <c r="K82">
        <f t="shared" si="2"/>
        <v>0</v>
      </c>
      <c r="L82">
        <f>'Rent Roll'!CL$126</f>
        <v>0</v>
      </c>
      <c r="M82">
        <f>'Rent Roll'!CL$130</f>
        <v>0</v>
      </c>
      <c r="N82" t="str">
        <f>IF('Rent Roll'!CL$126=0,"N/A",('Rent Roll'!CL$126-SUMIF('Rent Roll'!$G$24:$G$125,'Rent Roll'!CL$20,'Rent Roll'!$K$24:$K$125))/($E82-$Q82))</f>
        <v>N/A</v>
      </c>
      <c r="O82">
        <f t="shared" si="3"/>
        <v>0</v>
      </c>
      <c r="P82">
        <f t="shared" si="4"/>
        <v>0</v>
      </c>
      <c r="Q82">
        <f>'Rent Roll'!CL$128</f>
        <v>0</v>
      </c>
      <c r="R82">
        <f t="shared" si="5"/>
        <v>0</v>
      </c>
      <c r="S82" t="str">
        <f>'Rent Roll'!$CL$20</f>
        <v>CV</v>
      </c>
    </row>
    <row r="83" ht="14.25" customHeight="1" hidden="1">
      <c r="A83" t="s">
        <v>2591</v>
      </c>
      <c r="B83" t="str">
        <f t="shared" si="6"/>
        <v>H</v>
      </c>
      <c r="D83" t="str">
        <f t="shared" si="0"/>
        <v>N/A</v>
      </c>
      <c r="E83" cm="1">
        <f t="array" ref="E83">SUMPRODUCT((--EXACT(S83,'Rent Roll'!$G$24:$G$125)))</f>
        <v>0</v>
      </c>
      <c r="F83">
        <f t="shared" si="1"/>
        <v>0</v>
      </c>
      <c r="G83" t="str">
        <f>IF('Rent Roll'!CM$17="# Bedrooms","N/A",'Rent Roll'!CM$17)</f>
        <v>N/A</v>
      </c>
      <c r="H83" t="str">
        <f>IF('Rent Roll'!CM$18="# Baths","N/A",'Rent Roll'!CM$18)</f>
        <v>N/A</v>
      </c>
      <c r="I83" t="str">
        <f>IF('Rent Roll'!$CM$22="Square Footage","N/A",'Rent Roll'!$CM$22)</f>
        <v>N/A</v>
      </c>
      <c r="J83" t="str">
        <f>IF('Rent Roll'!CM$21="Market Rent","N/A",'Rent Roll'!CM$21)</f>
        <v>N/A</v>
      </c>
      <c r="K83">
        <f t="shared" si="2"/>
        <v>0</v>
      </c>
      <c r="L83">
        <f>'Rent Roll'!CM$126</f>
        <v>0</v>
      </c>
      <c r="M83">
        <f>'Rent Roll'!CM$130</f>
        <v>0</v>
      </c>
      <c r="N83" t="str">
        <f>IF('Rent Roll'!CM$126=0,"N/A",('Rent Roll'!CM$126-SUMIF('Rent Roll'!$G$24:$G$125,'Rent Roll'!CM$20,'Rent Roll'!$K$24:$K$125))/($E83-$Q83))</f>
        <v>N/A</v>
      </c>
      <c r="O83">
        <f t="shared" si="3"/>
        <v>0</v>
      </c>
      <c r="P83">
        <f t="shared" si="4"/>
        <v>0</v>
      </c>
      <c r="Q83">
        <f>'Rent Roll'!CM$128</f>
        <v>0</v>
      </c>
      <c r="R83">
        <f t="shared" si="5"/>
        <v>0</v>
      </c>
      <c r="S83" t="str">
        <f>'Rent Roll'!$CM$20</f>
        <v>CW</v>
      </c>
    </row>
    <row r="84" ht="14.25" customHeight="1" hidden="1">
      <c r="A84" t="s">
        <v>2592</v>
      </c>
      <c r="B84" t="str">
        <f t="shared" si="6"/>
        <v>H</v>
      </c>
      <c r="D84" t="str">
        <f t="shared" si="0"/>
        <v>N/A</v>
      </c>
      <c r="E84" cm="1">
        <f t="array" ref="E84">SUMPRODUCT((--EXACT(S84,'Rent Roll'!$G$24:$G$125)))</f>
        <v>0</v>
      </c>
      <c r="F84">
        <f t="shared" si="1"/>
        <v>0</v>
      </c>
      <c r="G84" t="str">
        <f>IF('Rent Roll'!CN$17="# Bedrooms","N/A",'Rent Roll'!CN$17)</f>
        <v>N/A</v>
      </c>
      <c r="H84" t="str">
        <f>IF('Rent Roll'!CN$18="# Baths","N/A",'Rent Roll'!CN$18)</f>
        <v>N/A</v>
      </c>
      <c r="I84" t="str">
        <f>IF('Rent Roll'!$CN$22="Square Footage","N/A",'Rent Roll'!$CN$22)</f>
        <v>N/A</v>
      </c>
      <c r="J84" t="str">
        <f>IF('Rent Roll'!CN$21="Market Rent","N/A",'Rent Roll'!CN$21)</f>
        <v>N/A</v>
      </c>
      <c r="K84">
        <f t="shared" si="2"/>
        <v>0</v>
      </c>
      <c r="L84">
        <f>'Rent Roll'!CN$126</f>
        <v>0</v>
      </c>
      <c r="M84">
        <f>'Rent Roll'!CN$130</f>
        <v>0</v>
      </c>
      <c r="N84" t="str">
        <f>IF('Rent Roll'!CN$126=0,"N/A",('Rent Roll'!CN$126-SUMIF('Rent Roll'!$G$24:$G$125,'Rent Roll'!CN$20,'Rent Roll'!$K$24:$K$125))/($E84-$Q84))</f>
        <v>N/A</v>
      </c>
      <c r="O84">
        <f t="shared" si="3"/>
        <v>0</v>
      </c>
      <c r="P84">
        <f t="shared" si="4"/>
        <v>0</v>
      </c>
      <c r="Q84">
        <f>'Rent Roll'!CN$128</f>
        <v>0</v>
      </c>
      <c r="R84">
        <f t="shared" si="5"/>
        <v>0</v>
      </c>
      <c r="S84" t="str">
        <f>'Rent Roll'!$CN$20</f>
        <v>CX</v>
      </c>
    </row>
    <row r="85" ht="14.25" customHeight="1" hidden="1">
      <c r="A85" t="s">
        <v>2593</v>
      </c>
      <c r="B85" t="str">
        <f t="shared" si="6"/>
        <v>H</v>
      </c>
      <c r="D85" t="str">
        <f t="shared" si="0"/>
        <v>N/A</v>
      </c>
      <c r="E85" cm="1">
        <f t="array" ref="E85">SUMPRODUCT((--EXACT(S85,'Rent Roll'!$G$24:$G$125)))</f>
        <v>0</v>
      </c>
      <c r="F85">
        <f t="shared" si="1"/>
        <v>0</v>
      </c>
      <c r="G85" t="str">
        <f>IF('Rent Roll'!CO$17="# Bedrooms","N/A",'Rent Roll'!CO$17)</f>
        <v>N/A</v>
      </c>
      <c r="H85" t="str">
        <f>IF('Rent Roll'!CO$18="# Baths","N/A",'Rent Roll'!CO$18)</f>
        <v>N/A</v>
      </c>
      <c r="I85" t="str">
        <f>IF('Rent Roll'!$CO$22="Square Footage","N/A",'Rent Roll'!$CO$22)</f>
        <v>N/A</v>
      </c>
      <c r="J85" t="str">
        <f>IF('Rent Roll'!CO$21="Market Rent","N/A",'Rent Roll'!CO$21)</f>
        <v>N/A</v>
      </c>
      <c r="K85">
        <f t="shared" si="2"/>
        <v>0</v>
      </c>
      <c r="L85">
        <f>'Rent Roll'!CO$126</f>
        <v>0</v>
      </c>
      <c r="M85">
        <f>'Rent Roll'!CO$130</f>
        <v>0</v>
      </c>
      <c r="N85" t="str">
        <f>IF('Rent Roll'!CO$126=0,"N/A",('Rent Roll'!CO$126-SUMIF('Rent Roll'!$G$24:$G$125,'Rent Roll'!CO$20,'Rent Roll'!$K$24:$K$125))/($E85-$Q85))</f>
        <v>N/A</v>
      </c>
      <c r="O85">
        <f t="shared" si="3"/>
        <v>0</v>
      </c>
      <c r="P85">
        <f t="shared" si="4"/>
        <v>0</v>
      </c>
      <c r="Q85">
        <f>'Rent Roll'!CO$128</f>
        <v>0</v>
      </c>
      <c r="R85">
        <f t="shared" si="5"/>
        <v>0</v>
      </c>
      <c r="S85" t="str">
        <f>'Rent Roll'!$CO$20</f>
        <v>CY</v>
      </c>
    </row>
    <row r="86" ht="14.25" customHeight="1" hidden="1">
      <c r="A86" t="s">
        <v>2594</v>
      </c>
      <c r="B86" t="str">
        <f t="shared" si="6"/>
        <v>H</v>
      </c>
      <c r="D86" t="str">
        <f t="shared" si="0"/>
        <v>N/A</v>
      </c>
      <c r="E86" cm="1">
        <f t="array" ref="E86">SUMPRODUCT((--EXACT(S86,'Rent Roll'!$G$24:$G$125)))</f>
        <v>0</v>
      </c>
      <c r="F86">
        <f t="shared" si="1"/>
        <v>0</v>
      </c>
      <c r="G86" t="str">
        <f>IF('Rent Roll'!CP$17="# Bedrooms","N/A",'Rent Roll'!CP$17)</f>
        <v>N/A</v>
      </c>
      <c r="H86" t="str">
        <f>IF('Rent Roll'!CP$18="# Baths","N/A",'Rent Roll'!CP$18)</f>
        <v>N/A</v>
      </c>
      <c r="I86" t="str">
        <f>IF('Rent Roll'!$CP$22="Square Footage","N/A",'Rent Roll'!$CP$22)</f>
        <v>N/A</v>
      </c>
      <c r="J86" t="str">
        <f>IF('Rent Roll'!CP$21="Market Rent","N/A",'Rent Roll'!CP$21)</f>
        <v>N/A</v>
      </c>
      <c r="K86">
        <f t="shared" si="2"/>
        <v>0</v>
      </c>
      <c r="L86">
        <f>'Rent Roll'!CP$126</f>
        <v>0</v>
      </c>
      <c r="M86">
        <f>'Rent Roll'!CP$130</f>
        <v>0</v>
      </c>
      <c r="N86" t="str">
        <f>IF('Rent Roll'!CP$126=0,"N/A",('Rent Roll'!CP$126-SUMIF('Rent Roll'!$G$24:$G$125,'Rent Roll'!CP$20,'Rent Roll'!$K$24:$K$125))/($E86-$Q86))</f>
        <v>N/A</v>
      </c>
      <c r="O86">
        <f t="shared" si="3"/>
        <v>0</v>
      </c>
      <c r="P86">
        <f t="shared" si="4"/>
        <v>0</v>
      </c>
      <c r="Q86">
        <f>'Rent Roll'!CP$128</f>
        <v>0</v>
      </c>
      <c r="R86">
        <f t="shared" si="5"/>
        <v>0</v>
      </c>
      <c r="S86" t="str">
        <f>'Rent Roll'!$CP$20</f>
        <v>CZ</v>
      </c>
    </row>
    <row r="87" ht="14.25" customHeight="1" hidden="1">
      <c r="A87" t="s">
        <v>2595</v>
      </c>
      <c r="B87" t="str">
        <f t="shared" si="6"/>
        <v>H</v>
      </c>
      <c r="D87" t="str">
        <f t="shared" si="0"/>
        <v>N/A</v>
      </c>
      <c r="E87" cm="1">
        <f t="array" ref="E87">SUMPRODUCT((--EXACT(S87,'Rent Roll'!$G$24:$G$125)))</f>
        <v>0</v>
      </c>
      <c r="F87">
        <f t="shared" si="1"/>
        <v>0</v>
      </c>
      <c r="G87" t="str">
        <f>IF('Rent Roll'!CQ$17="# Bedrooms","N/A",'Rent Roll'!CQ$17)</f>
        <v>N/A</v>
      </c>
      <c r="H87" t="str">
        <f>IF('Rent Roll'!CQ$18="# Baths","N/A",'Rent Roll'!CQ$18)</f>
        <v>N/A</v>
      </c>
      <c r="I87" t="str">
        <f>IF('Rent Roll'!$CQ$22="Square Footage","N/A",'Rent Roll'!$CQ$22)</f>
        <v>N/A</v>
      </c>
      <c r="J87" t="str">
        <f>IF('Rent Roll'!CQ$21="Market Rent","N/A",'Rent Roll'!CQ$21)</f>
        <v>N/A</v>
      </c>
      <c r="K87">
        <f t="shared" si="2"/>
        <v>0</v>
      </c>
      <c r="L87">
        <f>'Rent Roll'!CQ$126</f>
        <v>0</v>
      </c>
      <c r="M87">
        <f>'Rent Roll'!CQ$130</f>
        <v>0</v>
      </c>
      <c r="N87" t="str">
        <f>IF('Rent Roll'!CQ$126=0,"N/A",('Rent Roll'!CQ$126-SUMIF('Rent Roll'!$G$24:$G$125,'Rent Roll'!CQ$20,'Rent Roll'!$K$24:$K$125))/($E87-$Q87))</f>
        <v>N/A</v>
      </c>
      <c r="O87">
        <f t="shared" si="3"/>
        <v>0</v>
      </c>
      <c r="P87">
        <f t="shared" si="4"/>
        <v>0</v>
      </c>
      <c r="Q87">
        <f>'Rent Roll'!CQ$128</f>
        <v>0</v>
      </c>
      <c r="R87">
        <f t="shared" si="5"/>
        <v>0</v>
      </c>
      <c r="S87" t="str">
        <f>'Rent Roll'!$CQ$20</f>
        <v>DA</v>
      </c>
    </row>
    <row r="88" ht="14.25" customHeight="1" hidden="1">
      <c r="A88" t="s">
        <v>2596</v>
      </c>
      <c r="B88" t="str">
        <f t="shared" si="6"/>
        <v>H</v>
      </c>
      <c r="D88" t="str">
        <f t="shared" si="0"/>
        <v>N/A</v>
      </c>
      <c r="E88" cm="1">
        <f t="array" ref="E88">SUMPRODUCT((--EXACT(S88,'Rent Roll'!$G$24:$G$125)))</f>
        <v>0</v>
      </c>
      <c r="F88">
        <f t="shared" si="1"/>
        <v>0</v>
      </c>
      <c r="G88" t="str">
        <f>IF('Rent Roll'!CR$17="# Bedrooms","N/A",'Rent Roll'!CR$17)</f>
        <v>N/A</v>
      </c>
      <c r="H88" t="str">
        <f>IF('Rent Roll'!CR$18="# Baths","N/A",'Rent Roll'!CR$18)</f>
        <v>N/A</v>
      </c>
      <c r="I88" t="str">
        <f>IF('Rent Roll'!$CR$22="Square Footage","N/A",'Rent Roll'!$CR$22)</f>
        <v>N/A</v>
      </c>
      <c r="J88" t="str">
        <f>IF('Rent Roll'!CR$21="Market Rent","N/A",'Rent Roll'!CR$21)</f>
        <v>N/A</v>
      </c>
      <c r="K88">
        <f t="shared" si="2"/>
        <v>0</v>
      </c>
      <c r="L88">
        <f>'Rent Roll'!CR$126</f>
        <v>0</v>
      </c>
      <c r="M88">
        <f>'Rent Roll'!CR$130</f>
        <v>0</v>
      </c>
      <c r="N88" t="str">
        <f>IF('Rent Roll'!CR$126=0,"N/A",('Rent Roll'!CR$126-SUMIF('Rent Roll'!$G$24:$G$125,'Rent Roll'!CR$20,'Rent Roll'!$K$24:$K$125))/($E88-$Q88))</f>
        <v>N/A</v>
      </c>
      <c r="O88">
        <f t="shared" si="3"/>
        <v>0</v>
      </c>
      <c r="P88">
        <f t="shared" si="4"/>
        <v>0</v>
      </c>
      <c r="Q88">
        <f>'Rent Roll'!CR$128</f>
        <v>0</v>
      </c>
      <c r="R88">
        <f t="shared" si="5"/>
        <v>0</v>
      </c>
      <c r="S88" t="str">
        <f>'Rent Roll'!$CR$20</f>
        <v>DB</v>
      </c>
    </row>
    <row r="89" ht="14.25" customHeight="1" hidden="1">
      <c r="A89" t="s">
        <v>2597</v>
      </c>
      <c r="B89" t="str">
        <f t="shared" si="6"/>
        <v>H</v>
      </c>
      <c r="D89" t="str">
        <f t="shared" si="0"/>
        <v>N/A</v>
      </c>
      <c r="E89" cm="1">
        <f t="array" ref="E89">SUMPRODUCT((--EXACT(S89,'Rent Roll'!$G$24:$G$125)))</f>
        <v>0</v>
      </c>
      <c r="F89">
        <f t="shared" si="1"/>
        <v>0</v>
      </c>
      <c r="G89" t="str">
        <f>IF('Rent Roll'!CS$17="# Bedrooms","N/A",'Rent Roll'!CS$17)</f>
        <v>N/A</v>
      </c>
      <c r="H89" t="str">
        <f>IF('Rent Roll'!CS$18="# Baths","N/A",'Rent Roll'!CS$18)</f>
        <v>N/A</v>
      </c>
      <c r="I89" t="str">
        <f>IF('Rent Roll'!$CS$22="Square Footage","N/A",'Rent Roll'!$CS$22)</f>
        <v>N/A</v>
      </c>
      <c r="J89" t="str">
        <f>IF('Rent Roll'!CS$21="Market Rent","N/A",'Rent Roll'!CS$21)</f>
        <v>N/A</v>
      </c>
      <c r="K89">
        <f t="shared" si="2"/>
        <v>0</v>
      </c>
      <c r="L89">
        <f>'Rent Roll'!CS$126</f>
        <v>0</v>
      </c>
      <c r="M89">
        <f>'Rent Roll'!CS$130</f>
        <v>0</v>
      </c>
      <c r="N89" t="str">
        <f>IF('Rent Roll'!CS$126=0,"N/A",('Rent Roll'!CS$126-SUMIF('Rent Roll'!$G$24:$G$125,'Rent Roll'!CS$20,'Rent Roll'!$K$24:$K$125))/($E89-$Q89))</f>
        <v>N/A</v>
      </c>
      <c r="O89">
        <f t="shared" si="3"/>
        <v>0</v>
      </c>
      <c r="P89">
        <f t="shared" si="4"/>
        <v>0</v>
      </c>
      <c r="Q89">
        <f>'Rent Roll'!CS$128</f>
        <v>0</v>
      </c>
      <c r="R89">
        <f t="shared" si="5"/>
        <v>0</v>
      </c>
      <c r="S89" t="str">
        <f>'Rent Roll'!$CS$20</f>
        <v>DC</v>
      </c>
    </row>
    <row r="90" ht="14.25" customHeight="1" hidden="1">
      <c r="A90" t="s">
        <v>2598</v>
      </c>
      <c r="B90" t="str">
        <f t="shared" si="6"/>
        <v>H</v>
      </c>
      <c r="D90" t="str">
        <f t="shared" si="0"/>
        <v>N/A</v>
      </c>
      <c r="E90" cm="1">
        <f t="array" ref="E90">SUMPRODUCT((--EXACT(S90,'Rent Roll'!$G$24:$G$125)))</f>
        <v>0</v>
      </c>
      <c r="F90">
        <f t="shared" si="1"/>
        <v>0</v>
      </c>
      <c r="G90" t="str">
        <f>IF('Rent Roll'!CT$17="# Bedrooms","N/A",'Rent Roll'!CT$17)</f>
        <v>N/A</v>
      </c>
      <c r="H90" t="str">
        <f>IF('Rent Roll'!CT$18="# Baths","N/A",'Rent Roll'!CT$18)</f>
        <v>N/A</v>
      </c>
      <c r="I90" t="str">
        <f>IF('Rent Roll'!$CT$22="Square Footage","N/A",'Rent Roll'!$CT$22)</f>
        <v>N/A</v>
      </c>
      <c r="J90" t="str">
        <f>IF('Rent Roll'!CT$21="Market Rent","N/A",'Rent Roll'!CT$21)</f>
        <v>N/A</v>
      </c>
      <c r="K90">
        <f t="shared" si="2"/>
        <v>0</v>
      </c>
      <c r="L90">
        <f>'Rent Roll'!CT$126</f>
        <v>0</v>
      </c>
      <c r="M90">
        <f>'Rent Roll'!CT$130</f>
        <v>0</v>
      </c>
      <c r="N90" t="str">
        <f>IF('Rent Roll'!CT$126=0,"N/A",('Rent Roll'!CT$126-SUMIF('Rent Roll'!$G$24:$G$125,'Rent Roll'!CT$20,'Rent Roll'!$K$24:$K$125))/($E90-$Q90))</f>
        <v>N/A</v>
      </c>
      <c r="O90">
        <f t="shared" si="3"/>
        <v>0</v>
      </c>
      <c r="P90">
        <f t="shared" si="4"/>
        <v>0</v>
      </c>
      <c r="Q90">
        <f>'Rent Roll'!CT$128</f>
        <v>0</v>
      </c>
      <c r="R90">
        <f t="shared" si="5"/>
        <v>0</v>
      </c>
      <c r="S90" t="str">
        <f>'Rent Roll'!$CT$20</f>
        <v>DD</v>
      </c>
    </row>
    <row r="91" ht="14.25" customHeight="1" hidden="1">
      <c r="A91" t="s">
        <v>2599</v>
      </c>
      <c r="B91" t="str">
        <f t="shared" si="6"/>
        <v>H</v>
      </c>
      <c r="D91" t="str">
        <f t="shared" si="0"/>
        <v>N/A</v>
      </c>
      <c r="E91" cm="1">
        <f t="array" ref="E91">SUMPRODUCT((--EXACT(S91,'Rent Roll'!$G$24:$G$125)))</f>
        <v>0</v>
      </c>
      <c r="F91">
        <f t="shared" si="1"/>
        <v>0</v>
      </c>
      <c r="G91" t="str">
        <f>IF('Rent Roll'!CU$17="# Bedrooms","N/A",'Rent Roll'!CU$17)</f>
        <v>N/A</v>
      </c>
      <c r="H91" t="str">
        <f>IF('Rent Roll'!CU$18="# Baths","N/A",'Rent Roll'!CU$18)</f>
        <v>N/A</v>
      </c>
      <c r="I91" t="str">
        <f>IF('Rent Roll'!$CU$22="Square Footage","N/A",'Rent Roll'!$CU$22)</f>
        <v>N/A</v>
      </c>
      <c r="J91" t="str">
        <f>IF('Rent Roll'!CU$21="Market Rent","N/A",'Rent Roll'!CU$21)</f>
        <v>N/A</v>
      </c>
      <c r="K91">
        <f t="shared" si="2"/>
        <v>0</v>
      </c>
      <c r="L91">
        <f>'Rent Roll'!CU$126</f>
        <v>0</v>
      </c>
      <c r="M91">
        <f>'Rent Roll'!CU$130</f>
        <v>0</v>
      </c>
      <c r="N91" t="str">
        <f>IF('Rent Roll'!CU$126=0,"N/A",('Rent Roll'!CU$126-SUMIF('Rent Roll'!$G$24:$G$125,'Rent Roll'!CU$20,'Rent Roll'!$K$24:$K$125))/($E91-$Q91))</f>
        <v>N/A</v>
      </c>
      <c r="O91">
        <f t="shared" si="3"/>
        <v>0</v>
      </c>
      <c r="P91">
        <f t="shared" si="4"/>
        <v>0</v>
      </c>
      <c r="Q91">
        <f>'Rent Roll'!CU$128</f>
        <v>0</v>
      </c>
      <c r="R91">
        <f t="shared" si="5"/>
        <v>0</v>
      </c>
      <c r="S91" t="str">
        <f>'Rent Roll'!$CU$20</f>
        <v>DE</v>
      </c>
    </row>
    <row r="92" ht="14.25" customHeight="1" hidden="1">
      <c r="A92" t="s">
        <v>2600</v>
      </c>
      <c r="B92" t="str">
        <f t="shared" si="6"/>
        <v>H</v>
      </c>
      <c r="D92" t="str">
        <f t="shared" si="0"/>
        <v>N/A</v>
      </c>
      <c r="E92" cm="1">
        <f t="array" ref="E92">SUMPRODUCT((--EXACT(S92,'Rent Roll'!$G$24:$G$125)))</f>
        <v>0</v>
      </c>
      <c r="F92">
        <f t="shared" si="1"/>
        <v>0</v>
      </c>
      <c r="G92" t="str">
        <f>IF('Rent Roll'!CV$17="# Bedrooms","N/A",'Rent Roll'!CV$17)</f>
        <v>N/A</v>
      </c>
      <c r="H92" t="str">
        <f>IF('Rent Roll'!CV$18="# Baths","N/A",'Rent Roll'!CV$18)</f>
        <v>N/A</v>
      </c>
      <c r="I92" t="str">
        <f>IF('Rent Roll'!$CV$22="Square Footage","N/A",'Rent Roll'!$CV$22)</f>
        <v>N/A</v>
      </c>
      <c r="J92" t="str">
        <f>IF('Rent Roll'!CV$21="Market Rent","N/A",'Rent Roll'!CV$21)</f>
        <v>N/A</v>
      </c>
      <c r="K92">
        <f t="shared" si="2"/>
        <v>0</v>
      </c>
      <c r="L92">
        <f>'Rent Roll'!CV$126</f>
        <v>0</v>
      </c>
      <c r="M92">
        <f>'Rent Roll'!CV$130</f>
        <v>0</v>
      </c>
      <c r="N92" t="str">
        <f>IF('Rent Roll'!CV$126=0,"N/A",('Rent Roll'!CV$126-SUMIF('Rent Roll'!$G$24:$G$125,'Rent Roll'!CV$20,'Rent Roll'!$K$24:$K$125))/($E92-$Q92))</f>
        <v>N/A</v>
      </c>
      <c r="O92">
        <f t="shared" si="3"/>
        <v>0</v>
      </c>
      <c r="P92">
        <f t="shared" si="4"/>
        <v>0</v>
      </c>
      <c r="Q92">
        <f>'Rent Roll'!CV$128</f>
        <v>0</v>
      </c>
      <c r="R92">
        <f t="shared" si="5"/>
        <v>0</v>
      </c>
      <c r="S92" t="str">
        <f>'Rent Roll'!$CV$20</f>
        <v>DF</v>
      </c>
    </row>
    <row r="93" ht="14.25" customHeight="1" hidden="1">
      <c r="A93" t="s">
        <v>2601</v>
      </c>
      <c r="B93" t="str">
        <f t="shared" si="6"/>
        <v>H</v>
      </c>
      <c r="D93" t="str">
        <f t="shared" si="0"/>
        <v>N/A</v>
      </c>
      <c r="E93" cm="1">
        <f t="array" ref="E93">SUMPRODUCT((--EXACT(S93,'Rent Roll'!$G$24:$G$125)))</f>
        <v>0</v>
      </c>
      <c r="F93">
        <f t="shared" si="1"/>
        <v>0</v>
      </c>
      <c r="G93" t="str">
        <f>IF('Rent Roll'!CW$17="# Bedrooms","N/A",'Rent Roll'!CW$17)</f>
        <v>N/A</v>
      </c>
      <c r="H93" t="str">
        <f>IF('Rent Roll'!CW$18="# Baths","N/A",'Rent Roll'!CW$18)</f>
        <v>N/A</v>
      </c>
      <c r="I93" t="str">
        <f>IF('Rent Roll'!$CW$22="Square Footage","N/A",'Rent Roll'!$CW$22)</f>
        <v>N/A</v>
      </c>
      <c r="J93" t="str">
        <f>IF('Rent Roll'!CW$21="Market Rent","N/A",'Rent Roll'!CW$21)</f>
        <v>N/A</v>
      </c>
      <c r="K93">
        <f t="shared" si="2"/>
        <v>0</v>
      </c>
      <c r="L93">
        <f>'Rent Roll'!CW$126</f>
        <v>0</v>
      </c>
      <c r="M93">
        <f>'Rent Roll'!CW$130</f>
        <v>0</v>
      </c>
      <c r="N93" t="str">
        <f>IF('Rent Roll'!CW$126=0,"N/A",('Rent Roll'!CW$126-SUMIF('Rent Roll'!$G$24:$G$125,'Rent Roll'!CW$20,'Rent Roll'!$K$24:$K$125))/($E93-$Q93))</f>
        <v>N/A</v>
      </c>
      <c r="O93">
        <f t="shared" si="3"/>
        <v>0</v>
      </c>
      <c r="P93">
        <f t="shared" si="4"/>
        <v>0</v>
      </c>
      <c r="Q93">
        <f>'Rent Roll'!CW$128</f>
        <v>0</v>
      </c>
      <c r="R93">
        <f t="shared" si="5"/>
        <v>0</v>
      </c>
      <c r="S93" t="str">
        <f>'Rent Roll'!$CW$20</f>
        <v>DG</v>
      </c>
    </row>
    <row r="94" ht="14.25" customHeight="1" hidden="1">
      <c r="A94" t="s">
        <v>2602</v>
      </c>
      <c r="B94" t="str">
        <f t="shared" si="6"/>
        <v>H</v>
      </c>
      <c r="D94" t="str">
        <f t="shared" si="0"/>
        <v>N/A</v>
      </c>
      <c r="E94" cm="1">
        <f t="array" ref="E94">SUMPRODUCT((--EXACT(S94,'Rent Roll'!$G$24:$G$125)))</f>
        <v>0</v>
      </c>
      <c r="F94">
        <f t="shared" si="1"/>
        <v>0</v>
      </c>
      <c r="G94" t="str">
        <f>IF('Rent Roll'!CX$17="# Bedrooms","N/A",'Rent Roll'!CX$17)</f>
        <v>N/A</v>
      </c>
      <c r="H94" t="str">
        <f>IF('Rent Roll'!CX$18="# Baths","N/A",'Rent Roll'!CX$18)</f>
        <v>N/A</v>
      </c>
      <c r="I94" t="str">
        <f>IF('Rent Roll'!$CX$22="Square Footage","N/A",'Rent Roll'!$CX$22)</f>
        <v>N/A</v>
      </c>
      <c r="J94" t="str">
        <f>IF('Rent Roll'!CX$21="Market Rent","N/A",'Rent Roll'!CX$21)</f>
        <v>N/A</v>
      </c>
      <c r="K94">
        <f t="shared" si="2"/>
        <v>0</v>
      </c>
      <c r="L94">
        <f>'Rent Roll'!CX$126</f>
        <v>0</v>
      </c>
      <c r="M94">
        <f>'Rent Roll'!CX$130</f>
        <v>0</v>
      </c>
      <c r="N94" t="str">
        <f>IF('Rent Roll'!CX$126=0,"N/A",('Rent Roll'!CX$126-SUMIF('Rent Roll'!$G$24:$G$125,'Rent Roll'!CX$20,'Rent Roll'!$K$24:$K$125))/($E94-$Q94))</f>
        <v>N/A</v>
      </c>
      <c r="O94">
        <f t="shared" si="3"/>
        <v>0</v>
      </c>
      <c r="P94">
        <f t="shared" si="4"/>
        <v>0</v>
      </c>
      <c r="Q94">
        <f>'Rent Roll'!CX$128</f>
        <v>0</v>
      </c>
      <c r="R94">
        <f t="shared" si="5"/>
        <v>0</v>
      </c>
      <c r="S94" t="str">
        <f>'Rent Roll'!$CX$20</f>
        <v>DH</v>
      </c>
    </row>
    <row r="95" ht="14.25" customHeight="1" hidden="1">
      <c r="A95" t="s">
        <v>2603</v>
      </c>
      <c r="B95" t="str">
        <f t="shared" si="6"/>
        <v>H</v>
      </c>
      <c r="D95" t="str">
        <f t="shared" si="0"/>
        <v>N/A</v>
      </c>
      <c r="E95" cm="1">
        <f t="array" ref="E95">SUMPRODUCT((--EXACT(S95,'Rent Roll'!$G$24:$G$125)))</f>
        <v>0</v>
      </c>
      <c r="F95">
        <f t="shared" si="1"/>
        <v>0</v>
      </c>
      <c r="G95" t="str">
        <f>IF('Rent Roll'!CY$17="# Bedrooms","N/A",'Rent Roll'!CY$17)</f>
        <v>N/A</v>
      </c>
      <c r="H95" t="str">
        <f>IF('Rent Roll'!CY$18="# Baths","N/A",'Rent Roll'!CY$18)</f>
        <v>N/A</v>
      </c>
      <c r="I95" t="str">
        <f>IF('Rent Roll'!$CY$22="Square Footage","N/A",'Rent Roll'!$CY$22)</f>
        <v>N/A</v>
      </c>
      <c r="J95" t="str">
        <f>IF('Rent Roll'!CY$21="Market Rent","N/A",'Rent Roll'!CY$21)</f>
        <v>N/A</v>
      </c>
      <c r="K95">
        <f t="shared" si="2"/>
        <v>0</v>
      </c>
      <c r="L95">
        <f>'Rent Roll'!CY$126</f>
        <v>0</v>
      </c>
      <c r="M95">
        <f>'Rent Roll'!CY$130</f>
        <v>0</v>
      </c>
      <c r="N95" t="str">
        <f>IF('Rent Roll'!CY$126=0,"N/A",('Rent Roll'!CY$126-SUMIF('Rent Roll'!$G$24:$G$125,'Rent Roll'!CY$20,'Rent Roll'!$K$24:$K$125))/($E95-$Q95))</f>
        <v>N/A</v>
      </c>
      <c r="O95">
        <f t="shared" si="3"/>
        <v>0</v>
      </c>
      <c r="P95">
        <f t="shared" si="4"/>
        <v>0</v>
      </c>
      <c r="Q95">
        <f>'Rent Roll'!CY$128</f>
        <v>0</v>
      </c>
      <c r="R95">
        <f t="shared" si="5"/>
        <v>0</v>
      </c>
      <c r="S95" t="str">
        <f>'Rent Roll'!$CY$20</f>
        <v>DI</v>
      </c>
    </row>
    <row r="96" ht="14.25" customHeight="1" hidden="1">
      <c r="A96" t="s">
        <v>2604</v>
      </c>
      <c r="B96" t="str">
        <f t="shared" si="6"/>
        <v>H</v>
      </c>
      <c r="D96" t="str">
        <f t="shared" si="0"/>
        <v>N/A</v>
      </c>
      <c r="E96" cm="1">
        <f t="array" ref="E96">SUMPRODUCT((--EXACT(S96,'Rent Roll'!$G$24:$G$125)))</f>
        <v>0</v>
      </c>
      <c r="F96">
        <f t="shared" si="1"/>
        <v>0</v>
      </c>
      <c r="G96" t="str">
        <f>IF('Rent Roll'!CZ$17="# Bedrooms","N/A",'Rent Roll'!CZ$17)</f>
        <v>N/A</v>
      </c>
      <c r="H96" t="str">
        <f>IF('Rent Roll'!CZ$18="# Baths","N/A",'Rent Roll'!CZ$18)</f>
        <v>N/A</v>
      </c>
      <c r="I96" t="str">
        <f>IF('Rent Roll'!$CZ$22="Square Footage","N/A",'Rent Roll'!$CZ$22)</f>
        <v>N/A</v>
      </c>
      <c r="J96" t="str">
        <f>IF('Rent Roll'!CZ$21="Market Rent","N/A",'Rent Roll'!CZ$21)</f>
        <v>N/A</v>
      </c>
      <c r="K96">
        <f t="shared" si="2"/>
        <v>0</v>
      </c>
      <c r="L96">
        <f>'Rent Roll'!CZ$126</f>
        <v>0</v>
      </c>
      <c r="M96">
        <f>'Rent Roll'!CZ$130</f>
        <v>0</v>
      </c>
      <c r="N96" t="str">
        <f>IF('Rent Roll'!CZ$126=0,"N/A",('Rent Roll'!CZ$126-SUMIF('Rent Roll'!$G$24:$G$125,'Rent Roll'!CZ$20,'Rent Roll'!$K$24:$K$125))/($E96-$Q96))</f>
        <v>N/A</v>
      </c>
      <c r="O96">
        <f t="shared" si="3"/>
        <v>0</v>
      </c>
      <c r="P96">
        <f t="shared" si="4"/>
        <v>0</v>
      </c>
      <c r="Q96">
        <f>'Rent Roll'!CZ$128</f>
        <v>0</v>
      </c>
      <c r="R96">
        <f t="shared" si="5"/>
        <v>0</v>
      </c>
      <c r="S96" t="str">
        <f>'Rent Roll'!$CZ$20</f>
        <v>DJ</v>
      </c>
    </row>
    <row r="97" ht="14.25" customHeight="1" hidden="1">
      <c r="A97" t="s">
        <v>2605</v>
      </c>
      <c r="B97" t="str">
        <f t="shared" si="6"/>
        <v>H</v>
      </c>
      <c r="D97" t="str">
        <f t="shared" si="0"/>
        <v>N/A</v>
      </c>
      <c r="E97" cm="1">
        <f t="array" ref="E97">SUMPRODUCT((--EXACT(S97,'Rent Roll'!$G$24:$G$125)))</f>
        <v>0</v>
      </c>
      <c r="F97">
        <f t="shared" si="1"/>
        <v>0</v>
      </c>
      <c r="G97" t="str">
        <f>IF('Rent Roll'!DA$17="# Bedrooms","N/A",'Rent Roll'!DA$17)</f>
        <v>N/A</v>
      </c>
      <c r="H97" t="str">
        <f>IF('Rent Roll'!DA$18="# Baths","N/A",'Rent Roll'!DA$18)</f>
        <v>N/A</v>
      </c>
      <c r="I97" t="str">
        <f>IF('Rent Roll'!$DA$22="Square Footage","N/A",'Rent Roll'!$DA$22)</f>
        <v>N/A</v>
      </c>
      <c r="J97" t="str">
        <f>IF('Rent Roll'!DA$21="Market Rent","N/A",'Rent Roll'!DA$21)</f>
        <v>N/A</v>
      </c>
      <c r="K97">
        <f t="shared" si="2"/>
        <v>0</v>
      </c>
      <c r="L97">
        <f>'Rent Roll'!DA$126</f>
        <v>0</v>
      </c>
      <c r="M97">
        <f>'Rent Roll'!DA$130</f>
        <v>0</v>
      </c>
      <c r="N97" t="str">
        <f>IF('Rent Roll'!DA$126=0,"N/A",('Rent Roll'!DA$126-SUMIF('Rent Roll'!$G$24:$G$125,'Rent Roll'!DA$20,'Rent Roll'!$K$24:$K$125))/($E97-$Q97))</f>
        <v>N/A</v>
      </c>
      <c r="O97">
        <f t="shared" si="3"/>
        <v>0</v>
      </c>
      <c r="P97">
        <f t="shared" si="4"/>
        <v>0</v>
      </c>
      <c r="Q97">
        <f>'Rent Roll'!DA$128</f>
        <v>0</v>
      </c>
      <c r="R97">
        <f t="shared" si="5"/>
        <v>0</v>
      </c>
      <c r="S97" t="str">
        <f>'Rent Roll'!$DA$20</f>
        <v>DK</v>
      </c>
    </row>
    <row r="98" ht="14.25" customHeight="1" hidden="1">
      <c r="A98" t="s">
        <v>2606</v>
      </c>
      <c r="B98" t="str">
        <f t="shared" si="6"/>
        <v>H</v>
      </c>
      <c r="D98" t="str">
        <f t="shared" si="0"/>
        <v>N/A</v>
      </c>
      <c r="E98" cm="1">
        <f t="array" ref="E98">SUMPRODUCT((--EXACT(S98,'Rent Roll'!$G$24:$G$125)))</f>
        <v>0</v>
      </c>
      <c r="F98">
        <f t="shared" si="1"/>
        <v>0</v>
      </c>
      <c r="G98" t="str">
        <f>IF('Rent Roll'!DB$17="# Bedrooms","N/A",'Rent Roll'!DB$17)</f>
        <v>N/A</v>
      </c>
      <c r="H98" t="str">
        <f>IF('Rent Roll'!DB$18="# Baths","N/A",'Rent Roll'!DB$18)</f>
        <v>N/A</v>
      </c>
      <c r="I98" t="str">
        <f>IF('Rent Roll'!$DB$22="Square Footage","N/A",'Rent Roll'!$DB$22)</f>
        <v>N/A</v>
      </c>
      <c r="J98" t="str">
        <f>IF('Rent Roll'!DB$21="Market Rent","N/A",'Rent Roll'!DB$21)</f>
        <v>N/A</v>
      </c>
      <c r="K98">
        <f t="shared" si="2"/>
        <v>0</v>
      </c>
      <c r="L98">
        <f>'Rent Roll'!DB$126</f>
        <v>0</v>
      </c>
      <c r="M98">
        <f>'Rent Roll'!DB$130</f>
        <v>0</v>
      </c>
      <c r="N98" t="str">
        <f>IF('Rent Roll'!DB$126=0,"N/A",('Rent Roll'!DB$126-SUMIF('Rent Roll'!$G$24:$G$125,'Rent Roll'!DB$20,'Rent Roll'!$K$24:$K$125))/($E98-$Q98))</f>
        <v>N/A</v>
      </c>
      <c r="O98">
        <f t="shared" si="3"/>
        <v>0</v>
      </c>
      <c r="P98">
        <f t="shared" si="4"/>
        <v>0</v>
      </c>
      <c r="Q98">
        <f>'Rent Roll'!DB$128</f>
        <v>0</v>
      </c>
      <c r="R98">
        <f t="shared" si="5"/>
        <v>0</v>
      </c>
      <c r="S98" t="str">
        <f>'Rent Roll'!$DB$20</f>
        <v>DL</v>
      </c>
    </row>
    <row r="99" ht="14.25" customHeight="1" hidden="1">
      <c r="A99" t="s">
        <v>2607</v>
      </c>
      <c r="B99" t="str">
        <f t="shared" si="6"/>
        <v>H</v>
      </c>
      <c r="D99" t="str">
        <f t="shared" si="0"/>
        <v>N/A</v>
      </c>
      <c r="E99" cm="1">
        <f t="array" ref="E99">SUMPRODUCT((--EXACT(S99,'Rent Roll'!$G$24:$G$125)))</f>
        <v>0</v>
      </c>
      <c r="F99">
        <f t="shared" si="1"/>
        <v>0</v>
      </c>
      <c r="G99" t="str">
        <f>IF('Rent Roll'!DC$17="# Bedrooms","N/A",'Rent Roll'!DC$17)</f>
        <v>N/A</v>
      </c>
      <c r="H99" t="str">
        <f>IF('Rent Roll'!DC$18="# Baths","N/A",'Rent Roll'!DC$18)</f>
        <v>N/A</v>
      </c>
      <c r="I99" t="str">
        <f>IF('Rent Roll'!$DC$22="Square Footage","N/A",'Rent Roll'!$DC$22)</f>
        <v>N/A</v>
      </c>
      <c r="J99" t="str">
        <f>IF('Rent Roll'!DC$21="Market Rent","N/A",'Rent Roll'!DC$21)</f>
        <v>N/A</v>
      </c>
      <c r="K99">
        <f t="shared" si="2"/>
        <v>0</v>
      </c>
      <c r="L99">
        <f>'Rent Roll'!DC$126</f>
        <v>0</v>
      </c>
      <c r="M99">
        <f>'Rent Roll'!DC$130</f>
        <v>0</v>
      </c>
      <c r="N99" t="str">
        <f>IF('Rent Roll'!DC$126=0,"N/A",('Rent Roll'!DC$126-SUMIF('Rent Roll'!$G$24:$G$125,'Rent Roll'!DC$20,'Rent Roll'!$K$24:$K$125))/($E99-$Q99))</f>
        <v>N/A</v>
      </c>
      <c r="O99">
        <f t="shared" si="3"/>
        <v>0</v>
      </c>
      <c r="P99">
        <f t="shared" si="4"/>
        <v>0</v>
      </c>
      <c r="Q99">
        <f>'Rent Roll'!DC$128</f>
        <v>0</v>
      </c>
      <c r="R99">
        <f t="shared" si="5"/>
        <v>0</v>
      </c>
      <c r="S99" t="str">
        <f>'Rent Roll'!$DC$20</f>
        <v>DM</v>
      </c>
    </row>
    <row r="100" ht="14.25" customHeight="1" hidden="1">
      <c r="A100" t="s">
        <v>2608</v>
      </c>
      <c r="B100" t="str">
        <f t="shared" si="6"/>
        <v>H</v>
      </c>
      <c r="D100" t="str">
        <f t="shared" si="0"/>
        <v>N/A</v>
      </c>
      <c r="E100" cm="1">
        <f t="array" ref="E100">SUMPRODUCT((--EXACT(S100,'Rent Roll'!$G$24:$G$125)))</f>
        <v>0</v>
      </c>
      <c r="F100">
        <f t="shared" si="1"/>
        <v>0</v>
      </c>
      <c r="G100" t="str">
        <f>IF('Rent Roll'!DD$17="# Bedrooms","N/A",'Rent Roll'!DD$17)</f>
        <v>N/A</v>
      </c>
      <c r="H100" t="str">
        <f>IF('Rent Roll'!DD$18="# Baths","N/A",'Rent Roll'!DD$18)</f>
        <v>N/A</v>
      </c>
      <c r="I100" t="str">
        <f>IF('Rent Roll'!$DD$22="Square Footage","N/A",'Rent Roll'!$DD$22)</f>
        <v>N/A</v>
      </c>
      <c r="J100" t="str">
        <f>IF('Rent Roll'!DD$21="Market Rent","N/A",'Rent Roll'!DD$21)</f>
        <v>N/A</v>
      </c>
      <c r="K100">
        <f t="shared" si="2"/>
        <v>0</v>
      </c>
      <c r="L100">
        <f>'Rent Roll'!DD$126</f>
        <v>0</v>
      </c>
      <c r="M100">
        <f>'Rent Roll'!DD$130</f>
        <v>0</v>
      </c>
      <c r="N100" t="str">
        <f>IF('Rent Roll'!DD$126=0,"N/A",('Rent Roll'!DD$126-SUMIF('Rent Roll'!$G$24:$G$125,'Rent Roll'!DD$20,'Rent Roll'!$K$24:$K$125))/($E100-$Q100))</f>
        <v>N/A</v>
      </c>
      <c r="O100">
        <f t="shared" si="3"/>
        <v>0</v>
      </c>
      <c r="P100">
        <f t="shared" si="4"/>
        <v>0</v>
      </c>
      <c r="Q100">
        <f>'Rent Roll'!DD$128</f>
        <v>0</v>
      </c>
      <c r="R100">
        <f t="shared" si="5"/>
        <v>0</v>
      </c>
      <c r="S100" t="str">
        <f>'Rent Roll'!$DD$20</f>
        <v>DN</v>
      </c>
    </row>
    <row r="101" ht="14.25" customHeight="1" hidden="1">
      <c r="A101" t="s">
        <v>2609</v>
      </c>
      <c r="B101" t="str">
        <f t="shared" si="6"/>
        <v>H</v>
      </c>
      <c r="D101" t="str">
        <f t="shared" si="0"/>
        <v>N/A</v>
      </c>
      <c r="E101" cm="1">
        <f t="array" ref="E101">SUMPRODUCT((--EXACT(S101,'Rent Roll'!$G$24:$G$125)))</f>
        <v>0</v>
      </c>
      <c r="F101">
        <f t="shared" si="1"/>
        <v>0</v>
      </c>
      <c r="G101" t="str">
        <f>IF('Rent Roll'!DE$17="# Bedrooms","N/A",'Rent Roll'!DE$17)</f>
        <v>N/A</v>
      </c>
      <c r="H101" t="str">
        <f>IF('Rent Roll'!DE$18="# Baths","N/A",'Rent Roll'!DE$18)</f>
        <v>N/A</v>
      </c>
      <c r="I101" t="str">
        <f>IF('Rent Roll'!$DE$22="Square Footage","N/A",'Rent Roll'!$DE$22)</f>
        <v>N/A</v>
      </c>
      <c r="J101" t="str">
        <f>IF('Rent Roll'!DE$21="Market Rent","N/A",'Rent Roll'!DE$21)</f>
        <v>N/A</v>
      </c>
      <c r="K101">
        <f t="shared" si="2"/>
        <v>0</v>
      </c>
      <c r="L101">
        <f>'Rent Roll'!DE$126</f>
        <v>0</v>
      </c>
      <c r="M101">
        <f>'Rent Roll'!DE$130</f>
        <v>0</v>
      </c>
      <c r="N101" t="str">
        <f>IF('Rent Roll'!DE$126=0,"N/A",('Rent Roll'!DE$126-SUMIF('Rent Roll'!$G$24:$G$125,'Rent Roll'!DE$20,'Rent Roll'!$K$24:$K$125))/($E101-$Q101))</f>
        <v>N/A</v>
      </c>
      <c r="O101">
        <f t="shared" si="3"/>
        <v>0</v>
      </c>
      <c r="P101">
        <f t="shared" si="4"/>
        <v>0</v>
      </c>
      <c r="Q101">
        <f>'Rent Roll'!DE$128</f>
        <v>0</v>
      </c>
      <c r="R101">
        <f t="shared" si="5"/>
        <v>0</v>
      </c>
      <c r="S101" t="str">
        <f>'Rent Roll'!$DE$20</f>
        <v>DO</v>
      </c>
    </row>
    <row r="102" ht="14.25" customHeight="1" hidden="1">
      <c r="A102" t="s">
        <v>2610</v>
      </c>
      <c r="B102" t="str">
        <f t="shared" si="6"/>
        <v>H</v>
      </c>
      <c r="D102" t="str">
        <f t="shared" si="0"/>
        <v>N/A</v>
      </c>
      <c r="E102" cm="1">
        <f t="array" ref="E102">SUMPRODUCT((--EXACT(S102,'Rent Roll'!$G$24:$G$125)))</f>
        <v>0</v>
      </c>
      <c r="F102">
        <f t="shared" si="1"/>
        <v>0</v>
      </c>
      <c r="G102" t="str">
        <f>IF('Rent Roll'!DF$17="# Bedrooms","N/A",'Rent Roll'!DF$17)</f>
        <v>N/A</v>
      </c>
      <c r="H102" t="str">
        <f>IF('Rent Roll'!DF$18="# Baths","N/A",'Rent Roll'!DF$18)</f>
        <v>N/A</v>
      </c>
      <c r="I102" t="str">
        <f>IF('Rent Roll'!$DF$22="Square Footage","N/A",'Rent Roll'!$DF$22)</f>
        <v>N/A</v>
      </c>
      <c r="J102" t="str">
        <f>IF('Rent Roll'!DF$21="Market Rent","N/A",'Rent Roll'!DF$21)</f>
        <v>N/A</v>
      </c>
      <c r="K102">
        <f t="shared" si="2"/>
        <v>0</v>
      </c>
      <c r="L102">
        <f>'Rent Roll'!DF$126</f>
        <v>0</v>
      </c>
      <c r="M102">
        <f>'Rent Roll'!DF$130</f>
        <v>0</v>
      </c>
      <c r="N102" t="str">
        <f>IF('Rent Roll'!DF$126=0,"N/A",('Rent Roll'!DF$126-SUMIF('Rent Roll'!$G$24:$G$125,'Rent Roll'!DF$20,'Rent Roll'!$K$24:$K$125))/($E102-$Q102))</f>
        <v>N/A</v>
      </c>
      <c r="O102">
        <f t="shared" si="3"/>
        <v>0</v>
      </c>
      <c r="P102">
        <f t="shared" si="4"/>
        <v>0</v>
      </c>
      <c r="Q102">
        <f>'Rent Roll'!DF$128</f>
        <v>0</v>
      </c>
      <c r="R102">
        <f t="shared" si="5"/>
        <v>0</v>
      </c>
      <c r="S102" t="str">
        <f>'Rent Roll'!$DF$20</f>
        <v>DP</v>
      </c>
    </row>
    <row r="103" ht="14.25" customHeight="1" hidden="1">
      <c r="A103" t="s">
        <v>2611</v>
      </c>
      <c r="B103" t="str">
        <f t="shared" si="6"/>
        <v>H</v>
      </c>
      <c r="D103" t="str">
        <f t="shared" si="0"/>
        <v>N/A</v>
      </c>
      <c r="E103" cm="1">
        <f t="array" ref="E103">SUMPRODUCT((--EXACT(S103,'Rent Roll'!$G$24:$G$125)))</f>
        <v>0</v>
      </c>
      <c r="F103">
        <f t="shared" si="1"/>
        <v>0</v>
      </c>
      <c r="G103" t="str">
        <f>IF('Rent Roll'!DG$17="# Bedrooms","N/A",'Rent Roll'!DG$17)</f>
        <v>N/A</v>
      </c>
      <c r="H103" t="str">
        <f>IF('Rent Roll'!DG$18="# Baths","N/A",'Rent Roll'!DG$18)</f>
        <v>N/A</v>
      </c>
      <c r="I103" t="str">
        <f>IF('Rent Roll'!$DG$22="Square Footage","N/A",'Rent Roll'!$DG$22)</f>
        <v>N/A</v>
      </c>
      <c r="J103" t="str">
        <f>IF('Rent Roll'!DG$21="Market Rent","N/A",'Rent Roll'!DG$21)</f>
        <v>N/A</v>
      </c>
      <c r="K103">
        <f t="shared" si="2"/>
        <v>0</v>
      </c>
      <c r="L103">
        <f>'Rent Roll'!DG$126</f>
        <v>0</v>
      </c>
      <c r="M103">
        <f>'Rent Roll'!DG$130</f>
        <v>0</v>
      </c>
      <c r="N103" t="str">
        <f>IF('Rent Roll'!DG$126=0,"N/A",('Rent Roll'!DG$126-SUMIF('Rent Roll'!$G$24:$G$125,'Rent Roll'!DG$20,'Rent Roll'!$K$24:$K$125))/($E103-$Q103))</f>
        <v>N/A</v>
      </c>
      <c r="O103">
        <f t="shared" si="3"/>
        <v>0</v>
      </c>
      <c r="P103">
        <f t="shared" si="4"/>
        <v>0</v>
      </c>
      <c r="Q103">
        <f>'Rent Roll'!DG$128</f>
        <v>0</v>
      </c>
      <c r="R103">
        <f t="shared" si="5"/>
        <v>0</v>
      </c>
      <c r="S103" t="str">
        <f>'Rent Roll'!$DG$20</f>
        <v>DQ</v>
      </c>
    </row>
    <row r="104" ht="14.25" customHeight="1" hidden="1">
      <c r="A104" t="s">
        <v>2612</v>
      </c>
      <c r="B104" t="str">
        <f t="shared" si="6"/>
        <v>H</v>
      </c>
      <c r="D104" t="str">
        <f t="shared" si="0"/>
        <v>N/A</v>
      </c>
      <c r="E104" cm="1">
        <f t="array" ref="E104">SUMPRODUCT((--EXACT(S104,'Rent Roll'!$G$24:$G$125)))</f>
        <v>0</v>
      </c>
      <c r="F104">
        <f t="shared" si="1"/>
        <v>0</v>
      </c>
      <c r="G104" t="str">
        <f>IF('Rent Roll'!DH$17="# Bedrooms","N/A",'Rent Roll'!DH$17)</f>
        <v>N/A</v>
      </c>
      <c r="H104" t="str">
        <f>IF('Rent Roll'!DH$18="# Baths","N/A",'Rent Roll'!DH$18)</f>
        <v>N/A</v>
      </c>
      <c r="I104" t="str">
        <f>IF('Rent Roll'!$DH$22="Square Footage","N/A",'Rent Roll'!$DH$22)</f>
        <v>N/A</v>
      </c>
      <c r="J104" t="str">
        <f>IF('Rent Roll'!DH$21="Market Rent","N/A",'Rent Roll'!DH$21)</f>
        <v>N/A</v>
      </c>
      <c r="K104">
        <f t="shared" si="2"/>
        <v>0</v>
      </c>
      <c r="L104">
        <f>'Rent Roll'!DH$126</f>
        <v>0</v>
      </c>
      <c r="M104">
        <f>'Rent Roll'!DH$130</f>
        <v>0</v>
      </c>
      <c r="N104" t="str">
        <f>IF('Rent Roll'!DH$126=0,"N/A",('Rent Roll'!DH$126-SUMIF('Rent Roll'!$G$24:$G$125,'Rent Roll'!DH$20,'Rent Roll'!$K$24:$K$125))/($E104-$Q104))</f>
        <v>N/A</v>
      </c>
      <c r="O104">
        <f t="shared" si="3"/>
        <v>0</v>
      </c>
      <c r="P104">
        <f t="shared" si="4"/>
        <v>0</v>
      </c>
      <c r="Q104">
        <f>'Rent Roll'!DH$128</f>
        <v>0</v>
      </c>
      <c r="R104">
        <f t="shared" si="5"/>
        <v>0</v>
      </c>
      <c r="S104" t="str">
        <f>'Rent Roll'!$DH$20</f>
        <v>DR</v>
      </c>
    </row>
    <row r="105" ht="14.25" customHeight="1" hidden="1">
      <c r="A105" t="s">
        <v>2613</v>
      </c>
      <c r="B105" t="str">
        <f t="shared" si="6"/>
        <v>H</v>
      </c>
      <c r="D105" t="str">
        <f t="shared" si="0"/>
        <v>N/A</v>
      </c>
      <c r="E105" cm="1">
        <f t="array" ref="E105">SUMPRODUCT((--EXACT(S105,'Rent Roll'!$G$24:$G$125)))</f>
        <v>0</v>
      </c>
      <c r="F105">
        <f t="shared" si="1"/>
        <v>0</v>
      </c>
      <c r="G105" t="str">
        <f>IF('Rent Roll'!DI$17="# Bedrooms","N/A",'Rent Roll'!DI$17)</f>
        <v>N/A</v>
      </c>
      <c r="H105" t="str">
        <f>IF('Rent Roll'!DI$18="# Baths","N/A",'Rent Roll'!DI$18)</f>
        <v>N/A</v>
      </c>
      <c r="I105" t="str">
        <f>IF('Rent Roll'!$DI$22="Square Footage","N/A",'Rent Roll'!$DI$22)</f>
        <v>N/A</v>
      </c>
      <c r="J105" t="str">
        <f>IF('Rent Roll'!DI$21="Market Rent","N/A",'Rent Roll'!DI$21)</f>
        <v>N/A</v>
      </c>
      <c r="K105">
        <f t="shared" si="2"/>
        <v>0</v>
      </c>
      <c r="L105">
        <f>'Rent Roll'!DI$126</f>
        <v>0</v>
      </c>
      <c r="M105">
        <f>'Rent Roll'!DI$130</f>
        <v>0</v>
      </c>
      <c r="N105" t="str">
        <f>IF('Rent Roll'!DI$126=0,"N/A",('Rent Roll'!DI$126-SUMIF('Rent Roll'!$G$24:$G$125,'Rent Roll'!DI$20,'Rent Roll'!$K$24:$K$125))/($E105-$Q105))</f>
        <v>N/A</v>
      </c>
      <c r="O105">
        <f t="shared" si="3"/>
        <v>0</v>
      </c>
      <c r="P105">
        <f t="shared" si="4"/>
        <v>0</v>
      </c>
      <c r="Q105">
        <f>'Rent Roll'!DI$128</f>
        <v>0</v>
      </c>
      <c r="R105">
        <f t="shared" si="5"/>
        <v>0</v>
      </c>
      <c r="S105" t="str">
        <f>'Rent Roll'!$DI$20</f>
        <v>DS</v>
      </c>
    </row>
    <row r="106" ht="14.25" customHeight="1" hidden="1">
      <c r="A106" t="s">
        <v>2614</v>
      </c>
      <c r="B106" t="str">
        <f t="shared" si="6"/>
        <v>H</v>
      </c>
      <c r="D106" t="str">
        <f t="shared" si="0"/>
        <v>N/A</v>
      </c>
      <c r="E106" cm="1">
        <f t="array" ref="E106">SUMPRODUCT((--EXACT(S106,'Rent Roll'!$G$24:$G$125)))</f>
        <v>0</v>
      </c>
      <c r="F106">
        <f t="shared" si="1"/>
        <v>0</v>
      </c>
      <c r="G106" t="str">
        <f>IF('Rent Roll'!DJ$17="# Bedrooms","N/A",'Rent Roll'!DJ$17)</f>
        <v>N/A</v>
      </c>
      <c r="H106" t="str">
        <f>IF('Rent Roll'!DJ$18="# Baths","N/A",'Rent Roll'!DJ$18)</f>
        <v>N/A</v>
      </c>
      <c r="I106" t="str">
        <f>IF('Rent Roll'!$DJ$22="Square Footage","N/A",'Rent Roll'!$DJ$22)</f>
        <v>N/A</v>
      </c>
      <c r="J106" t="str">
        <f>IF('Rent Roll'!DJ$21="Market Rent","N/A",'Rent Roll'!DJ$21)</f>
        <v>N/A</v>
      </c>
      <c r="K106">
        <f t="shared" si="2"/>
        <v>0</v>
      </c>
      <c r="L106">
        <f>'Rent Roll'!DJ$126</f>
        <v>0</v>
      </c>
      <c r="M106">
        <f>'Rent Roll'!DJ$130</f>
        <v>0</v>
      </c>
      <c r="N106" t="str">
        <f>IF('Rent Roll'!DJ$126=0,"N/A",('Rent Roll'!DJ$126-SUMIF('Rent Roll'!$G$24:$G$125,'Rent Roll'!DJ$20,'Rent Roll'!$K$24:$K$125))/($E106-$Q106))</f>
        <v>N/A</v>
      </c>
      <c r="O106">
        <f t="shared" si="3"/>
        <v>0</v>
      </c>
      <c r="P106">
        <f t="shared" si="4"/>
        <v>0</v>
      </c>
      <c r="Q106">
        <f>'Rent Roll'!DJ$128</f>
        <v>0</v>
      </c>
      <c r="R106">
        <f t="shared" si="5"/>
        <v>0</v>
      </c>
      <c r="S106" t="str">
        <f>'Rent Roll'!$DJ$20</f>
        <v>DT</v>
      </c>
    </row>
    <row r="107" ht="14.25" customHeight="1" hidden="1">
      <c r="A107" t="s">
        <v>2615</v>
      </c>
      <c r="B107" t="str">
        <f t="shared" si="6"/>
        <v>H</v>
      </c>
      <c r="D107" t="str">
        <f t="shared" si="0"/>
        <v>N/A</v>
      </c>
      <c r="E107" cm="1">
        <f t="array" ref="E107">SUMPRODUCT((--EXACT(S107,'Rent Roll'!$G$24:$G$125)))</f>
        <v>0</v>
      </c>
      <c r="F107">
        <f t="shared" si="1"/>
        <v>0</v>
      </c>
      <c r="G107" t="str">
        <f>IF('Rent Roll'!DK$17="# Bedrooms","N/A",'Rent Roll'!DK$17)</f>
        <v>N/A</v>
      </c>
      <c r="H107" t="str">
        <f>IF('Rent Roll'!DK$18="# Baths","N/A",'Rent Roll'!DK$18)</f>
        <v>N/A</v>
      </c>
      <c r="I107" t="str">
        <f>IF('Rent Roll'!$DK$22="Square Footage","N/A",'Rent Roll'!$DK$22)</f>
        <v>N/A</v>
      </c>
      <c r="J107" t="str">
        <f>IF('Rent Roll'!DK$21="Market Rent","N/A",'Rent Roll'!DK$21)</f>
        <v>N/A</v>
      </c>
      <c r="K107">
        <f t="shared" si="2"/>
        <v>0</v>
      </c>
      <c r="L107">
        <f>'Rent Roll'!DK$126</f>
        <v>0</v>
      </c>
      <c r="M107">
        <f>'Rent Roll'!DK$130</f>
        <v>0</v>
      </c>
      <c r="N107" t="str">
        <f>IF('Rent Roll'!DK$126=0,"N/A",('Rent Roll'!DK$126-SUMIF('Rent Roll'!$G$24:$G$125,'Rent Roll'!DK$20,'Rent Roll'!$K$24:$K$125))/($E107-$Q107))</f>
        <v>N/A</v>
      </c>
      <c r="O107">
        <f t="shared" si="3"/>
        <v>0</v>
      </c>
      <c r="P107">
        <f t="shared" si="4"/>
        <v>0</v>
      </c>
      <c r="Q107">
        <f>'Rent Roll'!DK$128</f>
        <v>0</v>
      </c>
      <c r="R107">
        <f t="shared" si="5"/>
        <v>0</v>
      </c>
      <c r="S107" t="str">
        <f>'Rent Roll'!$DK$20</f>
        <v>DU</v>
      </c>
    </row>
    <row r="108" ht="14.25" customHeight="1" hidden="1">
      <c r="A108" t="s">
        <v>2616</v>
      </c>
      <c r="B108" t="str">
        <f t="shared" si="6"/>
        <v>H</v>
      </c>
      <c r="D108" t="str">
        <f t="shared" si="0"/>
        <v>N/A</v>
      </c>
      <c r="E108" cm="1">
        <f t="array" ref="E108">SUMPRODUCT((--EXACT(S108,'Rent Roll'!$G$24:$G$125)))</f>
        <v>0</v>
      </c>
      <c r="F108">
        <f t="shared" si="1"/>
        <v>0</v>
      </c>
      <c r="G108" t="str">
        <f>IF('Rent Roll'!DL$17="# Bedrooms","N/A",'Rent Roll'!DL$17)</f>
        <v>N/A</v>
      </c>
      <c r="H108" t="str">
        <f>IF('Rent Roll'!DL$18="# Baths","N/A",'Rent Roll'!DL$18)</f>
        <v>N/A</v>
      </c>
      <c r="I108" t="str">
        <f>IF('Rent Roll'!$DL$22="Square Footage","N/A",'Rent Roll'!$DL$22)</f>
        <v>N/A</v>
      </c>
      <c r="J108" t="str">
        <f>IF('Rent Roll'!DL$21="Market Rent","N/A",'Rent Roll'!DL$21)</f>
        <v>N/A</v>
      </c>
      <c r="K108">
        <f t="shared" si="2"/>
        <v>0</v>
      </c>
      <c r="L108">
        <f>'Rent Roll'!DL$126</f>
        <v>0</v>
      </c>
      <c r="M108">
        <f>'Rent Roll'!DL$130</f>
        <v>0</v>
      </c>
      <c r="N108" t="str">
        <f>IF('Rent Roll'!DL$126=0,"N/A",('Rent Roll'!DL$126-SUMIF('Rent Roll'!$G$24:$G$125,'Rent Roll'!DL$20,'Rent Roll'!$K$24:$K$125))/($E108-$Q108))</f>
        <v>N/A</v>
      </c>
      <c r="O108">
        <f t="shared" si="3"/>
        <v>0</v>
      </c>
      <c r="P108">
        <f t="shared" si="4"/>
        <v>0</v>
      </c>
      <c r="Q108">
        <f>'Rent Roll'!DL$128</f>
        <v>0</v>
      </c>
      <c r="R108">
        <f t="shared" si="5"/>
        <v>0</v>
      </c>
      <c r="S108" t="str">
        <f>'Rent Roll'!$DL$20</f>
        <v>DV</v>
      </c>
    </row>
    <row r="109" ht="14.25" customHeight="1" hidden="1">
      <c r="A109" t="s">
        <v>2617</v>
      </c>
      <c r="B109" t="str">
        <f t="shared" si="6"/>
        <v>H</v>
      </c>
      <c r="D109" t="str">
        <f t="shared" si="0"/>
        <v>N/A</v>
      </c>
      <c r="E109" cm="1">
        <f t="array" ref="E109">SUMPRODUCT((--EXACT(S109,'Rent Roll'!$G$24:$G$125)))</f>
        <v>0</v>
      </c>
      <c r="F109">
        <f t="shared" si="1"/>
        <v>0</v>
      </c>
      <c r="G109" t="str">
        <f>IF('Rent Roll'!DM$17="# Bedrooms","N/A",'Rent Roll'!DM$17)</f>
        <v>N/A</v>
      </c>
      <c r="H109" t="str">
        <f>IF('Rent Roll'!DM$18="# Baths","N/A",'Rent Roll'!DM$18)</f>
        <v>N/A</v>
      </c>
      <c r="I109" t="str">
        <f>IF('Rent Roll'!$DM$22="Square Footage","N/A",'Rent Roll'!$DM$22)</f>
        <v>N/A</v>
      </c>
      <c r="J109" t="str">
        <f>IF('Rent Roll'!DM$21="Market Rent","N/A",'Rent Roll'!DM$21)</f>
        <v>N/A</v>
      </c>
      <c r="K109">
        <f t="shared" si="2"/>
        <v>0</v>
      </c>
      <c r="L109">
        <f>'Rent Roll'!DM$126</f>
        <v>0</v>
      </c>
      <c r="M109">
        <f>'Rent Roll'!DM$130</f>
        <v>0</v>
      </c>
      <c r="N109" t="str">
        <f>IF('Rent Roll'!DM$126=0,"N/A",('Rent Roll'!DM$126-SUMIF('Rent Roll'!$G$24:$G$125,'Rent Roll'!DM$20,'Rent Roll'!$K$24:$K$125))/($E109-$Q109))</f>
        <v>N/A</v>
      </c>
      <c r="O109">
        <f t="shared" si="3"/>
        <v>0</v>
      </c>
      <c r="P109">
        <f t="shared" si="4"/>
        <v>0</v>
      </c>
      <c r="Q109">
        <f>'Rent Roll'!DM$128</f>
        <v>0</v>
      </c>
      <c r="R109">
        <f t="shared" si="5"/>
        <v>0</v>
      </c>
      <c r="S109" t="str">
        <f>'Rent Roll'!$DM$20</f>
        <v>DW</v>
      </c>
    </row>
    <row r="110" ht="14.25" customHeight="1" hidden="1">
      <c r="A110" t="s">
        <v>2618</v>
      </c>
      <c r="B110" t="str">
        <f t="shared" si="6"/>
        <v>H</v>
      </c>
      <c r="D110" t="str">
        <f t="shared" si="0"/>
        <v>N/A</v>
      </c>
      <c r="E110" cm="1">
        <f t="array" ref="E110">SUMPRODUCT((--EXACT(S110,'Rent Roll'!$G$24:$G$125)))</f>
        <v>0</v>
      </c>
      <c r="F110">
        <f t="shared" si="1"/>
        <v>0</v>
      </c>
      <c r="G110" t="str">
        <f>IF('Rent Roll'!DN$17="# Bedrooms","N/A",'Rent Roll'!DN$17)</f>
        <v>N/A</v>
      </c>
      <c r="H110" t="str">
        <f>IF('Rent Roll'!DN$18="# Baths","N/A",'Rent Roll'!DN$18)</f>
        <v>N/A</v>
      </c>
      <c r="I110" t="str">
        <f>IF('Rent Roll'!$DN$22="Square Footage","N/A",'Rent Roll'!$DN$22)</f>
        <v>N/A</v>
      </c>
      <c r="J110" t="str">
        <f>IF('Rent Roll'!DN$21="Market Rent","N/A",'Rent Roll'!DN$21)</f>
        <v>N/A</v>
      </c>
      <c r="K110">
        <f t="shared" si="2"/>
        <v>0</v>
      </c>
      <c r="L110">
        <f>'Rent Roll'!DN$126</f>
        <v>0</v>
      </c>
      <c r="M110">
        <f>'Rent Roll'!DN$130</f>
        <v>0</v>
      </c>
      <c r="N110" t="str">
        <f>IF('Rent Roll'!DN$126=0,"N/A",('Rent Roll'!DN$126-SUMIF('Rent Roll'!$G$24:$G$125,'Rent Roll'!DN$20,'Rent Roll'!$K$24:$K$125))/($E110-$Q110))</f>
        <v>N/A</v>
      </c>
      <c r="O110">
        <f t="shared" si="3"/>
        <v>0</v>
      </c>
      <c r="P110">
        <f t="shared" si="4"/>
        <v>0</v>
      </c>
      <c r="Q110">
        <f>'Rent Roll'!DN$128</f>
        <v>0</v>
      </c>
      <c r="R110">
        <f t="shared" si="5"/>
        <v>0</v>
      </c>
      <c r="S110" t="str">
        <f>'Rent Roll'!$DN$20</f>
        <v>DX</v>
      </c>
    </row>
    <row r="111" ht="14.25" customHeight="1" hidden="1">
      <c r="A111" t="s">
        <v>2619</v>
      </c>
      <c r="B111" t="str">
        <f t="shared" si="6"/>
        <v>H</v>
      </c>
      <c r="D111" t="str">
        <f t="shared" si="0"/>
        <v>N/A</v>
      </c>
      <c r="E111" cm="1">
        <f t="array" ref="E111">SUMPRODUCT((--EXACT(S111,'Rent Roll'!$G$24:$G$125)))</f>
        <v>0</v>
      </c>
      <c r="F111">
        <f t="shared" si="1"/>
        <v>0</v>
      </c>
      <c r="G111" t="str">
        <f>IF('Rent Roll'!DO$17="# Bedrooms","N/A",'Rent Roll'!DO$17)</f>
        <v>N/A</v>
      </c>
      <c r="H111" t="str">
        <f>IF('Rent Roll'!DO$18="# Baths","N/A",'Rent Roll'!DO$18)</f>
        <v>N/A</v>
      </c>
      <c r="I111" t="str">
        <f>IF('Rent Roll'!$DO$22="Square Footage","N/A",'Rent Roll'!$DO$22)</f>
        <v>N/A</v>
      </c>
      <c r="J111" t="str">
        <f>IF('Rent Roll'!DO$21="Market Rent","N/A",'Rent Roll'!DO$21)</f>
        <v>N/A</v>
      </c>
      <c r="K111">
        <f t="shared" si="2"/>
        <v>0</v>
      </c>
      <c r="L111">
        <f>'Rent Roll'!DO$126</f>
        <v>0</v>
      </c>
      <c r="M111">
        <f>'Rent Roll'!DO$130</f>
        <v>0</v>
      </c>
      <c r="N111" t="str">
        <f>IF('Rent Roll'!DO$126=0,"N/A",('Rent Roll'!DO$126-SUMIF('Rent Roll'!$G$24:$G$125,'Rent Roll'!DO$20,'Rent Roll'!$K$24:$K$125))/($E111-$Q111))</f>
        <v>N/A</v>
      </c>
      <c r="O111">
        <f t="shared" si="3"/>
        <v>0</v>
      </c>
      <c r="P111">
        <f t="shared" si="4"/>
        <v>0</v>
      </c>
      <c r="Q111">
        <f>'Rent Roll'!DO$128</f>
        <v>0</v>
      </c>
      <c r="R111">
        <f t="shared" si="5"/>
        <v>0</v>
      </c>
      <c r="S111" t="str">
        <f>'Rent Roll'!$DO$20</f>
        <v>DY</v>
      </c>
    </row>
    <row r="112" ht="14.25" customHeight="1" hidden="1">
      <c r="A112" t="s">
        <v>2620</v>
      </c>
      <c r="B112" t="str">
        <f t="shared" si="6"/>
        <v>H</v>
      </c>
      <c r="D112" t="str">
        <f t="shared" si="0"/>
        <v>N/A</v>
      </c>
      <c r="E112" cm="1">
        <f t="array" ref="E112">SUMPRODUCT((--EXACT(S112,'Rent Roll'!$G$24:$G$125)))</f>
        <v>0</v>
      </c>
      <c r="F112">
        <f t="shared" si="1"/>
        <v>0</v>
      </c>
      <c r="G112" t="str">
        <f>IF('Rent Roll'!DP$17="# Bedrooms","N/A",'Rent Roll'!DP$17)</f>
        <v>N/A</v>
      </c>
      <c r="H112" t="str">
        <f>IF('Rent Roll'!DP$18="# Baths","N/A",'Rent Roll'!DP$18)</f>
        <v>N/A</v>
      </c>
      <c r="I112" t="str">
        <f>IF('Rent Roll'!$DP$22="Square Footage","N/A",'Rent Roll'!$DP$22)</f>
        <v>N/A</v>
      </c>
      <c r="J112" t="str">
        <f>IF('Rent Roll'!DP$21="Market Rent","N/A",'Rent Roll'!DP$21)</f>
        <v>N/A</v>
      </c>
      <c r="K112">
        <f t="shared" si="2"/>
        <v>0</v>
      </c>
      <c r="L112">
        <f>'Rent Roll'!DP$126</f>
        <v>0</v>
      </c>
      <c r="M112">
        <f>'Rent Roll'!DP$130</f>
        <v>0</v>
      </c>
      <c r="N112" t="str">
        <f>IF('Rent Roll'!DP$126=0,"N/A",('Rent Roll'!DP$126-SUMIF('Rent Roll'!$G$24:$G$125,'Rent Roll'!DP$20,'Rent Roll'!$K$24:$K$125))/($E112-$Q112))</f>
        <v>N/A</v>
      </c>
      <c r="O112">
        <f t="shared" si="3"/>
        <v>0</v>
      </c>
      <c r="P112">
        <f t="shared" si="4"/>
        <v>0</v>
      </c>
      <c r="Q112">
        <f>'Rent Roll'!DP$128</f>
        <v>0</v>
      </c>
      <c r="R112">
        <f t="shared" si="5"/>
        <v>0</v>
      </c>
      <c r="S112" t="str">
        <f>'Rent Roll'!$DP$20</f>
        <v>DZ</v>
      </c>
    </row>
    <row r="113" ht="14.25" customHeight="1" hidden="1">
      <c r="A113" t="s">
        <v>2621</v>
      </c>
      <c r="B113" t="str">
        <f t="shared" si="6"/>
        <v>H</v>
      </c>
      <c r="D113" t="str">
        <f t="shared" si="0"/>
        <v>N/A</v>
      </c>
      <c r="E113" cm="1">
        <f t="array" ref="E113">SUMPRODUCT((--EXACT(S113,'Rent Roll'!$G$24:$G$125)))</f>
        <v>0</v>
      </c>
      <c r="F113">
        <f t="shared" si="1"/>
        <v>0</v>
      </c>
      <c r="G113" t="str">
        <f>IF('Rent Roll'!DQ$17="# Bedrooms","N/A",'Rent Roll'!DQ$17)</f>
        <v>N/A</v>
      </c>
      <c r="H113" t="str">
        <f>IF('Rent Roll'!DQ$18="# Baths","N/A",'Rent Roll'!DQ$18)</f>
        <v>N/A</v>
      </c>
      <c r="I113" t="str">
        <f>IF('Rent Roll'!$DQ$22="Square Footage","N/A",'Rent Roll'!$DQ$22)</f>
        <v>N/A</v>
      </c>
      <c r="J113" t="str">
        <f>IF('Rent Roll'!DQ$21="Market Rent","N/A",'Rent Roll'!DQ$21)</f>
        <v>N/A</v>
      </c>
      <c r="K113">
        <f t="shared" si="2"/>
        <v>0</v>
      </c>
      <c r="L113">
        <f>'Rent Roll'!DQ$126</f>
        <v>0</v>
      </c>
      <c r="M113">
        <f>'Rent Roll'!DQ$130</f>
        <v>0</v>
      </c>
      <c r="N113" t="str">
        <f>IF('Rent Roll'!DQ$126=0,"N/A",('Rent Roll'!DQ$126-SUMIF('Rent Roll'!$G$24:$G$125,'Rent Roll'!DQ$20,'Rent Roll'!$K$24:$K$125))/($E113-$Q113))</f>
        <v>N/A</v>
      </c>
      <c r="O113">
        <f t="shared" si="3"/>
        <v>0</v>
      </c>
      <c r="P113">
        <f t="shared" si="4"/>
        <v>0</v>
      </c>
      <c r="Q113">
        <f>'Rent Roll'!DQ$128</f>
        <v>0</v>
      </c>
      <c r="R113">
        <f t="shared" si="5"/>
        <v>0</v>
      </c>
      <c r="S113" t="str">
        <f>'Rent Roll'!$DQ$20</f>
        <v>EA</v>
      </c>
    </row>
    <row r="114" ht="14.25" customHeight="1" hidden="1">
      <c r="A114" t="s">
        <v>2622</v>
      </c>
      <c r="B114" t="str">
        <f t="shared" si="6"/>
        <v>H</v>
      </c>
      <c r="D114" t="str">
        <f t="shared" si="0"/>
        <v>N/A</v>
      </c>
      <c r="E114" cm="1">
        <f t="array" ref="E114">SUMPRODUCT((--EXACT(S114,'Rent Roll'!$G$24:$G$125)))</f>
        <v>0</v>
      </c>
      <c r="F114">
        <f t="shared" si="1"/>
        <v>0</v>
      </c>
      <c r="G114" t="str">
        <f>IF('Rent Roll'!DR$17="# Bedrooms","N/A",'Rent Roll'!DR$17)</f>
        <v>N/A</v>
      </c>
      <c r="H114" t="str">
        <f>IF('Rent Roll'!DR$18="# Baths","N/A",'Rent Roll'!DR$18)</f>
        <v>N/A</v>
      </c>
      <c r="I114" t="str">
        <f>IF('Rent Roll'!$DR$22="Square Footage","N/A",'Rent Roll'!$DR$22)</f>
        <v>N/A</v>
      </c>
      <c r="J114" t="str">
        <f>IF('Rent Roll'!DR$21="Market Rent","N/A",'Rent Roll'!DR$21)</f>
        <v>N/A</v>
      </c>
      <c r="K114">
        <f t="shared" si="2"/>
        <v>0</v>
      </c>
      <c r="L114">
        <f>'Rent Roll'!DR$126</f>
        <v>0</v>
      </c>
      <c r="M114">
        <f>'Rent Roll'!DR$130</f>
        <v>0</v>
      </c>
      <c r="N114" t="str">
        <f>IF('Rent Roll'!DR$126=0,"N/A",('Rent Roll'!DR$126-SUMIF('Rent Roll'!$G$24:$G$125,'Rent Roll'!DR$20,'Rent Roll'!$K$24:$K$125))/($E114-$Q114))</f>
        <v>N/A</v>
      </c>
      <c r="O114">
        <f t="shared" si="3"/>
        <v>0</v>
      </c>
      <c r="P114">
        <f t="shared" si="4"/>
        <v>0</v>
      </c>
      <c r="Q114">
        <f>'Rent Roll'!DR$128</f>
        <v>0</v>
      </c>
      <c r="R114">
        <f t="shared" si="5"/>
        <v>0</v>
      </c>
      <c r="S114" t="str">
        <f>'Rent Roll'!$DR$20</f>
        <v>EB</v>
      </c>
    </row>
    <row r="115" ht="14.25" customHeight="1" hidden="1">
      <c r="A115" t="s">
        <v>2623</v>
      </c>
      <c r="B115" t="str">
        <f t="shared" si="6"/>
        <v>H</v>
      </c>
      <c r="D115" t="str">
        <f t="shared" si="0"/>
        <v>N/A</v>
      </c>
      <c r="E115" cm="1">
        <f t="array" ref="E115">SUMPRODUCT((--EXACT(S115,'Rent Roll'!$G$24:$G$125)))</f>
        <v>0</v>
      </c>
      <c r="F115">
        <f t="shared" si="1"/>
        <v>0</v>
      </c>
      <c r="G115" t="str">
        <f>IF('Rent Roll'!DS$17="# Bedrooms","N/A",'Rent Roll'!DS$17)</f>
        <v>N/A</v>
      </c>
      <c r="H115" t="str">
        <f>IF('Rent Roll'!DS$18="# Baths","N/A",'Rent Roll'!DS$18)</f>
        <v>N/A</v>
      </c>
      <c r="I115" t="str">
        <f>IF('Rent Roll'!$DS$22="Square Footage","N/A",'Rent Roll'!$DS$22)</f>
        <v>N/A</v>
      </c>
      <c r="J115" t="str">
        <f>IF('Rent Roll'!DS$21="Market Rent","N/A",'Rent Roll'!DS$21)</f>
        <v>N/A</v>
      </c>
      <c r="K115">
        <f t="shared" si="2"/>
        <v>0</v>
      </c>
      <c r="L115">
        <f>'Rent Roll'!DS$126</f>
        <v>0</v>
      </c>
      <c r="M115">
        <f>'Rent Roll'!DS$130</f>
        <v>0</v>
      </c>
      <c r="N115" t="str">
        <f>IF('Rent Roll'!DS$126=0,"N/A",('Rent Roll'!DS$126-SUMIF('Rent Roll'!$G$24:$G$125,'Rent Roll'!DS$20,'Rent Roll'!$K$24:$K$125))/($E115-$Q115))</f>
        <v>N/A</v>
      </c>
      <c r="O115">
        <f t="shared" si="3"/>
        <v>0</v>
      </c>
      <c r="P115">
        <f t="shared" si="4"/>
        <v>0</v>
      </c>
      <c r="Q115">
        <f>'Rent Roll'!DS$128</f>
        <v>0</v>
      </c>
      <c r="R115">
        <f t="shared" si="5"/>
        <v>0</v>
      </c>
      <c r="S115" t="str">
        <f>'Rent Roll'!$DS$20</f>
        <v>EC</v>
      </c>
    </row>
    <row r="116" ht="14.25" customHeight="1" hidden="1">
      <c r="A116" t="s">
        <v>2624</v>
      </c>
      <c r="B116" t="str">
        <f t="shared" si="6"/>
        <v>H</v>
      </c>
      <c r="D116" t="str">
        <f t="shared" si="0"/>
        <v>N/A</v>
      </c>
      <c r="E116" cm="1">
        <f t="array" ref="E116">SUMPRODUCT((--EXACT(S116,'Rent Roll'!$G$24:$G$125)))</f>
        <v>0</v>
      </c>
      <c r="F116">
        <f t="shared" si="1"/>
        <v>0</v>
      </c>
      <c r="G116" t="str">
        <f>IF('Rent Roll'!DT$17="# Bedrooms","N/A",'Rent Roll'!DT$17)</f>
        <v>N/A</v>
      </c>
      <c r="H116" t="str">
        <f>IF('Rent Roll'!DT$18="# Baths","N/A",'Rent Roll'!DT$18)</f>
        <v>N/A</v>
      </c>
      <c r="I116" t="str">
        <f>IF('Rent Roll'!$DT$22="Square Footage","N/A",'Rent Roll'!$DT$22)</f>
        <v>N/A</v>
      </c>
      <c r="J116" t="str">
        <f>IF('Rent Roll'!DT$21="Market Rent","N/A",'Rent Roll'!DT$21)</f>
        <v>N/A</v>
      </c>
      <c r="K116">
        <f t="shared" si="2"/>
        <v>0</v>
      </c>
      <c r="L116">
        <f>'Rent Roll'!DT$126</f>
        <v>0</v>
      </c>
      <c r="M116">
        <f>'Rent Roll'!DT$130</f>
        <v>0</v>
      </c>
      <c r="N116" t="str">
        <f>IF('Rent Roll'!DT$126=0,"N/A",('Rent Roll'!DT$126-SUMIF('Rent Roll'!$G$24:$G$125,'Rent Roll'!DT$20,'Rent Roll'!$K$24:$K$125))/($E116-$Q116))</f>
        <v>N/A</v>
      </c>
      <c r="O116">
        <f t="shared" si="3"/>
        <v>0</v>
      </c>
      <c r="P116">
        <f t="shared" si="4"/>
        <v>0</v>
      </c>
      <c r="Q116">
        <f>'Rent Roll'!DT$128</f>
        <v>0</v>
      </c>
      <c r="R116">
        <f t="shared" si="5"/>
        <v>0</v>
      </c>
      <c r="S116" t="str">
        <f>'Rent Roll'!$DT$20</f>
        <v>ED</v>
      </c>
    </row>
    <row r="117" ht="14.25" customHeight="1" hidden="1">
      <c r="A117" t="s">
        <v>2625</v>
      </c>
      <c r="B117" t="str">
        <f t="shared" si="6"/>
        <v>H</v>
      </c>
      <c r="D117" t="str">
        <f t="shared" si="0"/>
        <v>N/A</v>
      </c>
      <c r="E117" cm="1">
        <f t="array" ref="E117">SUMPRODUCT((--EXACT(S117,'Rent Roll'!$G$24:$G$125)))</f>
        <v>0</v>
      </c>
      <c r="F117">
        <f t="shared" si="1"/>
        <v>0</v>
      </c>
      <c r="G117" t="str">
        <f>IF('Rent Roll'!DU$17="# Bedrooms","N/A",'Rent Roll'!DU$17)</f>
        <v>N/A</v>
      </c>
      <c r="H117" t="str">
        <f>IF('Rent Roll'!DU$18="# Baths","N/A",'Rent Roll'!DU$18)</f>
        <v>N/A</v>
      </c>
      <c r="I117" t="str">
        <f>IF('Rent Roll'!$DU$22="Square Footage","N/A",'Rent Roll'!$DU$22)</f>
        <v>N/A</v>
      </c>
      <c r="J117" t="str">
        <f>IF('Rent Roll'!DU$21="Market Rent","N/A",'Rent Roll'!DU$21)</f>
        <v>N/A</v>
      </c>
      <c r="K117">
        <f t="shared" si="2"/>
        <v>0</v>
      </c>
      <c r="L117">
        <f>'Rent Roll'!DU$126</f>
        <v>0</v>
      </c>
      <c r="M117">
        <f>'Rent Roll'!DU$130</f>
        <v>0</v>
      </c>
      <c r="N117" t="str">
        <f>IF('Rent Roll'!DU$126=0,"N/A",('Rent Roll'!DU$126-SUMIF('Rent Roll'!$G$24:$G$125,'Rent Roll'!DU$20,'Rent Roll'!$K$24:$K$125))/($E117-$Q117))</f>
        <v>N/A</v>
      </c>
      <c r="O117">
        <f t="shared" si="3"/>
        <v>0</v>
      </c>
      <c r="P117">
        <f t="shared" si="4"/>
        <v>0</v>
      </c>
      <c r="Q117">
        <f>'Rent Roll'!DU$128</f>
        <v>0</v>
      </c>
      <c r="R117">
        <f t="shared" si="5"/>
        <v>0</v>
      </c>
      <c r="S117" t="str">
        <f>'Rent Roll'!$DU$20</f>
        <v>EE</v>
      </c>
    </row>
    <row r="118" ht="14.25" customHeight="1" hidden="1">
      <c r="A118" t="s">
        <v>2626</v>
      </c>
      <c r="B118" t="str">
        <f t="shared" si="6"/>
        <v>H</v>
      </c>
      <c r="D118" t="str">
        <f t="shared" si="0"/>
        <v>N/A</v>
      </c>
      <c r="E118" cm="1">
        <f t="array" ref="E118">SUMPRODUCT((--EXACT(S118,'Rent Roll'!$G$24:$G$125)))</f>
        <v>0</v>
      </c>
      <c r="F118">
        <f t="shared" si="1"/>
        <v>0</v>
      </c>
      <c r="G118" t="str">
        <f>IF('Rent Roll'!DV$17="# Bedrooms","N/A",'Rent Roll'!DV$17)</f>
        <v>N/A</v>
      </c>
      <c r="H118" t="str">
        <f>IF('Rent Roll'!DV$18="# Baths","N/A",'Rent Roll'!DV$18)</f>
        <v>N/A</v>
      </c>
      <c r="I118" t="str">
        <f>IF('Rent Roll'!$DV$22="Square Footage","N/A",'Rent Roll'!$DV$22)</f>
        <v>N/A</v>
      </c>
      <c r="J118" t="str">
        <f>IF('Rent Roll'!DV$21="Market Rent","N/A",'Rent Roll'!DV$21)</f>
        <v>N/A</v>
      </c>
      <c r="K118">
        <f t="shared" si="2"/>
        <v>0</v>
      </c>
      <c r="L118">
        <f>'Rent Roll'!DV$126</f>
        <v>0</v>
      </c>
      <c r="M118">
        <f>'Rent Roll'!DV$130</f>
        <v>0</v>
      </c>
      <c r="N118" t="str">
        <f>IF('Rent Roll'!DV$126=0,"N/A",('Rent Roll'!DV$126-SUMIF('Rent Roll'!$G$24:$G$125,'Rent Roll'!DV$20,'Rent Roll'!$K$24:$K$125))/($E118-$Q118))</f>
        <v>N/A</v>
      </c>
      <c r="O118">
        <f t="shared" si="3"/>
        <v>0</v>
      </c>
      <c r="P118">
        <f t="shared" si="4"/>
        <v>0</v>
      </c>
      <c r="Q118">
        <f>'Rent Roll'!DV$128</f>
        <v>0</v>
      </c>
      <c r="R118">
        <f t="shared" si="5"/>
        <v>0</v>
      </c>
      <c r="S118" t="str">
        <f>'Rent Roll'!$DV$20</f>
        <v>EF</v>
      </c>
    </row>
    <row r="119" ht="14.25" customHeight="1" hidden="1">
      <c r="A119" t="s">
        <v>2627</v>
      </c>
      <c r="B119" t="str">
        <f t="shared" si="6"/>
        <v>H</v>
      </c>
      <c r="D119" t="str">
        <f t="shared" si="0"/>
        <v>N/A</v>
      </c>
      <c r="E119" cm="1">
        <f t="array" ref="E119">SUMPRODUCT((--EXACT(S119,'Rent Roll'!$G$24:$G$125)))</f>
        <v>0</v>
      </c>
      <c r="F119">
        <f t="shared" si="1"/>
        <v>0</v>
      </c>
      <c r="G119" t="str">
        <f>IF('Rent Roll'!DW$17="# Bedrooms","N/A",'Rent Roll'!DW$17)</f>
        <v>N/A</v>
      </c>
      <c r="H119" t="str">
        <f>IF('Rent Roll'!DW$18="# Baths","N/A",'Rent Roll'!DW$18)</f>
        <v>N/A</v>
      </c>
      <c r="I119" t="str">
        <f>IF('Rent Roll'!$DW$22="Square Footage","N/A",'Rent Roll'!$DW$22)</f>
        <v>N/A</v>
      </c>
      <c r="J119" t="str">
        <f>IF('Rent Roll'!DW$21="Market Rent","N/A",'Rent Roll'!DW$21)</f>
        <v>N/A</v>
      </c>
      <c r="K119">
        <f t="shared" si="2"/>
        <v>0</v>
      </c>
      <c r="L119">
        <f>'Rent Roll'!DW$126</f>
        <v>0</v>
      </c>
      <c r="M119">
        <f>'Rent Roll'!DW$130</f>
        <v>0</v>
      </c>
      <c r="N119" t="str">
        <f>IF('Rent Roll'!DW$126=0,"N/A",('Rent Roll'!DW$126-SUMIF('Rent Roll'!$G$24:$G$125,'Rent Roll'!DW$20,'Rent Roll'!$K$24:$K$125))/($E119-$Q119))</f>
        <v>N/A</v>
      </c>
      <c r="O119">
        <f t="shared" si="3"/>
        <v>0</v>
      </c>
      <c r="P119">
        <f t="shared" si="4"/>
        <v>0</v>
      </c>
      <c r="Q119">
        <f>'Rent Roll'!DW$128</f>
        <v>0</v>
      </c>
      <c r="R119">
        <f t="shared" si="5"/>
        <v>0</v>
      </c>
      <c r="S119" t="str">
        <f>'Rent Roll'!$DW$20</f>
        <v>EG</v>
      </c>
    </row>
    <row r="120" ht="14.25" customHeight="1" hidden="1">
      <c r="A120" t="s">
        <v>2628</v>
      </c>
      <c r="B120" t="str">
        <f t="shared" si="6"/>
        <v>H</v>
      </c>
      <c r="D120" t="str">
        <f t="shared" si="0"/>
        <v>N/A</v>
      </c>
      <c r="E120" cm="1">
        <f t="array" ref="E120">SUMPRODUCT((--EXACT(S120,'Rent Roll'!$G$24:$G$125)))</f>
        <v>0</v>
      </c>
      <c r="F120">
        <f t="shared" si="1"/>
        <v>0</v>
      </c>
      <c r="G120" t="str">
        <f>IF('Rent Roll'!DX$17="# Bedrooms","N/A",'Rent Roll'!DX$17)</f>
        <v>N/A</v>
      </c>
      <c r="H120" t="str">
        <f>IF('Rent Roll'!DX$18="# Baths","N/A",'Rent Roll'!DX$18)</f>
        <v>N/A</v>
      </c>
      <c r="I120" t="str">
        <f>IF('Rent Roll'!$DX$22="Square Footage","N/A",'Rent Roll'!$DX$22)</f>
        <v>N/A</v>
      </c>
      <c r="J120" t="str">
        <f>IF('Rent Roll'!DX$21="Market Rent","N/A",'Rent Roll'!DX$21)</f>
        <v>N/A</v>
      </c>
      <c r="K120">
        <f t="shared" si="2"/>
        <v>0</v>
      </c>
      <c r="L120">
        <f>'Rent Roll'!DX$126</f>
        <v>0</v>
      </c>
      <c r="M120">
        <f>'Rent Roll'!DX$130</f>
        <v>0</v>
      </c>
      <c r="N120" t="str">
        <f>IF('Rent Roll'!DX$126=0,"N/A",('Rent Roll'!DX$126-SUMIF('Rent Roll'!$G$24:$G$125,'Rent Roll'!DX$20,'Rent Roll'!$K$24:$K$125))/($E120-$Q120))</f>
        <v>N/A</v>
      </c>
      <c r="O120">
        <f t="shared" si="3"/>
        <v>0</v>
      </c>
      <c r="P120">
        <f t="shared" si="4"/>
        <v>0</v>
      </c>
      <c r="Q120">
        <f>'Rent Roll'!DX$128</f>
        <v>0</v>
      </c>
      <c r="R120">
        <f t="shared" si="5"/>
        <v>0</v>
      </c>
      <c r="S120" t="str">
        <f>'Rent Roll'!$DX$20</f>
        <v>EH</v>
      </c>
    </row>
    <row r="121" ht="14.25" customHeight="1" hidden="1">
      <c r="A121" t="s">
        <v>2629</v>
      </c>
      <c r="B121" t="str">
        <f t="shared" si="6"/>
        <v>H</v>
      </c>
      <c r="D121" t="str">
        <f t="shared" si="0"/>
        <v>N/A</v>
      </c>
      <c r="E121" cm="1">
        <f t="array" ref="E121">SUMPRODUCT((--EXACT(S121,'Rent Roll'!$G$24:$G$125)))</f>
        <v>0</v>
      </c>
      <c r="F121">
        <f t="shared" si="1"/>
        <v>0</v>
      </c>
      <c r="G121" t="str">
        <f>IF('Rent Roll'!DY$17="# Bedrooms","N/A",'Rent Roll'!DY$17)</f>
        <v>N/A</v>
      </c>
      <c r="H121" t="str">
        <f>IF('Rent Roll'!DY$18="# Baths","N/A",'Rent Roll'!DY$18)</f>
        <v>N/A</v>
      </c>
      <c r="I121" t="str">
        <f>IF('Rent Roll'!$DY$22="Square Footage","N/A",'Rent Roll'!$DY$22)</f>
        <v>N/A</v>
      </c>
      <c r="J121" t="str">
        <f>IF('Rent Roll'!DY$21="Market Rent","N/A",'Rent Roll'!DY$21)</f>
        <v>N/A</v>
      </c>
      <c r="K121">
        <f t="shared" si="2"/>
        <v>0</v>
      </c>
      <c r="L121">
        <f>'Rent Roll'!DY$126</f>
        <v>0</v>
      </c>
      <c r="M121">
        <f>'Rent Roll'!DY$130</f>
        <v>0</v>
      </c>
      <c r="N121" t="str">
        <f>IF('Rent Roll'!DY$126=0,"N/A",('Rent Roll'!DY$126-SUMIF('Rent Roll'!$G$24:$G$125,'Rent Roll'!DY$20,'Rent Roll'!$K$24:$K$125))/($E121-$Q121))</f>
        <v>N/A</v>
      </c>
      <c r="O121">
        <f t="shared" si="3"/>
        <v>0</v>
      </c>
      <c r="P121">
        <f t="shared" si="4"/>
        <v>0</v>
      </c>
      <c r="Q121">
        <f>'Rent Roll'!DY$128</f>
        <v>0</v>
      </c>
      <c r="R121">
        <f t="shared" si="5"/>
        <v>0</v>
      </c>
      <c r="S121" t="str">
        <f>'Rent Roll'!$DY$20</f>
        <v>EI</v>
      </c>
    </row>
    <row r="122" ht="14.25" customHeight="1" hidden="1">
      <c r="A122" t="s">
        <v>2630</v>
      </c>
      <c r="B122" t="str">
        <f t="shared" si="6"/>
        <v>H</v>
      </c>
      <c r="D122" t="str">
        <f t="shared" si="0"/>
        <v>N/A</v>
      </c>
      <c r="E122" cm="1">
        <f t="array" ref="E122">SUMPRODUCT((--EXACT(S122,'Rent Roll'!$G$24:$G$125)))</f>
        <v>0</v>
      </c>
      <c r="F122">
        <f t="shared" si="1"/>
        <v>0</v>
      </c>
      <c r="G122" t="str">
        <f>IF('Rent Roll'!DZ$17="# Bedrooms","N/A",'Rent Roll'!DZ$17)</f>
        <v>N/A</v>
      </c>
      <c r="H122" t="str">
        <f>IF('Rent Roll'!DZ$18="# Baths","N/A",'Rent Roll'!DZ$18)</f>
        <v>N/A</v>
      </c>
      <c r="I122" t="str">
        <f>IF('Rent Roll'!$DZ$22="Square Footage","N/A",'Rent Roll'!$DZ$22)</f>
        <v>N/A</v>
      </c>
      <c r="J122" t="str">
        <f>IF('Rent Roll'!DZ$21="Market Rent","N/A",'Rent Roll'!DZ$21)</f>
        <v>N/A</v>
      </c>
      <c r="K122">
        <f t="shared" si="2"/>
        <v>0</v>
      </c>
      <c r="L122">
        <f>'Rent Roll'!DZ$126</f>
        <v>0</v>
      </c>
      <c r="M122">
        <f>'Rent Roll'!DZ$130</f>
        <v>0</v>
      </c>
      <c r="N122" t="str">
        <f>IF('Rent Roll'!DZ$126=0,"N/A",('Rent Roll'!DZ$126-SUMIF('Rent Roll'!$G$24:$G$125,'Rent Roll'!DZ$20,'Rent Roll'!$K$24:$K$125))/($E122-$Q122))</f>
        <v>N/A</v>
      </c>
      <c r="O122">
        <f t="shared" si="3"/>
        <v>0</v>
      </c>
      <c r="P122">
        <f t="shared" si="4"/>
        <v>0</v>
      </c>
      <c r="Q122">
        <f>'Rent Roll'!DZ$128</f>
        <v>0</v>
      </c>
      <c r="R122">
        <f t="shared" si="5"/>
        <v>0</v>
      </c>
      <c r="S122" t="str">
        <f>'Rent Roll'!$DZ$20</f>
        <v>EJ</v>
      </c>
    </row>
    <row r="123" ht="14.25" customHeight="1" hidden="1">
      <c r="A123" t="s">
        <v>2631</v>
      </c>
      <c r="B123" t="str">
        <f t="shared" si="6"/>
        <v>H</v>
      </c>
      <c r="D123" t="str">
        <f t="shared" si="0"/>
        <v>N/A</v>
      </c>
      <c r="E123" cm="1">
        <f t="array" ref="E123">SUMPRODUCT((--EXACT(S123,'Rent Roll'!$G$24:$G$125)))</f>
        <v>0</v>
      </c>
      <c r="F123">
        <f t="shared" si="1"/>
        <v>0</v>
      </c>
      <c r="G123" t="str">
        <f>IF('Rent Roll'!EA$17="# Bedrooms","N/A",'Rent Roll'!EA$17)</f>
        <v>N/A</v>
      </c>
      <c r="H123" t="str">
        <f>IF('Rent Roll'!EA$18="# Baths","N/A",'Rent Roll'!EA$18)</f>
        <v>N/A</v>
      </c>
      <c r="I123" t="str">
        <f>IF('Rent Roll'!$EA$22="Square Footage","N/A",'Rent Roll'!$EA$22)</f>
        <v>N/A</v>
      </c>
      <c r="J123" t="str">
        <f>IF('Rent Roll'!EA$21="Market Rent","N/A",'Rent Roll'!EA$21)</f>
        <v>N/A</v>
      </c>
      <c r="K123">
        <f t="shared" si="2"/>
        <v>0</v>
      </c>
      <c r="L123">
        <f>'Rent Roll'!EA$126</f>
        <v>0</v>
      </c>
      <c r="M123">
        <f>'Rent Roll'!EA$130</f>
        <v>0</v>
      </c>
      <c r="N123" t="str">
        <f>IF('Rent Roll'!EA$126=0,"N/A",('Rent Roll'!EA$126-SUMIF('Rent Roll'!$G$24:$G$125,'Rent Roll'!EA$20,'Rent Roll'!$K$24:$K$125))/($E123-$Q123))</f>
        <v>N/A</v>
      </c>
      <c r="O123">
        <f t="shared" si="3"/>
        <v>0</v>
      </c>
      <c r="P123">
        <f t="shared" si="4"/>
        <v>0</v>
      </c>
      <c r="Q123">
        <f>'Rent Roll'!EA$128</f>
        <v>0</v>
      </c>
      <c r="R123">
        <f t="shared" si="5"/>
        <v>0</v>
      </c>
      <c r="S123" t="str">
        <f>'Rent Roll'!$EA$20</f>
        <v>EK</v>
      </c>
    </row>
    <row r="124" ht="14.25" customHeight="1" hidden="1">
      <c r="A124" t="s">
        <v>2632</v>
      </c>
      <c r="B124" t="str">
        <f t="shared" si="6"/>
        <v>H</v>
      </c>
      <c r="D124" t="str">
        <f t="shared" si="0"/>
        <v>N/A</v>
      </c>
      <c r="E124" cm="1">
        <f t="array" ref="E124">SUMPRODUCT((--EXACT(S124,'Rent Roll'!$G$24:$G$125)))</f>
        <v>0</v>
      </c>
      <c r="F124">
        <f t="shared" si="1"/>
        <v>0</v>
      </c>
      <c r="G124" t="str">
        <f>IF('Rent Roll'!EB$17="# Bedrooms","N/A",'Rent Roll'!EB$17)</f>
        <v>N/A</v>
      </c>
      <c r="H124" t="str">
        <f>IF('Rent Roll'!EB$18="# Baths","N/A",'Rent Roll'!EB$18)</f>
        <v>N/A</v>
      </c>
      <c r="I124" t="str">
        <f>IF('Rent Roll'!$EB$22="Square Footage","N/A",'Rent Roll'!$EB$22)</f>
        <v>N/A</v>
      </c>
      <c r="J124" t="str">
        <f>IF('Rent Roll'!EB$21="Market Rent","N/A",'Rent Roll'!EB$21)</f>
        <v>N/A</v>
      </c>
      <c r="K124">
        <f t="shared" si="2"/>
        <v>0</v>
      </c>
      <c r="L124">
        <f>'Rent Roll'!EB$126</f>
        <v>0</v>
      </c>
      <c r="M124">
        <f>'Rent Roll'!EB$130</f>
        <v>0</v>
      </c>
      <c r="N124" t="str">
        <f>IF('Rent Roll'!EB$126=0,"N/A",('Rent Roll'!EB$126-SUMIF('Rent Roll'!$G$24:$G$125,'Rent Roll'!EB$20,'Rent Roll'!$K$24:$K$125))/($E124-$Q124))</f>
        <v>N/A</v>
      </c>
      <c r="O124">
        <f t="shared" si="3"/>
        <v>0</v>
      </c>
      <c r="P124">
        <f t="shared" si="4"/>
        <v>0</v>
      </c>
      <c r="Q124">
        <f>'Rent Roll'!EB$128</f>
        <v>0</v>
      </c>
      <c r="R124">
        <f t="shared" si="5"/>
        <v>0</v>
      </c>
      <c r="S124" t="str">
        <f>'Rent Roll'!$EB$20</f>
        <v>EL</v>
      </c>
    </row>
    <row r="125" ht="14.25" customHeight="1" hidden="1">
      <c r="A125" t="s">
        <v>2633</v>
      </c>
      <c r="B125" t="str">
        <f t="shared" si="6"/>
        <v>H</v>
      </c>
      <c r="D125" t="str">
        <f t="shared" si="0"/>
        <v>N/A</v>
      </c>
      <c r="E125" cm="1">
        <f t="array" ref="E125">SUMPRODUCT((--EXACT(S125,'Rent Roll'!$G$24:$G$125)))</f>
        <v>0</v>
      </c>
      <c r="F125">
        <f t="shared" si="1"/>
        <v>0</v>
      </c>
      <c r="G125" t="str">
        <f>IF('Rent Roll'!EC$17="# Bedrooms","N/A",'Rent Roll'!EC$17)</f>
        <v>N/A</v>
      </c>
      <c r="H125" t="str">
        <f>IF('Rent Roll'!EC$18="# Baths","N/A",'Rent Roll'!EC$18)</f>
        <v>N/A</v>
      </c>
      <c r="I125" t="str">
        <f>IF('Rent Roll'!$EC$22="Square Footage","N/A",'Rent Roll'!$EC$22)</f>
        <v>N/A</v>
      </c>
      <c r="J125" t="str">
        <f>IF('Rent Roll'!EC$21="Market Rent","N/A",'Rent Roll'!EC$21)</f>
        <v>N/A</v>
      </c>
      <c r="K125">
        <f t="shared" si="2"/>
        <v>0</v>
      </c>
      <c r="L125">
        <f>'Rent Roll'!EC$126</f>
        <v>0</v>
      </c>
      <c r="M125">
        <f>'Rent Roll'!EC$130</f>
        <v>0</v>
      </c>
      <c r="N125" t="str">
        <f>IF('Rent Roll'!EC$126=0,"N/A",('Rent Roll'!EC$126-SUMIF('Rent Roll'!$G$24:$G$125,'Rent Roll'!EC$20,'Rent Roll'!$K$24:$K$125))/($E125-$Q125))</f>
        <v>N/A</v>
      </c>
      <c r="O125">
        <f t="shared" si="3"/>
        <v>0</v>
      </c>
      <c r="P125">
        <f t="shared" si="4"/>
        <v>0</v>
      </c>
      <c r="Q125">
        <f>'Rent Roll'!EC$128</f>
        <v>0</v>
      </c>
      <c r="R125">
        <f t="shared" si="5"/>
        <v>0</v>
      </c>
      <c r="S125" t="str">
        <f>'Rent Roll'!$EC$20</f>
        <v>EM</v>
      </c>
    </row>
    <row r="126" ht="14.25" customHeight="1" hidden="1">
      <c r="A126" t="s">
        <v>2634</v>
      </c>
      <c r="B126" t="str">
        <f t="shared" si="6"/>
        <v>H</v>
      </c>
      <c r="D126" t="str">
        <f t="shared" si="0"/>
        <v>N/A</v>
      </c>
      <c r="E126" cm="1">
        <f t="array" ref="E126">SUMPRODUCT((--EXACT(S126,'Rent Roll'!$G$24:$G$125)))</f>
        <v>0</v>
      </c>
      <c r="F126">
        <f t="shared" si="1"/>
        <v>0</v>
      </c>
      <c r="G126" t="str">
        <f>IF('Rent Roll'!ED$17="# Bedrooms","N/A",'Rent Roll'!ED$17)</f>
        <v>N/A</v>
      </c>
      <c r="H126" t="str">
        <f>IF('Rent Roll'!ED$18="# Baths","N/A",'Rent Roll'!ED$18)</f>
        <v>N/A</v>
      </c>
      <c r="I126" t="str">
        <f>IF('Rent Roll'!$ED$22="Square Footage","N/A",'Rent Roll'!$ED$22)</f>
        <v>N/A</v>
      </c>
      <c r="J126" t="str">
        <f>IF('Rent Roll'!ED$21="Market Rent","N/A",'Rent Roll'!ED$21)</f>
        <v>N/A</v>
      </c>
      <c r="K126">
        <f t="shared" si="2"/>
        <v>0</v>
      </c>
      <c r="L126">
        <f>'Rent Roll'!ED$126</f>
        <v>0</v>
      </c>
      <c r="M126">
        <f>'Rent Roll'!ED$130</f>
        <v>0</v>
      </c>
      <c r="N126" t="str">
        <f>IF('Rent Roll'!ED$126=0,"N/A",('Rent Roll'!ED$126-SUMIF('Rent Roll'!$G$24:$G$125,'Rent Roll'!ED$20,'Rent Roll'!$K$24:$K$125))/($E126-$Q126))</f>
        <v>N/A</v>
      </c>
      <c r="O126">
        <f t="shared" si="3"/>
        <v>0</v>
      </c>
      <c r="P126">
        <f t="shared" si="4"/>
        <v>0</v>
      </c>
      <c r="Q126">
        <f>'Rent Roll'!ED$128</f>
        <v>0</v>
      </c>
      <c r="R126">
        <f t="shared" si="5"/>
        <v>0</v>
      </c>
      <c r="S126" t="str">
        <f>'Rent Roll'!$ED$20</f>
        <v>EN</v>
      </c>
    </row>
    <row r="127" ht="14.25" customHeight="1" hidden="1">
      <c r="A127" t="s">
        <v>2635</v>
      </c>
      <c r="B127" t="str">
        <f t="shared" si="6"/>
        <v>H</v>
      </c>
      <c r="D127" t="str">
        <f t="shared" si="0"/>
        <v>N/A</v>
      </c>
      <c r="E127" cm="1">
        <f t="array" ref="E127">SUMPRODUCT((--EXACT(S127,'Rent Roll'!$G$24:$G$125)))</f>
        <v>0</v>
      </c>
      <c r="F127">
        <f t="shared" si="1"/>
        <v>0</v>
      </c>
      <c r="G127" t="str">
        <f>IF('Rent Roll'!EE$17="# Bedrooms","N/A",'Rent Roll'!EE$17)</f>
        <v>N/A</v>
      </c>
      <c r="H127" t="str">
        <f>IF('Rent Roll'!EE$18="# Baths","N/A",'Rent Roll'!EE$18)</f>
        <v>N/A</v>
      </c>
      <c r="I127" t="str">
        <f>IF('Rent Roll'!$EE$22="Square Footage","N/A",'Rent Roll'!$EE$22)</f>
        <v>N/A</v>
      </c>
      <c r="J127" t="str">
        <f>IF('Rent Roll'!EE$21="Market Rent","N/A",'Rent Roll'!EE$21)</f>
        <v>N/A</v>
      </c>
      <c r="K127">
        <f t="shared" si="2"/>
        <v>0</v>
      </c>
      <c r="L127">
        <f>'Rent Roll'!EE$126</f>
        <v>0</v>
      </c>
      <c r="M127">
        <f>'Rent Roll'!EE$130</f>
        <v>0</v>
      </c>
      <c r="N127" t="str">
        <f>IF('Rent Roll'!EE$126=0,"N/A",('Rent Roll'!EE$126-SUMIF('Rent Roll'!$G$24:$G$125,'Rent Roll'!EE$20,'Rent Roll'!$K$24:$K$125))/($E127-$Q127))</f>
        <v>N/A</v>
      </c>
      <c r="O127">
        <f t="shared" si="3"/>
        <v>0</v>
      </c>
      <c r="P127">
        <f t="shared" si="4"/>
        <v>0</v>
      </c>
      <c r="Q127">
        <f>'Rent Roll'!EE$128</f>
        <v>0</v>
      </c>
      <c r="R127">
        <f t="shared" si="5"/>
        <v>0</v>
      </c>
      <c r="S127" t="str">
        <f>'Rent Roll'!$EE$20</f>
        <v>EO</v>
      </c>
    </row>
    <row r="128" ht="14.25" customHeight="1" hidden="1">
      <c r="A128" t="s">
        <v>2636</v>
      </c>
      <c r="B128" t="str">
        <f t="shared" si="6"/>
        <v>H</v>
      </c>
      <c r="D128" t="str">
        <f t="shared" si="0"/>
        <v>N/A</v>
      </c>
      <c r="E128" cm="1">
        <f t="array" ref="E128">SUMPRODUCT((--EXACT(S128,'Rent Roll'!$G$24:$G$125)))</f>
        <v>0</v>
      </c>
      <c r="F128">
        <f t="shared" si="1"/>
        <v>0</v>
      </c>
      <c r="G128" t="str">
        <f>IF('Rent Roll'!EF$17="# Bedrooms","N/A",'Rent Roll'!EF$17)</f>
        <v>N/A</v>
      </c>
      <c r="H128" t="str">
        <f>IF('Rent Roll'!EF$18="# Baths","N/A",'Rent Roll'!EF$18)</f>
        <v>N/A</v>
      </c>
      <c r="I128" t="str">
        <f>IF('Rent Roll'!$EF$22="Square Footage","N/A",'Rent Roll'!$EF$22)</f>
        <v>N/A</v>
      </c>
      <c r="J128" t="str">
        <f>IF('Rent Roll'!EF$21="Market Rent","N/A",'Rent Roll'!EF$21)</f>
        <v>N/A</v>
      </c>
      <c r="K128">
        <f t="shared" si="2"/>
        <v>0</v>
      </c>
      <c r="L128">
        <f>'Rent Roll'!EF$126</f>
        <v>0</v>
      </c>
      <c r="M128">
        <f>'Rent Roll'!EF$130</f>
        <v>0</v>
      </c>
      <c r="N128" t="str">
        <f>IF('Rent Roll'!EF$126=0,"N/A",('Rent Roll'!EF$126-SUMIF('Rent Roll'!$G$24:$G$125,'Rent Roll'!EF$20,'Rent Roll'!$K$24:$K$125))/($E128-$Q128))</f>
        <v>N/A</v>
      </c>
      <c r="O128">
        <f t="shared" si="3"/>
        <v>0</v>
      </c>
      <c r="P128">
        <f t="shared" si="4"/>
        <v>0</v>
      </c>
      <c r="Q128">
        <f>'Rent Roll'!EF$128</f>
        <v>0</v>
      </c>
      <c r="R128">
        <f t="shared" si="5"/>
        <v>0</v>
      </c>
      <c r="S128" t="str">
        <f>'Rent Roll'!$EF$20</f>
        <v>EP</v>
      </c>
    </row>
    <row r="129" ht="14.25" customHeight="1" hidden="1">
      <c r="A129" t="s">
        <v>2637</v>
      </c>
      <c r="B129" t="str">
        <f t="shared" si="6"/>
        <v>H</v>
      </c>
      <c r="D129" t="str">
        <f t="shared" si="0"/>
        <v>N/A</v>
      </c>
      <c r="E129" cm="1">
        <f t="array" ref="E129">SUMPRODUCT((--EXACT(S129,'Rent Roll'!$G$24:$G$125)))</f>
        <v>0</v>
      </c>
      <c r="F129">
        <f t="shared" si="1"/>
        <v>0</v>
      </c>
      <c r="G129" t="str">
        <f>IF('Rent Roll'!EG$17="# Bedrooms","N/A",'Rent Roll'!EG$17)</f>
        <v>N/A</v>
      </c>
      <c r="H129" t="str">
        <f>IF('Rent Roll'!EG$18="# Baths","N/A",'Rent Roll'!EG$18)</f>
        <v>N/A</v>
      </c>
      <c r="I129" t="str">
        <f>IF('Rent Roll'!$EG$22="Square Footage","N/A",'Rent Roll'!$EG$22)</f>
        <v>N/A</v>
      </c>
      <c r="J129" t="str">
        <f>IF('Rent Roll'!EG$21="Market Rent","N/A",'Rent Roll'!EG$21)</f>
        <v>N/A</v>
      </c>
      <c r="K129">
        <f t="shared" si="2"/>
        <v>0</v>
      </c>
      <c r="L129">
        <f>'Rent Roll'!EG$126</f>
        <v>0</v>
      </c>
      <c r="M129">
        <f>'Rent Roll'!EG$130</f>
        <v>0</v>
      </c>
      <c r="N129" t="str">
        <f>IF('Rent Roll'!EG$126=0,"N/A",('Rent Roll'!EG$126-SUMIF('Rent Roll'!$G$24:$G$125,'Rent Roll'!EG$20,'Rent Roll'!$K$24:$K$125))/($E129-$Q129))</f>
        <v>N/A</v>
      </c>
      <c r="O129">
        <f t="shared" si="3"/>
        <v>0</v>
      </c>
      <c r="P129">
        <f t="shared" si="4"/>
        <v>0</v>
      </c>
      <c r="Q129">
        <f>'Rent Roll'!EG$128</f>
        <v>0</v>
      </c>
      <c r="R129">
        <f t="shared" si="5"/>
        <v>0</v>
      </c>
      <c r="S129" t="str">
        <f>'Rent Roll'!$EG$20</f>
        <v>EQ</v>
      </c>
    </row>
    <row r="130" ht="14.25" customHeight="1" hidden="1">
      <c r="A130" t="s">
        <v>2638</v>
      </c>
      <c r="B130" t="str">
        <f t="shared" si="6"/>
        <v>H</v>
      </c>
      <c r="D130" t="str">
        <f t="shared" si="0"/>
        <v>N/A</v>
      </c>
      <c r="E130" cm="1">
        <f t="array" ref="E130">SUMPRODUCT((--EXACT(S130,'Rent Roll'!$G$24:$G$125)))</f>
        <v>0</v>
      </c>
      <c r="F130">
        <f t="shared" si="1"/>
        <v>0</v>
      </c>
      <c r="G130" t="str">
        <f>IF('Rent Roll'!EH$17="# Bedrooms","N/A",'Rent Roll'!EH$17)</f>
        <v>N/A</v>
      </c>
      <c r="H130" t="str">
        <f>IF('Rent Roll'!EH$18="# Baths","N/A",'Rent Roll'!EH$18)</f>
        <v>N/A</v>
      </c>
      <c r="I130" t="str">
        <f>IF('Rent Roll'!$EH$22="Square Footage","N/A",'Rent Roll'!$EH$22)</f>
        <v>N/A</v>
      </c>
      <c r="J130" t="str">
        <f>IF('Rent Roll'!EH$21="Market Rent","N/A",'Rent Roll'!EH$21)</f>
        <v>N/A</v>
      </c>
      <c r="K130">
        <f t="shared" si="2"/>
        <v>0</v>
      </c>
      <c r="L130">
        <f>'Rent Roll'!EH$126</f>
        <v>0</v>
      </c>
      <c r="M130">
        <f>'Rent Roll'!EH$130</f>
        <v>0</v>
      </c>
      <c r="N130" t="str">
        <f>IF('Rent Roll'!EH$126=0,"N/A",('Rent Roll'!EH$126-SUMIF('Rent Roll'!$G$24:$G$125,'Rent Roll'!EH$20,'Rent Roll'!$K$24:$K$125))/($E130-$Q130))</f>
        <v>N/A</v>
      </c>
      <c r="O130">
        <f t="shared" si="3"/>
        <v>0</v>
      </c>
      <c r="P130">
        <f t="shared" si="4"/>
        <v>0</v>
      </c>
      <c r="Q130">
        <f>'Rent Roll'!EH$128</f>
        <v>0</v>
      </c>
      <c r="R130">
        <f t="shared" si="5"/>
        <v>0</v>
      </c>
      <c r="S130" t="str">
        <f>'Rent Roll'!$EH$20</f>
        <v>ER</v>
      </c>
    </row>
    <row r="131" ht="14.25" customHeight="1" hidden="1">
      <c r="A131" t="s">
        <v>2639</v>
      </c>
      <c r="B131" t="str">
        <f t="shared" si="6"/>
        <v>H</v>
      </c>
      <c r="D131" t="str">
        <f t="shared" si="0"/>
        <v>N/A</v>
      </c>
      <c r="E131" cm="1">
        <f t="array" ref="E131">SUMPRODUCT((--EXACT(S131,'Rent Roll'!$G$24:$G$125)))</f>
        <v>0</v>
      </c>
      <c r="F131">
        <f t="shared" si="1"/>
        <v>0</v>
      </c>
      <c r="G131" t="str">
        <f>IF('Rent Roll'!EI$17="# Bedrooms","N/A",'Rent Roll'!EI$17)</f>
        <v>N/A</v>
      </c>
      <c r="H131" t="str">
        <f>IF('Rent Roll'!EI$18="# Baths","N/A",'Rent Roll'!EI$18)</f>
        <v>N/A</v>
      </c>
      <c r="I131" t="str">
        <f>IF('Rent Roll'!$EI$22="Square Footage","N/A",'Rent Roll'!$EI$22)</f>
        <v>N/A</v>
      </c>
      <c r="J131" t="str">
        <f>IF('Rent Roll'!EI$21="Market Rent","N/A",'Rent Roll'!EI$21)</f>
        <v>N/A</v>
      </c>
      <c r="K131">
        <f t="shared" si="2"/>
        <v>0</v>
      </c>
      <c r="L131">
        <f>'Rent Roll'!EI$126</f>
        <v>0</v>
      </c>
      <c r="M131">
        <f>'Rent Roll'!EI$130</f>
        <v>0</v>
      </c>
      <c r="N131" t="str">
        <f>IF('Rent Roll'!EI$126=0,"N/A",('Rent Roll'!EI$126-SUMIF('Rent Roll'!$G$24:$G$125,'Rent Roll'!EI$20,'Rent Roll'!$K$24:$K$125))/($E131-$Q131))</f>
        <v>N/A</v>
      </c>
      <c r="O131">
        <f t="shared" si="3"/>
        <v>0</v>
      </c>
      <c r="P131">
        <f t="shared" si="4"/>
        <v>0</v>
      </c>
      <c r="Q131">
        <f>'Rent Roll'!EI$128</f>
        <v>0</v>
      </c>
      <c r="R131">
        <f t="shared" si="5"/>
        <v>0</v>
      </c>
      <c r="S131" t="str">
        <f>'Rent Roll'!$EI$20</f>
        <v>ES</v>
      </c>
    </row>
    <row r="132" ht="14.25" customHeight="1" hidden="1">
      <c r="A132" t="s">
        <v>2640</v>
      </c>
      <c r="B132" t="str">
        <f t="shared" si="6"/>
        <v>H</v>
      </c>
      <c r="D132" t="str">
        <f t="shared" si="0"/>
        <v>N/A</v>
      </c>
      <c r="E132" cm="1">
        <f t="array" ref="E132">SUMPRODUCT((--EXACT(S132,'Rent Roll'!$G$24:$G$125)))</f>
        <v>0</v>
      </c>
      <c r="F132">
        <f t="shared" si="1"/>
        <v>0</v>
      </c>
      <c r="G132" t="str">
        <f>IF('Rent Roll'!EJ$17="# Bedrooms","N/A",'Rent Roll'!EJ$17)</f>
        <v>N/A</v>
      </c>
      <c r="H132" t="str">
        <f>IF('Rent Roll'!EJ$18="# Baths","N/A",'Rent Roll'!EJ$18)</f>
        <v>N/A</v>
      </c>
      <c r="I132" t="str">
        <f>IF('Rent Roll'!$EJ$22="Square Footage","N/A",'Rent Roll'!$EJ$22)</f>
        <v>N/A</v>
      </c>
      <c r="J132" t="str">
        <f>IF('Rent Roll'!EJ$21="Market Rent","N/A",'Rent Roll'!EJ$21)</f>
        <v>N/A</v>
      </c>
      <c r="K132">
        <f t="shared" si="2"/>
        <v>0</v>
      </c>
      <c r="L132">
        <f>'Rent Roll'!EJ$126</f>
        <v>0</v>
      </c>
      <c r="M132">
        <f>'Rent Roll'!EJ$130</f>
        <v>0</v>
      </c>
      <c r="N132" t="str">
        <f>IF('Rent Roll'!EJ$126=0,"N/A",('Rent Roll'!EJ$126-SUMIF('Rent Roll'!$G$24:$G$125,'Rent Roll'!EJ$20,'Rent Roll'!$K$24:$K$125))/($E132-$Q132))</f>
        <v>N/A</v>
      </c>
      <c r="O132">
        <f t="shared" si="3"/>
        <v>0</v>
      </c>
      <c r="P132">
        <f t="shared" si="4"/>
        <v>0</v>
      </c>
      <c r="Q132">
        <f>'Rent Roll'!EJ$128</f>
        <v>0</v>
      </c>
      <c r="R132">
        <f t="shared" si="5"/>
        <v>0</v>
      </c>
      <c r="S132" t="str">
        <f>'Rent Roll'!$EJ$20</f>
        <v>ET</v>
      </c>
    </row>
    <row r="133" ht="14.25" customHeight="1" hidden="1">
      <c r="A133" t="s">
        <v>2641</v>
      </c>
      <c r="B133" t="str">
        <f t="shared" si="6"/>
        <v>H</v>
      </c>
      <c r="D133" t="str">
        <f t="shared" si="0"/>
        <v>N/A</v>
      </c>
      <c r="E133" cm="1">
        <f t="array" ref="E133">SUMPRODUCT((--EXACT(S133,'Rent Roll'!$G$24:$G$125)))</f>
        <v>0</v>
      </c>
      <c r="F133">
        <f t="shared" si="1"/>
        <v>0</v>
      </c>
      <c r="G133" t="str">
        <f>IF('Rent Roll'!EK$17="# Bedrooms","N/A",'Rent Roll'!EK$17)</f>
        <v>N/A</v>
      </c>
      <c r="H133" t="str">
        <f>IF('Rent Roll'!EK$18="# Baths","N/A",'Rent Roll'!EK$18)</f>
        <v>N/A</v>
      </c>
      <c r="I133" t="str">
        <f>IF('Rent Roll'!$EK$22="Square Footage","N/A",'Rent Roll'!$EK$22)</f>
        <v>N/A</v>
      </c>
      <c r="J133" t="str">
        <f>IF('Rent Roll'!EK$21="Market Rent","N/A",'Rent Roll'!EK$21)</f>
        <v>N/A</v>
      </c>
      <c r="K133">
        <f t="shared" si="2"/>
        <v>0</v>
      </c>
      <c r="L133">
        <f>'Rent Roll'!EK$126</f>
        <v>0</v>
      </c>
      <c r="M133">
        <f>'Rent Roll'!EK$130</f>
        <v>0</v>
      </c>
      <c r="N133" t="str">
        <f>IF('Rent Roll'!EK$126=0,"N/A",('Rent Roll'!EK$126-SUMIF('Rent Roll'!$G$24:$G$125,'Rent Roll'!EK$20,'Rent Roll'!$K$24:$K$125))/($E133-$Q133))</f>
        <v>N/A</v>
      </c>
      <c r="O133">
        <f t="shared" si="3"/>
        <v>0</v>
      </c>
      <c r="P133">
        <f t="shared" si="4"/>
        <v>0</v>
      </c>
      <c r="Q133">
        <f>'Rent Roll'!EK$128</f>
        <v>0</v>
      </c>
      <c r="R133">
        <f t="shared" si="5"/>
        <v>0</v>
      </c>
      <c r="S133" t="str">
        <f>'Rent Roll'!$EK$20</f>
        <v>EU</v>
      </c>
    </row>
    <row r="134" ht="14.25" customHeight="1" hidden="1">
      <c r="A134" t="s">
        <v>2642</v>
      </c>
      <c r="B134" t="str">
        <f t="shared" si="6"/>
        <v>H</v>
      </c>
      <c r="D134" t="str">
        <f t="shared" si="0"/>
        <v>N/A</v>
      </c>
      <c r="E134" cm="1">
        <f t="array" ref="E134">SUMPRODUCT((--EXACT(S134,'Rent Roll'!$G$24:$G$125)))</f>
        <v>0</v>
      </c>
      <c r="F134">
        <f t="shared" si="1"/>
        <v>0</v>
      </c>
      <c r="G134" t="str">
        <f>IF('Rent Roll'!EL$17="# Bedrooms","N/A",'Rent Roll'!EL$17)</f>
        <v>N/A</v>
      </c>
      <c r="H134" t="str">
        <f>IF('Rent Roll'!EL$18="# Baths","N/A",'Rent Roll'!EL$18)</f>
        <v>N/A</v>
      </c>
      <c r="I134" t="str">
        <f>IF('Rent Roll'!$EL$22="Square Footage","N/A",'Rent Roll'!$EL$22)</f>
        <v>N/A</v>
      </c>
      <c r="J134" t="str">
        <f>IF('Rent Roll'!EL$21="Market Rent","N/A",'Rent Roll'!EL$21)</f>
        <v>N/A</v>
      </c>
      <c r="K134">
        <f t="shared" si="2"/>
        <v>0</v>
      </c>
      <c r="L134">
        <f>'Rent Roll'!EL$126</f>
        <v>0</v>
      </c>
      <c r="M134">
        <f>'Rent Roll'!EL$130</f>
        <v>0</v>
      </c>
      <c r="N134" t="str">
        <f>IF('Rent Roll'!EL$126=0,"N/A",('Rent Roll'!EL$126-SUMIF('Rent Roll'!$G$24:$G$125,'Rent Roll'!EL$20,'Rent Roll'!$K$24:$K$125))/($E134-$Q134))</f>
        <v>N/A</v>
      </c>
      <c r="O134">
        <f t="shared" si="3"/>
        <v>0</v>
      </c>
      <c r="P134">
        <f t="shared" si="4"/>
        <v>0</v>
      </c>
      <c r="Q134">
        <f>'Rent Roll'!EL$128</f>
        <v>0</v>
      </c>
      <c r="R134">
        <f t="shared" si="5"/>
        <v>0</v>
      </c>
      <c r="S134" t="str">
        <f>'Rent Roll'!$EL$20</f>
        <v>EV</v>
      </c>
    </row>
    <row r="135" ht="14.25" customHeight="1" hidden="1">
      <c r="A135" t="s">
        <v>2643</v>
      </c>
      <c r="B135" t="str">
        <f t="shared" si="6"/>
        <v>H</v>
      </c>
      <c r="D135" t="str">
        <f t="shared" si="0"/>
        <v>N/A</v>
      </c>
      <c r="E135" cm="1">
        <f t="array" ref="E135">SUMPRODUCT((--EXACT(S135,'Rent Roll'!$G$24:$G$125)))</f>
        <v>0</v>
      </c>
      <c r="F135">
        <f t="shared" si="1"/>
        <v>0</v>
      </c>
      <c r="G135" t="str">
        <f>IF('Rent Roll'!EM$17="# Bedrooms","N/A",'Rent Roll'!EM$17)</f>
        <v>N/A</v>
      </c>
      <c r="H135" t="str">
        <f>IF('Rent Roll'!EM$18="# Baths","N/A",'Rent Roll'!EM$18)</f>
        <v>N/A</v>
      </c>
      <c r="I135" t="str">
        <f>IF('Rent Roll'!$EM$22="Square Footage","N/A",'Rent Roll'!$EM$22)</f>
        <v>N/A</v>
      </c>
      <c r="J135" t="str">
        <f>IF('Rent Roll'!EM$21="Market Rent","N/A",'Rent Roll'!EM$21)</f>
        <v>N/A</v>
      </c>
      <c r="K135">
        <f t="shared" si="2"/>
        <v>0</v>
      </c>
      <c r="L135">
        <f>'Rent Roll'!EM$126</f>
        <v>0</v>
      </c>
      <c r="M135">
        <f>'Rent Roll'!EM$130</f>
        <v>0</v>
      </c>
      <c r="N135" t="str">
        <f>IF('Rent Roll'!EM$126=0,"N/A",('Rent Roll'!EM$126-SUMIF('Rent Roll'!$G$24:$G$125,'Rent Roll'!EM$20,'Rent Roll'!$K$24:$K$125))/($E135-$Q135))</f>
        <v>N/A</v>
      </c>
      <c r="O135">
        <f t="shared" si="3"/>
        <v>0</v>
      </c>
      <c r="P135">
        <f t="shared" si="4"/>
        <v>0</v>
      </c>
      <c r="Q135">
        <f>'Rent Roll'!EM$128</f>
        <v>0</v>
      </c>
      <c r="R135">
        <f t="shared" si="5"/>
        <v>0</v>
      </c>
      <c r="S135" t="str">
        <f>'Rent Roll'!$EM$20</f>
        <v>EW</v>
      </c>
    </row>
    <row r="136" ht="14.25" customHeight="1" hidden="1">
      <c r="A136" t="s">
        <v>2644</v>
      </c>
      <c r="B136" t="str">
        <f t="shared" si="6"/>
        <v>H</v>
      </c>
      <c r="D136" t="str">
        <f t="shared" si="0"/>
        <v>N/A</v>
      </c>
      <c r="E136" cm="1">
        <f t="array" ref="E136">SUMPRODUCT((--EXACT(S136,'Rent Roll'!$G$24:$G$125)))</f>
        <v>0</v>
      </c>
      <c r="F136">
        <f t="shared" si="1"/>
        <v>0</v>
      </c>
      <c r="G136" t="str">
        <f>IF('Rent Roll'!EN$17="# Bedrooms","N/A",'Rent Roll'!EN$17)</f>
        <v>N/A</v>
      </c>
      <c r="H136" t="str">
        <f>IF('Rent Roll'!EN$18="# Baths","N/A",'Rent Roll'!EN$18)</f>
        <v>N/A</v>
      </c>
      <c r="I136" t="str">
        <f>IF('Rent Roll'!$EN$22="Square Footage","N/A",'Rent Roll'!$EN$22)</f>
        <v>N/A</v>
      </c>
      <c r="J136" t="str">
        <f>IF('Rent Roll'!EN$21="Market Rent","N/A",'Rent Roll'!EN$21)</f>
        <v>N/A</v>
      </c>
      <c r="K136">
        <f t="shared" si="2"/>
        <v>0</v>
      </c>
      <c r="L136">
        <f>'Rent Roll'!EN$126</f>
        <v>0</v>
      </c>
      <c r="M136">
        <f>'Rent Roll'!EN$130</f>
        <v>0</v>
      </c>
      <c r="N136" t="str">
        <f>IF('Rent Roll'!EN$126=0,"N/A",('Rent Roll'!EN$126-SUMIF('Rent Roll'!$G$24:$G$125,'Rent Roll'!EN$20,'Rent Roll'!$K$24:$K$125))/($E136-$Q136))</f>
        <v>N/A</v>
      </c>
      <c r="O136">
        <f t="shared" si="3"/>
        <v>0</v>
      </c>
      <c r="P136">
        <f t="shared" si="4"/>
        <v>0</v>
      </c>
      <c r="Q136">
        <f>'Rent Roll'!EN$128</f>
        <v>0</v>
      </c>
      <c r="R136">
        <f t="shared" si="5"/>
        <v>0</v>
      </c>
      <c r="S136" t="str">
        <f>'Rent Roll'!$EN$20</f>
        <v>EX</v>
      </c>
    </row>
    <row r="137" ht="14.25" customHeight="1" hidden="1">
      <c r="A137" t="s">
        <v>2645</v>
      </c>
      <c r="B137" t="str">
        <f t="shared" si="6"/>
        <v>H</v>
      </c>
      <c r="D137" t="str">
        <f t="shared" si="0"/>
        <v>N/A</v>
      </c>
      <c r="E137" cm="1">
        <f t="array" ref="E137">SUMPRODUCT((--EXACT(S137,'Rent Roll'!$G$24:$G$125)))</f>
        <v>0</v>
      </c>
      <c r="F137">
        <f t="shared" si="1"/>
        <v>0</v>
      </c>
      <c r="G137" t="str">
        <f>IF('Rent Roll'!EO$17="# Bedrooms","N/A",'Rent Roll'!EO$17)</f>
        <v>N/A</v>
      </c>
      <c r="H137" t="str">
        <f>IF('Rent Roll'!EO$18="# Baths","N/A",'Rent Roll'!EO$18)</f>
        <v>N/A</v>
      </c>
      <c r="I137" t="str">
        <f>IF('Rent Roll'!$EO$22="Square Footage","N/A",'Rent Roll'!$EO$22)</f>
        <v>N/A</v>
      </c>
      <c r="J137" t="str">
        <f>IF('Rent Roll'!EO$21="Market Rent","N/A",'Rent Roll'!EO$21)</f>
        <v>N/A</v>
      </c>
      <c r="K137">
        <f t="shared" si="2"/>
        <v>0</v>
      </c>
      <c r="L137">
        <f>'Rent Roll'!EO$126</f>
        <v>0</v>
      </c>
      <c r="M137">
        <f>'Rent Roll'!EO$130</f>
        <v>0</v>
      </c>
      <c r="N137" t="str">
        <f>IF('Rent Roll'!EO$126=0,"N/A",('Rent Roll'!EO$126-SUMIF('Rent Roll'!$G$24:$G$125,'Rent Roll'!EO$20,'Rent Roll'!$K$24:$K$125))/($E137-$Q137))</f>
        <v>N/A</v>
      </c>
      <c r="O137">
        <f t="shared" si="3"/>
        <v>0</v>
      </c>
      <c r="P137">
        <f t="shared" si="4"/>
        <v>0</v>
      </c>
      <c r="Q137">
        <f>'Rent Roll'!EO$128</f>
        <v>0</v>
      </c>
      <c r="R137">
        <f t="shared" si="5"/>
        <v>0</v>
      </c>
      <c r="S137" t="str">
        <f>'Rent Roll'!$EO$20</f>
        <v>EY</v>
      </c>
    </row>
    <row r="138" ht="14.25" customHeight="1" hidden="1">
      <c r="A138" t="s">
        <v>2646</v>
      </c>
      <c r="B138" t="str">
        <f t="shared" si="6"/>
        <v>H</v>
      </c>
      <c r="D138" t="str">
        <f t="shared" si="0"/>
        <v>N/A</v>
      </c>
      <c r="E138" cm="1">
        <f t="array" ref="E138">SUMPRODUCT((--EXACT(S138,'Rent Roll'!$G$24:$G$125)))</f>
        <v>0</v>
      </c>
      <c r="F138">
        <f t="shared" si="1"/>
        <v>0</v>
      </c>
      <c r="G138" t="str">
        <f>IF('Rent Roll'!EP$17="# Bedrooms","N/A",'Rent Roll'!EP$17)</f>
        <v>N/A</v>
      </c>
      <c r="H138" t="str">
        <f>IF('Rent Roll'!EP$18="# Baths","N/A",'Rent Roll'!EP$18)</f>
        <v>N/A</v>
      </c>
      <c r="I138" t="str">
        <f>IF('Rent Roll'!$EP$22="Square Footage","N/A",'Rent Roll'!$EP$22)</f>
        <v>N/A</v>
      </c>
      <c r="J138" t="str">
        <f>IF('Rent Roll'!EP$21="Market Rent","N/A",'Rent Roll'!EP$21)</f>
        <v>N/A</v>
      </c>
      <c r="K138">
        <f t="shared" si="2"/>
        <v>0</v>
      </c>
      <c r="L138">
        <f>'Rent Roll'!EP$126</f>
        <v>0</v>
      </c>
      <c r="M138">
        <f>'Rent Roll'!EP$130</f>
        <v>0</v>
      </c>
      <c r="N138" t="str">
        <f>IF('Rent Roll'!EP$126=0,"N/A",('Rent Roll'!EP$126-SUMIF('Rent Roll'!$G$24:$G$125,'Rent Roll'!EP$20,'Rent Roll'!$K$24:$K$125))/($E138-$Q138))</f>
        <v>N/A</v>
      </c>
      <c r="O138">
        <f t="shared" si="3"/>
        <v>0</v>
      </c>
      <c r="P138">
        <f t="shared" si="4"/>
        <v>0</v>
      </c>
      <c r="Q138">
        <f>'Rent Roll'!EP$128</f>
        <v>0</v>
      </c>
      <c r="R138">
        <f t="shared" si="5"/>
        <v>0</v>
      </c>
      <c r="S138" t="str">
        <f>'Rent Roll'!$EP$20</f>
        <v>EZ</v>
      </c>
    </row>
    <row r="139" ht="14.25" customHeight="1" hidden="1">
      <c r="A139" t="s">
        <v>2647</v>
      </c>
      <c r="B139" t="str">
        <f t="shared" si="6"/>
        <v>H</v>
      </c>
      <c r="D139" t="str">
        <f t="shared" si="0"/>
        <v>N/A</v>
      </c>
      <c r="E139" cm="1">
        <f t="array" ref="E139">SUMPRODUCT((--EXACT(S139,'Rent Roll'!$G$24:$G$125)))</f>
        <v>0</v>
      </c>
      <c r="F139">
        <f t="shared" si="1"/>
        <v>0</v>
      </c>
      <c r="G139" t="str">
        <f>IF('Rent Roll'!EQ$17="# Bedrooms","N/A",'Rent Roll'!EQ$17)</f>
        <v>N/A</v>
      </c>
      <c r="H139" t="str">
        <f>IF('Rent Roll'!EQ$18="# Baths","N/A",'Rent Roll'!EQ$18)</f>
        <v>N/A</v>
      </c>
      <c r="I139" t="str">
        <f>IF('Rent Roll'!$EQ$22="Square Footage","N/A",'Rent Roll'!$EQ$22)</f>
        <v>N/A</v>
      </c>
      <c r="J139" t="str">
        <f>IF('Rent Roll'!EQ$21="Market Rent","N/A",'Rent Roll'!EQ$21)</f>
        <v>N/A</v>
      </c>
      <c r="K139">
        <f t="shared" si="2"/>
        <v>0</v>
      </c>
      <c r="L139">
        <f>'Rent Roll'!EQ$126</f>
        <v>0</v>
      </c>
      <c r="M139">
        <f>'Rent Roll'!EQ$130</f>
        <v>0</v>
      </c>
      <c r="N139" t="str">
        <f>IF('Rent Roll'!EQ$126=0,"N/A",('Rent Roll'!EQ$126-SUMIF('Rent Roll'!$G$24:$G$125,'Rent Roll'!EQ$20,'Rent Roll'!$K$24:$K$125))/($E139-$Q139))</f>
        <v>N/A</v>
      </c>
      <c r="O139">
        <f t="shared" si="3"/>
        <v>0</v>
      </c>
      <c r="P139">
        <f t="shared" si="4"/>
        <v>0</v>
      </c>
      <c r="Q139">
        <f>'Rent Roll'!EQ$128</f>
        <v>0</v>
      </c>
      <c r="R139">
        <f t="shared" si="5"/>
        <v>0</v>
      </c>
      <c r="S139" t="str">
        <f>'Rent Roll'!$EQ$20</f>
        <v>FA</v>
      </c>
    </row>
    <row r="140" ht="14.25" customHeight="1" hidden="1">
      <c r="A140" t="s">
        <v>2648</v>
      </c>
      <c r="B140" t="str">
        <f t="shared" si="6"/>
        <v>H</v>
      </c>
      <c r="D140" t="str">
        <f t="shared" si="0"/>
        <v>N/A</v>
      </c>
      <c r="E140" cm="1">
        <f t="array" ref="E140">SUMPRODUCT((--EXACT(S140,'Rent Roll'!$G$24:$G$125)))</f>
        <v>0</v>
      </c>
      <c r="F140">
        <f t="shared" si="1"/>
        <v>0</v>
      </c>
      <c r="G140" t="str">
        <f>IF('Rent Roll'!ER$17="# Bedrooms","N/A",'Rent Roll'!ER$17)</f>
        <v>N/A</v>
      </c>
      <c r="H140" t="str">
        <f>IF('Rent Roll'!ER$18="# Baths","N/A",'Rent Roll'!ER$18)</f>
        <v>N/A</v>
      </c>
      <c r="I140" t="str">
        <f>IF('Rent Roll'!$ER$22="Square Footage","N/A",'Rent Roll'!$ER$22)</f>
        <v>N/A</v>
      </c>
      <c r="J140" t="str">
        <f>IF('Rent Roll'!ER$21="Market Rent","N/A",'Rent Roll'!ER$21)</f>
        <v>N/A</v>
      </c>
      <c r="K140">
        <f t="shared" si="2"/>
        <v>0</v>
      </c>
      <c r="L140">
        <f>'Rent Roll'!ER$126</f>
        <v>0</v>
      </c>
      <c r="M140">
        <f>'Rent Roll'!ER$130</f>
        <v>0</v>
      </c>
      <c r="N140" t="str">
        <f>IF('Rent Roll'!ER$126=0,"N/A",('Rent Roll'!ER$126-SUMIF('Rent Roll'!$G$24:$G$125,'Rent Roll'!ER$20,'Rent Roll'!$K$24:$K$125))/($E140-$Q140))</f>
        <v>N/A</v>
      </c>
      <c r="O140">
        <f t="shared" si="3"/>
        <v>0</v>
      </c>
      <c r="P140">
        <f t="shared" si="4"/>
        <v>0</v>
      </c>
      <c r="Q140">
        <f>'Rent Roll'!ER$128</f>
        <v>0</v>
      </c>
      <c r="R140">
        <f t="shared" si="5"/>
        <v>0</v>
      </c>
      <c r="S140" t="str">
        <f>'Rent Roll'!$ER$20</f>
        <v>FB</v>
      </c>
    </row>
    <row r="141" ht="14.25" customHeight="1" hidden="1">
      <c r="A141" t="s">
        <v>2649</v>
      </c>
      <c r="B141" t="str">
        <f t="shared" si="6"/>
        <v>H</v>
      </c>
      <c r="D141" t="str">
        <f t="shared" si="0"/>
        <v>N/A</v>
      </c>
      <c r="E141" cm="1">
        <f t="array" ref="E141">SUMPRODUCT((--EXACT(S141,'Rent Roll'!$G$24:$G$125)))</f>
        <v>0</v>
      </c>
      <c r="F141">
        <f t="shared" si="1"/>
        <v>0</v>
      </c>
      <c r="G141" t="str">
        <f>IF('Rent Roll'!ES$17="# Bedrooms","N/A",'Rent Roll'!ES$17)</f>
        <v>N/A</v>
      </c>
      <c r="H141" t="str">
        <f>IF('Rent Roll'!ES$18="# Baths","N/A",'Rent Roll'!ES$18)</f>
        <v>N/A</v>
      </c>
      <c r="I141" t="str">
        <f>IF('Rent Roll'!$ES$22="Square Footage","N/A",'Rent Roll'!$ES$22)</f>
        <v>N/A</v>
      </c>
      <c r="J141" t="str">
        <f>IF('Rent Roll'!ES$21="Market Rent","N/A",'Rent Roll'!ES$21)</f>
        <v>N/A</v>
      </c>
      <c r="K141">
        <f t="shared" si="2"/>
        <v>0</v>
      </c>
      <c r="L141">
        <f>'Rent Roll'!ES$126</f>
        <v>0</v>
      </c>
      <c r="M141">
        <f>'Rent Roll'!ES$130</f>
        <v>0</v>
      </c>
      <c r="N141" t="str">
        <f>IF('Rent Roll'!ES$126=0,"N/A",('Rent Roll'!ES$126-SUMIF('Rent Roll'!$G$24:$G$125,'Rent Roll'!ES$20,'Rent Roll'!$K$24:$K$125))/($E141-$Q141))</f>
        <v>N/A</v>
      </c>
      <c r="O141">
        <f t="shared" si="3"/>
        <v>0</v>
      </c>
      <c r="P141">
        <f t="shared" si="4"/>
        <v>0</v>
      </c>
      <c r="Q141">
        <f>'Rent Roll'!ES$128</f>
        <v>0</v>
      </c>
      <c r="R141">
        <f t="shared" si="5"/>
        <v>0</v>
      </c>
      <c r="S141" t="str">
        <f>'Rent Roll'!$ES$20</f>
        <v>FC</v>
      </c>
    </row>
    <row r="142" ht="14.25" customHeight="1" hidden="1">
      <c r="A142" t="s">
        <v>2650</v>
      </c>
      <c r="B142" t="str">
        <f t="shared" si="6"/>
        <v>H</v>
      </c>
      <c r="D142" t="str">
        <f t="shared" si="0"/>
        <v>N/A</v>
      </c>
      <c r="E142" cm="1">
        <f t="array" ref="E142">SUMPRODUCT((--EXACT(S142,'Rent Roll'!$G$24:$G$125)))</f>
        <v>0</v>
      </c>
      <c r="F142">
        <f t="shared" si="1"/>
        <v>0</v>
      </c>
      <c r="G142" t="str">
        <f>IF('Rent Roll'!ET$17="# Bedrooms","N/A",'Rent Roll'!ET$17)</f>
        <v>N/A</v>
      </c>
      <c r="H142" t="str">
        <f>IF('Rent Roll'!ET$18="# Baths","N/A",'Rent Roll'!ET$18)</f>
        <v>N/A</v>
      </c>
      <c r="I142" t="str">
        <f>IF('Rent Roll'!$ET$22="Square Footage","N/A",'Rent Roll'!$ET$22)</f>
        <v>N/A</v>
      </c>
      <c r="J142" t="str">
        <f>IF('Rent Roll'!ET$21="Market Rent","N/A",'Rent Roll'!ET$21)</f>
        <v>N/A</v>
      </c>
      <c r="K142">
        <f t="shared" si="2"/>
        <v>0</v>
      </c>
      <c r="L142">
        <f>'Rent Roll'!ET$126</f>
        <v>0</v>
      </c>
      <c r="M142">
        <f>'Rent Roll'!ET$130</f>
        <v>0</v>
      </c>
      <c r="N142" t="str">
        <f>IF('Rent Roll'!ET$126=0,"N/A",('Rent Roll'!ET$126-SUMIF('Rent Roll'!$G$24:$G$125,'Rent Roll'!ET$20,'Rent Roll'!$K$24:$K$125))/($E142-$Q142))</f>
        <v>N/A</v>
      </c>
      <c r="O142">
        <f t="shared" si="3"/>
        <v>0</v>
      </c>
      <c r="P142">
        <f t="shared" si="4"/>
        <v>0</v>
      </c>
      <c r="Q142">
        <f>'Rent Roll'!ET$128</f>
        <v>0</v>
      </c>
      <c r="R142">
        <f t="shared" si="5"/>
        <v>0</v>
      </c>
      <c r="S142" t="str">
        <f>'Rent Roll'!$ET$20</f>
        <v>FD</v>
      </c>
    </row>
    <row r="143" ht="14.25" customHeight="1" hidden="1">
      <c r="A143" t="s">
        <v>2651</v>
      </c>
      <c r="B143" t="str">
        <f t="shared" si="6"/>
        <v>H</v>
      </c>
      <c r="D143" t="str">
        <f t="shared" si="0"/>
        <v>N/A</v>
      </c>
      <c r="E143" cm="1">
        <f t="array" ref="E143">SUMPRODUCT((--EXACT(S143,'Rent Roll'!$G$24:$G$125)))</f>
        <v>0</v>
      </c>
      <c r="F143">
        <f t="shared" si="1"/>
        <v>0</v>
      </c>
      <c r="G143" t="str">
        <f>IF('Rent Roll'!EU$17="# Bedrooms","N/A",'Rent Roll'!EU$17)</f>
        <v>N/A</v>
      </c>
      <c r="H143" t="str">
        <f>IF('Rent Roll'!EU$18="# Baths","N/A",'Rent Roll'!EU$18)</f>
        <v>N/A</v>
      </c>
      <c r="I143" t="str">
        <f>IF('Rent Roll'!$EU$22="Square Footage","N/A",'Rent Roll'!$EU$22)</f>
        <v>N/A</v>
      </c>
      <c r="J143" t="str">
        <f>IF('Rent Roll'!EU$21="Market Rent","N/A",'Rent Roll'!EU$21)</f>
        <v>N/A</v>
      </c>
      <c r="K143">
        <f t="shared" si="2"/>
        <v>0</v>
      </c>
      <c r="L143">
        <f>'Rent Roll'!EU$126</f>
        <v>0</v>
      </c>
      <c r="M143">
        <f>'Rent Roll'!EU$130</f>
        <v>0</v>
      </c>
      <c r="N143" t="str">
        <f>IF('Rent Roll'!EU$126=0,"N/A",('Rent Roll'!EU$126-SUMIF('Rent Roll'!$G$24:$G$125,'Rent Roll'!EU$20,'Rent Roll'!$K$24:$K$125))/($E143-$Q143))</f>
        <v>N/A</v>
      </c>
      <c r="O143">
        <f t="shared" si="3"/>
        <v>0</v>
      </c>
      <c r="P143">
        <f t="shared" si="4"/>
        <v>0</v>
      </c>
      <c r="Q143">
        <f>'Rent Roll'!EU$128</f>
        <v>0</v>
      </c>
      <c r="R143">
        <f t="shared" si="5"/>
        <v>0</v>
      </c>
      <c r="S143" t="str">
        <f>'Rent Roll'!$EU$20</f>
        <v>FE</v>
      </c>
    </row>
    <row r="144" ht="14.25" customHeight="1" hidden="1">
      <c r="A144" t="s">
        <v>2652</v>
      </c>
      <c r="B144" t="str">
        <f t="shared" si="6"/>
        <v>H</v>
      </c>
      <c r="D144" t="str">
        <f t="shared" si="0"/>
        <v>N/A</v>
      </c>
      <c r="E144" cm="1">
        <f t="array" ref="E144">SUMPRODUCT((--EXACT(S144,'Rent Roll'!$G$24:$G$125)))</f>
        <v>0</v>
      </c>
      <c r="F144">
        <f t="shared" si="1"/>
        <v>0</v>
      </c>
      <c r="G144" t="str">
        <f>IF('Rent Roll'!EV$17="# Bedrooms","N/A",'Rent Roll'!EV$17)</f>
        <v>N/A</v>
      </c>
      <c r="H144" t="str">
        <f>IF('Rent Roll'!EV$18="# Baths","N/A",'Rent Roll'!EV$18)</f>
        <v>N/A</v>
      </c>
      <c r="I144" t="str">
        <f>IF('Rent Roll'!$EV$22="Square Footage","N/A",'Rent Roll'!$EV$22)</f>
        <v>N/A</v>
      </c>
      <c r="J144" t="str">
        <f>IF('Rent Roll'!EV$21="Market Rent","N/A",'Rent Roll'!EV$21)</f>
        <v>N/A</v>
      </c>
      <c r="K144">
        <f t="shared" si="2"/>
        <v>0</v>
      </c>
      <c r="L144">
        <f>'Rent Roll'!EV$126</f>
        <v>0</v>
      </c>
      <c r="M144">
        <f>'Rent Roll'!EV$130</f>
        <v>0</v>
      </c>
      <c r="N144" t="str">
        <f>IF('Rent Roll'!EV$126=0,"N/A",('Rent Roll'!EV$126-SUMIF('Rent Roll'!$G$24:$G$125,'Rent Roll'!EV$20,'Rent Roll'!$K$24:$K$125))/($E144-$Q144))</f>
        <v>N/A</v>
      </c>
      <c r="O144">
        <f t="shared" si="3"/>
        <v>0</v>
      </c>
      <c r="P144">
        <f t="shared" si="4"/>
        <v>0</v>
      </c>
      <c r="Q144">
        <f>'Rent Roll'!EV$128</f>
        <v>0</v>
      </c>
      <c r="R144">
        <f t="shared" si="5"/>
        <v>0</v>
      </c>
      <c r="S144" t="str">
        <f>'Rent Roll'!$EV$20</f>
        <v>FF</v>
      </c>
    </row>
    <row r="145" ht="14.25" customHeight="1" hidden="1">
      <c r="A145" t="s">
        <v>2653</v>
      </c>
      <c r="B145" t="str">
        <f t="shared" si="6"/>
        <v>H</v>
      </c>
      <c r="D145" t="str">
        <f t="shared" si="0"/>
        <v>N/A</v>
      </c>
      <c r="E145" cm="1">
        <f t="array" ref="E145">SUMPRODUCT((--EXACT(S145,'Rent Roll'!$G$24:$G$125)))</f>
        <v>0</v>
      </c>
      <c r="F145">
        <f t="shared" si="1"/>
        <v>0</v>
      </c>
      <c r="G145" t="str">
        <f>IF('Rent Roll'!EW$17="# Bedrooms","N/A",'Rent Roll'!EW$17)</f>
        <v>N/A</v>
      </c>
      <c r="H145" t="str">
        <f>IF('Rent Roll'!EW$18="# Baths","N/A",'Rent Roll'!EW$18)</f>
        <v>N/A</v>
      </c>
      <c r="I145" t="str">
        <f>IF('Rent Roll'!$EW$22="Square Footage","N/A",'Rent Roll'!$EW$22)</f>
        <v>N/A</v>
      </c>
      <c r="J145" t="str">
        <f>IF('Rent Roll'!EW$21="Market Rent","N/A",'Rent Roll'!EW$21)</f>
        <v>N/A</v>
      </c>
      <c r="K145">
        <f t="shared" si="2"/>
        <v>0</v>
      </c>
      <c r="L145">
        <f>'Rent Roll'!EW$126</f>
        <v>0</v>
      </c>
      <c r="M145">
        <f>'Rent Roll'!EW$130</f>
        <v>0</v>
      </c>
      <c r="N145" t="str">
        <f>IF('Rent Roll'!EW$126=0,"N/A",('Rent Roll'!EW$126-SUMIF('Rent Roll'!$G$24:$G$125,'Rent Roll'!EW$20,'Rent Roll'!$K$24:$K$125))/($E145-$Q145))</f>
        <v>N/A</v>
      </c>
      <c r="O145">
        <f t="shared" si="3"/>
        <v>0</v>
      </c>
      <c r="P145">
        <f t="shared" si="4"/>
        <v>0</v>
      </c>
      <c r="Q145">
        <f>'Rent Roll'!EW$128</f>
        <v>0</v>
      </c>
      <c r="R145">
        <f t="shared" si="5"/>
        <v>0</v>
      </c>
      <c r="S145" t="str">
        <f>'Rent Roll'!$EW$20</f>
        <v>FG</v>
      </c>
    </row>
    <row r="146" ht="14.25" customHeight="1" hidden="1">
      <c r="A146" t="s">
        <v>2654</v>
      </c>
      <c r="B146" t="str">
        <f t="shared" si="6"/>
        <v>H</v>
      </c>
      <c r="D146" t="str">
        <f t="shared" si="0"/>
        <v>N/A</v>
      </c>
      <c r="E146" cm="1">
        <f t="array" ref="E146">SUMPRODUCT((--EXACT(S146,'Rent Roll'!$G$24:$G$125)))</f>
        <v>0</v>
      </c>
      <c r="F146">
        <f t="shared" si="1"/>
        <v>0</v>
      </c>
      <c r="G146" t="str">
        <f>IF('Rent Roll'!EX$17="# Bedrooms","N/A",'Rent Roll'!EX$17)</f>
        <v>N/A</v>
      </c>
      <c r="H146" t="str">
        <f>IF('Rent Roll'!EX$18="# Baths","N/A",'Rent Roll'!EX$18)</f>
        <v>N/A</v>
      </c>
      <c r="I146" t="str">
        <f>IF('Rent Roll'!$EX$22="Square Footage","N/A",'Rent Roll'!$EX$22)</f>
        <v>N/A</v>
      </c>
      <c r="J146" t="str">
        <f>IF('Rent Roll'!EX$21="Market Rent","N/A",'Rent Roll'!EX$21)</f>
        <v>N/A</v>
      </c>
      <c r="K146">
        <f t="shared" si="2"/>
        <v>0</v>
      </c>
      <c r="L146">
        <f>'Rent Roll'!EX$126</f>
        <v>0</v>
      </c>
      <c r="M146">
        <f>'Rent Roll'!EX$130</f>
        <v>0</v>
      </c>
      <c r="N146" t="str">
        <f>IF('Rent Roll'!EX$126=0,"N/A",('Rent Roll'!EX$126-SUMIF('Rent Roll'!$G$24:$G$125,'Rent Roll'!EX$20,'Rent Roll'!$K$24:$K$125))/($E146-$Q146))</f>
        <v>N/A</v>
      </c>
      <c r="O146">
        <f t="shared" si="3"/>
        <v>0</v>
      </c>
      <c r="P146">
        <f t="shared" si="4"/>
        <v>0</v>
      </c>
      <c r="Q146">
        <f>'Rent Roll'!EX$128</f>
        <v>0</v>
      </c>
      <c r="R146">
        <f t="shared" si="5"/>
        <v>0</v>
      </c>
      <c r="S146" t="str">
        <f>'Rent Roll'!$EX$20</f>
        <v>FH</v>
      </c>
    </row>
    <row r="147" ht="14.25" customHeight="1" hidden="1">
      <c r="A147" t="s">
        <v>2655</v>
      </c>
      <c r="B147" t="str">
        <f t="shared" si="6"/>
        <v>H</v>
      </c>
      <c r="D147" t="str">
        <f t="shared" si="0"/>
        <v>N/A</v>
      </c>
      <c r="E147" cm="1">
        <f t="array" ref="E147">SUMPRODUCT((--EXACT(S147,'Rent Roll'!$G$24:$G$125)))</f>
        <v>0</v>
      </c>
      <c r="F147">
        <f t="shared" si="1"/>
        <v>0</v>
      </c>
      <c r="G147" t="str">
        <f>IF('Rent Roll'!EY$17="# Bedrooms","N/A",'Rent Roll'!EY$17)</f>
        <v>N/A</v>
      </c>
      <c r="H147" t="str">
        <f>IF('Rent Roll'!EY$18="# Baths","N/A",'Rent Roll'!EY$18)</f>
        <v>N/A</v>
      </c>
      <c r="I147" t="str">
        <f>IF('Rent Roll'!$EY$22="Square Footage","N/A",'Rent Roll'!$EY$22)</f>
        <v>N/A</v>
      </c>
      <c r="J147" t="str">
        <f>IF('Rent Roll'!EY$21="Market Rent","N/A",'Rent Roll'!EY$21)</f>
        <v>N/A</v>
      </c>
      <c r="K147">
        <f t="shared" si="2"/>
        <v>0</v>
      </c>
      <c r="L147">
        <f>'Rent Roll'!EY$126</f>
        <v>0</v>
      </c>
      <c r="M147">
        <f>'Rent Roll'!EY$130</f>
        <v>0</v>
      </c>
      <c r="N147" t="str">
        <f>IF('Rent Roll'!EY$126=0,"N/A",('Rent Roll'!EY$126-SUMIF('Rent Roll'!$G$24:$G$125,'Rent Roll'!EY$20,'Rent Roll'!$K$24:$K$125))/($E147-$Q147))</f>
        <v>N/A</v>
      </c>
      <c r="O147">
        <f t="shared" si="3"/>
        <v>0</v>
      </c>
      <c r="P147">
        <f t="shared" si="4"/>
        <v>0</v>
      </c>
      <c r="Q147">
        <f>'Rent Roll'!EY$128</f>
        <v>0</v>
      </c>
      <c r="R147">
        <f t="shared" si="5"/>
        <v>0</v>
      </c>
      <c r="S147" t="str">
        <f>'Rent Roll'!$EY$20</f>
        <v>FI</v>
      </c>
    </row>
    <row r="148" ht="15" customHeight="1" hidden="1">
      <c r="A148" t="s">
        <v>2656</v>
      </c>
      <c r="B148" t="str">
        <f t="shared" si="6"/>
        <v>H</v>
      </c>
      <c r="D148" t="str">
        <f t="shared" si="0"/>
        <v>N/A</v>
      </c>
      <c r="E148" cm="1">
        <f t="array" ref="E148">SUMPRODUCT((--EXACT(S148,'Rent Roll'!$G$24:$G$125)))</f>
        <v>0</v>
      </c>
      <c r="F148">
        <f t="shared" si="1"/>
        <v>0</v>
      </c>
      <c r="G148" t="str">
        <f>IF('Rent Roll'!EZ$17="# Bedrooms","N/A",'Rent Roll'!EZ$17)</f>
        <v>N/A</v>
      </c>
      <c r="H148" t="str">
        <f>IF('Rent Roll'!EZ$18="# Baths","N/A",'Rent Roll'!EZ$18)</f>
        <v>N/A</v>
      </c>
      <c r="I148" t="str">
        <f>IF('Rent Roll'!$EZ$22="Square Footage","N/A",'Rent Roll'!$EZ$22)</f>
        <v>N/A</v>
      </c>
      <c r="J148" t="str">
        <f>IF('Rent Roll'!EZ$21="Market Rent","N/A",'Rent Roll'!EZ$21)</f>
        <v>N/A</v>
      </c>
      <c r="K148">
        <f t="shared" si="2"/>
        <v>0</v>
      </c>
      <c r="L148">
        <f>'Rent Roll'!EY$126</f>
        <v>0</v>
      </c>
      <c r="M148">
        <f>'Rent Roll'!EZ$130</f>
        <v>0</v>
      </c>
      <c r="N148" t="str">
        <f>IF('Rent Roll'!EZ$126=0,"N/A",('Rent Roll'!EZ$126-SUMIF('Rent Roll'!$G$24:$G$125,'Rent Roll'!EZ$20,'Rent Roll'!$K$24:$K$125))/($E148-$Q148))</f>
        <v>N/A</v>
      </c>
      <c r="O148">
        <f t="shared" si="3"/>
        <v>0</v>
      </c>
      <c r="P148">
        <f t="shared" si="4"/>
        <v>0</v>
      </c>
      <c r="Q148">
        <f>'Rent Roll'!EZ$128</f>
        <v>0</v>
      </c>
      <c r="R148">
        <f t="shared" si="5"/>
        <v>0</v>
      </c>
      <c r="S148" t="str">
        <f>'Rent Roll'!$EZ$20</f>
        <v>FJ</v>
      </c>
    </row>
    <row r="149" ht="15" customHeight="1">
      <c r="E149">
        <f>IF(SUM(E9:E148)=0,1,SUM(E9:E148))</f>
        <v>101</v>
      </c>
      <c r="F149">
        <f t="shared" si="7" ref="F149:Q149">SUM(F9:F148)</f>
        <v>1</v>
      </c>
      <c r="I149">
        <f>_xlfn.IFERROR(SUMPRODUCT($E9:$E148,I9:I148)/$E$149,"0")</f>
        <v>841.4950495049505</v>
      </c>
      <c r="J149">
        <f>_xlfn.IFERROR(SUMPRODUCT($E9:$E148,J9:J148)/$E$149,0)</f>
        <v>1302.9405940594058</v>
      </c>
      <c r="K149">
        <f t="shared" si="2"/>
        <v>1.548363944417644</v>
      </c>
      <c r="L149">
        <f t="shared" si="7"/>
        <v>122173</v>
      </c>
      <c r="M149">
        <f t="shared" si="8" ref="M149:N149">_xlfn.IFERROR(SUMPRODUCT($P9:$P148,M9:M148)/($P$149),0)</f>
        <v>1272.6354166666667</v>
      </c>
      <c r="N149">
        <f t="shared" si="8"/>
        <v>1272.6354166666667</v>
      </c>
      <c r="O149">
        <f>_xlfn.IFERROR('Rent Roll'!$M$135/SUMPRODUCT($E9:$E148-$Q9:$Q148,I9:I148),0)</f>
        <v>1.5283087315486614</v>
      </c>
      <c r="P149">
        <f t="shared" si="7"/>
        <v>96</v>
      </c>
      <c r="Q149">
        <f t="shared" si="7"/>
        <v>5</v>
      </c>
      <c r="R149">
        <f t="shared" si="5"/>
        <v>0.04950495049504951</v>
      </c>
    </row>
    <row r="150" ht="15" customHeight="1"/>
    <row r="151" ht="15" customHeight="1">
      <c r="H151" t="s">
        <v>3182</v>
      </c>
      <c r="I151">
        <f>SUMPRODUCT(E9:E148,I9:I148)</f>
        <v>84991</v>
      </c>
    </row>
    <row r="152" ht="6" customHeight="1"/>
    <row r="153" ht="14.25" customHeight="1">
      <c r="E153" t="s">
        <v>3183</v>
      </c>
    </row>
    <row r="154" ht="6" customHeight="1"/>
    <row r="155" ht="14.25" customHeight="1">
      <c r="J155" t="s">
        <v>3184</v>
      </c>
      <c r="K155">
        <v>0</v>
      </c>
    </row>
    <row r="156" ht="14.25" customHeight="1">
      <c r="J156" t="s">
        <v>3185</v>
      </c>
      <c r="K156">
        <f>_xlfn.IFERROR((J149-K155)/J149,0)</f>
        <v>1</v>
      </c>
      <c r="N156" t="s">
        <v>3186</v>
      </c>
      <c r="O156">
        <v>0</v>
      </c>
    </row>
    <row r="157" ht="14.25" customHeight="1">
      <c r="J157" t="s">
        <v>3187</v>
      </c>
      <c r="K157">
        <v>0</v>
      </c>
      <c r="N157" t="s">
        <v>3188</v>
      </c>
      <c r="O157">
        <v>0</v>
      </c>
    </row>
    <row r="158" ht="14.25" customHeight="1">
      <c r="J158" t="s">
        <v>3189</v>
      </c>
      <c r="K158">
        <v>0</v>
      </c>
      <c r="N158" t="s">
        <v>3190</v>
      </c>
      <c r="O158">
        <f>_xlfn.IFERROR(O157/O156,0)</f>
        <v>0</v>
      </c>
    </row>
    <row r="159" ht="14.25" customHeight="1">
      <c r="J159" t="s">
        <v>3191</v>
      </c>
      <c r="K159">
        <f>(PMT(+K158/12,360,(+K157*0.1)-K157))+(1.5%*K157/12)</f>
        <v>0</v>
      </c>
      <c r="N159" t="s">
        <v>3192</v>
      </c>
      <c r="O159">
        <v>0</v>
      </c>
    </row>
    <row r="160" ht="14.25" customHeight="1">
      <c r="J160" t="s">
        <v>3193</v>
      </c>
      <c r="K160">
        <f>_xlfn.IFERROR((K159-J149)/J149,0)</f>
        <v>-1</v>
      </c>
    </row>
    <row r="161" ht="14.25" customHeight="1"/>
    <row r="162" ht="14.25" customHeight="1"/>
    <row r="163" ht="14.25" customHeight="1">
      <c r="D163" t="s">
        <v>3194</v>
      </c>
    </row>
    <row r="164" ht="30" customHeight="1">
      <c r="E164" t="s">
        <v>223</v>
      </c>
      <c r="F164" t="s">
        <v>2743</v>
      </c>
      <c r="G164" t="s">
        <v>3195</v>
      </c>
      <c r="H164" t="s">
        <v>3196</v>
      </c>
      <c r="I164" t="s">
        <v>3197</v>
      </c>
      <c r="J164" t="s">
        <v>191</v>
      </c>
    </row>
    <row r="165" ht="14.25" customHeight="1">
      <c r="D165" t="s">
        <v>203</v>
      </c>
      <c r="E165">
        <f>SUMIF($G$9:$G$148,0,$E$9:$E$148)</f>
        <v>53</v>
      </c>
      <c r="F165">
        <f>SUMIF($G$9:$G$148,0,$P$9:$P$148)</f>
        <v>49</v>
      </c>
      <c r="G165" cm="1">
        <f t="array" ref="G165">_xlfn.IFERROR(SUMPRODUCT(--(UnitMix_number_of_bedrooms=0),UnitMix_number_of_units,UnitMix_average_actual_rent)/E165,0)</f>
        <v>1351.4490566037737</v>
      </c>
      <c r="H165">
        <f>SUMPRODUCT(--(UnitMix_number_of_bedrooms=0),UnitMix_number_of_units,UnitMix_unit_sizes)</f>
        <v>48847</v>
      </c>
      <c r="I165">
        <f t="shared" si="9" ref="I165:I173">_xlfn.IFERROR(H165/E165,0)</f>
        <v>921.6415094339623</v>
      </c>
      <c r="J165">
        <f t="shared" si="10" ref="J165:J173">_xlfn.IFERROR(E165/TotalUnits,0)</f>
        <v>0.6235294117647059</v>
      </c>
    </row>
    <row r="166" ht="14.25" customHeight="1">
      <c r="D166" t="s">
        <v>210</v>
      </c>
      <c r="E166">
        <f>SUMIF($G$9:$G$148,1,$E$9:$E$148)</f>
        <v>32</v>
      </c>
      <c r="F166">
        <f>SUMIF($G$9:$G$148,1,$P$9:$P$148)</f>
        <v>32</v>
      </c>
      <c r="G166" cm="1">
        <f t="array" ref="G166">_xlfn.IFERROR(SUMPRODUCT(--(UnitMix_number_of_bedrooms=1),UnitMix_number_of_units,UnitMix_average_actual_rent)/E166,0)</f>
        <v>1131.875</v>
      </c>
      <c r="H166">
        <f>SUMPRODUCT(--(UnitMix_number_of_bedrooms=1),UnitMix_number_of_units,UnitMix_unit_sizes)</f>
        <v>22528</v>
      </c>
      <c r="I166">
        <f t="shared" si="9"/>
        <v>704</v>
      </c>
      <c r="J166">
        <f t="shared" si="10"/>
        <v>0.3764705882352941</v>
      </c>
    </row>
    <row r="167" ht="14.25" customHeight="1">
      <c r="D167" t="s">
        <v>3198</v>
      </c>
      <c r="E167">
        <f>SUMIF($D$9:$D$148,"2/1",$E$9:$E$148)</f>
        <v>0</v>
      </c>
      <c r="F167">
        <f>SUMIF($D$9:$D$148,"2/1",$P$9:$P$148)</f>
        <v>0</v>
      </c>
      <c r="G167" cm="1">
        <f t="array" ref="G167">_xlfn.IFERROR(SUMPRODUCT(--(UnitMix_unit_types="2/1"),UnitMix_number_of_units,UnitMix_average_actual_rent)/E167,0)</f>
        <v>0</v>
      </c>
      <c r="H167">
        <f>SUMPRODUCT(--(UnitMix_unit_types="2/1"),UnitMix_number_of_units,UnitMix_unit_sizes)</f>
        <v>0</v>
      </c>
      <c r="I167">
        <f t="shared" si="9"/>
        <v>0</v>
      </c>
      <c r="J167">
        <f t="shared" si="10"/>
        <v>0</v>
      </c>
    </row>
    <row r="168" ht="14.25" customHeight="1">
      <c r="D168" t="s">
        <v>3199</v>
      </c>
      <c r="E168">
        <f>SUMIF($D$9:$D$148,"2/1.5",$E$9:$E$148)</f>
        <v>0</v>
      </c>
      <c r="F168">
        <f>SUMIF($D$9:$D$148,"2/1.5",$P$9:$P$148)</f>
        <v>0</v>
      </c>
      <c r="G168" cm="1">
        <f t="array" ref="G168">_xlfn.IFERROR(SUMPRODUCT(--(UnitMix_unit_types="2/1.5"),UnitMix_number_of_units,UnitMix_average_actual_rent)/E168,0)</f>
        <v>0</v>
      </c>
      <c r="H168">
        <f>SUMPRODUCT(--(UnitMix_unit_types="2/1.5"),UnitMix_number_of_units,UnitMix_unit_sizes)</f>
        <v>0</v>
      </c>
      <c r="I168">
        <f t="shared" si="9"/>
        <v>0</v>
      </c>
      <c r="J168">
        <f t="shared" si="10"/>
        <v>0</v>
      </c>
    </row>
    <row r="169" ht="14.25" customHeight="1">
      <c r="D169" t="s">
        <v>3200</v>
      </c>
      <c r="E169">
        <f>SUMIF($D$9:$D$148,"2/2",$E$9:$E$148)</f>
        <v>0</v>
      </c>
      <c r="F169">
        <f>SUMIF($D$9:$D$148,"2/2",$P$9:$P$148)</f>
        <v>0</v>
      </c>
      <c r="G169" cm="1">
        <f t="array" ref="G169">_xlfn.IFERROR(SUMPRODUCT(--(UnitMix_unit_types="2/2"),UnitMix_number_of_units,UnitMix_average_actual_rent)/E169,0)</f>
        <v>0</v>
      </c>
      <c r="H169">
        <f>SUMPRODUCT(--(UnitMix_unit_types="2/2"),UnitMix_number_of_units,UnitMix_unit_sizes)</f>
        <v>0</v>
      </c>
      <c r="I169">
        <f t="shared" si="9"/>
        <v>0</v>
      </c>
      <c r="J169">
        <f t="shared" si="10"/>
        <v>0</v>
      </c>
    </row>
    <row r="170" ht="14.25" customHeight="1">
      <c r="D170" t="s">
        <v>3201</v>
      </c>
      <c r="E170">
        <f>SUMIF($D$9:$D$148,"2/2.5",$E$9:$E$148)</f>
        <v>0</v>
      </c>
      <c r="F170">
        <f>SUMIF($D$9:$D$148,"2/2.5",$P$9:$P$148)</f>
        <v>0</v>
      </c>
      <c r="G170" cm="1">
        <f t="array" ref="G170">_xlfn.IFERROR(SUMPRODUCT(--(UnitMix_unit_types="2/2.5"),UnitMix_number_of_units,UnitMix_average_actual_rent)/E170,0)</f>
        <v>0</v>
      </c>
      <c r="H170">
        <f>SUMPRODUCT(--(UnitMix_unit_types="2/2.5"),UnitMix_number_of_units,UnitMix_unit_sizes)</f>
        <v>0</v>
      </c>
      <c r="I170">
        <f t="shared" si="9"/>
        <v>0</v>
      </c>
      <c r="J170">
        <f t="shared" si="10"/>
        <v>0</v>
      </c>
    </row>
    <row r="171" ht="14.25" customHeight="1">
      <c r="D171" t="s">
        <v>233</v>
      </c>
      <c r="E171">
        <f>SUMIF($G$9:$G$148,3,$E$9:$E$148)</f>
        <v>0</v>
      </c>
      <c r="F171">
        <f>SUMIF($G$9:$G$148,3,$P$9:$P$148)</f>
        <v>0</v>
      </c>
      <c r="G171" cm="1">
        <f t="array" ref="G171">_xlfn.IFERROR(SUMPRODUCT(--(UnitMix_number_of_bedrooms=3),UnitMix_number_of_units,UnitMix_average_actual_rent)/E171,0)</f>
        <v>0</v>
      </c>
      <c r="H171">
        <f>SUMPRODUCT(--(UnitMix_number_of_bedrooms=3),UnitMix_number_of_units,UnitMix_unit_sizes)</f>
        <v>0</v>
      </c>
      <c r="I171">
        <f t="shared" si="9"/>
        <v>0</v>
      </c>
      <c r="J171">
        <f t="shared" si="10"/>
        <v>0</v>
      </c>
    </row>
    <row r="172" ht="14.25" customHeight="1">
      <c r="D172" t="s">
        <v>241</v>
      </c>
      <c r="E172">
        <f>SUMIF($G$9:$G$148,"&gt;=4",$E$9:$E$148)</f>
        <v>0</v>
      </c>
      <c r="F172">
        <f>SUMIF($G$9:$G$148,"&gt;=4",$P$9:$P$148)</f>
        <v>0</v>
      </c>
      <c r="G172" cm="1">
        <f t="array" ref="G172">_xlfn.IFERROR(SUMPRODUCT(--(UnitMix_number_of_bedrooms&gt;=4),UnitMix_number_of_units,UnitMix_average_actual_rent)/E172,0)</f>
        <v>0</v>
      </c>
      <c r="H172" cm="1">
        <f t="array" ref="H172">SUMPRODUCT(--(UnitMix_number_of_bedrooms&gt;=4),UnitMix_number_of_units,UnitMix_unit_sizes)</f>
        <v>0</v>
      </c>
      <c r="I172">
        <f t="shared" si="9"/>
        <v>0</v>
      </c>
      <c r="J172">
        <f t="shared" si="10"/>
        <v>0</v>
      </c>
    </row>
    <row r="173" ht="14.25" customHeight="1">
      <c r="E173">
        <f t="shared" si="11" ref="E173:H173">SUM(E165:E172)</f>
        <v>85</v>
      </c>
      <c r="F173">
        <f t="shared" si="11"/>
        <v>81</v>
      </c>
      <c r="G173">
        <f>_xlfn.IFERROR(SUMPRODUCT(E165:E172,G165:G172)/E173,0)</f>
        <v>1268.7858823529411</v>
      </c>
      <c r="H173">
        <f t="shared" si="11"/>
        <v>71375</v>
      </c>
      <c r="I173">
        <f t="shared" si="9"/>
        <v>839.7058823529412</v>
      </c>
      <c r="J173">
        <f t="shared" si="10"/>
        <v>1</v>
      </c>
    </row>
    <row r="174" ht="14.25" customHeight="1"/>
    <row r="175" ht="14.25" customHeight="1">
      <c r="D175" t="s">
        <v>3202</v>
      </c>
    </row>
    <row r="176" ht="14.25" customHeight="1">
      <c r="B176" t="s">
        <v>3203</v>
      </c>
      <c r="D176" t="s">
        <v>2669</v>
      </c>
      <c r="E176">
        <f>SUM(E177:E376)</f>
        <v>101</v>
      </c>
      <c r="F176" t="s">
        <v>2743</v>
      </c>
      <c r="G176" t="s">
        <v>3204</v>
      </c>
      <c r="H176" t="s">
        <v>3205</v>
      </c>
      <c r="I176" t="s">
        <v>3206</v>
      </c>
    </row>
    <row r="177" ht="14.25" customHeight="1">
      <c r="B177" t="s">
        <v>2547</v>
      </c>
      <c r="D177">
        <v>0</v>
      </c>
      <c r="E177">
        <f t="shared" si="12" ref="E177:E376">_xlfn.LET(_xlpm.unit_type_beds,$D177,_xlpm.unit_type_sqft,$H177,_xlpm.beds_criteria,IF(_xlpm.unit_type_beds=4,"&gt;=","=")&amp;_xlpm.unit_type_beds,IF(LEN(_xlpm.unit_type_sqft)=0,"",_xlfn.SUMIFS(UnitMix_number_of_units,UnitMix_number_of_bedrooms,_xlpm.beds_criteria,UnitMix_unit_sizes,_xlpm.unit_type_sqft)))</f>
        <v>28</v>
      </c>
      <c r="F177">
        <f t="shared" si="13" ref="F177:F376">_xlfn.LET(_xlpm.unit_type_beds,$D177,_xlpm.unit_type_sqft,$H177,_xlpm.beds_criteria,IF(_xlpm.unit_type_beds=4,"&gt;=","=")&amp;_xlpm.unit_type_beds,_xlpm.number_of_occupied_units,$P$9:$P$148,IF(LEN(_xlpm.unit_type_sqft)=0,"",_xlfn.SUMIFS(_xlpm.number_of_occupied_units,UnitMix_number_of_bedrooms,_xlpm.beds_criteria,UnitMix_unit_sizes,_xlpm.unit_type_sqft)))</f>
        <v>28</v>
      </c>
      <c r="G177">
        <f t="shared" si="14" ref="G177:G376">_xlfn.LET(_xlpm.unit_type_beds,$D177,_xlpm.unit_type_sqft,$H177,_xlpm.beds_criteria,IF(_xlpm.unit_type_beds=4,"&gt;=","=")&amp;_xlpm.unit_type_beds,_xlpm.total_rent,$L$9:$L$148,_xlpm.occupied_units,$F177,_xlpm.has_no_occupied_units,OR(LEN(_xlpm.occupied_units)=0,_xlpm.occupied_units=0),IF(_xlpm.has_no_occupied_units,IF(LEN(_xlpm.unit_type_sqft)=0,"","vacant"),_xlfn.SUMIFS(_xlpm.total_rent,UnitMix_number_of_bedrooms,_xlpm.beds_criteria,UnitMix_unit_sizes,_xlpm.unit_type_sqft)/_xlpm.occupied_units))</f>
        <v>1205.892857142857</v>
      </c>
      <c r="H177" cm="1">
        <f t="array" ref="H177">_xlfn.IFERROR(SMALL(IF(UnitMix_number_of_bedrooms=D177,UnitMix_unit_sizes),1),"")</f>
        <v>800</v>
      </c>
      <c r="I177">
        <f t="shared" si="15" ref="I177:I376">_xlfn.LET(_xlpm.unit_type_beds,$D177,_xlpm.unit_type_sqft,$H177,_xlpm.beds_criteria,IF(_xlpm.unit_type_beds=4,"&gt;=","=")&amp;_xlpm.unit_type_beds,IF(LEN(_xlpm.unit_type_sqft)=0,"",_xlfn.COUNTIFS(UnitMix_number_of_bedrooms,_xlpm.beds_criteria,UnitMix_unit_sizes,_xlpm.unit_type_sqft)))</f>
        <v>1</v>
      </c>
    </row>
    <row r="178" ht="14.25" customHeight="1" hidden="1">
      <c r="B178" t="str">
        <f t="shared" si="16" ref="B178:B377">IF(LEN(H178)&gt;0,"S","H")</f>
        <v>S</v>
      </c>
      <c r="D178">
        <v>0</v>
      </c>
      <c r="E178">
        <f t="shared" si="12"/>
        <v>24</v>
      </c>
      <c r="F178">
        <f t="shared" si="13"/>
        <v>20</v>
      </c>
      <c r="G178">
        <f t="shared" si="14"/>
        <v>1535.2</v>
      </c>
      <c r="H178" cm="1">
        <f t="array" ref="H178">_xlfn.IFERROR(SMALL(IF(UnitMix_number_of_bedrooms=D178,UnitMix_unit_sizes),1+SUM($I$177:I177)),"")</f>
        <v>1050</v>
      </c>
      <c r="I178">
        <f t="shared" si="15"/>
        <v>1</v>
      </c>
    </row>
    <row r="179" ht="14.25" customHeight="1" hidden="1">
      <c r="B179" t="str">
        <f t="shared" si="16"/>
        <v>S</v>
      </c>
      <c r="D179">
        <v>0</v>
      </c>
      <c r="E179">
        <f t="shared" si="12"/>
        <v>1</v>
      </c>
      <c r="F179">
        <f t="shared" si="13"/>
        <v>1</v>
      </c>
      <c r="G179">
        <f t="shared" si="14"/>
        <v>1017</v>
      </c>
      <c r="H179" cm="1">
        <f t="array" ref="H179">_xlfn.IFERROR(SMALL(IF(UnitMix_number_of_bedrooms=D179,UnitMix_unit_sizes),1+SUM($I$177:I178)),"")</f>
        <v>1247</v>
      </c>
      <c r="I179">
        <f t="shared" si="15"/>
        <v>1</v>
      </c>
    </row>
    <row r="180" ht="14.25" customHeight="1" hidden="1">
      <c r="B180" t="str">
        <f t="shared" si="16"/>
        <v>H</v>
      </c>
      <c r="D180">
        <v>0</v>
      </c>
      <c r="E180">
        <f t="shared" si="12"/>
      </c>
      <c r="F180">
        <f t="shared" si="13"/>
      </c>
      <c r="G180">
        <f t="shared" si="14"/>
      </c>
      <c r="H180" cm="1">
        <f t="array" ref="H180">_xlfn.IFERROR(SMALL(IF(UnitMix_number_of_bedrooms=D180,UnitMix_unit_sizes),1+SUM($I$177:I179)),"")</f>
      </c>
      <c r="I180">
        <f t="shared" si="15"/>
      </c>
    </row>
    <row r="181" ht="14.25" customHeight="1" hidden="1">
      <c r="B181" t="str">
        <f t="shared" si="16"/>
        <v>H</v>
      </c>
      <c r="D181">
        <v>0</v>
      </c>
      <c r="E181">
        <f t="shared" si="12"/>
      </c>
      <c r="F181">
        <f t="shared" si="13"/>
      </c>
      <c r="G181">
        <f t="shared" si="14"/>
      </c>
      <c r="H181" cm="1">
        <f t="array" ref="H181">_xlfn.IFERROR(SMALL(IF(UnitMix_number_of_bedrooms=D181,UnitMix_unit_sizes),1+SUM($I$177:I180)),"")</f>
      </c>
      <c r="I181">
        <f t="shared" si="15"/>
      </c>
    </row>
    <row r="182" ht="14.25" customHeight="1" hidden="1">
      <c r="B182" t="str">
        <f t="shared" si="16"/>
        <v>H</v>
      </c>
      <c r="D182">
        <v>0</v>
      </c>
      <c r="E182">
        <f t="shared" si="12"/>
      </c>
      <c r="F182">
        <f t="shared" si="13"/>
      </c>
      <c r="G182">
        <f t="shared" si="14"/>
      </c>
      <c r="H182" cm="1">
        <f t="array" ref="H182">_xlfn.IFERROR(SMALL(IF(UnitMix_number_of_bedrooms=D182,UnitMix_unit_sizes),1+SUM($I$177:I181)),"")</f>
      </c>
      <c r="I182">
        <f t="shared" si="15"/>
      </c>
    </row>
    <row r="183" ht="14.25" customHeight="1" hidden="1">
      <c r="B183" t="str">
        <f t="shared" si="16"/>
        <v>H</v>
      </c>
      <c r="D183">
        <v>0</v>
      </c>
      <c r="E183">
        <f t="shared" si="12"/>
      </c>
      <c r="F183">
        <f t="shared" si="13"/>
      </c>
      <c r="G183">
        <f t="shared" si="14"/>
      </c>
      <c r="H183" cm="1">
        <f t="array" ref="H183">_xlfn.IFERROR(SMALL(IF(UnitMix_number_of_bedrooms=D183,UnitMix_unit_sizes),1+SUM($I$177:I182)),"")</f>
      </c>
      <c r="I183">
        <f t="shared" si="15"/>
      </c>
    </row>
    <row r="184" ht="14.25" customHeight="1" hidden="1">
      <c r="B184" t="str">
        <f t="shared" si="16"/>
        <v>H</v>
      </c>
      <c r="D184">
        <v>0</v>
      </c>
      <c r="E184">
        <f t="shared" si="12"/>
      </c>
      <c r="F184">
        <f t="shared" si="13"/>
      </c>
      <c r="G184">
        <f t="shared" si="14"/>
      </c>
      <c r="H184" cm="1">
        <f t="array" ref="H184">_xlfn.IFERROR(SMALL(IF(UnitMix_number_of_bedrooms=D184,UnitMix_unit_sizes),1+SUM($I$177:I183)),"")</f>
      </c>
      <c r="I184">
        <f t="shared" si="15"/>
      </c>
    </row>
    <row r="185" ht="14.25" customHeight="1" hidden="1">
      <c r="B185" t="str">
        <f t="shared" si="16"/>
        <v>H</v>
      </c>
      <c r="D185">
        <v>0</v>
      </c>
      <c r="E185">
        <f t="shared" si="12"/>
      </c>
      <c r="F185">
        <f t="shared" si="13"/>
      </c>
      <c r="G185">
        <f t="shared" si="14"/>
      </c>
      <c r="H185" cm="1">
        <f t="array" ref="H185">_xlfn.IFERROR(SMALL(IF(UnitMix_number_of_bedrooms=D185,UnitMix_unit_sizes),1+SUM($I$177:I184)),"")</f>
      </c>
      <c r="I185">
        <f t="shared" si="15"/>
      </c>
    </row>
    <row r="186" ht="14.25" customHeight="1" hidden="1">
      <c r="B186" t="str">
        <f t="shared" si="16"/>
        <v>H</v>
      </c>
      <c r="D186">
        <v>0</v>
      </c>
      <c r="E186">
        <f t="shared" si="12"/>
      </c>
      <c r="F186">
        <f t="shared" si="13"/>
      </c>
      <c r="G186">
        <f t="shared" si="14"/>
      </c>
      <c r="H186" cm="1">
        <f t="array" ref="H186">_xlfn.IFERROR(SMALL(IF(UnitMix_number_of_bedrooms=D186,UnitMix_unit_sizes),1+SUM($I$177:I185)),"")</f>
      </c>
      <c r="I186">
        <f t="shared" si="15"/>
      </c>
    </row>
    <row r="187" ht="14.25" customHeight="1" hidden="1">
      <c r="B187" t="str">
        <f t="shared" si="16"/>
        <v>H</v>
      </c>
      <c r="D187">
        <v>0</v>
      </c>
      <c r="E187">
        <f t="shared" si="12"/>
      </c>
      <c r="F187">
        <f t="shared" si="13"/>
      </c>
      <c r="G187">
        <f t="shared" si="14"/>
      </c>
      <c r="H187" cm="1">
        <f t="array" ref="H187">_xlfn.IFERROR(SMALL(IF(UnitMix_number_of_bedrooms=D187,UnitMix_unit_sizes),1+SUM($I$177:I186)),"")</f>
      </c>
      <c r="I187">
        <f t="shared" si="15"/>
      </c>
    </row>
    <row r="188" ht="14.25" customHeight="1" hidden="1">
      <c r="B188" t="str">
        <f t="shared" si="16"/>
        <v>H</v>
      </c>
      <c r="D188">
        <v>0</v>
      </c>
      <c r="E188">
        <f t="shared" si="12"/>
      </c>
      <c r="F188">
        <f t="shared" si="13"/>
      </c>
      <c r="G188">
        <f t="shared" si="14"/>
      </c>
      <c r="H188" cm="1">
        <f t="array" ref="H188">_xlfn.IFERROR(SMALL(IF(UnitMix_number_of_bedrooms=D188,UnitMix_unit_sizes),1+SUM($I$177:I187)),"")</f>
      </c>
      <c r="I188">
        <f t="shared" si="15"/>
      </c>
    </row>
    <row r="189" ht="14.25" customHeight="1" hidden="1">
      <c r="B189" t="str">
        <f t="shared" si="16"/>
        <v>H</v>
      </c>
      <c r="D189">
        <v>0</v>
      </c>
      <c r="E189">
        <f t="shared" si="12"/>
      </c>
      <c r="F189">
        <f t="shared" si="13"/>
      </c>
      <c r="G189">
        <f t="shared" si="14"/>
      </c>
      <c r="H189" cm="1">
        <f t="array" ref="H189">_xlfn.IFERROR(SMALL(IF(UnitMix_number_of_bedrooms=D189,UnitMix_unit_sizes),1+SUM($I$177:I188)),"")</f>
      </c>
      <c r="I189">
        <f t="shared" si="15"/>
      </c>
    </row>
    <row r="190" ht="14.25" customHeight="1" hidden="1">
      <c r="B190" t="str">
        <f t="shared" si="16"/>
        <v>H</v>
      </c>
      <c r="D190">
        <v>0</v>
      </c>
      <c r="E190">
        <f t="shared" si="12"/>
      </c>
      <c r="F190">
        <f t="shared" si="13"/>
      </c>
      <c r="G190">
        <f t="shared" si="14"/>
      </c>
      <c r="H190" cm="1">
        <f t="array" ref="H190">_xlfn.IFERROR(SMALL(IF(UnitMix_number_of_bedrooms=D190,UnitMix_unit_sizes),1+SUM($I$177:I189)),"")</f>
      </c>
      <c r="I190">
        <f t="shared" si="15"/>
      </c>
    </row>
    <row r="191" ht="14.25" customHeight="1" hidden="1">
      <c r="B191" t="str">
        <f t="shared" si="16"/>
        <v>H</v>
      </c>
      <c r="D191">
        <v>0</v>
      </c>
      <c r="E191">
        <f t="shared" si="12"/>
      </c>
      <c r="F191">
        <f t="shared" si="13"/>
      </c>
      <c r="G191">
        <f t="shared" si="14"/>
      </c>
      <c r="H191" cm="1">
        <f t="array" ref="H191">_xlfn.IFERROR(SMALL(IF(UnitMix_number_of_bedrooms=D191,UnitMix_unit_sizes),1+SUM($I$177:I190)),"")</f>
      </c>
      <c r="I191">
        <f t="shared" si="15"/>
      </c>
    </row>
    <row r="192" ht="14.25" customHeight="1" hidden="1">
      <c r="B192" t="str">
        <f t="shared" si="16"/>
        <v>H</v>
      </c>
      <c r="D192">
        <v>0</v>
      </c>
      <c r="E192">
        <f t="shared" si="12"/>
      </c>
      <c r="F192">
        <f t="shared" si="13"/>
      </c>
      <c r="G192">
        <f t="shared" si="14"/>
      </c>
      <c r="H192" cm="1">
        <f t="array" ref="H192">_xlfn.IFERROR(SMALL(IF(UnitMix_number_of_bedrooms=D192,UnitMix_unit_sizes),1+SUM($I$177:I191)),"")</f>
      </c>
      <c r="I192">
        <f t="shared" si="15"/>
      </c>
    </row>
    <row r="193" ht="14.25" customHeight="1" hidden="1">
      <c r="B193" t="str">
        <f t="shared" si="16"/>
        <v>H</v>
      </c>
      <c r="D193">
        <v>0</v>
      </c>
      <c r="E193">
        <f t="shared" si="12"/>
      </c>
      <c r="F193">
        <f t="shared" si="13"/>
      </c>
      <c r="G193">
        <f t="shared" si="14"/>
      </c>
      <c r="H193" cm="1">
        <f t="array" ref="H193">_xlfn.IFERROR(SMALL(IF(UnitMix_number_of_bedrooms=D193,UnitMix_unit_sizes),1+SUM($I$177:I192)),"")</f>
      </c>
      <c r="I193">
        <f t="shared" si="15"/>
      </c>
    </row>
    <row r="194" ht="14.25" customHeight="1" hidden="1">
      <c r="B194" t="str">
        <f t="shared" si="16"/>
        <v>H</v>
      </c>
      <c r="D194">
        <v>0</v>
      </c>
      <c r="E194">
        <f t="shared" si="12"/>
      </c>
      <c r="F194">
        <f t="shared" si="13"/>
      </c>
      <c r="G194">
        <f t="shared" si="14"/>
      </c>
      <c r="H194" cm="1">
        <f t="array" ref="H194">_xlfn.IFERROR(SMALL(IF(UnitMix_number_of_bedrooms=D194,UnitMix_unit_sizes),1+SUM($I$177:I193)),"")</f>
      </c>
      <c r="I194">
        <f t="shared" si="15"/>
      </c>
    </row>
    <row r="195" ht="14.25" customHeight="1" hidden="1">
      <c r="B195" t="str">
        <f t="shared" si="16"/>
        <v>H</v>
      </c>
      <c r="D195">
        <v>0</v>
      </c>
      <c r="E195">
        <f t="shared" si="12"/>
      </c>
      <c r="F195">
        <f t="shared" si="13"/>
      </c>
      <c r="G195">
        <f t="shared" si="14"/>
      </c>
      <c r="H195" cm="1">
        <f t="array" ref="H195">_xlfn.IFERROR(SMALL(IF(UnitMix_number_of_bedrooms=D195,UnitMix_unit_sizes),1+SUM($I$177:I194)),"")</f>
      </c>
      <c r="I195">
        <f t="shared" si="15"/>
      </c>
    </row>
    <row r="196" ht="14.25" customHeight="1" hidden="1">
      <c r="B196" t="str">
        <f t="shared" si="16"/>
        <v>H</v>
      </c>
      <c r="D196">
        <v>0</v>
      </c>
      <c r="E196">
        <f t="shared" si="12"/>
      </c>
      <c r="F196">
        <f t="shared" si="13"/>
      </c>
      <c r="G196">
        <f t="shared" si="14"/>
      </c>
      <c r="H196" cm="1">
        <f t="array" ref="H196">_xlfn.IFERROR(SMALL(IF(UnitMix_number_of_bedrooms=D196,UnitMix_unit_sizes),1+SUM($I$177:I195)),"")</f>
      </c>
      <c r="I196">
        <f t="shared" si="15"/>
      </c>
    </row>
    <row r="197" ht="14.25" customHeight="1" hidden="1">
      <c r="B197" t="str">
        <f t="shared" si="16"/>
        <v>H</v>
      </c>
      <c r="D197">
        <v>0</v>
      </c>
      <c r="E197">
        <f t="shared" si="12"/>
      </c>
      <c r="F197">
        <f t="shared" si="13"/>
      </c>
      <c r="G197">
        <f t="shared" si="14"/>
      </c>
      <c r="H197" cm="1">
        <f t="array" ref="H197">_xlfn.IFERROR(SMALL(IF(UnitMix_number_of_bedrooms=D197,UnitMix_unit_sizes),1+SUM($I$177:I196)),"")</f>
      </c>
      <c r="I197">
        <f t="shared" si="15"/>
      </c>
    </row>
    <row r="198" ht="14.25" customHeight="1" hidden="1">
      <c r="B198" t="str">
        <f t="shared" si="16"/>
        <v>H</v>
      </c>
      <c r="D198">
        <v>0</v>
      </c>
      <c r="E198">
        <f t="shared" si="12"/>
      </c>
      <c r="F198">
        <f t="shared" si="13"/>
      </c>
      <c r="G198">
        <f t="shared" si="14"/>
      </c>
      <c r="H198" cm="1">
        <f t="array" ref="H198">_xlfn.IFERROR(SMALL(IF(UnitMix_number_of_bedrooms=D198,UnitMix_unit_sizes),1+SUM($I$177:I197)),"")</f>
      </c>
      <c r="I198">
        <f t="shared" si="15"/>
      </c>
    </row>
    <row r="199" ht="14.25" customHeight="1" hidden="1">
      <c r="B199" t="str">
        <f t="shared" si="16"/>
        <v>H</v>
      </c>
      <c r="D199">
        <v>0</v>
      </c>
      <c r="E199">
        <f t="shared" si="12"/>
      </c>
      <c r="F199">
        <f t="shared" si="13"/>
      </c>
      <c r="G199">
        <f t="shared" si="14"/>
      </c>
      <c r="H199" cm="1">
        <f t="array" ref="H199">_xlfn.IFERROR(SMALL(IF(UnitMix_number_of_bedrooms=D199,UnitMix_unit_sizes),1+SUM($I$177:I198)),"")</f>
      </c>
      <c r="I199">
        <f t="shared" si="15"/>
      </c>
    </row>
    <row r="200" ht="14.25" customHeight="1" hidden="1">
      <c r="B200" t="str">
        <f t="shared" si="16"/>
        <v>H</v>
      </c>
      <c r="D200">
        <v>0</v>
      </c>
      <c r="E200">
        <f t="shared" si="12"/>
      </c>
      <c r="F200">
        <f t="shared" si="13"/>
      </c>
      <c r="G200">
        <f t="shared" si="14"/>
      </c>
      <c r="H200" cm="1">
        <f t="array" ref="H200">_xlfn.IFERROR(SMALL(IF(UnitMix_number_of_bedrooms=D200,UnitMix_unit_sizes),1+SUM($I$177:I199)),"")</f>
      </c>
      <c r="I200">
        <f t="shared" si="15"/>
      </c>
    </row>
    <row r="201" ht="14.25" customHeight="1" hidden="1">
      <c r="B201" t="str">
        <f t="shared" si="16"/>
        <v>H</v>
      </c>
      <c r="D201">
        <v>0</v>
      </c>
      <c r="E201">
        <f t="shared" si="12"/>
      </c>
      <c r="F201">
        <f t="shared" si="13"/>
      </c>
      <c r="G201">
        <f t="shared" si="14"/>
      </c>
      <c r="H201" cm="1">
        <f t="array" ref="H201">_xlfn.IFERROR(SMALL(IF(UnitMix_number_of_bedrooms=D201,UnitMix_unit_sizes),1+SUM($I$177:I200)),"")</f>
      </c>
      <c r="I201">
        <f t="shared" si="15"/>
      </c>
    </row>
    <row r="202" ht="14.25" customHeight="1" hidden="1">
      <c r="B202" t="str">
        <f t="shared" si="16"/>
        <v>H</v>
      </c>
      <c r="D202">
        <v>0</v>
      </c>
      <c r="E202">
        <f t="shared" si="12"/>
      </c>
      <c r="F202">
        <f t="shared" si="13"/>
      </c>
      <c r="G202">
        <f t="shared" si="14"/>
      </c>
      <c r="H202" cm="1">
        <f t="array" ref="H202">_xlfn.IFERROR(SMALL(IF(UnitMix_number_of_bedrooms=D202,UnitMix_unit_sizes),1+SUM($I$177:I201)),"")</f>
      </c>
      <c r="I202">
        <f t="shared" si="15"/>
      </c>
    </row>
    <row r="203" ht="14.25" customHeight="1" hidden="1">
      <c r="B203" t="str">
        <f t="shared" si="16"/>
        <v>H</v>
      </c>
      <c r="D203">
        <v>0</v>
      </c>
      <c r="E203">
        <f t="shared" si="12"/>
      </c>
      <c r="F203">
        <f t="shared" si="13"/>
      </c>
      <c r="G203">
        <f t="shared" si="14"/>
      </c>
      <c r="H203" cm="1">
        <f t="array" ref="H203">_xlfn.IFERROR(SMALL(IF(UnitMix_number_of_bedrooms=D203,UnitMix_unit_sizes),1+SUM($I$177:I202)),"")</f>
      </c>
      <c r="I203">
        <f t="shared" si="15"/>
      </c>
    </row>
    <row r="204" ht="14.25" customHeight="1" hidden="1">
      <c r="B204" t="str">
        <f t="shared" si="16"/>
        <v>H</v>
      </c>
      <c r="D204">
        <v>0</v>
      </c>
      <c r="E204">
        <f t="shared" si="12"/>
      </c>
      <c r="F204">
        <f t="shared" si="13"/>
      </c>
      <c r="G204">
        <f t="shared" si="14"/>
      </c>
      <c r="H204" cm="1">
        <f t="array" ref="H204">_xlfn.IFERROR(SMALL(IF(UnitMix_number_of_bedrooms=D204,UnitMix_unit_sizes),1+SUM($I$177:I203)),"")</f>
      </c>
      <c r="I204">
        <f t="shared" si="15"/>
      </c>
    </row>
    <row r="205" ht="14.25" customHeight="1" hidden="1">
      <c r="B205" t="str">
        <f t="shared" si="16"/>
        <v>H</v>
      </c>
      <c r="D205">
        <v>0</v>
      </c>
      <c r="E205">
        <f t="shared" si="12"/>
      </c>
      <c r="F205">
        <f t="shared" si="13"/>
      </c>
      <c r="G205">
        <f t="shared" si="14"/>
      </c>
      <c r="H205" cm="1">
        <f t="array" ref="H205">_xlfn.IFERROR(SMALL(IF(UnitMix_number_of_bedrooms=D205,UnitMix_unit_sizes),1+SUM($I$177:I204)),"")</f>
      </c>
      <c r="I205">
        <f t="shared" si="15"/>
      </c>
    </row>
    <row r="206" ht="14.25" customHeight="1" hidden="1">
      <c r="B206" t="str">
        <f t="shared" si="16"/>
        <v>H</v>
      </c>
      <c r="D206">
        <v>0</v>
      </c>
      <c r="E206">
        <f t="shared" si="12"/>
      </c>
      <c r="F206">
        <f t="shared" si="13"/>
      </c>
      <c r="G206">
        <f t="shared" si="14"/>
      </c>
      <c r="H206" cm="1">
        <f t="array" ref="H206">_xlfn.IFERROR(SMALL(IF(UnitMix_number_of_bedrooms=D206,UnitMix_unit_sizes),1+SUM($I$177:I205)),"")</f>
      </c>
      <c r="I206">
        <f t="shared" si="15"/>
      </c>
    </row>
    <row r="207" ht="14.25" customHeight="1" hidden="1">
      <c r="B207" t="str">
        <f t="shared" si="16"/>
        <v>H</v>
      </c>
      <c r="D207">
        <v>0</v>
      </c>
      <c r="E207">
        <f t="shared" si="12"/>
      </c>
      <c r="F207">
        <f t="shared" si="13"/>
      </c>
      <c r="G207">
        <f t="shared" si="14"/>
      </c>
      <c r="H207" cm="1">
        <f t="array" ref="H207">_xlfn.IFERROR(SMALL(IF(UnitMix_number_of_bedrooms=D207,UnitMix_unit_sizes),1+SUM($I$177:I206)),"")</f>
      </c>
      <c r="I207">
        <f t="shared" si="15"/>
      </c>
    </row>
    <row r="208" ht="14.25" customHeight="1" hidden="1">
      <c r="B208" t="str">
        <f t="shared" si="16"/>
        <v>H</v>
      </c>
      <c r="D208">
        <v>0</v>
      </c>
      <c r="E208">
        <f t="shared" si="12"/>
      </c>
      <c r="F208">
        <f t="shared" si="13"/>
      </c>
      <c r="G208">
        <f t="shared" si="14"/>
      </c>
      <c r="H208" cm="1">
        <f t="array" ref="H208">_xlfn.IFERROR(SMALL(IF(UnitMix_number_of_bedrooms=D208,UnitMix_unit_sizes),1+SUM($I$177:I207)),"")</f>
      </c>
      <c r="I208">
        <f t="shared" si="15"/>
      </c>
    </row>
    <row r="209" ht="14.25" customHeight="1" hidden="1">
      <c r="B209" t="str">
        <f t="shared" si="16"/>
        <v>H</v>
      </c>
      <c r="D209">
        <v>0</v>
      </c>
      <c r="E209">
        <f t="shared" si="12"/>
      </c>
      <c r="F209">
        <f t="shared" si="13"/>
      </c>
      <c r="G209">
        <f t="shared" si="14"/>
      </c>
      <c r="H209" cm="1">
        <f t="array" ref="H209">_xlfn.IFERROR(SMALL(IF(UnitMix_number_of_bedrooms=D209,UnitMix_unit_sizes),1+SUM($I$177:I208)),"")</f>
      </c>
      <c r="I209">
        <f t="shared" si="15"/>
      </c>
    </row>
    <row r="210" ht="14.25" customHeight="1" hidden="1">
      <c r="B210" t="str">
        <f t="shared" si="16"/>
        <v>H</v>
      </c>
      <c r="D210">
        <v>0</v>
      </c>
      <c r="E210">
        <f t="shared" si="12"/>
      </c>
      <c r="F210">
        <f t="shared" si="13"/>
      </c>
      <c r="G210">
        <f t="shared" si="14"/>
      </c>
      <c r="H210" cm="1">
        <f t="array" ref="H210">_xlfn.IFERROR(SMALL(IF(UnitMix_number_of_bedrooms=D210,UnitMix_unit_sizes),1+SUM($I$177:I209)),"")</f>
      </c>
      <c r="I210">
        <f t="shared" si="15"/>
      </c>
    </row>
    <row r="211" ht="14.25" customHeight="1" hidden="1">
      <c r="B211" t="str">
        <f t="shared" si="16"/>
        <v>H</v>
      </c>
      <c r="D211">
        <v>0</v>
      </c>
      <c r="E211">
        <f t="shared" si="12"/>
      </c>
      <c r="F211">
        <f t="shared" si="13"/>
      </c>
      <c r="G211">
        <f t="shared" si="14"/>
      </c>
      <c r="H211" cm="1">
        <f t="array" ref="H211">_xlfn.IFERROR(SMALL(IF(UnitMix_number_of_bedrooms=D211,UnitMix_unit_sizes),1+SUM($I$177:I210)),"")</f>
      </c>
      <c r="I211">
        <f t="shared" si="15"/>
      </c>
    </row>
    <row r="212" ht="14.25" customHeight="1" hidden="1">
      <c r="B212" t="str">
        <f t="shared" si="16"/>
        <v>H</v>
      </c>
      <c r="D212">
        <v>0</v>
      </c>
      <c r="E212">
        <f t="shared" si="12"/>
      </c>
      <c r="F212">
        <f t="shared" si="13"/>
      </c>
      <c r="G212">
        <f t="shared" si="14"/>
      </c>
      <c r="H212" cm="1">
        <f t="array" ref="H212">_xlfn.IFERROR(SMALL(IF(UnitMix_number_of_bedrooms=D212,UnitMix_unit_sizes),1+SUM($I$177:I211)),"")</f>
      </c>
      <c r="I212">
        <f t="shared" si="15"/>
      </c>
    </row>
    <row r="213" ht="14.25" customHeight="1" hidden="1">
      <c r="B213" t="str">
        <f t="shared" si="16"/>
        <v>H</v>
      </c>
      <c r="D213">
        <v>0</v>
      </c>
      <c r="E213">
        <f t="shared" si="12"/>
      </c>
      <c r="F213">
        <f t="shared" si="13"/>
      </c>
      <c r="G213">
        <f t="shared" si="14"/>
      </c>
      <c r="H213" cm="1">
        <f t="array" ref="H213">_xlfn.IFERROR(SMALL(IF(UnitMix_number_of_bedrooms=D213,UnitMix_unit_sizes),1+SUM($I$177:I212)),"")</f>
      </c>
      <c r="I213">
        <f t="shared" si="15"/>
      </c>
    </row>
    <row r="214" ht="14.25" customHeight="1" hidden="1">
      <c r="B214" t="str">
        <f t="shared" si="16"/>
        <v>H</v>
      </c>
      <c r="D214">
        <v>0</v>
      </c>
      <c r="E214">
        <f t="shared" si="12"/>
      </c>
      <c r="F214">
        <f t="shared" si="13"/>
      </c>
      <c r="G214">
        <f t="shared" si="14"/>
      </c>
      <c r="H214" cm="1">
        <f t="array" ref="H214">_xlfn.IFERROR(SMALL(IF(UnitMix_number_of_bedrooms=D214,UnitMix_unit_sizes),1+SUM($I$177:I213)),"")</f>
      </c>
      <c r="I214">
        <f t="shared" si="15"/>
      </c>
    </row>
    <row r="215" ht="14.25" customHeight="1" hidden="1">
      <c r="B215" t="str">
        <f t="shared" si="16"/>
        <v>H</v>
      </c>
      <c r="D215">
        <v>0</v>
      </c>
      <c r="E215">
        <f t="shared" si="12"/>
      </c>
      <c r="F215">
        <f t="shared" si="13"/>
      </c>
      <c r="G215">
        <f t="shared" si="14"/>
      </c>
      <c r="H215" cm="1">
        <f t="array" ref="H215">_xlfn.IFERROR(SMALL(IF(UnitMix_number_of_bedrooms=D215,UnitMix_unit_sizes),1+SUM($I$177:I214)),"")</f>
      </c>
      <c r="I215">
        <f t="shared" si="15"/>
      </c>
    </row>
    <row r="216" ht="14.25" customHeight="1" hidden="1">
      <c r="B216" t="str">
        <f t="shared" si="16"/>
        <v>H</v>
      </c>
      <c r="D216">
        <v>0</v>
      </c>
      <c r="E216">
        <f t="shared" si="12"/>
      </c>
      <c r="F216">
        <f t="shared" si="13"/>
      </c>
      <c r="G216">
        <f t="shared" si="14"/>
      </c>
      <c r="H216" cm="1">
        <f t="array" ref="H216">_xlfn.IFERROR(SMALL(IF(UnitMix_number_of_bedrooms=D216,UnitMix_unit_sizes),1+SUM($I$177:I215)),"")</f>
      </c>
      <c r="I216">
        <f t="shared" si="15"/>
      </c>
    </row>
    <row r="217" ht="14.25" customHeight="1">
      <c r="B217" t="s">
        <v>2547</v>
      </c>
      <c r="D217">
        <v>1</v>
      </c>
      <c r="E217">
        <f t="shared" si="12"/>
        <v>32</v>
      </c>
      <c r="F217">
        <f t="shared" si="13"/>
        <v>32</v>
      </c>
      <c r="G217">
        <f t="shared" si="14"/>
        <v>1131.875</v>
      </c>
      <c r="H217" cm="1">
        <f t="array" ref="H217">_xlfn.IFERROR(SMALL(IF(UnitMix_number_of_bedrooms=D217,UnitMix_unit_sizes),1),"")</f>
        <v>704</v>
      </c>
      <c r="I217">
        <f t="shared" si="15"/>
        <v>1</v>
      </c>
    </row>
    <row r="218" ht="14.25" customHeight="1" hidden="1">
      <c r="B218" t="str">
        <f t="shared" si="16"/>
        <v>H</v>
      </c>
      <c r="D218">
        <v>1</v>
      </c>
      <c r="E218">
        <f t="shared" si="12"/>
      </c>
      <c r="F218">
        <f t="shared" si="13"/>
      </c>
      <c r="G218">
        <f t="shared" si="14"/>
      </c>
      <c r="H218" cm="1">
        <f t="array" ref="H218">_xlfn.IFERROR(SMALL(IF(UnitMix_number_of_bedrooms=D218,UnitMix_unit_sizes),1+SUM($I$217:I217)),"")</f>
      </c>
      <c r="I218">
        <f t="shared" si="15"/>
      </c>
    </row>
    <row r="219" ht="14.25" customHeight="1" hidden="1">
      <c r="B219" t="str">
        <f t="shared" si="16"/>
        <v>H</v>
      </c>
      <c r="D219">
        <v>1</v>
      </c>
      <c r="E219">
        <f t="shared" si="12"/>
      </c>
      <c r="F219">
        <f t="shared" si="13"/>
      </c>
      <c r="G219">
        <f t="shared" si="14"/>
      </c>
      <c r="H219" cm="1">
        <f t="array" ref="H219">_xlfn.IFERROR(SMALL(IF(UnitMix_number_of_bedrooms=D219,UnitMix_unit_sizes),1+SUM($I$217:I218)),"")</f>
      </c>
      <c r="I219">
        <f t="shared" si="15"/>
      </c>
    </row>
    <row r="220" ht="14.25" customHeight="1" hidden="1">
      <c r="B220" t="str">
        <f t="shared" si="16"/>
        <v>H</v>
      </c>
      <c r="D220">
        <v>1</v>
      </c>
      <c r="E220">
        <f t="shared" si="12"/>
      </c>
      <c r="F220">
        <f t="shared" si="13"/>
      </c>
      <c r="G220">
        <f t="shared" si="14"/>
      </c>
      <c r="H220" cm="1">
        <f t="array" ref="H220">_xlfn.IFERROR(SMALL(IF(UnitMix_number_of_bedrooms=D220,UnitMix_unit_sizes),1+SUM($I$217:I219)),"")</f>
      </c>
      <c r="I220">
        <f t="shared" si="15"/>
      </c>
    </row>
    <row r="221" ht="14.25" customHeight="1" hidden="1">
      <c r="B221" t="str">
        <f t="shared" si="16"/>
        <v>H</v>
      </c>
      <c r="D221">
        <v>1</v>
      </c>
      <c r="E221">
        <f t="shared" si="12"/>
      </c>
      <c r="F221">
        <f t="shared" si="13"/>
      </c>
      <c r="G221">
        <f t="shared" si="14"/>
      </c>
      <c r="H221" cm="1">
        <f t="array" ref="H221">_xlfn.IFERROR(SMALL(IF(UnitMix_number_of_bedrooms=D221,UnitMix_unit_sizes),1+SUM($I$217:I220)),"")</f>
      </c>
      <c r="I221">
        <f t="shared" si="15"/>
      </c>
    </row>
    <row r="222" ht="14.25" customHeight="1" hidden="1">
      <c r="B222" t="str">
        <f t="shared" si="16"/>
        <v>H</v>
      </c>
      <c r="D222">
        <v>1</v>
      </c>
      <c r="E222">
        <f t="shared" si="12"/>
      </c>
      <c r="F222">
        <f t="shared" si="13"/>
      </c>
      <c r="G222">
        <f t="shared" si="14"/>
      </c>
      <c r="H222" cm="1">
        <f t="array" ref="H222">_xlfn.IFERROR(SMALL(IF(UnitMix_number_of_bedrooms=D222,UnitMix_unit_sizes),1+SUM($I$217:I221)),"")</f>
      </c>
      <c r="I222">
        <f t="shared" si="15"/>
      </c>
    </row>
    <row r="223" ht="14.25" customHeight="1" hidden="1">
      <c r="B223" t="str">
        <f t="shared" si="16"/>
        <v>H</v>
      </c>
      <c r="D223">
        <v>1</v>
      </c>
      <c r="E223">
        <f t="shared" si="12"/>
      </c>
      <c r="F223">
        <f t="shared" si="13"/>
      </c>
      <c r="G223">
        <f t="shared" si="14"/>
      </c>
      <c r="H223" cm="1">
        <f t="array" ref="H223">_xlfn.IFERROR(SMALL(IF(UnitMix_number_of_bedrooms=D223,UnitMix_unit_sizes),1+SUM($I$217:I222)),"")</f>
      </c>
      <c r="I223">
        <f t="shared" si="15"/>
      </c>
    </row>
    <row r="224" ht="14.25" customHeight="1" hidden="1">
      <c r="B224" t="str">
        <f t="shared" si="16"/>
        <v>H</v>
      </c>
      <c r="D224">
        <v>1</v>
      </c>
      <c r="E224">
        <f t="shared" si="12"/>
      </c>
      <c r="F224">
        <f t="shared" si="13"/>
      </c>
      <c r="G224">
        <f t="shared" si="14"/>
      </c>
      <c r="H224" cm="1">
        <f t="array" ref="H224">_xlfn.IFERROR(SMALL(IF(UnitMix_number_of_bedrooms=D224,UnitMix_unit_sizes),1+SUM($I$217:I223)),"")</f>
      </c>
      <c r="I224">
        <f t="shared" si="15"/>
      </c>
    </row>
    <row r="225" ht="14.25" customHeight="1" hidden="1">
      <c r="B225" t="str">
        <f t="shared" si="16"/>
        <v>H</v>
      </c>
      <c r="D225">
        <v>1</v>
      </c>
      <c r="E225">
        <f t="shared" si="12"/>
      </c>
      <c r="F225">
        <f t="shared" si="13"/>
      </c>
      <c r="G225">
        <f t="shared" si="14"/>
      </c>
      <c r="H225" cm="1">
        <f t="array" ref="H225">_xlfn.IFERROR(SMALL(IF(UnitMix_number_of_bedrooms=D225,UnitMix_unit_sizes),1+SUM($I$217:I224)),"")</f>
      </c>
      <c r="I225">
        <f t="shared" si="15"/>
      </c>
    </row>
    <row r="226" ht="14.25" customHeight="1" hidden="1">
      <c r="B226" t="str">
        <f t="shared" si="16"/>
        <v>H</v>
      </c>
      <c r="D226">
        <v>1</v>
      </c>
      <c r="E226">
        <f t="shared" si="12"/>
      </c>
      <c r="F226">
        <f t="shared" si="13"/>
      </c>
      <c r="G226">
        <f t="shared" si="14"/>
      </c>
      <c r="H226" cm="1">
        <f t="array" ref="H226">_xlfn.IFERROR(SMALL(IF(UnitMix_number_of_bedrooms=D226,UnitMix_unit_sizes),1+SUM($I$217:I225)),"")</f>
      </c>
      <c r="I226">
        <f t="shared" si="15"/>
      </c>
    </row>
    <row r="227" ht="14.25" customHeight="1" hidden="1">
      <c r="B227" t="str">
        <f t="shared" si="16"/>
        <v>H</v>
      </c>
      <c r="D227">
        <v>1</v>
      </c>
      <c r="E227">
        <f t="shared" si="12"/>
      </c>
      <c r="F227">
        <f t="shared" si="13"/>
      </c>
      <c r="G227">
        <f t="shared" si="14"/>
      </c>
      <c r="H227" cm="1">
        <f t="array" ref="H227">_xlfn.IFERROR(SMALL(IF(UnitMix_number_of_bedrooms=D227,UnitMix_unit_sizes),1+SUM($I$217:I226)),"")</f>
      </c>
      <c r="I227">
        <f t="shared" si="15"/>
      </c>
    </row>
    <row r="228" ht="14.25" customHeight="1" hidden="1">
      <c r="B228" t="str">
        <f t="shared" si="16"/>
        <v>H</v>
      </c>
      <c r="D228">
        <v>1</v>
      </c>
      <c r="E228">
        <f t="shared" si="12"/>
      </c>
      <c r="F228">
        <f t="shared" si="13"/>
      </c>
      <c r="G228">
        <f t="shared" si="14"/>
      </c>
      <c r="H228" cm="1">
        <f t="array" ref="H228">_xlfn.IFERROR(SMALL(IF(UnitMix_number_of_bedrooms=D228,UnitMix_unit_sizes),1+SUM($I$217:I227)),"")</f>
      </c>
      <c r="I228">
        <f t="shared" si="15"/>
      </c>
    </row>
    <row r="229" ht="14.25" customHeight="1" hidden="1">
      <c r="B229" t="str">
        <f t="shared" si="16"/>
        <v>H</v>
      </c>
      <c r="D229">
        <v>1</v>
      </c>
      <c r="E229">
        <f t="shared" si="12"/>
      </c>
      <c r="F229">
        <f t="shared" si="13"/>
      </c>
      <c r="G229">
        <f t="shared" si="14"/>
      </c>
      <c r="H229" cm="1">
        <f t="array" ref="H229">_xlfn.IFERROR(SMALL(IF(UnitMix_number_of_bedrooms=D229,UnitMix_unit_sizes),1+SUM($I$217:I228)),"")</f>
      </c>
      <c r="I229">
        <f t="shared" si="15"/>
      </c>
    </row>
    <row r="230" ht="14.25" customHeight="1" hidden="1">
      <c r="B230" t="str">
        <f t="shared" si="16"/>
        <v>H</v>
      </c>
      <c r="D230">
        <v>1</v>
      </c>
      <c r="E230">
        <f t="shared" si="12"/>
      </c>
      <c r="F230">
        <f t="shared" si="13"/>
      </c>
      <c r="G230">
        <f t="shared" si="14"/>
      </c>
      <c r="H230" cm="1">
        <f t="array" ref="H230">_xlfn.IFERROR(SMALL(IF(UnitMix_number_of_bedrooms=D230,UnitMix_unit_sizes),1+SUM($I$217:I229)),"")</f>
      </c>
      <c r="I230">
        <f t="shared" si="15"/>
      </c>
    </row>
    <row r="231" ht="14.25" customHeight="1" hidden="1">
      <c r="B231" t="str">
        <f t="shared" si="16"/>
        <v>H</v>
      </c>
      <c r="D231">
        <v>1</v>
      </c>
      <c r="E231">
        <f t="shared" si="12"/>
      </c>
      <c r="F231">
        <f t="shared" si="13"/>
      </c>
      <c r="G231">
        <f t="shared" si="14"/>
      </c>
      <c r="H231" cm="1">
        <f t="array" ref="H231">_xlfn.IFERROR(SMALL(IF(UnitMix_number_of_bedrooms=D231,UnitMix_unit_sizes),1+SUM($I$217:I230)),"")</f>
      </c>
      <c r="I231">
        <f t="shared" si="15"/>
      </c>
    </row>
    <row r="232" ht="14.25" customHeight="1" hidden="1">
      <c r="B232" t="str">
        <f t="shared" si="16"/>
        <v>H</v>
      </c>
      <c r="D232">
        <v>1</v>
      </c>
      <c r="E232">
        <f t="shared" si="12"/>
      </c>
      <c r="F232">
        <f t="shared" si="13"/>
      </c>
      <c r="G232">
        <f t="shared" si="14"/>
      </c>
      <c r="H232" cm="1">
        <f t="array" ref="H232">_xlfn.IFERROR(SMALL(IF(UnitMix_number_of_bedrooms=D232,UnitMix_unit_sizes),1+SUM($I$217:I231)),"")</f>
      </c>
      <c r="I232">
        <f t="shared" si="15"/>
      </c>
    </row>
    <row r="233" ht="14.25" customHeight="1" hidden="1">
      <c r="B233" t="str">
        <f t="shared" si="16"/>
        <v>H</v>
      </c>
      <c r="D233">
        <v>1</v>
      </c>
      <c r="E233">
        <f t="shared" si="12"/>
      </c>
      <c r="F233">
        <f t="shared" si="13"/>
      </c>
      <c r="G233">
        <f t="shared" si="14"/>
      </c>
      <c r="H233" cm="1">
        <f t="array" ref="H233">_xlfn.IFERROR(SMALL(IF(UnitMix_number_of_bedrooms=D233,UnitMix_unit_sizes),1+SUM($I$217:I232)),"")</f>
      </c>
      <c r="I233">
        <f t="shared" si="15"/>
      </c>
    </row>
    <row r="234" ht="14.25" customHeight="1" hidden="1">
      <c r="B234" t="str">
        <f t="shared" si="16"/>
        <v>H</v>
      </c>
      <c r="D234">
        <v>1</v>
      </c>
      <c r="E234">
        <f t="shared" si="12"/>
      </c>
      <c r="F234">
        <f t="shared" si="13"/>
      </c>
      <c r="G234">
        <f t="shared" si="14"/>
      </c>
      <c r="H234" cm="1">
        <f t="array" ref="H234">_xlfn.IFERROR(SMALL(IF(UnitMix_number_of_bedrooms=D234,UnitMix_unit_sizes),1+SUM($I$217:I233)),"")</f>
      </c>
      <c r="I234">
        <f t="shared" si="15"/>
      </c>
    </row>
    <row r="235" ht="14.25" customHeight="1" hidden="1">
      <c r="B235" t="str">
        <f t="shared" si="16"/>
        <v>H</v>
      </c>
      <c r="D235">
        <v>1</v>
      </c>
      <c r="E235">
        <f t="shared" si="12"/>
      </c>
      <c r="F235">
        <f t="shared" si="13"/>
      </c>
      <c r="G235">
        <f t="shared" si="14"/>
      </c>
      <c r="H235" cm="1">
        <f t="array" ref="H235">_xlfn.IFERROR(SMALL(IF(UnitMix_number_of_bedrooms=D235,UnitMix_unit_sizes),1+SUM($I$217:I234)),"")</f>
      </c>
      <c r="I235">
        <f t="shared" si="15"/>
      </c>
    </row>
    <row r="236" ht="14.25" customHeight="1" hidden="1">
      <c r="B236" t="str">
        <f t="shared" si="16"/>
        <v>H</v>
      </c>
      <c r="D236">
        <v>1</v>
      </c>
      <c r="E236">
        <f t="shared" si="12"/>
      </c>
      <c r="F236">
        <f t="shared" si="13"/>
      </c>
      <c r="G236">
        <f t="shared" si="14"/>
      </c>
      <c r="H236" cm="1">
        <f t="array" ref="H236">_xlfn.IFERROR(SMALL(IF(UnitMix_number_of_bedrooms=D236,UnitMix_unit_sizes),1+SUM($I$217:I235)),"")</f>
      </c>
      <c r="I236">
        <f t="shared" si="15"/>
      </c>
    </row>
    <row r="237" ht="14.25" customHeight="1" hidden="1">
      <c r="B237" t="str">
        <f t="shared" si="16"/>
        <v>H</v>
      </c>
      <c r="D237">
        <v>1</v>
      </c>
      <c r="E237">
        <f t="shared" si="12"/>
      </c>
      <c r="F237">
        <f t="shared" si="13"/>
      </c>
      <c r="G237">
        <f t="shared" si="14"/>
      </c>
      <c r="H237" cm="1">
        <f t="array" ref="H237">_xlfn.IFERROR(SMALL(IF(UnitMix_number_of_bedrooms=D237,UnitMix_unit_sizes),1+SUM($I$217:I236)),"")</f>
      </c>
      <c r="I237">
        <f t="shared" si="15"/>
      </c>
    </row>
    <row r="238" ht="14.25" customHeight="1" hidden="1">
      <c r="B238" t="str">
        <f t="shared" si="16"/>
        <v>H</v>
      </c>
      <c r="D238">
        <v>1</v>
      </c>
      <c r="E238">
        <f t="shared" si="12"/>
      </c>
      <c r="F238">
        <f t="shared" si="13"/>
      </c>
      <c r="G238">
        <f t="shared" si="14"/>
      </c>
      <c r="H238" cm="1">
        <f t="array" ref="H238">_xlfn.IFERROR(SMALL(IF(UnitMix_number_of_bedrooms=D238,UnitMix_unit_sizes),1+SUM($I$217:I237)),"")</f>
      </c>
      <c r="I238">
        <f t="shared" si="15"/>
      </c>
    </row>
    <row r="239" ht="14.25" customHeight="1" hidden="1">
      <c r="B239" t="str">
        <f t="shared" si="16"/>
        <v>H</v>
      </c>
      <c r="D239">
        <v>1</v>
      </c>
      <c r="E239">
        <f t="shared" si="12"/>
      </c>
      <c r="F239">
        <f t="shared" si="13"/>
      </c>
      <c r="G239">
        <f t="shared" si="14"/>
      </c>
      <c r="H239" cm="1">
        <f t="array" ref="H239">_xlfn.IFERROR(SMALL(IF(UnitMix_number_of_bedrooms=D239,UnitMix_unit_sizes),1+SUM($I$217:I238)),"")</f>
      </c>
      <c r="I239">
        <f t="shared" si="15"/>
      </c>
    </row>
    <row r="240" ht="14.25" customHeight="1" hidden="1">
      <c r="B240" t="str">
        <f t="shared" si="16"/>
        <v>H</v>
      </c>
      <c r="D240">
        <v>1</v>
      </c>
      <c r="E240">
        <f t="shared" si="12"/>
      </c>
      <c r="F240">
        <f t="shared" si="13"/>
      </c>
      <c r="G240">
        <f t="shared" si="14"/>
      </c>
      <c r="H240" cm="1">
        <f t="array" ref="H240">_xlfn.IFERROR(SMALL(IF(UnitMix_number_of_bedrooms=D240,UnitMix_unit_sizes),1+SUM($I$217:I239)),"")</f>
      </c>
      <c r="I240">
        <f t="shared" si="15"/>
      </c>
    </row>
    <row r="241" ht="14.25" customHeight="1" hidden="1">
      <c r="B241" t="str">
        <f t="shared" si="16"/>
        <v>H</v>
      </c>
      <c r="D241">
        <v>1</v>
      </c>
      <c r="E241">
        <f t="shared" si="12"/>
      </c>
      <c r="F241">
        <f t="shared" si="13"/>
      </c>
      <c r="G241">
        <f t="shared" si="14"/>
      </c>
      <c r="H241" cm="1">
        <f t="array" ref="H241">_xlfn.IFERROR(SMALL(IF(UnitMix_number_of_bedrooms=D241,UnitMix_unit_sizes),1+SUM($I$217:I240)),"")</f>
      </c>
      <c r="I241">
        <f t="shared" si="15"/>
      </c>
    </row>
    <row r="242" ht="14.25" customHeight="1" hidden="1">
      <c r="B242" t="str">
        <f t="shared" si="16"/>
        <v>H</v>
      </c>
      <c r="D242">
        <v>1</v>
      </c>
      <c r="E242">
        <f t="shared" si="12"/>
      </c>
      <c r="F242">
        <f t="shared" si="13"/>
      </c>
      <c r="G242">
        <f t="shared" si="14"/>
      </c>
      <c r="H242" cm="1">
        <f t="array" ref="H242">_xlfn.IFERROR(SMALL(IF(UnitMix_number_of_bedrooms=D242,UnitMix_unit_sizes),1+SUM($I$217:I241)),"")</f>
      </c>
      <c r="I242">
        <f t="shared" si="15"/>
      </c>
    </row>
    <row r="243" ht="14.25" customHeight="1" hidden="1">
      <c r="B243" t="str">
        <f t="shared" si="16"/>
        <v>H</v>
      </c>
      <c r="D243">
        <v>1</v>
      </c>
      <c r="E243">
        <f t="shared" si="12"/>
      </c>
      <c r="F243">
        <f t="shared" si="13"/>
      </c>
      <c r="G243">
        <f t="shared" si="14"/>
      </c>
      <c r="H243" cm="1">
        <f t="array" ref="H243">_xlfn.IFERROR(SMALL(IF(UnitMix_number_of_bedrooms=D243,UnitMix_unit_sizes),1+SUM($I$217:I242)),"")</f>
      </c>
      <c r="I243">
        <f t="shared" si="15"/>
      </c>
    </row>
    <row r="244" ht="14.25" customHeight="1" hidden="1">
      <c r="B244" t="str">
        <f t="shared" si="16"/>
        <v>H</v>
      </c>
      <c r="D244">
        <v>1</v>
      </c>
      <c r="E244">
        <f t="shared" si="12"/>
      </c>
      <c r="F244">
        <f t="shared" si="13"/>
      </c>
      <c r="G244">
        <f t="shared" si="14"/>
      </c>
      <c r="H244" cm="1">
        <f t="array" ref="H244">_xlfn.IFERROR(SMALL(IF(UnitMix_number_of_bedrooms=D244,UnitMix_unit_sizes),1+SUM($I$217:I243)),"")</f>
      </c>
      <c r="I244">
        <f t="shared" si="15"/>
      </c>
    </row>
    <row r="245" ht="14.25" customHeight="1" hidden="1">
      <c r="B245" t="str">
        <f t="shared" si="16"/>
        <v>H</v>
      </c>
      <c r="D245">
        <v>1</v>
      </c>
      <c r="E245">
        <f t="shared" si="12"/>
      </c>
      <c r="F245">
        <f t="shared" si="13"/>
      </c>
      <c r="G245">
        <f t="shared" si="14"/>
      </c>
      <c r="H245" cm="1">
        <f t="array" ref="H245">_xlfn.IFERROR(SMALL(IF(UnitMix_number_of_bedrooms=D245,UnitMix_unit_sizes),1+SUM($I$217:I244)),"")</f>
      </c>
      <c r="I245">
        <f t="shared" si="15"/>
      </c>
    </row>
    <row r="246" ht="14.25" customHeight="1" hidden="1">
      <c r="B246" t="str">
        <f t="shared" si="16"/>
        <v>H</v>
      </c>
      <c r="D246">
        <v>1</v>
      </c>
      <c r="E246">
        <f t="shared" si="12"/>
      </c>
      <c r="F246">
        <f t="shared" si="13"/>
      </c>
      <c r="G246">
        <f t="shared" si="14"/>
      </c>
      <c r="H246" cm="1">
        <f t="array" ref="H246">_xlfn.IFERROR(SMALL(IF(UnitMix_number_of_bedrooms=D246,UnitMix_unit_sizes),1+SUM($I$217:I245)),"")</f>
      </c>
      <c r="I246">
        <f t="shared" si="15"/>
      </c>
    </row>
    <row r="247" ht="14.25" customHeight="1" hidden="1">
      <c r="B247" t="str">
        <f t="shared" si="16"/>
        <v>H</v>
      </c>
      <c r="D247">
        <v>1</v>
      </c>
      <c r="E247">
        <f t="shared" si="12"/>
      </c>
      <c r="F247">
        <f t="shared" si="13"/>
      </c>
      <c r="G247">
        <f t="shared" si="14"/>
      </c>
      <c r="H247" cm="1">
        <f t="array" ref="H247">_xlfn.IFERROR(SMALL(IF(UnitMix_number_of_bedrooms=D247,UnitMix_unit_sizes),1+SUM($I$217:I246)),"")</f>
      </c>
      <c r="I247">
        <f t="shared" si="15"/>
      </c>
    </row>
    <row r="248" ht="14.25" customHeight="1" hidden="1">
      <c r="B248" t="str">
        <f t="shared" si="16"/>
        <v>H</v>
      </c>
      <c r="D248">
        <v>1</v>
      </c>
      <c r="E248">
        <f t="shared" si="12"/>
      </c>
      <c r="F248">
        <f t="shared" si="13"/>
      </c>
      <c r="G248">
        <f t="shared" si="14"/>
      </c>
      <c r="H248" cm="1">
        <f t="array" ref="H248">_xlfn.IFERROR(SMALL(IF(UnitMix_number_of_bedrooms=D248,UnitMix_unit_sizes),1+SUM($I$217:I247)),"")</f>
      </c>
      <c r="I248">
        <f t="shared" si="15"/>
      </c>
    </row>
    <row r="249" ht="14.25" customHeight="1" hidden="1">
      <c r="B249" t="str">
        <f t="shared" si="16"/>
        <v>H</v>
      </c>
      <c r="D249">
        <v>1</v>
      </c>
      <c r="E249">
        <f t="shared" si="12"/>
      </c>
      <c r="F249">
        <f t="shared" si="13"/>
      </c>
      <c r="G249">
        <f t="shared" si="14"/>
      </c>
      <c r="H249" cm="1">
        <f t="array" ref="H249">_xlfn.IFERROR(SMALL(IF(UnitMix_number_of_bedrooms=D249,UnitMix_unit_sizes),1+SUM($I$217:I248)),"")</f>
      </c>
      <c r="I249">
        <f t="shared" si="15"/>
      </c>
    </row>
    <row r="250" ht="14.25" customHeight="1" hidden="1">
      <c r="B250" t="str">
        <f t="shared" si="16"/>
        <v>H</v>
      </c>
      <c r="D250">
        <v>1</v>
      </c>
      <c r="E250">
        <f t="shared" si="12"/>
      </c>
      <c r="F250">
        <f t="shared" si="13"/>
      </c>
      <c r="G250">
        <f t="shared" si="14"/>
      </c>
      <c r="H250" cm="1">
        <f t="array" ref="H250">_xlfn.IFERROR(SMALL(IF(UnitMix_number_of_bedrooms=D250,UnitMix_unit_sizes),1+SUM($I$217:I249)),"")</f>
      </c>
      <c r="I250">
        <f t="shared" si="15"/>
      </c>
    </row>
    <row r="251" ht="14.25" customHeight="1" hidden="1">
      <c r="B251" t="str">
        <f t="shared" si="16"/>
        <v>H</v>
      </c>
      <c r="D251">
        <v>1</v>
      </c>
      <c r="E251">
        <f t="shared" si="12"/>
      </c>
      <c r="F251">
        <f t="shared" si="13"/>
      </c>
      <c r="G251">
        <f t="shared" si="14"/>
      </c>
      <c r="H251" cm="1">
        <f t="array" ref="H251">_xlfn.IFERROR(SMALL(IF(UnitMix_number_of_bedrooms=D251,UnitMix_unit_sizes),1+SUM($I$217:I250)),"")</f>
      </c>
      <c r="I251">
        <f t="shared" si="15"/>
      </c>
    </row>
    <row r="252" ht="14.25" customHeight="1" hidden="1">
      <c r="B252" t="str">
        <f t="shared" si="16"/>
        <v>H</v>
      </c>
      <c r="D252">
        <v>1</v>
      </c>
      <c r="E252">
        <f t="shared" si="12"/>
      </c>
      <c r="F252">
        <f t="shared" si="13"/>
      </c>
      <c r="G252">
        <f t="shared" si="14"/>
      </c>
      <c r="H252" cm="1">
        <f t="array" ref="H252">_xlfn.IFERROR(SMALL(IF(UnitMix_number_of_bedrooms=D252,UnitMix_unit_sizes),1+SUM($I$217:I251)),"")</f>
      </c>
      <c r="I252">
        <f t="shared" si="15"/>
      </c>
    </row>
    <row r="253" ht="14.25" customHeight="1" hidden="1">
      <c r="B253" t="str">
        <f t="shared" si="16"/>
        <v>H</v>
      </c>
      <c r="D253">
        <v>1</v>
      </c>
      <c r="E253">
        <f t="shared" si="12"/>
      </c>
      <c r="F253">
        <f t="shared" si="13"/>
      </c>
      <c r="G253">
        <f t="shared" si="14"/>
      </c>
      <c r="H253" cm="1">
        <f t="array" ref="H253">_xlfn.IFERROR(SMALL(IF(UnitMix_number_of_bedrooms=D253,UnitMix_unit_sizes),1+SUM($I$217:I252)),"")</f>
      </c>
      <c r="I253">
        <f t="shared" si="15"/>
      </c>
    </row>
    <row r="254" ht="14.25" customHeight="1" hidden="1">
      <c r="B254" t="str">
        <f t="shared" si="16"/>
        <v>H</v>
      </c>
      <c r="D254">
        <v>1</v>
      </c>
      <c r="E254">
        <f t="shared" si="12"/>
      </c>
      <c r="F254">
        <f t="shared" si="13"/>
      </c>
      <c r="G254">
        <f t="shared" si="14"/>
      </c>
      <c r="H254" cm="1">
        <f t="array" ref="H254">_xlfn.IFERROR(SMALL(IF(UnitMix_number_of_bedrooms=D254,UnitMix_unit_sizes),1+SUM($I$217:I253)),"")</f>
      </c>
      <c r="I254">
        <f t="shared" si="15"/>
      </c>
    </row>
    <row r="255" ht="14.25" customHeight="1" hidden="1">
      <c r="B255" t="str">
        <f t="shared" si="16"/>
        <v>H</v>
      </c>
      <c r="D255">
        <v>1</v>
      </c>
      <c r="E255">
        <f t="shared" si="12"/>
      </c>
      <c r="F255">
        <f t="shared" si="13"/>
      </c>
      <c r="G255">
        <f t="shared" si="14"/>
      </c>
      <c r="H255" cm="1">
        <f t="array" ref="H255">_xlfn.IFERROR(SMALL(IF(UnitMix_number_of_bedrooms=D255,UnitMix_unit_sizes),1+SUM($I$217:I254)),"")</f>
      </c>
      <c r="I255">
        <f t="shared" si="15"/>
      </c>
    </row>
    <row r="256" ht="14.25" customHeight="1" hidden="1">
      <c r="B256" t="str">
        <f t="shared" si="16"/>
        <v>H</v>
      </c>
      <c r="D256">
        <v>1</v>
      </c>
      <c r="E256">
        <f t="shared" si="12"/>
      </c>
      <c r="F256">
        <f t="shared" si="13"/>
      </c>
      <c r="G256">
        <f t="shared" si="14"/>
      </c>
      <c r="H256" cm="1">
        <f t="array" ref="H256">_xlfn.IFERROR(SMALL(IF(UnitMix_number_of_bedrooms=D256,UnitMix_unit_sizes),1+SUM($I$217:I255)),"")</f>
      </c>
      <c r="I256">
        <f t="shared" si="15"/>
      </c>
    </row>
    <row r="257" ht="14.25" customHeight="1">
      <c r="B257" t="s">
        <v>2547</v>
      </c>
      <c r="D257">
        <v>2</v>
      </c>
      <c r="E257">
        <f t="shared" si="12"/>
        <v>16</v>
      </c>
      <c r="F257">
        <f t="shared" si="13"/>
        <v>15</v>
      </c>
      <c r="G257">
        <f t="shared" si="14"/>
        <v>1364.4666666666667</v>
      </c>
      <c r="H257" cm="1">
        <f t="array" ref="H257">_xlfn.IFERROR(SMALL(IF(UnitMix_number_of_bedrooms=D257,UnitMix_unit_sizes),1),"")</f>
        <v>851</v>
      </c>
      <c r="I257">
        <f t="shared" si="15"/>
        <v>1</v>
      </c>
    </row>
    <row r="258" ht="14.25" customHeight="1" hidden="1">
      <c r="B258" t="str">
        <f t="shared" si="16"/>
        <v>H</v>
      </c>
      <c r="D258">
        <v>2</v>
      </c>
      <c r="E258">
        <f t="shared" si="12"/>
      </c>
      <c r="F258">
        <f t="shared" si="13"/>
      </c>
      <c r="G258">
        <f t="shared" si="14"/>
      </c>
      <c r="H258" cm="1">
        <f t="array" ref="H258">_xlfn.IFERROR(SMALL(IF(UnitMix_number_of_bedrooms=D258,UnitMix_unit_sizes),1+SUM($I$257:I257)),"")</f>
      </c>
      <c r="I258">
        <f t="shared" si="15"/>
      </c>
    </row>
    <row r="259" ht="14.25" customHeight="1" hidden="1">
      <c r="B259" t="str">
        <f t="shared" si="16"/>
        <v>H</v>
      </c>
      <c r="D259">
        <v>2</v>
      </c>
      <c r="E259">
        <f t="shared" si="12"/>
      </c>
      <c r="F259">
        <f t="shared" si="13"/>
      </c>
      <c r="G259">
        <f t="shared" si="14"/>
      </c>
      <c r="H259" cm="1">
        <f t="array" ref="H259">_xlfn.IFERROR(SMALL(IF(UnitMix_number_of_bedrooms=D259,UnitMix_unit_sizes),1+SUM($I$257:I258)),"")</f>
      </c>
      <c r="I259">
        <f t="shared" si="15"/>
      </c>
    </row>
    <row r="260" ht="14.25" customHeight="1" hidden="1">
      <c r="B260" t="str">
        <f t="shared" si="16"/>
        <v>H</v>
      </c>
      <c r="D260">
        <v>2</v>
      </c>
      <c r="E260">
        <f t="shared" si="12"/>
      </c>
      <c r="F260">
        <f t="shared" si="13"/>
      </c>
      <c r="G260">
        <f t="shared" si="14"/>
      </c>
      <c r="H260" cm="1">
        <f t="array" ref="H260">_xlfn.IFERROR(SMALL(IF(UnitMix_number_of_bedrooms=D260,UnitMix_unit_sizes),1+SUM($I$257:I259)),"")</f>
      </c>
      <c r="I260">
        <f t="shared" si="15"/>
      </c>
    </row>
    <row r="261" ht="14.25" customHeight="1" hidden="1">
      <c r="B261" t="str">
        <f t="shared" si="16"/>
        <v>H</v>
      </c>
      <c r="D261">
        <v>2</v>
      </c>
      <c r="E261">
        <f t="shared" si="12"/>
      </c>
      <c r="F261">
        <f t="shared" si="13"/>
      </c>
      <c r="G261">
        <f t="shared" si="14"/>
      </c>
      <c r="H261" cm="1">
        <f t="array" ref="H261">_xlfn.IFERROR(SMALL(IF(UnitMix_number_of_bedrooms=D261,UnitMix_unit_sizes),1+SUM($I$257:I260)),"")</f>
      </c>
      <c r="I261">
        <f t="shared" si="15"/>
      </c>
    </row>
    <row r="262" ht="14.25" customHeight="1" hidden="1">
      <c r="B262" t="str">
        <f t="shared" si="16"/>
        <v>H</v>
      </c>
      <c r="D262">
        <v>2</v>
      </c>
      <c r="E262">
        <f t="shared" si="12"/>
      </c>
      <c r="F262">
        <f t="shared" si="13"/>
      </c>
      <c r="G262">
        <f t="shared" si="14"/>
      </c>
      <c r="H262" cm="1">
        <f t="array" ref="H262">_xlfn.IFERROR(SMALL(IF(UnitMix_number_of_bedrooms=D262,UnitMix_unit_sizes),1+SUM($I$257:I261)),"")</f>
      </c>
      <c r="I262">
        <f t="shared" si="15"/>
      </c>
    </row>
    <row r="263" ht="14.25" customHeight="1" hidden="1">
      <c r="B263" t="str">
        <f t="shared" si="16"/>
        <v>H</v>
      </c>
      <c r="D263">
        <v>2</v>
      </c>
      <c r="E263">
        <f t="shared" si="12"/>
      </c>
      <c r="F263">
        <f t="shared" si="13"/>
      </c>
      <c r="G263">
        <f t="shared" si="14"/>
      </c>
      <c r="H263" cm="1">
        <f t="array" ref="H263">_xlfn.IFERROR(SMALL(IF(UnitMix_number_of_bedrooms=D263,UnitMix_unit_sizes),1+SUM($I$257:I262)),"")</f>
      </c>
      <c r="I263">
        <f t="shared" si="15"/>
      </c>
    </row>
    <row r="264" ht="14.25" customHeight="1" hidden="1">
      <c r="B264" t="str">
        <f t="shared" si="16"/>
        <v>H</v>
      </c>
      <c r="D264">
        <v>2</v>
      </c>
      <c r="E264">
        <f t="shared" si="12"/>
      </c>
      <c r="F264">
        <f t="shared" si="13"/>
      </c>
      <c r="G264">
        <f t="shared" si="14"/>
      </c>
      <c r="H264" cm="1">
        <f t="array" ref="H264">_xlfn.IFERROR(SMALL(IF(UnitMix_number_of_bedrooms=D264,UnitMix_unit_sizes),1+SUM($I$257:I263)),"")</f>
      </c>
      <c r="I264">
        <f t="shared" si="15"/>
      </c>
    </row>
    <row r="265" ht="14.25" customHeight="1" hidden="1">
      <c r="B265" t="str">
        <f t="shared" si="16"/>
        <v>H</v>
      </c>
      <c r="D265">
        <v>2</v>
      </c>
      <c r="E265">
        <f t="shared" si="12"/>
      </c>
      <c r="F265">
        <f t="shared" si="13"/>
      </c>
      <c r="G265">
        <f t="shared" si="14"/>
      </c>
      <c r="H265" cm="1">
        <f t="array" ref="H265">_xlfn.IFERROR(SMALL(IF(UnitMix_number_of_bedrooms=D265,UnitMix_unit_sizes),1+SUM($I$257:I264)),"")</f>
      </c>
      <c r="I265">
        <f t="shared" si="15"/>
      </c>
    </row>
    <row r="266" ht="14.25" customHeight="1" hidden="1">
      <c r="B266" t="str">
        <f t="shared" si="16"/>
        <v>H</v>
      </c>
      <c r="D266">
        <v>2</v>
      </c>
      <c r="E266">
        <f t="shared" si="12"/>
      </c>
      <c r="F266">
        <f t="shared" si="13"/>
      </c>
      <c r="G266">
        <f t="shared" si="14"/>
      </c>
      <c r="H266" cm="1">
        <f t="array" ref="H266">_xlfn.IFERROR(SMALL(IF(UnitMix_number_of_bedrooms=D266,UnitMix_unit_sizes),1+SUM($I$257:I265)),"")</f>
      </c>
      <c r="I266">
        <f t="shared" si="15"/>
      </c>
    </row>
    <row r="267" ht="14.25" customHeight="1" hidden="1">
      <c r="B267" t="str">
        <f t="shared" si="16"/>
        <v>H</v>
      </c>
      <c r="D267">
        <v>2</v>
      </c>
      <c r="E267">
        <f t="shared" si="12"/>
      </c>
      <c r="F267">
        <f t="shared" si="13"/>
      </c>
      <c r="G267">
        <f t="shared" si="14"/>
      </c>
      <c r="H267" cm="1">
        <f t="array" ref="H267">_xlfn.IFERROR(SMALL(IF(UnitMix_number_of_bedrooms=D267,UnitMix_unit_sizes),1+SUM($I$257:I266)),"")</f>
      </c>
      <c r="I267">
        <f t="shared" si="15"/>
      </c>
    </row>
    <row r="268" ht="14.25" customHeight="1" hidden="1">
      <c r="B268" t="str">
        <f t="shared" si="16"/>
        <v>H</v>
      </c>
      <c r="D268">
        <v>2</v>
      </c>
      <c r="E268">
        <f t="shared" si="12"/>
      </c>
      <c r="F268">
        <f t="shared" si="13"/>
      </c>
      <c r="G268">
        <f t="shared" si="14"/>
      </c>
      <c r="H268" cm="1">
        <f t="array" ref="H268">_xlfn.IFERROR(SMALL(IF(UnitMix_number_of_bedrooms=D268,UnitMix_unit_sizes),1+SUM($I$257:I267)),"")</f>
      </c>
      <c r="I268">
        <f t="shared" si="15"/>
      </c>
    </row>
    <row r="269" ht="14.25" customHeight="1" hidden="1">
      <c r="B269" t="str">
        <f t="shared" si="16"/>
        <v>H</v>
      </c>
      <c r="D269">
        <v>2</v>
      </c>
      <c r="E269">
        <f t="shared" si="12"/>
      </c>
      <c r="F269">
        <f t="shared" si="13"/>
      </c>
      <c r="G269">
        <f t="shared" si="14"/>
      </c>
      <c r="H269" cm="1">
        <f t="array" ref="H269">_xlfn.IFERROR(SMALL(IF(UnitMix_number_of_bedrooms=D269,UnitMix_unit_sizes),1+SUM($I$257:I268)),"")</f>
      </c>
      <c r="I269">
        <f t="shared" si="15"/>
      </c>
    </row>
    <row r="270" ht="14.25" customHeight="1" hidden="1">
      <c r="B270" t="str">
        <f t="shared" si="16"/>
        <v>H</v>
      </c>
      <c r="D270">
        <v>2</v>
      </c>
      <c r="E270">
        <f t="shared" si="12"/>
      </c>
      <c r="F270">
        <f t="shared" si="13"/>
      </c>
      <c r="G270">
        <f t="shared" si="14"/>
      </c>
      <c r="H270" cm="1">
        <f t="array" ref="H270">_xlfn.IFERROR(SMALL(IF(UnitMix_number_of_bedrooms=D270,UnitMix_unit_sizes),1+SUM($I$257:I269)),"")</f>
      </c>
      <c r="I270">
        <f t="shared" si="15"/>
      </c>
    </row>
    <row r="271" ht="14.25" customHeight="1" hidden="1">
      <c r="B271" t="str">
        <f t="shared" si="16"/>
        <v>H</v>
      </c>
      <c r="D271">
        <v>2</v>
      </c>
      <c r="E271">
        <f t="shared" si="12"/>
      </c>
      <c r="F271">
        <f t="shared" si="13"/>
      </c>
      <c r="G271">
        <f t="shared" si="14"/>
      </c>
      <c r="H271" cm="1">
        <f t="array" ref="H271">_xlfn.IFERROR(SMALL(IF(UnitMix_number_of_bedrooms=D271,UnitMix_unit_sizes),1+SUM($I$257:I270)),"")</f>
      </c>
      <c r="I271">
        <f t="shared" si="15"/>
      </c>
    </row>
    <row r="272" ht="14.25" customHeight="1" hidden="1">
      <c r="B272" t="str">
        <f t="shared" si="16"/>
        <v>H</v>
      </c>
      <c r="D272">
        <v>2</v>
      </c>
      <c r="E272">
        <f t="shared" si="12"/>
      </c>
      <c r="F272">
        <f t="shared" si="13"/>
      </c>
      <c r="G272">
        <f t="shared" si="14"/>
      </c>
      <c r="H272" cm="1">
        <f t="array" ref="H272">_xlfn.IFERROR(SMALL(IF(UnitMix_number_of_bedrooms=D272,UnitMix_unit_sizes),1+SUM($I$257:I271)),"")</f>
      </c>
      <c r="I272">
        <f t="shared" si="15"/>
      </c>
    </row>
    <row r="273" ht="14.25" customHeight="1" hidden="1">
      <c r="B273" t="str">
        <f t="shared" si="16"/>
        <v>H</v>
      </c>
      <c r="D273">
        <v>2</v>
      </c>
      <c r="E273">
        <f t="shared" si="12"/>
      </c>
      <c r="F273">
        <f t="shared" si="13"/>
      </c>
      <c r="G273">
        <f t="shared" si="14"/>
      </c>
      <c r="H273" cm="1">
        <f t="array" ref="H273">_xlfn.IFERROR(SMALL(IF(UnitMix_number_of_bedrooms=D273,UnitMix_unit_sizes),1+SUM($I$257:I272)),"")</f>
      </c>
      <c r="I273">
        <f t="shared" si="15"/>
      </c>
    </row>
    <row r="274" ht="14.25" customHeight="1" hidden="1">
      <c r="B274" t="str">
        <f t="shared" si="16"/>
        <v>H</v>
      </c>
      <c r="D274">
        <v>2</v>
      </c>
      <c r="E274">
        <f t="shared" si="12"/>
      </c>
      <c r="F274">
        <f t="shared" si="13"/>
      </c>
      <c r="G274">
        <f t="shared" si="14"/>
      </c>
      <c r="H274" cm="1">
        <f t="array" ref="H274">_xlfn.IFERROR(SMALL(IF(UnitMix_number_of_bedrooms=D274,UnitMix_unit_sizes),1+SUM($I$257:I273)),"")</f>
      </c>
      <c r="I274">
        <f t="shared" si="15"/>
      </c>
    </row>
    <row r="275" ht="14.25" customHeight="1" hidden="1">
      <c r="B275" t="str">
        <f t="shared" si="16"/>
        <v>H</v>
      </c>
      <c r="D275">
        <v>2</v>
      </c>
      <c r="E275">
        <f t="shared" si="12"/>
      </c>
      <c r="F275">
        <f t="shared" si="13"/>
      </c>
      <c r="G275">
        <f t="shared" si="14"/>
      </c>
      <c r="H275" cm="1">
        <f t="array" ref="H275">_xlfn.IFERROR(SMALL(IF(UnitMix_number_of_bedrooms=D275,UnitMix_unit_sizes),1+SUM($I$257:I274)),"")</f>
      </c>
      <c r="I275">
        <f t="shared" si="15"/>
      </c>
    </row>
    <row r="276" ht="14.25" customHeight="1" hidden="1">
      <c r="B276" t="str">
        <f t="shared" si="16"/>
        <v>H</v>
      </c>
      <c r="D276">
        <v>2</v>
      </c>
      <c r="E276">
        <f t="shared" si="12"/>
      </c>
      <c r="F276">
        <f t="shared" si="13"/>
      </c>
      <c r="G276">
        <f t="shared" si="14"/>
      </c>
      <c r="H276" cm="1">
        <f t="array" ref="H276">_xlfn.IFERROR(SMALL(IF(UnitMix_number_of_bedrooms=D276,UnitMix_unit_sizes),1+SUM($I$257:I275)),"")</f>
      </c>
      <c r="I276">
        <f t="shared" si="15"/>
      </c>
    </row>
    <row r="277" ht="14.25" customHeight="1" hidden="1">
      <c r="B277" t="str">
        <f t="shared" si="16"/>
        <v>H</v>
      </c>
      <c r="D277">
        <v>2</v>
      </c>
      <c r="E277">
        <f t="shared" si="12"/>
      </c>
      <c r="F277">
        <f t="shared" si="13"/>
      </c>
      <c r="G277">
        <f t="shared" si="14"/>
      </c>
      <c r="H277" cm="1">
        <f t="array" ref="H277">_xlfn.IFERROR(SMALL(IF(UnitMix_number_of_bedrooms=D277,UnitMix_unit_sizes),1+SUM($I$257:I276)),"")</f>
      </c>
      <c r="I277">
        <f t="shared" si="15"/>
      </c>
    </row>
    <row r="278" ht="14.25" customHeight="1" hidden="1">
      <c r="B278" t="str">
        <f t="shared" si="16"/>
        <v>H</v>
      </c>
      <c r="D278">
        <v>2</v>
      </c>
      <c r="E278">
        <f t="shared" si="12"/>
      </c>
      <c r="F278">
        <f t="shared" si="13"/>
      </c>
      <c r="G278">
        <f t="shared" si="14"/>
      </c>
      <c r="H278" cm="1">
        <f t="array" ref="H278">_xlfn.IFERROR(SMALL(IF(UnitMix_number_of_bedrooms=D278,UnitMix_unit_sizes),1+SUM($I$257:I277)),"")</f>
      </c>
      <c r="I278">
        <f t="shared" si="15"/>
      </c>
    </row>
    <row r="279" ht="14.25" customHeight="1" hidden="1">
      <c r="B279" t="str">
        <f t="shared" si="16"/>
        <v>H</v>
      </c>
      <c r="D279">
        <v>2</v>
      </c>
      <c r="E279">
        <f t="shared" si="12"/>
      </c>
      <c r="F279">
        <f t="shared" si="13"/>
      </c>
      <c r="G279">
        <f t="shared" si="14"/>
      </c>
      <c r="H279" cm="1">
        <f t="array" ref="H279">_xlfn.IFERROR(SMALL(IF(UnitMix_number_of_bedrooms=D279,UnitMix_unit_sizes),1+SUM($I$257:I278)),"")</f>
      </c>
      <c r="I279">
        <f t="shared" si="15"/>
      </c>
    </row>
    <row r="280" ht="14.25" customHeight="1" hidden="1">
      <c r="B280" t="str">
        <f t="shared" si="16"/>
        <v>H</v>
      </c>
      <c r="D280">
        <v>2</v>
      </c>
      <c r="E280">
        <f t="shared" si="12"/>
      </c>
      <c r="F280">
        <f t="shared" si="13"/>
      </c>
      <c r="G280">
        <f t="shared" si="14"/>
      </c>
      <c r="H280" cm="1">
        <f t="array" ref="H280">_xlfn.IFERROR(SMALL(IF(UnitMix_number_of_bedrooms=D280,UnitMix_unit_sizes),1+SUM($I$257:I279)),"")</f>
      </c>
      <c r="I280">
        <f t="shared" si="15"/>
      </c>
    </row>
    <row r="281" ht="14.25" customHeight="1" hidden="1">
      <c r="B281" t="str">
        <f t="shared" si="16"/>
        <v>H</v>
      </c>
      <c r="D281">
        <v>2</v>
      </c>
      <c r="E281">
        <f t="shared" si="12"/>
      </c>
      <c r="F281">
        <f t="shared" si="13"/>
      </c>
      <c r="G281">
        <f t="shared" si="14"/>
      </c>
      <c r="H281" cm="1">
        <f t="array" ref="H281">_xlfn.IFERROR(SMALL(IF(UnitMix_number_of_bedrooms=D281,UnitMix_unit_sizes),1+SUM($I$257:I280)),"")</f>
      </c>
      <c r="I281">
        <f t="shared" si="15"/>
      </c>
    </row>
    <row r="282" ht="14.25" customHeight="1" hidden="1">
      <c r="B282" t="str">
        <f t="shared" si="16"/>
        <v>H</v>
      </c>
      <c r="D282">
        <v>2</v>
      </c>
      <c r="E282">
        <f t="shared" si="12"/>
      </c>
      <c r="F282">
        <f t="shared" si="13"/>
      </c>
      <c r="G282">
        <f t="shared" si="14"/>
      </c>
      <c r="H282" cm="1">
        <f t="array" ref="H282">_xlfn.IFERROR(SMALL(IF(UnitMix_number_of_bedrooms=D282,UnitMix_unit_sizes),1+SUM($I$257:I281)),"")</f>
      </c>
      <c r="I282">
        <f t="shared" si="15"/>
      </c>
    </row>
    <row r="283" ht="14.25" customHeight="1" hidden="1">
      <c r="B283" t="str">
        <f t="shared" si="16"/>
        <v>H</v>
      </c>
      <c r="D283">
        <v>2</v>
      </c>
      <c r="E283">
        <f t="shared" si="12"/>
      </c>
      <c r="F283">
        <f t="shared" si="13"/>
      </c>
      <c r="G283">
        <f t="shared" si="14"/>
      </c>
      <c r="H283" cm="1">
        <f t="array" ref="H283">_xlfn.IFERROR(SMALL(IF(UnitMix_number_of_bedrooms=D283,UnitMix_unit_sizes),1+SUM($I$257:I282)),"")</f>
      </c>
      <c r="I283">
        <f t="shared" si="15"/>
      </c>
    </row>
    <row r="284" ht="14.25" customHeight="1" hidden="1">
      <c r="B284" t="str">
        <f t="shared" si="16"/>
        <v>H</v>
      </c>
      <c r="D284">
        <v>2</v>
      </c>
      <c r="E284">
        <f t="shared" si="12"/>
      </c>
      <c r="F284">
        <f t="shared" si="13"/>
      </c>
      <c r="G284">
        <f t="shared" si="14"/>
      </c>
      <c r="H284" cm="1">
        <f t="array" ref="H284">_xlfn.IFERROR(SMALL(IF(UnitMix_number_of_bedrooms=D284,UnitMix_unit_sizes),1+SUM($I$257:I283)),"")</f>
      </c>
      <c r="I284">
        <f t="shared" si="15"/>
      </c>
    </row>
    <row r="285" ht="14.25" customHeight="1" hidden="1">
      <c r="B285" t="str">
        <f t="shared" si="16"/>
        <v>H</v>
      </c>
      <c r="D285">
        <v>2</v>
      </c>
      <c r="E285">
        <f t="shared" si="12"/>
      </c>
      <c r="F285">
        <f t="shared" si="13"/>
      </c>
      <c r="G285">
        <f t="shared" si="14"/>
      </c>
      <c r="H285" cm="1">
        <f t="array" ref="H285">_xlfn.IFERROR(SMALL(IF(UnitMix_number_of_bedrooms=D285,UnitMix_unit_sizes),1+SUM($I$257:I284)),"")</f>
      </c>
      <c r="I285">
        <f t="shared" si="15"/>
      </c>
    </row>
    <row r="286" ht="14.25" customHeight="1" hidden="1">
      <c r="B286" t="str">
        <f t="shared" si="16"/>
        <v>H</v>
      </c>
      <c r="D286">
        <v>2</v>
      </c>
      <c r="E286">
        <f t="shared" si="12"/>
      </c>
      <c r="F286">
        <f t="shared" si="13"/>
      </c>
      <c r="G286">
        <f t="shared" si="14"/>
      </c>
      <c r="H286" cm="1">
        <f t="array" ref="H286">_xlfn.IFERROR(SMALL(IF(UnitMix_number_of_bedrooms=D286,UnitMix_unit_sizes),1+SUM($I$257:I285)),"")</f>
      </c>
      <c r="I286">
        <f t="shared" si="15"/>
      </c>
    </row>
    <row r="287" ht="14.25" customHeight="1" hidden="1">
      <c r="B287" t="str">
        <f t="shared" si="16"/>
        <v>H</v>
      </c>
      <c r="D287">
        <v>2</v>
      </c>
      <c r="E287">
        <f t="shared" si="12"/>
      </c>
      <c r="F287">
        <f t="shared" si="13"/>
      </c>
      <c r="G287">
        <f t="shared" si="14"/>
      </c>
      <c r="H287" cm="1">
        <f t="array" ref="H287">_xlfn.IFERROR(SMALL(IF(UnitMix_number_of_bedrooms=D287,UnitMix_unit_sizes),1+SUM($I$257:I286)),"")</f>
      </c>
      <c r="I287">
        <f t="shared" si="15"/>
      </c>
    </row>
    <row r="288" ht="14.25" customHeight="1" hidden="1">
      <c r="B288" t="str">
        <f t="shared" si="16"/>
        <v>H</v>
      </c>
      <c r="D288">
        <v>2</v>
      </c>
      <c r="E288">
        <f t="shared" si="12"/>
      </c>
      <c r="F288">
        <f t="shared" si="13"/>
      </c>
      <c r="G288">
        <f t="shared" si="14"/>
      </c>
      <c r="H288" cm="1">
        <f t="array" ref="H288">_xlfn.IFERROR(SMALL(IF(UnitMix_number_of_bedrooms=D288,UnitMix_unit_sizes),1+SUM($I$257:I287)),"")</f>
      </c>
      <c r="I288">
        <f t="shared" si="15"/>
      </c>
    </row>
    <row r="289" ht="14.25" customHeight="1" hidden="1">
      <c r="B289" t="str">
        <f t="shared" si="16"/>
        <v>H</v>
      </c>
      <c r="D289">
        <v>2</v>
      </c>
      <c r="E289">
        <f t="shared" si="12"/>
      </c>
      <c r="F289">
        <f t="shared" si="13"/>
      </c>
      <c r="G289">
        <f t="shared" si="14"/>
      </c>
      <c r="H289" cm="1">
        <f t="array" ref="H289">_xlfn.IFERROR(SMALL(IF(UnitMix_number_of_bedrooms=D289,UnitMix_unit_sizes),1+SUM($I$257:I288)),"")</f>
      </c>
      <c r="I289">
        <f t="shared" si="15"/>
      </c>
    </row>
    <row r="290" ht="14.25" customHeight="1" hidden="1">
      <c r="B290" t="str">
        <f t="shared" si="16"/>
        <v>H</v>
      </c>
      <c r="D290">
        <v>2</v>
      </c>
      <c r="E290">
        <f t="shared" si="12"/>
      </c>
      <c r="F290">
        <f t="shared" si="13"/>
      </c>
      <c r="G290">
        <f t="shared" si="14"/>
      </c>
      <c r="H290" cm="1">
        <f t="array" ref="H290">_xlfn.IFERROR(SMALL(IF(UnitMix_number_of_bedrooms=D290,UnitMix_unit_sizes),1+SUM($I$257:I289)),"")</f>
      </c>
      <c r="I290">
        <f t="shared" si="15"/>
      </c>
    </row>
    <row r="291" ht="14.25" customHeight="1" hidden="1">
      <c r="B291" t="str">
        <f t="shared" si="16"/>
        <v>H</v>
      </c>
      <c r="D291">
        <v>2</v>
      </c>
      <c r="E291">
        <f t="shared" si="12"/>
      </c>
      <c r="F291">
        <f t="shared" si="13"/>
      </c>
      <c r="G291">
        <f t="shared" si="14"/>
      </c>
      <c r="H291" cm="1">
        <f t="array" ref="H291">_xlfn.IFERROR(SMALL(IF(UnitMix_number_of_bedrooms=D291,UnitMix_unit_sizes),1+SUM($I$257:I290)),"")</f>
      </c>
      <c r="I291">
        <f t="shared" si="15"/>
      </c>
    </row>
    <row r="292" ht="14.25" customHeight="1" hidden="1">
      <c r="B292" t="str">
        <f t="shared" si="16"/>
        <v>H</v>
      </c>
      <c r="D292">
        <v>2</v>
      </c>
      <c r="E292">
        <f t="shared" si="12"/>
      </c>
      <c r="F292">
        <f t="shared" si="13"/>
      </c>
      <c r="G292">
        <f t="shared" si="14"/>
      </c>
      <c r="H292" cm="1">
        <f t="array" ref="H292">_xlfn.IFERROR(SMALL(IF(UnitMix_number_of_bedrooms=D292,UnitMix_unit_sizes),1+SUM($I$257:I291)),"")</f>
      </c>
      <c r="I292">
        <f t="shared" si="15"/>
      </c>
    </row>
    <row r="293" ht="14.25" customHeight="1" hidden="1">
      <c r="B293" t="str">
        <f t="shared" si="16"/>
        <v>H</v>
      </c>
      <c r="D293">
        <v>2</v>
      </c>
      <c r="E293">
        <f t="shared" si="12"/>
      </c>
      <c r="F293">
        <f t="shared" si="13"/>
      </c>
      <c r="G293">
        <f t="shared" si="14"/>
      </c>
      <c r="H293" cm="1">
        <f t="array" ref="H293">_xlfn.IFERROR(SMALL(IF(UnitMix_number_of_bedrooms=D293,UnitMix_unit_sizes),1+SUM($I$257:I292)),"")</f>
      </c>
      <c r="I293">
        <f t="shared" si="15"/>
      </c>
    </row>
    <row r="294" ht="14.25" customHeight="1" hidden="1">
      <c r="B294" t="str">
        <f t="shared" si="16"/>
        <v>H</v>
      </c>
      <c r="D294">
        <v>2</v>
      </c>
      <c r="E294">
        <f t="shared" si="12"/>
      </c>
      <c r="F294">
        <f t="shared" si="13"/>
      </c>
      <c r="G294">
        <f t="shared" si="14"/>
      </c>
      <c r="H294" cm="1">
        <f t="array" ref="H294">_xlfn.IFERROR(SMALL(IF(UnitMix_number_of_bedrooms=D294,UnitMix_unit_sizes),1+SUM($I$257:I293)),"")</f>
      </c>
      <c r="I294">
        <f t="shared" si="15"/>
      </c>
    </row>
    <row r="295" ht="14.25" customHeight="1" hidden="1">
      <c r="B295" t="str">
        <f t="shared" si="16"/>
        <v>H</v>
      </c>
      <c r="D295">
        <v>2</v>
      </c>
      <c r="E295">
        <f t="shared" si="12"/>
      </c>
      <c r="F295">
        <f t="shared" si="13"/>
      </c>
      <c r="G295">
        <f t="shared" si="14"/>
      </c>
      <c r="H295" cm="1">
        <f t="array" ref="H295">_xlfn.IFERROR(SMALL(IF(UnitMix_number_of_bedrooms=D295,UnitMix_unit_sizes),1+SUM($I$257:I294)),"")</f>
      </c>
      <c r="I295">
        <f t="shared" si="15"/>
      </c>
    </row>
    <row r="296" ht="14.25" customHeight="1" hidden="1">
      <c r="B296" t="str">
        <f t="shared" si="16"/>
        <v>H</v>
      </c>
      <c r="D296">
        <v>2</v>
      </c>
      <c r="E296">
        <f t="shared" si="12"/>
      </c>
      <c r="F296">
        <f t="shared" si="13"/>
      </c>
      <c r="G296">
        <f t="shared" si="14"/>
      </c>
      <c r="H296" cm="1">
        <f t="array" ref="H296">_xlfn.IFERROR(SMALL(IF(UnitMix_number_of_bedrooms=D296,UnitMix_unit_sizes),1+SUM($I$257:I295)),"")</f>
      </c>
      <c r="I296">
        <f t="shared" si="15"/>
      </c>
    </row>
    <row r="297" ht="14.25" customHeight="1">
      <c r="B297" t="s">
        <v>2547</v>
      </c>
      <c r="D297">
        <v>3</v>
      </c>
      <c r="E297">
        <f t="shared" si="12"/>
      </c>
      <c r="F297">
        <f t="shared" si="13"/>
      </c>
      <c r="G297">
        <f t="shared" si="14"/>
      </c>
      <c r="H297" cm="1">
        <f t="array" ref="H297">_xlfn.IFERROR(SMALL(IF(UnitMix_number_of_bedrooms=D297,UnitMix_unit_sizes),1),"")</f>
      </c>
      <c r="I297">
        <f t="shared" si="15"/>
      </c>
    </row>
    <row r="298" ht="14.25" customHeight="1" hidden="1">
      <c r="B298" t="str">
        <f t="shared" si="16"/>
        <v>H</v>
      </c>
      <c r="D298">
        <v>3</v>
      </c>
      <c r="E298">
        <f t="shared" si="12"/>
      </c>
      <c r="F298">
        <f t="shared" si="13"/>
      </c>
      <c r="G298">
        <f t="shared" si="14"/>
      </c>
      <c r="H298" cm="1">
        <f t="array" ref="H298">_xlfn.IFERROR(SMALL(IF(UnitMix_number_of_bedrooms=D298,UnitMix_unit_sizes),1+SUM($I$297:I297)),"")</f>
      </c>
      <c r="I298">
        <f t="shared" si="15"/>
      </c>
    </row>
    <row r="299" ht="14.25" customHeight="1" hidden="1">
      <c r="B299" t="str">
        <f t="shared" si="16"/>
        <v>H</v>
      </c>
      <c r="D299">
        <v>3</v>
      </c>
      <c r="E299">
        <f t="shared" si="12"/>
      </c>
      <c r="F299">
        <f t="shared" si="13"/>
      </c>
      <c r="G299">
        <f t="shared" si="14"/>
      </c>
      <c r="H299" cm="1">
        <f t="array" ref="H299">_xlfn.IFERROR(SMALL(IF(UnitMix_number_of_bedrooms=D299,UnitMix_unit_sizes),1+SUM($I$297:I298)),"")</f>
      </c>
      <c r="I299">
        <f t="shared" si="15"/>
      </c>
    </row>
    <row r="300" ht="14.25" customHeight="1" hidden="1">
      <c r="B300" t="str">
        <f t="shared" si="16"/>
        <v>H</v>
      </c>
      <c r="D300">
        <v>3</v>
      </c>
      <c r="E300">
        <f t="shared" si="12"/>
      </c>
      <c r="F300">
        <f t="shared" si="13"/>
      </c>
      <c r="G300">
        <f t="shared" si="14"/>
      </c>
      <c r="H300" cm="1">
        <f t="array" ref="H300">_xlfn.IFERROR(SMALL(IF(UnitMix_number_of_bedrooms=D300,UnitMix_unit_sizes),1+SUM($I$297:I299)),"")</f>
      </c>
      <c r="I300">
        <f t="shared" si="15"/>
      </c>
    </row>
    <row r="301" ht="14.25" customHeight="1" hidden="1">
      <c r="B301" t="str">
        <f t="shared" si="16"/>
        <v>H</v>
      </c>
      <c r="D301">
        <v>3</v>
      </c>
      <c r="E301">
        <f t="shared" si="12"/>
      </c>
      <c r="F301">
        <f t="shared" si="13"/>
      </c>
      <c r="G301">
        <f t="shared" si="14"/>
      </c>
      <c r="H301" cm="1">
        <f t="array" ref="H301">_xlfn.IFERROR(SMALL(IF(UnitMix_number_of_bedrooms=D301,UnitMix_unit_sizes),1+SUM($I$297:I300)),"")</f>
      </c>
      <c r="I301">
        <f t="shared" si="15"/>
      </c>
    </row>
    <row r="302" ht="14.25" customHeight="1" hidden="1">
      <c r="B302" t="str">
        <f t="shared" si="16"/>
        <v>H</v>
      </c>
      <c r="D302">
        <v>3</v>
      </c>
      <c r="E302">
        <f t="shared" si="12"/>
      </c>
      <c r="F302">
        <f t="shared" si="13"/>
      </c>
      <c r="G302">
        <f t="shared" si="14"/>
      </c>
      <c r="H302" cm="1">
        <f t="array" ref="H302">_xlfn.IFERROR(SMALL(IF(UnitMix_number_of_bedrooms=D302,UnitMix_unit_sizes),1+SUM($I$297:I301)),"")</f>
      </c>
      <c r="I302">
        <f t="shared" si="15"/>
      </c>
    </row>
    <row r="303" ht="14.25" customHeight="1" hidden="1">
      <c r="B303" t="str">
        <f t="shared" si="16"/>
        <v>H</v>
      </c>
      <c r="D303">
        <v>3</v>
      </c>
      <c r="E303">
        <f t="shared" si="12"/>
      </c>
      <c r="F303">
        <f t="shared" si="13"/>
      </c>
      <c r="G303">
        <f t="shared" si="14"/>
      </c>
      <c r="H303" cm="1">
        <f t="array" ref="H303">_xlfn.IFERROR(SMALL(IF(UnitMix_number_of_bedrooms=D303,UnitMix_unit_sizes),1+SUM($I$297:I302)),"")</f>
      </c>
      <c r="I303">
        <f t="shared" si="15"/>
      </c>
    </row>
    <row r="304" ht="14.25" customHeight="1" hidden="1">
      <c r="B304" t="str">
        <f t="shared" si="16"/>
        <v>H</v>
      </c>
      <c r="D304">
        <v>3</v>
      </c>
      <c r="E304">
        <f t="shared" si="12"/>
      </c>
      <c r="F304">
        <f t="shared" si="13"/>
      </c>
      <c r="G304">
        <f t="shared" si="14"/>
      </c>
      <c r="H304" cm="1">
        <f t="array" ref="H304">_xlfn.IFERROR(SMALL(IF(UnitMix_number_of_bedrooms=D304,UnitMix_unit_sizes),1+SUM($I$297:I303)),"")</f>
      </c>
      <c r="I304">
        <f t="shared" si="15"/>
      </c>
    </row>
    <row r="305" ht="14.25" customHeight="1" hidden="1">
      <c r="B305" t="str">
        <f t="shared" si="16"/>
        <v>H</v>
      </c>
      <c r="D305">
        <v>3</v>
      </c>
      <c r="E305">
        <f t="shared" si="12"/>
      </c>
      <c r="F305">
        <f t="shared" si="13"/>
      </c>
      <c r="G305">
        <f t="shared" si="14"/>
      </c>
      <c r="H305" cm="1">
        <f t="array" ref="H305">_xlfn.IFERROR(SMALL(IF(UnitMix_number_of_bedrooms=D305,UnitMix_unit_sizes),1+SUM($I$297:I304)),"")</f>
      </c>
      <c r="I305">
        <f t="shared" si="15"/>
      </c>
    </row>
    <row r="306" ht="14.25" customHeight="1" hidden="1">
      <c r="B306" t="str">
        <f t="shared" si="16"/>
        <v>H</v>
      </c>
      <c r="D306">
        <v>3</v>
      </c>
      <c r="E306">
        <f t="shared" si="12"/>
      </c>
      <c r="F306">
        <f t="shared" si="13"/>
      </c>
      <c r="G306">
        <f t="shared" si="14"/>
      </c>
      <c r="H306" cm="1">
        <f t="array" ref="H306">_xlfn.IFERROR(SMALL(IF(UnitMix_number_of_bedrooms=D306,UnitMix_unit_sizes),1+SUM($I$297:I305)),"")</f>
      </c>
      <c r="I306">
        <f t="shared" si="15"/>
      </c>
    </row>
    <row r="307" ht="14.25" customHeight="1" hidden="1">
      <c r="B307" t="str">
        <f t="shared" si="16"/>
        <v>H</v>
      </c>
      <c r="D307">
        <v>3</v>
      </c>
      <c r="E307">
        <f t="shared" si="12"/>
      </c>
      <c r="F307">
        <f t="shared" si="13"/>
      </c>
      <c r="G307">
        <f t="shared" si="14"/>
      </c>
      <c r="H307" cm="1">
        <f t="array" ref="H307">_xlfn.IFERROR(SMALL(IF(UnitMix_number_of_bedrooms=D307,UnitMix_unit_sizes),1+SUM($I$297:I306)),"")</f>
      </c>
      <c r="I307">
        <f t="shared" si="15"/>
      </c>
    </row>
    <row r="308" ht="14.25" customHeight="1" hidden="1">
      <c r="B308" t="str">
        <f t="shared" si="16"/>
        <v>H</v>
      </c>
      <c r="D308">
        <v>3</v>
      </c>
      <c r="E308">
        <f t="shared" si="12"/>
      </c>
      <c r="F308">
        <f t="shared" si="13"/>
      </c>
      <c r="G308">
        <f t="shared" si="14"/>
      </c>
      <c r="H308" cm="1">
        <f t="array" ref="H308">_xlfn.IFERROR(SMALL(IF(UnitMix_number_of_bedrooms=D308,UnitMix_unit_sizes),1+SUM($I$297:I307)),"")</f>
      </c>
      <c r="I308">
        <f t="shared" si="15"/>
      </c>
    </row>
    <row r="309" ht="14.25" customHeight="1" hidden="1">
      <c r="B309" t="str">
        <f t="shared" si="16"/>
        <v>H</v>
      </c>
      <c r="D309">
        <v>3</v>
      </c>
      <c r="E309">
        <f t="shared" si="12"/>
      </c>
      <c r="F309">
        <f t="shared" si="13"/>
      </c>
      <c r="G309">
        <f t="shared" si="14"/>
      </c>
      <c r="H309" cm="1">
        <f t="array" ref="H309">_xlfn.IFERROR(SMALL(IF(UnitMix_number_of_bedrooms=D309,UnitMix_unit_sizes),1+SUM($I$297:I308)),"")</f>
      </c>
      <c r="I309">
        <f t="shared" si="15"/>
      </c>
    </row>
    <row r="310" ht="14.25" customHeight="1" hidden="1">
      <c r="B310" t="str">
        <f t="shared" si="16"/>
        <v>H</v>
      </c>
      <c r="D310">
        <v>3</v>
      </c>
      <c r="E310">
        <f t="shared" si="12"/>
      </c>
      <c r="F310">
        <f t="shared" si="13"/>
      </c>
      <c r="G310">
        <f t="shared" si="14"/>
      </c>
      <c r="H310" cm="1">
        <f t="array" ref="H310">_xlfn.IFERROR(SMALL(IF(UnitMix_number_of_bedrooms=D310,UnitMix_unit_sizes),1+SUM($I$297:I309)),"")</f>
      </c>
      <c r="I310">
        <f t="shared" si="15"/>
      </c>
    </row>
    <row r="311" ht="14.25" customHeight="1" hidden="1">
      <c r="B311" t="str">
        <f t="shared" si="16"/>
        <v>H</v>
      </c>
      <c r="D311">
        <v>3</v>
      </c>
      <c r="E311">
        <f t="shared" si="12"/>
      </c>
      <c r="F311">
        <f t="shared" si="13"/>
      </c>
      <c r="G311">
        <f t="shared" si="14"/>
      </c>
      <c r="H311" cm="1">
        <f t="array" ref="H311">_xlfn.IFERROR(SMALL(IF(UnitMix_number_of_bedrooms=D311,UnitMix_unit_sizes),1+SUM($I$297:I310)),"")</f>
      </c>
      <c r="I311">
        <f t="shared" si="15"/>
      </c>
    </row>
    <row r="312" ht="14.25" customHeight="1" hidden="1">
      <c r="B312" t="str">
        <f t="shared" si="16"/>
        <v>H</v>
      </c>
      <c r="D312">
        <v>3</v>
      </c>
      <c r="E312">
        <f t="shared" si="12"/>
      </c>
      <c r="F312">
        <f t="shared" si="13"/>
      </c>
      <c r="G312">
        <f t="shared" si="14"/>
      </c>
      <c r="H312" cm="1">
        <f t="array" ref="H312">_xlfn.IFERROR(SMALL(IF(UnitMix_number_of_bedrooms=D312,UnitMix_unit_sizes),1+SUM($I$297:I311)),"")</f>
      </c>
      <c r="I312">
        <f t="shared" si="15"/>
      </c>
    </row>
    <row r="313" ht="14.25" customHeight="1" hidden="1">
      <c r="B313" t="str">
        <f t="shared" si="16"/>
        <v>H</v>
      </c>
      <c r="D313">
        <v>3</v>
      </c>
      <c r="E313">
        <f t="shared" si="12"/>
      </c>
      <c r="F313">
        <f t="shared" si="13"/>
      </c>
      <c r="G313">
        <f t="shared" si="14"/>
      </c>
      <c r="H313" cm="1">
        <f t="array" ref="H313">_xlfn.IFERROR(SMALL(IF(UnitMix_number_of_bedrooms=D313,UnitMix_unit_sizes),1+SUM($I$297:I312)),"")</f>
      </c>
      <c r="I313">
        <f t="shared" si="15"/>
      </c>
    </row>
    <row r="314" ht="14.25" customHeight="1" hidden="1">
      <c r="B314" t="str">
        <f t="shared" si="16"/>
        <v>H</v>
      </c>
      <c r="D314">
        <v>3</v>
      </c>
      <c r="E314">
        <f t="shared" si="12"/>
      </c>
      <c r="F314">
        <f t="shared" si="13"/>
      </c>
      <c r="G314">
        <f t="shared" si="14"/>
      </c>
      <c r="H314" cm="1">
        <f t="array" ref="H314">_xlfn.IFERROR(SMALL(IF(UnitMix_number_of_bedrooms=D314,UnitMix_unit_sizes),1+SUM($I$297:I313)),"")</f>
      </c>
      <c r="I314">
        <f t="shared" si="15"/>
      </c>
    </row>
    <row r="315" ht="14.25" customHeight="1" hidden="1">
      <c r="B315" t="str">
        <f t="shared" si="16"/>
        <v>H</v>
      </c>
      <c r="D315">
        <v>3</v>
      </c>
      <c r="E315">
        <f t="shared" si="12"/>
      </c>
      <c r="F315">
        <f t="shared" si="13"/>
      </c>
      <c r="G315">
        <f t="shared" si="14"/>
      </c>
      <c r="H315" cm="1">
        <f t="array" ref="H315">_xlfn.IFERROR(SMALL(IF(UnitMix_number_of_bedrooms=D315,UnitMix_unit_sizes),1+SUM($I$297:I314)),"")</f>
      </c>
      <c r="I315">
        <f t="shared" si="15"/>
      </c>
    </row>
    <row r="316" ht="14.25" customHeight="1" hidden="1">
      <c r="B316" t="str">
        <f t="shared" si="16"/>
        <v>H</v>
      </c>
      <c r="D316">
        <v>3</v>
      </c>
      <c r="E316">
        <f t="shared" si="12"/>
      </c>
      <c r="F316">
        <f t="shared" si="13"/>
      </c>
      <c r="G316">
        <f t="shared" si="14"/>
      </c>
      <c r="H316" cm="1">
        <f t="array" ref="H316">_xlfn.IFERROR(SMALL(IF(UnitMix_number_of_bedrooms=D316,UnitMix_unit_sizes),1+SUM($I$297:I315)),"")</f>
      </c>
      <c r="I316">
        <f t="shared" si="15"/>
      </c>
    </row>
    <row r="317" ht="14.25" customHeight="1" hidden="1">
      <c r="B317" t="str">
        <f t="shared" si="16"/>
        <v>H</v>
      </c>
      <c r="D317">
        <v>3</v>
      </c>
      <c r="E317">
        <f t="shared" si="12"/>
      </c>
      <c r="F317">
        <f t="shared" si="13"/>
      </c>
      <c r="G317">
        <f t="shared" si="14"/>
      </c>
      <c r="H317" cm="1">
        <f t="array" ref="H317">_xlfn.IFERROR(SMALL(IF(UnitMix_number_of_bedrooms=D317,UnitMix_unit_sizes),1+SUM($I$297:I316)),"")</f>
      </c>
      <c r="I317">
        <f t="shared" si="15"/>
      </c>
    </row>
    <row r="318" ht="14.25" customHeight="1" hidden="1">
      <c r="B318" t="str">
        <f t="shared" si="16"/>
        <v>H</v>
      </c>
      <c r="D318">
        <v>3</v>
      </c>
      <c r="E318">
        <f t="shared" si="12"/>
      </c>
      <c r="F318">
        <f t="shared" si="13"/>
      </c>
      <c r="G318">
        <f t="shared" si="14"/>
      </c>
      <c r="H318" cm="1">
        <f t="array" ref="H318">_xlfn.IFERROR(SMALL(IF(UnitMix_number_of_bedrooms=D318,UnitMix_unit_sizes),1+SUM($I$297:I317)),"")</f>
      </c>
      <c r="I318">
        <f t="shared" si="15"/>
      </c>
    </row>
    <row r="319" ht="14.25" customHeight="1" hidden="1">
      <c r="B319" t="str">
        <f t="shared" si="16"/>
        <v>H</v>
      </c>
      <c r="D319">
        <v>3</v>
      </c>
      <c r="E319">
        <f t="shared" si="12"/>
      </c>
      <c r="F319">
        <f t="shared" si="13"/>
      </c>
      <c r="G319">
        <f t="shared" si="14"/>
      </c>
      <c r="H319" cm="1">
        <f t="array" ref="H319">_xlfn.IFERROR(SMALL(IF(UnitMix_number_of_bedrooms=D319,UnitMix_unit_sizes),1+SUM($I$297:I318)),"")</f>
      </c>
      <c r="I319">
        <f t="shared" si="15"/>
      </c>
    </row>
    <row r="320" ht="14.25" customHeight="1" hidden="1">
      <c r="B320" t="str">
        <f t="shared" si="16"/>
        <v>H</v>
      </c>
      <c r="D320">
        <v>3</v>
      </c>
      <c r="E320">
        <f t="shared" si="12"/>
      </c>
      <c r="F320">
        <f t="shared" si="13"/>
      </c>
      <c r="G320">
        <f t="shared" si="14"/>
      </c>
      <c r="H320" cm="1">
        <f t="array" ref="H320">_xlfn.IFERROR(SMALL(IF(UnitMix_number_of_bedrooms=D320,UnitMix_unit_sizes),1+SUM($I$297:I319)),"")</f>
      </c>
      <c r="I320">
        <f t="shared" si="15"/>
      </c>
    </row>
    <row r="321" ht="14.25" customHeight="1" hidden="1">
      <c r="B321" t="str">
        <f t="shared" si="16"/>
        <v>H</v>
      </c>
      <c r="D321">
        <v>3</v>
      </c>
      <c r="E321">
        <f t="shared" si="12"/>
      </c>
      <c r="F321">
        <f t="shared" si="13"/>
      </c>
      <c r="G321">
        <f t="shared" si="14"/>
      </c>
      <c r="H321" cm="1">
        <f t="array" ref="H321">_xlfn.IFERROR(SMALL(IF(UnitMix_number_of_bedrooms=D321,UnitMix_unit_sizes),1+SUM($I$297:I320)),"")</f>
      </c>
      <c r="I321">
        <f t="shared" si="15"/>
      </c>
    </row>
    <row r="322" ht="14.25" customHeight="1" hidden="1">
      <c r="B322" t="str">
        <f t="shared" si="16"/>
        <v>H</v>
      </c>
      <c r="D322">
        <v>3</v>
      </c>
      <c r="E322">
        <f t="shared" si="12"/>
      </c>
      <c r="F322">
        <f t="shared" si="13"/>
      </c>
      <c r="G322">
        <f t="shared" si="14"/>
      </c>
      <c r="H322" cm="1">
        <f t="array" ref="H322">_xlfn.IFERROR(SMALL(IF(UnitMix_number_of_bedrooms=D322,UnitMix_unit_sizes),1+SUM($I$297:I321)),"")</f>
      </c>
      <c r="I322">
        <f t="shared" si="15"/>
      </c>
    </row>
    <row r="323" ht="14.25" customHeight="1" hidden="1">
      <c r="B323" t="str">
        <f t="shared" si="16"/>
        <v>H</v>
      </c>
      <c r="D323">
        <v>3</v>
      </c>
      <c r="E323">
        <f t="shared" si="12"/>
      </c>
      <c r="F323">
        <f t="shared" si="13"/>
      </c>
      <c r="G323">
        <f t="shared" si="14"/>
      </c>
      <c r="H323" cm="1">
        <f t="array" ref="H323">_xlfn.IFERROR(SMALL(IF(UnitMix_number_of_bedrooms=D323,UnitMix_unit_sizes),1+SUM($I$297:I322)),"")</f>
      </c>
      <c r="I323">
        <f t="shared" si="15"/>
      </c>
    </row>
    <row r="324" ht="14.25" customHeight="1" hidden="1">
      <c r="B324" t="str">
        <f t="shared" si="16"/>
        <v>H</v>
      </c>
      <c r="D324">
        <v>3</v>
      </c>
      <c r="E324">
        <f t="shared" si="12"/>
      </c>
      <c r="F324">
        <f t="shared" si="13"/>
      </c>
      <c r="G324">
        <f t="shared" si="14"/>
      </c>
      <c r="H324" cm="1">
        <f t="array" ref="H324">_xlfn.IFERROR(SMALL(IF(UnitMix_number_of_bedrooms=D324,UnitMix_unit_sizes),1+SUM($I$297:I323)),"")</f>
      </c>
      <c r="I324">
        <f t="shared" si="15"/>
      </c>
    </row>
    <row r="325" ht="14.25" customHeight="1" hidden="1">
      <c r="B325" t="str">
        <f t="shared" si="16"/>
        <v>H</v>
      </c>
      <c r="D325">
        <v>3</v>
      </c>
      <c r="E325">
        <f t="shared" si="12"/>
      </c>
      <c r="F325">
        <f t="shared" si="13"/>
      </c>
      <c r="G325">
        <f t="shared" si="14"/>
      </c>
      <c r="H325" cm="1">
        <f t="array" ref="H325">_xlfn.IFERROR(SMALL(IF(UnitMix_number_of_bedrooms=D325,UnitMix_unit_sizes),1+SUM($I$297:I324)),"")</f>
      </c>
      <c r="I325">
        <f t="shared" si="15"/>
      </c>
    </row>
    <row r="326" ht="14.25" customHeight="1" hidden="1">
      <c r="B326" t="str">
        <f t="shared" si="16"/>
        <v>H</v>
      </c>
      <c r="D326">
        <v>3</v>
      </c>
      <c r="E326">
        <f t="shared" si="12"/>
      </c>
      <c r="F326">
        <f t="shared" si="13"/>
      </c>
      <c r="G326">
        <f t="shared" si="14"/>
      </c>
      <c r="H326" cm="1">
        <f t="array" ref="H326">_xlfn.IFERROR(SMALL(IF(UnitMix_number_of_bedrooms=D326,UnitMix_unit_sizes),1+SUM($I$297:I325)),"")</f>
      </c>
      <c r="I326">
        <f t="shared" si="15"/>
      </c>
    </row>
    <row r="327" ht="14.25" customHeight="1" hidden="1">
      <c r="B327" t="str">
        <f t="shared" si="16"/>
        <v>H</v>
      </c>
      <c r="D327">
        <v>3</v>
      </c>
      <c r="E327">
        <f t="shared" si="12"/>
      </c>
      <c r="F327">
        <f t="shared" si="13"/>
      </c>
      <c r="G327">
        <f t="shared" si="14"/>
      </c>
      <c r="H327" cm="1">
        <f t="array" ref="H327">_xlfn.IFERROR(SMALL(IF(UnitMix_number_of_bedrooms=D327,UnitMix_unit_sizes),1+SUM($I$297:I326)),"")</f>
      </c>
      <c r="I327">
        <f t="shared" si="15"/>
      </c>
    </row>
    <row r="328" ht="14.25" customHeight="1" hidden="1">
      <c r="B328" t="str">
        <f t="shared" si="16"/>
        <v>H</v>
      </c>
      <c r="D328">
        <v>3</v>
      </c>
      <c r="E328">
        <f t="shared" si="12"/>
      </c>
      <c r="F328">
        <f t="shared" si="13"/>
      </c>
      <c r="G328">
        <f t="shared" si="14"/>
      </c>
      <c r="H328" cm="1">
        <f t="array" ref="H328">_xlfn.IFERROR(SMALL(IF(UnitMix_number_of_bedrooms=D328,UnitMix_unit_sizes),1+SUM($I$297:I327)),"")</f>
      </c>
      <c r="I328">
        <f t="shared" si="15"/>
      </c>
    </row>
    <row r="329" ht="14.25" customHeight="1" hidden="1">
      <c r="B329" t="str">
        <f t="shared" si="16"/>
        <v>H</v>
      </c>
      <c r="D329">
        <v>3</v>
      </c>
      <c r="E329">
        <f t="shared" si="12"/>
      </c>
      <c r="F329">
        <f t="shared" si="13"/>
      </c>
      <c r="G329">
        <f t="shared" si="14"/>
      </c>
      <c r="H329" cm="1">
        <f t="array" ref="H329">_xlfn.IFERROR(SMALL(IF(UnitMix_number_of_bedrooms=D329,UnitMix_unit_sizes),1+SUM($I$297:I328)),"")</f>
      </c>
      <c r="I329">
        <f t="shared" si="15"/>
      </c>
    </row>
    <row r="330" ht="14.25" customHeight="1" hidden="1">
      <c r="B330" t="str">
        <f t="shared" si="16"/>
        <v>H</v>
      </c>
      <c r="D330">
        <v>3</v>
      </c>
      <c r="E330">
        <f t="shared" si="12"/>
      </c>
      <c r="F330">
        <f t="shared" si="13"/>
      </c>
      <c r="G330">
        <f t="shared" si="14"/>
      </c>
      <c r="H330" cm="1">
        <f t="array" ref="H330">_xlfn.IFERROR(SMALL(IF(UnitMix_number_of_bedrooms=D330,UnitMix_unit_sizes),1+SUM($I$297:I329)),"")</f>
      </c>
      <c r="I330">
        <f t="shared" si="15"/>
      </c>
    </row>
    <row r="331" ht="14.25" customHeight="1" hidden="1">
      <c r="B331" t="str">
        <f t="shared" si="16"/>
        <v>H</v>
      </c>
      <c r="D331">
        <v>3</v>
      </c>
      <c r="E331">
        <f t="shared" si="12"/>
      </c>
      <c r="F331">
        <f t="shared" si="13"/>
      </c>
      <c r="G331">
        <f t="shared" si="14"/>
      </c>
      <c r="H331" cm="1">
        <f t="array" ref="H331">_xlfn.IFERROR(SMALL(IF(UnitMix_number_of_bedrooms=D331,UnitMix_unit_sizes),1+SUM($I$297:I330)),"")</f>
      </c>
      <c r="I331">
        <f t="shared" si="15"/>
      </c>
    </row>
    <row r="332" ht="14.25" customHeight="1" hidden="1">
      <c r="B332" t="str">
        <f t="shared" si="16"/>
        <v>H</v>
      </c>
      <c r="D332">
        <v>3</v>
      </c>
      <c r="E332">
        <f t="shared" si="12"/>
      </c>
      <c r="F332">
        <f t="shared" si="13"/>
      </c>
      <c r="G332">
        <f t="shared" si="14"/>
      </c>
      <c r="H332" cm="1">
        <f t="array" ref="H332">_xlfn.IFERROR(SMALL(IF(UnitMix_number_of_bedrooms=D332,UnitMix_unit_sizes),1+SUM($I$297:I331)),"")</f>
      </c>
      <c r="I332">
        <f t="shared" si="15"/>
      </c>
    </row>
    <row r="333" ht="14.25" customHeight="1" hidden="1">
      <c r="B333" t="str">
        <f t="shared" si="16"/>
        <v>H</v>
      </c>
      <c r="D333">
        <v>3</v>
      </c>
      <c r="E333">
        <f t="shared" si="12"/>
      </c>
      <c r="F333">
        <f t="shared" si="13"/>
      </c>
      <c r="G333">
        <f t="shared" si="14"/>
      </c>
      <c r="H333" cm="1">
        <f t="array" ref="H333">_xlfn.IFERROR(SMALL(IF(UnitMix_number_of_bedrooms=D333,UnitMix_unit_sizes),1+SUM($I$297:I332)),"")</f>
      </c>
      <c r="I333">
        <f t="shared" si="15"/>
      </c>
    </row>
    <row r="334" ht="14.25" customHeight="1" hidden="1">
      <c r="B334" t="str">
        <f t="shared" si="16"/>
        <v>H</v>
      </c>
      <c r="D334">
        <v>3</v>
      </c>
      <c r="E334">
        <f t="shared" si="12"/>
      </c>
      <c r="F334">
        <f t="shared" si="13"/>
      </c>
      <c r="G334">
        <f t="shared" si="14"/>
      </c>
      <c r="H334" cm="1">
        <f t="array" ref="H334">_xlfn.IFERROR(SMALL(IF(UnitMix_number_of_bedrooms=D334,UnitMix_unit_sizes),1+SUM($I$297:I333)),"")</f>
      </c>
      <c r="I334">
        <f t="shared" si="15"/>
      </c>
    </row>
    <row r="335" ht="14.25" customHeight="1" hidden="1">
      <c r="B335" t="str">
        <f t="shared" si="16"/>
        <v>H</v>
      </c>
      <c r="D335">
        <v>3</v>
      </c>
      <c r="E335">
        <f t="shared" si="12"/>
      </c>
      <c r="F335">
        <f t="shared" si="13"/>
      </c>
      <c r="G335">
        <f t="shared" si="14"/>
      </c>
      <c r="H335" cm="1">
        <f t="array" ref="H335">_xlfn.IFERROR(SMALL(IF(UnitMix_number_of_bedrooms=D335,UnitMix_unit_sizes),1+SUM($I$297:I334)),"")</f>
      </c>
      <c r="I335">
        <f t="shared" si="15"/>
      </c>
    </row>
    <row r="336" ht="14.25" customHeight="1" hidden="1">
      <c r="B336" t="str">
        <f t="shared" si="16"/>
        <v>H</v>
      </c>
      <c r="D336">
        <v>3</v>
      </c>
      <c r="E336">
        <f t="shared" si="12"/>
      </c>
      <c r="F336">
        <f t="shared" si="13"/>
      </c>
      <c r="G336">
        <f t="shared" si="14"/>
      </c>
      <c r="H336" cm="1">
        <f t="array" ref="H336">_xlfn.IFERROR(SMALL(IF(UnitMix_number_of_bedrooms=D336,UnitMix_unit_sizes),1+SUM($I$297:I335)),"")</f>
      </c>
      <c r="I336">
        <f t="shared" si="15"/>
      </c>
    </row>
    <row r="337" ht="14.25" customHeight="1">
      <c r="B337" t="s">
        <v>2547</v>
      </c>
      <c r="D337">
        <v>4</v>
      </c>
      <c r="E337">
        <f t="shared" si="12"/>
      </c>
      <c r="F337">
        <f t="shared" si="13"/>
      </c>
      <c r="G337">
        <f t="shared" si="14"/>
      </c>
      <c r="H337" cm="1">
        <f t="array" ref="H337">_xlfn.IFERROR(SMALL(IF(UnitMix_number_of_bedrooms&gt;=D337,UnitMix_unit_sizes),1),"")</f>
      </c>
      <c r="I337">
        <f t="shared" si="15"/>
      </c>
    </row>
    <row r="338" ht="14.25" customHeight="1" hidden="1">
      <c r="B338" t="str">
        <f t="shared" si="16"/>
        <v>H</v>
      </c>
      <c r="D338">
        <v>4</v>
      </c>
      <c r="E338">
        <f t="shared" si="12"/>
      </c>
      <c r="F338">
        <f t="shared" si="13"/>
      </c>
      <c r="G338">
        <f t="shared" si="14"/>
      </c>
      <c r="H338" cm="1">
        <f t="array" ref="H338">_xlfn.IFERROR(SMALL(IF(UnitMix_number_of_bedrooms&gt;=D338,UnitMix_unit_sizes),1+SUM($I$337:I337)),"")</f>
      </c>
      <c r="I338">
        <f t="shared" si="15"/>
      </c>
    </row>
    <row r="339" ht="14.25" customHeight="1" hidden="1">
      <c r="B339" t="str">
        <f t="shared" si="16"/>
        <v>H</v>
      </c>
      <c r="D339">
        <v>4</v>
      </c>
      <c r="E339">
        <f t="shared" si="12"/>
      </c>
      <c r="F339">
        <f t="shared" si="13"/>
      </c>
      <c r="G339">
        <f t="shared" si="14"/>
      </c>
      <c r="H339" cm="1">
        <f t="array" ref="H339">_xlfn.IFERROR(SMALL(IF(UnitMix_number_of_bedrooms&gt;=D339,UnitMix_unit_sizes),1+SUM($I$337:I338)),"")</f>
      </c>
      <c r="I339">
        <f t="shared" si="15"/>
      </c>
    </row>
    <row r="340" ht="14.25" customHeight="1" hidden="1">
      <c r="B340" t="str">
        <f t="shared" si="16"/>
        <v>H</v>
      </c>
      <c r="D340">
        <v>4</v>
      </c>
      <c r="E340">
        <f t="shared" si="12"/>
      </c>
      <c r="F340">
        <f t="shared" si="13"/>
      </c>
      <c r="G340">
        <f t="shared" si="14"/>
      </c>
      <c r="H340" cm="1">
        <f t="array" ref="H340">_xlfn.IFERROR(SMALL(IF(UnitMix_number_of_bedrooms&gt;=D340,UnitMix_unit_sizes),1+SUM($I$337:I339)),"")</f>
      </c>
      <c r="I340">
        <f t="shared" si="15"/>
      </c>
    </row>
    <row r="341" ht="14.25" customHeight="1" hidden="1">
      <c r="B341" t="str">
        <f t="shared" si="16"/>
        <v>H</v>
      </c>
      <c r="D341">
        <v>4</v>
      </c>
      <c r="E341">
        <f t="shared" si="12"/>
      </c>
      <c r="F341">
        <f t="shared" si="13"/>
      </c>
      <c r="G341">
        <f t="shared" si="14"/>
      </c>
      <c r="H341" cm="1">
        <f t="array" ref="H341">_xlfn.IFERROR(SMALL(IF(UnitMix_number_of_bedrooms&gt;=D341,UnitMix_unit_sizes),1+SUM($I$337:I340)),"")</f>
      </c>
      <c r="I341">
        <f t="shared" si="15"/>
      </c>
    </row>
    <row r="342" ht="14.25" customHeight="1" hidden="1">
      <c r="B342" t="str">
        <f t="shared" si="16"/>
        <v>H</v>
      </c>
      <c r="D342">
        <v>4</v>
      </c>
      <c r="E342">
        <f t="shared" si="12"/>
      </c>
      <c r="F342">
        <f t="shared" si="13"/>
      </c>
      <c r="G342">
        <f t="shared" si="14"/>
      </c>
      <c r="H342" cm="1">
        <f t="array" ref="H342">_xlfn.IFERROR(SMALL(IF(UnitMix_number_of_bedrooms&gt;=D342,UnitMix_unit_sizes),1+SUM($I$337:I341)),"")</f>
      </c>
      <c r="I342">
        <f t="shared" si="15"/>
      </c>
    </row>
    <row r="343" ht="14.25" customHeight="1" hidden="1">
      <c r="B343" t="str">
        <f t="shared" si="16"/>
        <v>H</v>
      </c>
      <c r="D343">
        <v>4</v>
      </c>
      <c r="E343">
        <f t="shared" si="12"/>
      </c>
      <c r="F343">
        <f t="shared" si="13"/>
      </c>
      <c r="G343">
        <f t="shared" si="14"/>
      </c>
      <c r="H343" cm="1">
        <f t="array" ref="H343">_xlfn.IFERROR(SMALL(IF(UnitMix_number_of_bedrooms&gt;=D343,UnitMix_unit_sizes),1+SUM($I$337:I342)),"")</f>
      </c>
      <c r="I343">
        <f t="shared" si="15"/>
      </c>
    </row>
    <row r="344" ht="14.25" customHeight="1" hidden="1">
      <c r="B344" t="str">
        <f t="shared" si="16"/>
        <v>H</v>
      </c>
      <c r="D344">
        <v>4</v>
      </c>
      <c r="E344">
        <f t="shared" si="12"/>
      </c>
      <c r="F344">
        <f t="shared" si="13"/>
      </c>
      <c r="G344">
        <f t="shared" si="14"/>
      </c>
      <c r="H344" cm="1">
        <f t="array" ref="H344">_xlfn.IFERROR(SMALL(IF(UnitMix_number_of_bedrooms&gt;=D344,UnitMix_unit_sizes),1+SUM($I$337:I343)),"")</f>
      </c>
      <c r="I344">
        <f t="shared" si="15"/>
      </c>
    </row>
    <row r="345" ht="14.25" customHeight="1" hidden="1">
      <c r="B345" t="str">
        <f t="shared" si="16"/>
        <v>H</v>
      </c>
      <c r="D345">
        <v>4</v>
      </c>
      <c r="E345">
        <f t="shared" si="12"/>
      </c>
      <c r="F345">
        <f t="shared" si="13"/>
      </c>
      <c r="G345">
        <f t="shared" si="14"/>
      </c>
      <c r="H345" cm="1">
        <f t="array" ref="H345">_xlfn.IFERROR(SMALL(IF(UnitMix_number_of_bedrooms&gt;=D345,UnitMix_unit_sizes),1+SUM($I$337:I344)),"")</f>
      </c>
      <c r="I345">
        <f t="shared" si="15"/>
      </c>
    </row>
    <row r="346" ht="14.25" customHeight="1" hidden="1">
      <c r="B346" t="str">
        <f t="shared" si="16"/>
        <v>H</v>
      </c>
      <c r="D346">
        <v>4</v>
      </c>
      <c r="E346">
        <f t="shared" si="12"/>
      </c>
      <c r="F346">
        <f t="shared" si="13"/>
      </c>
      <c r="G346">
        <f t="shared" si="14"/>
      </c>
      <c r="H346" cm="1">
        <f t="array" ref="H346">_xlfn.IFERROR(SMALL(IF(UnitMix_number_of_bedrooms&gt;=D346,UnitMix_unit_sizes),1+SUM($I$337:I345)),"")</f>
      </c>
      <c r="I346">
        <f t="shared" si="15"/>
      </c>
    </row>
    <row r="347" ht="14.25" customHeight="1" hidden="1">
      <c r="B347" t="str">
        <f t="shared" si="16"/>
        <v>H</v>
      </c>
      <c r="D347">
        <v>4</v>
      </c>
      <c r="E347">
        <f t="shared" si="12"/>
      </c>
      <c r="F347">
        <f t="shared" si="13"/>
      </c>
      <c r="G347">
        <f t="shared" si="14"/>
      </c>
      <c r="H347" cm="1">
        <f t="array" ref="H347">_xlfn.IFERROR(SMALL(IF(UnitMix_number_of_bedrooms&gt;=D347,UnitMix_unit_sizes),1+SUM($I$337:I346)),"")</f>
      </c>
      <c r="I347">
        <f t="shared" si="15"/>
      </c>
    </row>
    <row r="348" ht="14.25" customHeight="1" hidden="1">
      <c r="B348" t="str">
        <f t="shared" si="16"/>
        <v>H</v>
      </c>
      <c r="D348">
        <v>4</v>
      </c>
      <c r="E348">
        <f t="shared" si="12"/>
      </c>
      <c r="F348">
        <f t="shared" si="13"/>
      </c>
      <c r="G348">
        <f t="shared" si="14"/>
      </c>
      <c r="H348" cm="1">
        <f t="array" ref="H348">_xlfn.IFERROR(SMALL(IF(UnitMix_number_of_bedrooms&gt;=D348,UnitMix_unit_sizes),1+SUM($I$337:I347)),"")</f>
      </c>
      <c r="I348">
        <f t="shared" si="15"/>
      </c>
    </row>
    <row r="349" ht="14.25" customHeight="1" hidden="1">
      <c r="B349" t="str">
        <f t="shared" si="16"/>
        <v>H</v>
      </c>
      <c r="D349">
        <v>4</v>
      </c>
      <c r="E349">
        <f t="shared" si="12"/>
      </c>
      <c r="F349">
        <f t="shared" si="13"/>
      </c>
      <c r="G349">
        <f t="shared" si="14"/>
      </c>
      <c r="H349" cm="1">
        <f t="array" ref="H349">_xlfn.IFERROR(SMALL(IF(UnitMix_number_of_bedrooms&gt;=D349,UnitMix_unit_sizes),1+SUM($I$337:I348)),"")</f>
      </c>
      <c r="I349">
        <f t="shared" si="15"/>
      </c>
    </row>
    <row r="350" ht="14.25" customHeight="1" hidden="1">
      <c r="B350" t="str">
        <f t="shared" si="16"/>
        <v>H</v>
      </c>
      <c r="D350">
        <v>4</v>
      </c>
      <c r="E350">
        <f t="shared" si="12"/>
      </c>
      <c r="F350">
        <f t="shared" si="13"/>
      </c>
      <c r="G350">
        <f t="shared" si="14"/>
      </c>
      <c r="H350" cm="1">
        <f t="array" ref="H350">_xlfn.IFERROR(SMALL(IF(UnitMix_number_of_bedrooms&gt;=D350,UnitMix_unit_sizes),1+SUM($I$337:I349)),"")</f>
      </c>
      <c r="I350">
        <f t="shared" si="15"/>
      </c>
    </row>
    <row r="351" ht="14.25" customHeight="1" hidden="1">
      <c r="B351" t="str">
        <f t="shared" si="16"/>
        <v>H</v>
      </c>
      <c r="D351">
        <v>4</v>
      </c>
      <c r="E351">
        <f t="shared" si="12"/>
      </c>
      <c r="F351">
        <f t="shared" si="13"/>
      </c>
      <c r="G351">
        <f t="shared" si="14"/>
      </c>
      <c r="H351" cm="1">
        <f t="array" ref="H351">_xlfn.IFERROR(SMALL(IF(UnitMix_number_of_bedrooms&gt;=D351,UnitMix_unit_sizes),1+SUM($I$337:I350)),"")</f>
      </c>
      <c r="I351">
        <f t="shared" si="15"/>
      </c>
    </row>
    <row r="352" ht="14.25" customHeight="1" hidden="1">
      <c r="B352" t="str">
        <f t="shared" si="16"/>
        <v>H</v>
      </c>
      <c r="D352">
        <v>4</v>
      </c>
      <c r="E352">
        <f t="shared" si="12"/>
      </c>
      <c r="F352">
        <f t="shared" si="13"/>
      </c>
      <c r="G352">
        <f t="shared" si="14"/>
      </c>
      <c r="H352" cm="1">
        <f t="array" ref="H352">_xlfn.IFERROR(SMALL(IF(UnitMix_number_of_bedrooms&gt;=D352,UnitMix_unit_sizes),1+SUM($I$337:I351)),"")</f>
      </c>
      <c r="I352">
        <f t="shared" si="15"/>
      </c>
    </row>
    <row r="353" ht="14.25" customHeight="1" hidden="1">
      <c r="B353" t="str">
        <f t="shared" si="16"/>
        <v>H</v>
      </c>
      <c r="D353">
        <v>4</v>
      </c>
      <c r="E353">
        <f t="shared" si="12"/>
      </c>
      <c r="F353">
        <f t="shared" si="13"/>
      </c>
      <c r="G353">
        <f t="shared" si="14"/>
      </c>
      <c r="H353" cm="1">
        <f t="array" ref="H353">_xlfn.IFERROR(SMALL(IF(UnitMix_number_of_bedrooms&gt;=D353,UnitMix_unit_sizes),1+SUM($I$337:I352)),"")</f>
      </c>
      <c r="I353">
        <f t="shared" si="15"/>
      </c>
    </row>
    <row r="354" ht="14.25" customHeight="1" hidden="1">
      <c r="B354" t="str">
        <f t="shared" si="16"/>
        <v>H</v>
      </c>
      <c r="D354">
        <v>4</v>
      </c>
      <c r="E354">
        <f t="shared" si="12"/>
      </c>
      <c r="F354">
        <f t="shared" si="13"/>
      </c>
      <c r="G354">
        <f t="shared" si="14"/>
      </c>
      <c r="H354" cm="1">
        <f t="array" ref="H354">_xlfn.IFERROR(SMALL(IF(UnitMix_number_of_bedrooms&gt;=D354,UnitMix_unit_sizes),1+SUM($I$337:I353)),"")</f>
      </c>
      <c r="I354">
        <f t="shared" si="15"/>
      </c>
    </row>
    <row r="355" ht="14.25" customHeight="1" hidden="1">
      <c r="B355" t="str">
        <f t="shared" si="16"/>
        <v>H</v>
      </c>
      <c r="D355">
        <v>4</v>
      </c>
      <c r="E355">
        <f t="shared" si="12"/>
      </c>
      <c r="F355">
        <f t="shared" si="13"/>
      </c>
      <c r="G355">
        <f t="shared" si="14"/>
      </c>
      <c r="H355" cm="1">
        <f t="array" ref="H355">_xlfn.IFERROR(SMALL(IF(UnitMix_number_of_bedrooms&gt;=D355,UnitMix_unit_sizes),1+SUM($I$337:I354)),"")</f>
      </c>
      <c r="I355">
        <f t="shared" si="15"/>
      </c>
    </row>
    <row r="356" ht="14.25" customHeight="1" hidden="1">
      <c r="B356" t="str">
        <f t="shared" si="16"/>
        <v>H</v>
      </c>
      <c r="D356">
        <v>4</v>
      </c>
      <c r="E356">
        <f t="shared" si="12"/>
      </c>
      <c r="F356">
        <f t="shared" si="13"/>
      </c>
      <c r="G356">
        <f t="shared" si="14"/>
      </c>
      <c r="H356" cm="1">
        <f t="array" ref="H356">_xlfn.IFERROR(SMALL(IF(UnitMix_number_of_bedrooms&gt;=D356,UnitMix_unit_sizes),1+SUM($I$337:I355)),"")</f>
      </c>
      <c r="I356">
        <f t="shared" si="15"/>
      </c>
    </row>
    <row r="357" ht="14.25" customHeight="1" hidden="1">
      <c r="B357" t="str">
        <f t="shared" si="16"/>
        <v>H</v>
      </c>
      <c r="D357">
        <v>4</v>
      </c>
      <c r="E357">
        <f t="shared" si="12"/>
      </c>
      <c r="F357">
        <f t="shared" si="13"/>
      </c>
      <c r="G357">
        <f t="shared" si="14"/>
      </c>
      <c r="H357" cm="1">
        <f t="array" ref="H357">_xlfn.IFERROR(SMALL(IF(UnitMix_number_of_bedrooms&gt;=D357,UnitMix_unit_sizes),1+SUM($I$337:I356)),"")</f>
      </c>
      <c r="I357">
        <f t="shared" si="15"/>
      </c>
    </row>
    <row r="358" ht="14.25" customHeight="1" hidden="1">
      <c r="B358" t="str">
        <f t="shared" si="16"/>
        <v>H</v>
      </c>
      <c r="D358">
        <v>4</v>
      </c>
      <c r="E358">
        <f t="shared" si="12"/>
      </c>
      <c r="F358">
        <f t="shared" si="13"/>
      </c>
      <c r="G358">
        <f t="shared" si="14"/>
      </c>
      <c r="H358" cm="1">
        <f t="array" ref="H358">_xlfn.IFERROR(SMALL(IF(UnitMix_number_of_bedrooms&gt;=D358,UnitMix_unit_sizes),1+SUM($I$337:I357)),"")</f>
      </c>
      <c r="I358">
        <f t="shared" si="15"/>
      </c>
    </row>
    <row r="359" ht="14.25" customHeight="1" hidden="1">
      <c r="B359" t="str">
        <f t="shared" si="16"/>
        <v>H</v>
      </c>
      <c r="D359">
        <v>4</v>
      </c>
      <c r="E359">
        <f t="shared" si="12"/>
      </c>
      <c r="F359">
        <f t="shared" si="13"/>
      </c>
      <c r="G359">
        <f t="shared" si="14"/>
      </c>
      <c r="H359" cm="1">
        <f t="array" ref="H359">_xlfn.IFERROR(SMALL(IF(UnitMix_number_of_bedrooms&gt;=D359,UnitMix_unit_sizes),1+SUM($I$337:I358)),"")</f>
      </c>
      <c r="I359">
        <f t="shared" si="15"/>
      </c>
    </row>
    <row r="360" ht="14.25" customHeight="1" hidden="1">
      <c r="B360" t="str">
        <f t="shared" si="16"/>
        <v>H</v>
      </c>
      <c r="D360">
        <v>4</v>
      </c>
      <c r="E360">
        <f t="shared" si="12"/>
      </c>
      <c r="F360">
        <f t="shared" si="13"/>
      </c>
      <c r="G360">
        <f t="shared" si="14"/>
      </c>
      <c r="H360" cm="1">
        <f t="array" ref="H360">_xlfn.IFERROR(SMALL(IF(UnitMix_number_of_bedrooms&gt;=D360,UnitMix_unit_sizes),1+SUM($I$337:I359)),"")</f>
      </c>
      <c r="I360">
        <f t="shared" si="15"/>
      </c>
    </row>
    <row r="361" ht="14.25" customHeight="1" hidden="1">
      <c r="B361" t="str">
        <f t="shared" si="16"/>
        <v>H</v>
      </c>
      <c r="D361">
        <v>4</v>
      </c>
      <c r="E361">
        <f t="shared" si="12"/>
      </c>
      <c r="F361">
        <f t="shared" si="13"/>
      </c>
      <c r="G361">
        <f t="shared" si="14"/>
      </c>
      <c r="H361" cm="1">
        <f t="array" ref="H361">_xlfn.IFERROR(SMALL(IF(UnitMix_number_of_bedrooms&gt;=D361,UnitMix_unit_sizes),1+SUM($I$337:I360)),"")</f>
      </c>
      <c r="I361">
        <f t="shared" si="15"/>
      </c>
    </row>
    <row r="362" ht="14.25" customHeight="1" hidden="1">
      <c r="B362" t="str">
        <f t="shared" si="16"/>
        <v>H</v>
      </c>
      <c r="D362">
        <v>4</v>
      </c>
      <c r="E362">
        <f t="shared" si="12"/>
      </c>
      <c r="F362">
        <f t="shared" si="13"/>
      </c>
      <c r="G362">
        <f t="shared" si="14"/>
      </c>
      <c r="H362" cm="1">
        <f t="array" ref="H362">_xlfn.IFERROR(SMALL(IF(UnitMix_number_of_bedrooms&gt;=D362,UnitMix_unit_sizes),1+SUM($I$337:I361)),"")</f>
      </c>
      <c r="I362">
        <f t="shared" si="15"/>
      </c>
    </row>
    <row r="363" ht="14.25" customHeight="1" hidden="1">
      <c r="B363" t="str">
        <f t="shared" si="16"/>
        <v>H</v>
      </c>
      <c r="D363">
        <v>4</v>
      </c>
      <c r="E363">
        <f t="shared" si="12"/>
      </c>
      <c r="F363">
        <f t="shared" si="13"/>
      </c>
      <c r="G363">
        <f t="shared" si="14"/>
      </c>
      <c r="H363" cm="1">
        <f t="array" ref="H363">_xlfn.IFERROR(SMALL(IF(UnitMix_number_of_bedrooms&gt;=D363,UnitMix_unit_sizes),1+SUM($I$337:I362)),"")</f>
      </c>
      <c r="I363">
        <f t="shared" si="15"/>
      </c>
    </row>
    <row r="364" ht="14.25" customHeight="1" hidden="1">
      <c r="B364" t="str">
        <f t="shared" si="16"/>
        <v>H</v>
      </c>
      <c r="D364">
        <v>4</v>
      </c>
      <c r="E364">
        <f t="shared" si="12"/>
      </c>
      <c r="F364">
        <f t="shared" si="13"/>
      </c>
      <c r="G364">
        <f t="shared" si="14"/>
      </c>
      <c r="H364" cm="1">
        <f t="array" ref="H364">_xlfn.IFERROR(SMALL(IF(UnitMix_number_of_bedrooms&gt;=D364,UnitMix_unit_sizes),1+SUM($I$337:I363)),"")</f>
      </c>
      <c r="I364">
        <f t="shared" si="15"/>
      </c>
    </row>
    <row r="365" ht="14.25" customHeight="1" hidden="1">
      <c r="B365" t="str">
        <f t="shared" si="16"/>
        <v>H</v>
      </c>
      <c r="D365">
        <v>4</v>
      </c>
      <c r="E365">
        <f t="shared" si="12"/>
      </c>
      <c r="F365">
        <f t="shared" si="13"/>
      </c>
      <c r="G365">
        <f t="shared" si="14"/>
      </c>
      <c r="H365" cm="1">
        <f t="array" ref="H365">_xlfn.IFERROR(SMALL(IF(UnitMix_number_of_bedrooms&gt;=D365,UnitMix_unit_sizes),1+SUM($I$337:I364)),"")</f>
      </c>
      <c r="I365">
        <f t="shared" si="15"/>
      </c>
    </row>
    <row r="366" ht="14.25" customHeight="1" hidden="1">
      <c r="B366" t="str">
        <f t="shared" si="16"/>
        <v>H</v>
      </c>
      <c r="D366">
        <v>4</v>
      </c>
      <c r="E366">
        <f t="shared" si="12"/>
      </c>
      <c r="F366">
        <f t="shared" si="13"/>
      </c>
      <c r="G366">
        <f t="shared" si="14"/>
      </c>
      <c r="H366" cm="1">
        <f t="array" ref="H366">_xlfn.IFERROR(SMALL(IF(UnitMix_number_of_bedrooms&gt;=D366,UnitMix_unit_sizes),1+SUM($I$337:I365)),"")</f>
      </c>
      <c r="I366">
        <f t="shared" si="15"/>
      </c>
    </row>
    <row r="367" ht="14.25" customHeight="1" hidden="1">
      <c r="B367" t="str">
        <f t="shared" si="16"/>
        <v>H</v>
      </c>
      <c r="D367">
        <v>4</v>
      </c>
      <c r="E367">
        <f t="shared" si="12"/>
      </c>
      <c r="F367">
        <f t="shared" si="13"/>
      </c>
      <c r="G367">
        <f t="shared" si="14"/>
      </c>
      <c r="H367" cm="1">
        <f t="array" ref="H367">_xlfn.IFERROR(SMALL(IF(UnitMix_number_of_bedrooms&gt;=D367,UnitMix_unit_sizes),1+SUM($I$337:I366)),"")</f>
      </c>
      <c r="I367">
        <f t="shared" si="15"/>
      </c>
    </row>
    <row r="368" ht="14.25" customHeight="1" hidden="1">
      <c r="B368" t="str">
        <f t="shared" si="16"/>
        <v>H</v>
      </c>
      <c r="D368">
        <v>4</v>
      </c>
      <c r="E368">
        <f t="shared" si="12"/>
      </c>
      <c r="F368">
        <f t="shared" si="13"/>
      </c>
      <c r="G368">
        <f t="shared" si="14"/>
      </c>
      <c r="H368" cm="1">
        <f t="array" ref="H368">_xlfn.IFERROR(SMALL(IF(UnitMix_number_of_bedrooms&gt;=D368,UnitMix_unit_sizes),1+SUM($I$337:I367)),"")</f>
      </c>
      <c r="I368">
        <f t="shared" si="15"/>
      </c>
    </row>
    <row r="369" ht="14.25" customHeight="1" hidden="1">
      <c r="B369" t="str">
        <f t="shared" si="16"/>
        <v>H</v>
      </c>
      <c r="D369">
        <v>4</v>
      </c>
      <c r="E369">
        <f t="shared" si="12"/>
      </c>
      <c r="F369">
        <f t="shared" si="13"/>
      </c>
      <c r="G369">
        <f t="shared" si="14"/>
      </c>
      <c r="H369" cm="1">
        <f t="array" ref="H369">_xlfn.IFERROR(SMALL(IF(UnitMix_number_of_bedrooms&gt;=D369,UnitMix_unit_sizes),1+SUM($I$337:I368)),"")</f>
      </c>
      <c r="I369">
        <f t="shared" si="15"/>
      </c>
    </row>
    <row r="370" ht="14.25" customHeight="1" hidden="1">
      <c r="B370" t="str">
        <f t="shared" si="16"/>
        <v>H</v>
      </c>
      <c r="D370">
        <v>4</v>
      </c>
      <c r="E370">
        <f t="shared" si="12"/>
      </c>
      <c r="F370">
        <f t="shared" si="13"/>
      </c>
      <c r="G370">
        <f t="shared" si="14"/>
      </c>
      <c r="H370" cm="1">
        <f t="array" ref="H370">_xlfn.IFERROR(SMALL(IF(UnitMix_number_of_bedrooms&gt;=D370,UnitMix_unit_sizes),1+SUM($I$337:I369)),"")</f>
      </c>
      <c r="I370">
        <f t="shared" si="15"/>
      </c>
    </row>
    <row r="371" ht="14.25" customHeight="1" hidden="1">
      <c r="B371" t="str">
        <f t="shared" si="16"/>
        <v>H</v>
      </c>
      <c r="D371">
        <v>4</v>
      </c>
      <c r="E371">
        <f t="shared" si="12"/>
      </c>
      <c r="F371">
        <f t="shared" si="13"/>
      </c>
      <c r="G371">
        <f t="shared" si="14"/>
      </c>
      <c r="H371" cm="1">
        <f t="array" ref="H371">_xlfn.IFERROR(SMALL(IF(UnitMix_number_of_bedrooms&gt;=D371,UnitMix_unit_sizes),1+SUM($I$337:I370)),"")</f>
      </c>
      <c r="I371">
        <f t="shared" si="15"/>
      </c>
    </row>
    <row r="372" ht="14.25" customHeight="1" hidden="1">
      <c r="B372" t="str">
        <f t="shared" si="16"/>
        <v>H</v>
      </c>
      <c r="D372">
        <v>4</v>
      </c>
      <c r="E372">
        <f t="shared" si="12"/>
      </c>
      <c r="F372">
        <f t="shared" si="13"/>
      </c>
      <c r="G372">
        <f t="shared" si="14"/>
      </c>
      <c r="H372" cm="1">
        <f t="array" ref="H372">_xlfn.IFERROR(SMALL(IF(UnitMix_number_of_bedrooms&gt;=D372,UnitMix_unit_sizes),1+SUM($I$337:I371)),"")</f>
      </c>
      <c r="I372">
        <f t="shared" si="15"/>
      </c>
    </row>
    <row r="373" ht="14.25" customHeight="1" hidden="1">
      <c r="B373" t="str">
        <f t="shared" si="16"/>
        <v>H</v>
      </c>
      <c r="D373">
        <v>4</v>
      </c>
      <c r="E373">
        <f t="shared" si="12"/>
      </c>
      <c r="F373">
        <f t="shared" si="13"/>
      </c>
      <c r="G373">
        <f t="shared" si="14"/>
      </c>
      <c r="H373" cm="1">
        <f t="array" ref="H373">_xlfn.IFERROR(SMALL(IF(UnitMix_number_of_bedrooms&gt;=D373,UnitMix_unit_sizes),1+SUM($I$337:I372)),"")</f>
      </c>
      <c r="I373">
        <f t="shared" si="15"/>
      </c>
    </row>
    <row r="374" ht="14.25" customHeight="1" hidden="1">
      <c r="B374" t="str">
        <f t="shared" si="16"/>
        <v>H</v>
      </c>
      <c r="D374">
        <v>4</v>
      </c>
      <c r="E374">
        <f t="shared" si="12"/>
      </c>
      <c r="F374">
        <f t="shared" si="13"/>
      </c>
      <c r="G374">
        <f t="shared" si="14"/>
      </c>
      <c r="H374" cm="1">
        <f t="array" ref="H374">_xlfn.IFERROR(SMALL(IF(UnitMix_number_of_bedrooms&gt;=D374,UnitMix_unit_sizes),1+SUM($I$337:I373)),"")</f>
      </c>
      <c r="I374">
        <f t="shared" si="15"/>
      </c>
    </row>
    <row r="375" ht="14.25" customHeight="1" hidden="1">
      <c r="B375" t="str">
        <f t="shared" si="16"/>
        <v>H</v>
      </c>
      <c r="D375">
        <v>4</v>
      </c>
      <c r="E375">
        <f t="shared" si="12"/>
      </c>
      <c r="F375">
        <f t="shared" si="13"/>
      </c>
      <c r="G375">
        <f t="shared" si="14"/>
      </c>
      <c r="H375" cm="1">
        <f t="array" ref="H375">_xlfn.IFERROR(SMALL(IF(UnitMix_number_of_bedrooms&gt;=D375,UnitMix_unit_sizes),1+SUM($I$337:I374)),"")</f>
      </c>
      <c r="I375">
        <f t="shared" si="15"/>
      </c>
    </row>
    <row r="376" ht="14.25" customHeight="1" hidden="1">
      <c r="B376" t="str">
        <f t="shared" si="16"/>
        <v>H</v>
      </c>
      <c r="D376">
        <v>4</v>
      </c>
      <c r="E376">
        <f t="shared" si="12"/>
      </c>
      <c r="F376">
        <f t="shared" si="13"/>
      </c>
      <c r="G376">
        <f t="shared" si="14"/>
      </c>
      <c r="H376" cm="1">
        <f t="array" ref="H376">_xlfn.IFERROR(SMALL(IF(UnitMix_number_of_bedrooms&gt;=D376,UnitMix_unit_sizes),1+SUM($I$337:I375)),"")</f>
      </c>
      <c r="I376">
        <f t="shared" si="15"/>
      </c>
    </row>
    <row r="377" ht="14.25" customHeight="1">
      <c r="B377" t="str">
        <f t="shared" si="16"/>
        <v>S</v>
      </c>
      <c r="E377">
        <f t="shared" si="17" ref="E377:I377">SUM(E177:E376)</f>
        <v>101</v>
      </c>
      <c r="F377">
        <f t="shared" si="17"/>
        <v>96</v>
      </c>
      <c r="G377">
        <f>SUMPRODUCT(F177:F376,G177:G376)</f>
        <v>122173</v>
      </c>
      <c r="H377">
        <f>SUMPRODUCT(E177:E376,H177:H376)</f>
        <v>84991</v>
      </c>
      <c r="I377">
        <f t="shared" si="17"/>
        <v>5</v>
      </c>
    </row>
  </sheetData>
  <sheetProtection formatCells="0"/>
  <printOptions horizontalCentered="1"/>
  <pageMargins left="0.25" right="0.25" top="0.25" bottom="0.25" header="0.3" footer="0.3"/>
  <pageSetup useFirstPageNumber="1" fitToHeight="1" fitToWidth="1" paperSize="5" firstPageNumber="1" scale="96" pageOrder="downThenOver" orientation="landscape"/>
  <headerFooter>
    <oddHeader>&amp;L&amp;C&amp;R</oddHeader>
    <oddFooter>&amp;L&amp;C&amp;R</oddFooter>
  </headerFooter>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476F4CF-B019-95E4-65AF-C1DD3B3F91CA}" mc:Ignorable="x14ac xr xr2 xr3">
  <sheetPr>
    <pageSetUpPr fitToPage="1"/>
  </sheetPr>
  <dimension ref="A1:AN94"/>
  <sheetViews>
    <sheetView showGridLines="0" topLeftCell="A1" workbookViewId="0">
      <selection activeCell="B2" sqref="B2"/>
    </sheetView>
  </sheetViews>
  <sheetFormatPr defaultRowHeight="12" defaultColWidth="9.57421875" customHeight="1"/>
  <cols>
    <col min="1" max="1" width="54.57421875" customWidth="1"/>
    <col min="2" max="2" width="15.7109375" customWidth="1"/>
    <col min="3" max="11" width="15.7109375" hidden="1" customWidth="1"/>
    <col min="12" max="12" width="15.7109375" customWidth="1"/>
    <col min="13" max="19" width="15.7109375" hidden="1" customWidth="1"/>
    <col min="20" max="20" width="15.7109375" customWidth="1"/>
    <col min="21" max="34" width="15.7109375" hidden="1" customWidth="1"/>
    <col min="35" max="35" width="14.57421875" hidden="1" customWidth="1"/>
    <col min="36" max="36" width="39.28125" customWidth="1"/>
    <col min="37" max="40" width="14.57421875" customWidth="1"/>
  </cols>
  <sheetData>
    <row r="1" ht="12" customHeight="1">
      <c r="A1" t="str">
        <f>"Property Name: "&amp;PropertyName_DataPageTab</f>
        <v>Property Name: XXXX</v>
      </c>
    </row>
    <row r="2" ht="12" customHeight="1">
      <c r="A2" t="s">
        <v>3208</v>
      </c>
      <c r="B2">
        <v>1</v>
      </c>
    </row>
    <row r="3" ht="12" customHeight="1">
      <c r="A3" t="s">
        <v>3209</v>
      </c>
      <c r="B3">
        <v>1</v>
      </c>
    </row>
    <row r="4" ht="12.75" customHeight="1">
      <c r="A4" t="s">
        <v>3210</v>
      </c>
      <c r="B4">
        <v>1</v>
      </c>
    </row>
    <row r="5" ht="12" customHeight="1">
      <c r="A5" t="s">
        <v>3211</v>
      </c>
      <c r="B5" t="s">
        <v>3212</v>
      </c>
      <c r="C5" t="s">
        <v>3213</v>
      </c>
      <c r="D5" t="s">
        <v>3214</v>
      </c>
      <c r="E5" t="s">
        <v>3215</v>
      </c>
      <c r="F5" t="s">
        <v>3216</v>
      </c>
      <c r="G5" t="s">
        <v>3217</v>
      </c>
      <c r="H5" t="s">
        <v>3218</v>
      </c>
      <c r="I5" t="s">
        <v>3219</v>
      </c>
      <c r="J5" t="s">
        <v>3220</v>
      </c>
      <c r="K5" t="s">
        <v>3221</v>
      </c>
      <c r="L5" t="s">
        <v>3222</v>
      </c>
      <c r="M5" t="s">
        <v>3223</v>
      </c>
      <c r="N5" t="s">
        <v>3224</v>
      </c>
      <c r="O5" t="s">
        <v>3225</v>
      </c>
      <c r="P5" t="s">
        <v>3226</v>
      </c>
      <c r="Q5" t="s">
        <v>3227</v>
      </c>
      <c r="R5" t="s">
        <v>3228</v>
      </c>
      <c r="S5" t="s">
        <v>3229</v>
      </c>
      <c r="T5" t="s">
        <v>3230</v>
      </c>
      <c r="U5" t="s">
        <v>3231</v>
      </c>
      <c r="V5" t="s">
        <v>3232</v>
      </c>
      <c r="W5" t="s">
        <v>3233</v>
      </c>
      <c r="X5" t="s">
        <v>3234</v>
      </c>
      <c r="Y5" t="s">
        <v>3235</v>
      </c>
      <c r="Z5" t="s">
        <v>3236</v>
      </c>
      <c r="AA5" t="s">
        <v>3237</v>
      </c>
      <c r="AB5" t="s">
        <v>3238</v>
      </c>
      <c r="AC5" t="s">
        <v>3239</v>
      </c>
      <c r="AD5" t="s">
        <v>3240</v>
      </c>
      <c r="AE5" t="s">
        <v>3241</v>
      </c>
      <c r="AF5" t="s">
        <v>3242</v>
      </c>
      <c r="AG5" t="s">
        <v>3243</v>
      </c>
      <c r="AH5" t="s">
        <v>3244</v>
      </c>
      <c r="AJ5" t="s">
        <v>3245</v>
      </c>
    </row>
    <row r="6" ht="14.25" customHeight="1">
      <c r="A6" t="s">
        <v>3246</v>
      </c>
      <c r="B6" t="s">
        <v>188</v>
      </c>
      <c r="C6" t="s">
        <v>188</v>
      </c>
      <c r="D6" t="s">
        <v>188</v>
      </c>
      <c r="E6" t="s">
        <v>188</v>
      </c>
      <c r="F6" t="s">
        <v>188</v>
      </c>
      <c r="G6" t="s">
        <v>188</v>
      </c>
      <c r="H6" t="s">
        <v>188</v>
      </c>
      <c r="I6" t="s">
        <v>188</v>
      </c>
      <c r="J6" t="s">
        <v>188</v>
      </c>
      <c r="K6" t="s">
        <v>188</v>
      </c>
      <c r="L6" t="s">
        <v>188</v>
      </c>
      <c r="M6" t="s">
        <v>188</v>
      </c>
      <c r="N6" t="s">
        <v>188</v>
      </c>
      <c r="O6" t="s">
        <v>188</v>
      </c>
      <c r="P6" t="s">
        <v>188</v>
      </c>
      <c r="Q6" t="s">
        <v>188</v>
      </c>
      <c r="R6" t="s">
        <v>188</v>
      </c>
      <c r="S6" t="s">
        <v>188</v>
      </c>
      <c r="T6" t="s">
        <v>188</v>
      </c>
      <c r="U6" t="s">
        <v>188</v>
      </c>
      <c r="V6" t="s">
        <v>188</v>
      </c>
      <c r="W6" t="s">
        <v>188</v>
      </c>
      <c r="X6" t="s">
        <v>188</v>
      </c>
      <c r="Y6" t="s">
        <v>188</v>
      </c>
      <c r="Z6" t="s">
        <v>188</v>
      </c>
      <c r="AA6" t="s">
        <v>188</v>
      </c>
      <c r="AB6" t="s">
        <v>188</v>
      </c>
      <c r="AC6" t="s">
        <v>188</v>
      </c>
      <c r="AD6" t="s">
        <v>188</v>
      </c>
      <c r="AE6" t="s">
        <v>188</v>
      </c>
      <c r="AF6" t="s">
        <v>188</v>
      </c>
      <c r="AG6" t="s">
        <v>188</v>
      </c>
      <c r="AH6" t="s">
        <v>188</v>
      </c>
      <c r="AJ6" t="s">
        <v>3247</v>
      </c>
    </row>
    <row r="7" ht="12" customHeight="1">
      <c r="A7" t="s">
        <v>3248</v>
      </c>
      <c r="B7" t="s">
        <v>451</v>
      </c>
      <c r="C7" t="s">
        <v>451</v>
      </c>
      <c r="D7" t="s">
        <v>451</v>
      </c>
      <c r="E7" t="s">
        <v>451</v>
      </c>
      <c r="F7" t="s">
        <v>451</v>
      </c>
      <c r="G7" t="s">
        <v>451</v>
      </c>
      <c r="H7" t="s">
        <v>451</v>
      </c>
      <c r="I7" t="s">
        <v>451</v>
      </c>
      <c r="J7" t="s">
        <v>451</v>
      </c>
      <c r="K7" t="s">
        <v>451</v>
      </c>
      <c r="L7" t="s">
        <v>451</v>
      </c>
      <c r="M7" t="s">
        <v>451</v>
      </c>
      <c r="N7" t="s">
        <v>451</v>
      </c>
      <c r="O7" t="s">
        <v>451</v>
      </c>
      <c r="P7" t="s">
        <v>451</v>
      </c>
      <c r="Q7" t="s">
        <v>451</v>
      </c>
      <c r="R7" t="s">
        <v>451</v>
      </c>
      <c r="S7" t="s">
        <v>451</v>
      </c>
      <c r="T7" t="s">
        <v>451</v>
      </c>
      <c r="U7" t="s">
        <v>451</v>
      </c>
      <c r="V7" t="s">
        <v>451</v>
      </c>
      <c r="W7" t="s">
        <v>451</v>
      </c>
      <c r="X7" t="s">
        <v>451</v>
      </c>
      <c r="Y7" t="s">
        <v>451</v>
      </c>
      <c r="Z7" t="s">
        <v>451</v>
      </c>
      <c r="AA7" t="s">
        <v>451</v>
      </c>
      <c r="AB7" t="s">
        <v>451</v>
      </c>
      <c r="AC7" t="s">
        <v>451</v>
      </c>
      <c r="AD7" t="s">
        <v>451</v>
      </c>
      <c r="AE7" t="s">
        <v>451</v>
      </c>
      <c r="AF7" t="s">
        <v>451</v>
      </c>
      <c r="AG7" t="s">
        <v>451</v>
      </c>
      <c r="AH7" t="s">
        <v>451</v>
      </c>
    </row>
    <row r="8" ht="12" customHeight="1">
      <c r="A8" t="s">
        <v>3249</v>
      </c>
      <c r="B8" t="s">
        <v>363</v>
      </c>
      <c r="C8" t="s">
        <v>363</v>
      </c>
      <c r="D8" t="s">
        <v>363</v>
      </c>
      <c r="E8" t="s">
        <v>363</v>
      </c>
      <c r="F8" t="s">
        <v>363</v>
      </c>
      <c r="G8" t="s">
        <v>363</v>
      </c>
      <c r="H8" t="s">
        <v>363</v>
      </c>
      <c r="I8" t="s">
        <v>363</v>
      </c>
      <c r="J8" t="s">
        <v>363</v>
      </c>
      <c r="K8" t="s">
        <v>363</v>
      </c>
      <c r="L8" t="s">
        <v>363</v>
      </c>
      <c r="M8" t="s">
        <v>363</v>
      </c>
      <c r="N8" t="s">
        <v>363</v>
      </c>
      <c r="O8" t="s">
        <v>363</v>
      </c>
      <c r="P8" t="s">
        <v>363</v>
      </c>
      <c r="Q8" t="s">
        <v>363</v>
      </c>
      <c r="R8" t="s">
        <v>363</v>
      </c>
      <c r="S8" t="s">
        <v>363</v>
      </c>
      <c r="T8" t="s">
        <v>363</v>
      </c>
      <c r="U8" t="s">
        <v>363</v>
      </c>
      <c r="V8" t="s">
        <v>363</v>
      </c>
      <c r="W8" t="s">
        <v>363</v>
      </c>
      <c r="X8" t="s">
        <v>363</v>
      </c>
      <c r="Y8" t="s">
        <v>363</v>
      </c>
      <c r="Z8" t="s">
        <v>363</v>
      </c>
      <c r="AA8" t="s">
        <v>363</v>
      </c>
      <c r="AB8" t="s">
        <v>363</v>
      </c>
      <c r="AC8" t="s">
        <v>363</v>
      </c>
      <c r="AD8" t="s">
        <v>363</v>
      </c>
      <c r="AE8" t="s">
        <v>363</v>
      </c>
      <c r="AF8" t="s">
        <v>363</v>
      </c>
      <c r="AG8" t="s">
        <v>363</v>
      </c>
      <c r="AH8" t="s">
        <v>363</v>
      </c>
    </row>
    <row r="9" ht="12" customHeight="1">
      <c r="A9" t="s">
        <v>3250</v>
      </c>
    </row>
    <row r="10" ht="12" customHeight="1">
      <c r="A10" t="s">
        <v>3251</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ht="12" customHeight="1">
      <c r="A11" t="s">
        <v>3252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ht="12" customHeight="1">
      <c r="A12" t="s">
        <v>3253</v>
      </c>
      <c r="B12">
        <f t="shared" si="0" ref="B12:AH26">B10+B11</f>
        <v>0</v>
      </c>
      <c r="C12">
        <f t="shared" si="0"/>
        <v>0</v>
      </c>
      <c r="D12">
        <f t="shared" si="0"/>
        <v>0</v>
      </c>
      <c r="E12">
        <f t="shared" si="0"/>
        <v>0</v>
      </c>
      <c r="F12">
        <f t="shared" si="0"/>
        <v>0</v>
      </c>
      <c r="G12">
        <f t="shared" si="0"/>
        <v>0</v>
      </c>
      <c r="H12">
        <f t="shared" si="0"/>
        <v>0</v>
      </c>
      <c r="I12">
        <f t="shared" si="0"/>
        <v>0</v>
      </c>
      <c r="J12">
        <f t="shared" si="0"/>
        <v>0</v>
      </c>
      <c r="K12">
        <f t="shared" si="0"/>
        <v>0</v>
      </c>
      <c r="L12">
        <f t="shared" si="0"/>
        <v>0</v>
      </c>
      <c r="M12">
        <f t="shared" si="0"/>
        <v>0</v>
      </c>
      <c r="N12">
        <f t="shared" si="0"/>
        <v>0</v>
      </c>
      <c r="O12">
        <f t="shared" si="0"/>
        <v>0</v>
      </c>
      <c r="P12">
        <f t="shared" si="0"/>
        <v>0</v>
      </c>
      <c r="Q12">
        <f t="shared" si="0"/>
        <v>0</v>
      </c>
      <c r="R12">
        <f t="shared" si="0"/>
        <v>0</v>
      </c>
      <c r="S12">
        <f t="shared" si="0"/>
        <v>0</v>
      </c>
      <c r="T12">
        <f t="shared" si="0"/>
        <v>0</v>
      </c>
      <c r="U12">
        <f t="shared" si="0"/>
        <v>0</v>
      </c>
      <c r="V12">
        <f t="shared" si="0"/>
        <v>0</v>
      </c>
      <c r="W12">
        <f t="shared" si="0"/>
        <v>0</v>
      </c>
      <c r="X12">
        <f t="shared" si="0"/>
        <v>0</v>
      </c>
      <c r="Y12">
        <f t="shared" si="0"/>
        <v>0</v>
      </c>
      <c r="Z12">
        <f t="shared" si="0"/>
        <v>0</v>
      </c>
      <c r="AA12">
        <f t="shared" si="0"/>
        <v>0</v>
      </c>
      <c r="AB12">
        <f t="shared" si="0"/>
        <v>0</v>
      </c>
      <c r="AC12">
        <f t="shared" si="0"/>
        <v>0</v>
      </c>
      <c r="AD12">
        <f t="shared" si="0"/>
        <v>0</v>
      </c>
      <c r="AE12">
        <f t="shared" si="0"/>
        <v>0</v>
      </c>
      <c r="AF12">
        <f t="shared" si="0"/>
        <v>0</v>
      </c>
      <c r="AG12">
        <f t="shared" si="0"/>
        <v>0</v>
      </c>
      <c r="AH12">
        <f t="shared" si="0"/>
        <v>0</v>
      </c>
    </row>
    <row r="13" ht="12" customHeight="1">
      <c r="A13" t="s">
        <v>3254</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ht="12" customHeight="1">
      <c r="A14" t="s">
        <v>3255</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ht="12" customHeight="1">
      <c r="A15" t="s">
        <v>3256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ht="12" customHeight="1">
      <c r="A16" t="s">
        <v>3257</v>
      </c>
      <c r="B16">
        <f t="shared" si="1" ref="B16:AH16">B13+B14+B15</f>
        <v>0</v>
      </c>
      <c r="C16">
        <f t="shared" si="1"/>
        <v>0</v>
      </c>
      <c r="D16">
        <f t="shared" si="1"/>
        <v>0</v>
      </c>
      <c r="E16">
        <f t="shared" si="1"/>
        <v>0</v>
      </c>
      <c r="F16">
        <f t="shared" si="1"/>
        <v>0</v>
      </c>
      <c r="G16">
        <f t="shared" si="1"/>
        <v>0</v>
      </c>
      <c r="H16">
        <f t="shared" si="1"/>
        <v>0</v>
      </c>
      <c r="I16">
        <f t="shared" si="1"/>
        <v>0</v>
      </c>
      <c r="J16">
        <f t="shared" si="1"/>
        <v>0</v>
      </c>
      <c r="K16">
        <f t="shared" si="1"/>
        <v>0</v>
      </c>
      <c r="L16">
        <f t="shared" si="1"/>
        <v>0</v>
      </c>
      <c r="M16">
        <f t="shared" si="1"/>
        <v>0</v>
      </c>
      <c r="N16">
        <f t="shared" si="1"/>
        <v>0</v>
      </c>
      <c r="O16">
        <f t="shared" si="1"/>
        <v>0</v>
      </c>
      <c r="P16">
        <f t="shared" si="1"/>
        <v>0</v>
      </c>
      <c r="Q16">
        <f t="shared" si="1"/>
        <v>0</v>
      </c>
      <c r="R16">
        <f t="shared" si="1"/>
        <v>0</v>
      </c>
      <c r="S16">
        <f t="shared" si="1"/>
        <v>0</v>
      </c>
      <c r="T16">
        <f t="shared" si="1"/>
        <v>0</v>
      </c>
      <c r="U16">
        <f t="shared" si="1"/>
        <v>0</v>
      </c>
      <c r="V16">
        <f t="shared" si="1"/>
        <v>0</v>
      </c>
      <c r="W16">
        <f t="shared" si="1"/>
        <v>0</v>
      </c>
      <c r="X16">
        <f t="shared" si="1"/>
        <v>0</v>
      </c>
      <c r="Y16">
        <f t="shared" si="1"/>
        <v>0</v>
      </c>
      <c r="Z16">
        <f t="shared" si="1"/>
        <v>0</v>
      </c>
      <c r="AA16">
        <f t="shared" si="1"/>
        <v>0</v>
      </c>
      <c r="AB16">
        <f t="shared" si="1"/>
        <v>0</v>
      </c>
      <c r="AC16">
        <f t="shared" si="1"/>
        <v>0</v>
      </c>
      <c r="AD16">
        <f t="shared" si="1"/>
        <v>0</v>
      </c>
      <c r="AE16">
        <f t="shared" si="1"/>
        <v>0</v>
      </c>
      <c r="AF16">
        <f t="shared" si="1"/>
        <v>0</v>
      </c>
      <c r="AG16">
        <f t="shared" si="1"/>
        <v>0</v>
      </c>
      <c r="AH16">
        <f t="shared" si="1"/>
        <v>0</v>
      </c>
    </row>
    <row r="17" ht="12" customHeight="1">
      <c r="A17" t="s">
        <v>3258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ht="12" customHeight="1">
      <c r="A18" t="s">
        <v>3259</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ht="12" customHeight="1">
      <c r="A19" t="s">
        <v>3260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row>
    <row r="20" ht="12" customHeight="1">
      <c r="A20" t="s">
        <v>3261</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ht="12.75" customHeight="1">
      <c r="A21" t="s">
        <v>3262</v>
      </c>
      <c r="B21">
        <f t="shared" si="2" ref="B21:AH21">SUM(B17:B20)</f>
        <v>0</v>
      </c>
      <c r="C21">
        <f t="shared" si="2"/>
        <v>0</v>
      </c>
      <c r="D21">
        <f t="shared" si="2"/>
        <v>0</v>
      </c>
      <c r="E21">
        <f t="shared" si="2"/>
        <v>0</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f t="shared" si="2"/>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c r="AH21">
        <f t="shared" si="2"/>
        <v>0</v>
      </c>
    </row>
    <row r="22" ht="12" customHeight="1">
      <c r="A22" t="s">
        <v>3263</v>
      </c>
      <c r="B22">
        <f t="shared" si="3" ref="B22:AH22">B12+B16+B21</f>
        <v>0</v>
      </c>
      <c r="C22">
        <f t="shared" si="3"/>
        <v>0</v>
      </c>
      <c r="D22">
        <f t="shared" si="3"/>
        <v>0</v>
      </c>
      <c r="E22">
        <f t="shared" si="3"/>
        <v>0</v>
      </c>
      <c r="F22">
        <f t="shared" si="3"/>
        <v>0</v>
      </c>
      <c r="G22">
        <f t="shared" si="3"/>
        <v>0</v>
      </c>
      <c r="H22">
        <f t="shared" si="3"/>
        <v>0</v>
      </c>
      <c r="I22">
        <f t="shared" si="3"/>
        <v>0</v>
      </c>
      <c r="J22">
        <f t="shared" si="3"/>
        <v>0</v>
      </c>
      <c r="K22">
        <f t="shared" si="3"/>
        <v>0</v>
      </c>
      <c r="L22">
        <f t="shared" si="3"/>
        <v>0</v>
      </c>
      <c r="M22">
        <f t="shared" si="3"/>
        <v>0</v>
      </c>
      <c r="N22">
        <f t="shared" si="3"/>
        <v>0</v>
      </c>
      <c r="O22">
        <f t="shared" si="3"/>
        <v>0</v>
      </c>
      <c r="P22">
        <f t="shared" si="3"/>
        <v>0</v>
      </c>
      <c r="Q22">
        <f t="shared" si="3"/>
        <v>0</v>
      </c>
      <c r="R22">
        <f t="shared" si="3"/>
        <v>0</v>
      </c>
      <c r="S22">
        <f t="shared" si="3"/>
        <v>0</v>
      </c>
      <c r="T22">
        <f t="shared" si="3"/>
        <v>0</v>
      </c>
      <c r="U22">
        <f t="shared" si="3"/>
        <v>0</v>
      </c>
      <c r="V22">
        <f t="shared" si="3"/>
        <v>0</v>
      </c>
      <c r="W22">
        <f t="shared" si="3"/>
        <v>0</v>
      </c>
      <c r="X22">
        <f t="shared" si="3"/>
        <v>0</v>
      </c>
      <c r="Y22">
        <f t="shared" si="3"/>
        <v>0</v>
      </c>
      <c r="Z22">
        <f t="shared" si="3"/>
        <v>0</v>
      </c>
      <c r="AA22">
        <f t="shared" si="3"/>
        <v>0</v>
      </c>
      <c r="AB22">
        <f t="shared" si="3"/>
        <v>0</v>
      </c>
      <c r="AC22">
        <f t="shared" si="3"/>
        <v>0</v>
      </c>
      <c r="AD22">
        <f t="shared" si="3"/>
        <v>0</v>
      </c>
      <c r="AE22">
        <f t="shared" si="3"/>
        <v>0</v>
      </c>
      <c r="AF22">
        <f t="shared" si="3"/>
        <v>0</v>
      </c>
      <c r="AG22">
        <f t="shared" si="3"/>
        <v>0</v>
      </c>
      <c r="AH22">
        <f t="shared" si="3"/>
        <v>0</v>
      </c>
    </row>
    <row r="23" ht="12" customHeight="1">
      <c r="A23" t="s">
        <v>3264</v>
      </c>
    </row>
    <row r="24" ht="12" customHeight="1">
      <c r="A24" t="s">
        <v>3265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ht="12" customHeight="1">
      <c r="A25" t="s">
        <v>3266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ht="12" customHeight="1">
      <c r="A26" t="s">
        <v>3267</v>
      </c>
      <c r="B26">
        <f t="shared" si="0"/>
        <v>0</v>
      </c>
      <c r="C26">
        <f t="shared" si="0"/>
        <v>0</v>
      </c>
      <c r="D26">
        <f t="shared" si="0"/>
        <v>0</v>
      </c>
      <c r="E26">
        <f t="shared" si="0"/>
        <v>0</v>
      </c>
      <c r="F26">
        <f t="shared" si="0"/>
        <v>0</v>
      </c>
      <c r="G26">
        <f t="shared" si="0"/>
        <v>0</v>
      </c>
      <c r="H26">
        <f t="shared" si="0"/>
        <v>0</v>
      </c>
      <c r="I26">
        <f t="shared" si="0"/>
        <v>0</v>
      </c>
      <c r="J26">
        <f t="shared" si="0"/>
        <v>0</v>
      </c>
      <c r="K26">
        <f t="shared" si="0"/>
        <v>0</v>
      </c>
      <c r="L26">
        <f t="shared" si="0"/>
        <v>0</v>
      </c>
      <c r="M26">
        <f t="shared" si="0"/>
        <v>0</v>
      </c>
      <c r="N26">
        <f t="shared" si="0"/>
        <v>0</v>
      </c>
      <c r="O26">
        <f t="shared" si="0"/>
        <v>0</v>
      </c>
      <c r="P26">
        <f t="shared" si="0"/>
        <v>0</v>
      </c>
      <c r="Q26">
        <f t="shared" si="0"/>
        <v>0</v>
      </c>
      <c r="R26">
        <f t="shared" si="0"/>
        <v>0</v>
      </c>
      <c r="S26">
        <f t="shared" si="0"/>
        <v>0</v>
      </c>
      <c r="T26">
        <f t="shared" si="0"/>
        <v>0</v>
      </c>
      <c r="U26">
        <f t="shared" si="0"/>
        <v>0</v>
      </c>
      <c r="V26">
        <f t="shared" si="0"/>
        <v>0</v>
      </c>
      <c r="W26">
        <f t="shared" si="0"/>
        <v>0</v>
      </c>
      <c r="X26">
        <f t="shared" si="0"/>
        <v>0</v>
      </c>
      <c r="Y26">
        <f t="shared" si="0"/>
        <v>0</v>
      </c>
      <c r="Z26">
        <f t="shared" si="0"/>
        <v>0</v>
      </c>
      <c r="AA26">
        <f t="shared" si="0"/>
        <v>0</v>
      </c>
      <c r="AB26">
        <f t="shared" si="0"/>
        <v>0</v>
      </c>
      <c r="AC26">
        <f t="shared" si="0"/>
        <v>0</v>
      </c>
      <c r="AD26">
        <f t="shared" si="0"/>
        <v>0</v>
      </c>
      <c r="AE26">
        <f t="shared" si="0"/>
        <v>0</v>
      </c>
      <c r="AF26">
        <f t="shared" si="0"/>
        <v>0</v>
      </c>
      <c r="AG26">
        <f t="shared" si="0"/>
        <v>0</v>
      </c>
      <c r="AH26">
        <f t="shared" si="0"/>
        <v>0</v>
      </c>
    </row>
    <row r="27" ht="12" customHeight="1">
      <c r="A27" t="s">
        <v>3268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ht="12" customHeight="1">
      <c r="A28" t="s">
        <v>3269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ht="12" customHeight="1">
      <c r="A29" t="s">
        <v>3270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ht="12.75" customHeight="1">
      <c r="A30" t="s">
        <v>3271</v>
      </c>
      <c r="B30">
        <f t="shared" si="4" ref="B30:AH30">SUM(B27:B29)</f>
        <v>0</v>
      </c>
      <c r="C30">
        <f t="shared" si="4"/>
        <v>0</v>
      </c>
      <c r="D30">
        <f t="shared" si="4"/>
        <v>0</v>
      </c>
      <c r="E30">
        <f t="shared" si="4"/>
        <v>0</v>
      </c>
      <c r="F30">
        <f t="shared" si="4"/>
        <v>0</v>
      </c>
      <c r="G30">
        <f t="shared" si="4"/>
        <v>0</v>
      </c>
      <c r="H30">
        <f t="shared" si="4"/>
        <v>0</v>
      </c>
      <c r="I30">
        <f t="shared" si="4"/>
        <v>0</v>
      </c>
      <c r="J30">
        <f t="shared" si="4"/>
        <v>0</v>
      </c>
      <c r="K30">
        <f t="shared" si="4"/>
        <v>0</v>
      </c>
      <c r="L30">
        <f t="shared" si="4"/>
        <v>0</v>
      </c>
      <c r="M30">
        <f t="shared" si="4"/>
        <v>0</v>
      </c>
      <c r="N30">
        <f t="shared" si="4"/>
        <v>0</v>
      </c>
      <c r="O30">
        <f t="shared" si="4"/>
        <v>0</v>
      </c>
      <c r="P30">
        <f t="shared" si="4"/>
        <v>0</v>
      </c>
      <c r="Q30">
        <f t="shared" si="4"/>
        <v>0</v>
      </c>
      <c r="R30">
        <f t="shared" si="4"/>
        <v>0</v>
      </c>
      <c r="S30">
        <f t="shared" si="4"/>
        <v>0</v>
      </c>
      <c r="T30">
        <f t="shared" si="4"/>
        <v>0</v>
      </c>
      <c r="U30">
        <f t="shared" si="4"/>
        <v>0</v>
      </c>
      <c r="V30">
        <f t="shared" si="4"/>
        <v>0</v>
      </c>
      <c r="W30">
        <f t="shared" si="4"/>
        <v>0</v>
      </c>
      <c r="X30">
        <f t="shared" si="4"/>
        <v>0</v>
      </c>
      <c r="Y30">
        <f t="shared" si="4"/>
        <v>0</v>
      </c>
      <c r="Z30">
        <f t="shared" si="4"/>
        <v>0</v>
      </c>
      <c r="AA30">
        <f t="shared" si="4"/>
        <v>0</v>
      </c>
      <c r="AB30">
        <f t="shared" si="4"/>
        <v>0</v>
      </c>
      <c r="AC30">
        <f t="shared" si="4"/>
        <v>0</v>
      </c>
      <c r="AD30">
        <f t="shared" si="4"/>
        <v>0</v>
      </c>
      <c r="AE30">
        <f t="shared" si="4"/>
        <v>0</v>
      </c>
      <c r="AF30">
        <f t="shared" si="4"/>
        <v>0</v>
      </c>
      <c r="AG30">
        <f t="shared" si="4"/>
        <v>0</v>
      </c>
      <c r="AH30">
        <f t="shared" si="4"/>
        <v>0</v>
      </c>
    </row>
    <row r="31" ht="12" customHeight="1">
      <c r="A31" t="s">
        <v>3272</v>
      </c>
      <c r="B31">
        <f t="shared" si="5" ref="B31:AH31">B26+B30</f>
        <v>0</v>
      </c>
      <c r="C31">
        <f t="shared" si="5"/>
        <v>0</v>
      </c>
      <c r="D31">
        <f t="shared" si="5"/>
        <v>0</v>
      </c>
      <c r="E31">
        <f t="shared" si="5"/>
        <v>0</v>
      </c>
      <c r="F31">
        <f t="shared" si="5"/>
        <v>0</v>
      </c>
      <c r="G31">
        <f t="shared" si="5"/>
        <v>0</v>
      </c>
      <c r="H31">
        <f t="shared" si="5"/>
        <v>0</v>
      </c>
      <c r="I31">
        <f t="shared" si="5"/>
        <v>0</v>
      </c>
      <c r="J31">
        <f t="shared" si="5"/>
        <v>0</v>
      </c>
      <c r="K31">
        <f t="shared" si="5"/>
        <v>0</v>
      </c>
      <c r="L31">
        <f t="shared" si="5"/>
        <v>0</v>
      </c>
      <c r="M31">
        <f t="shared" si="5"/>
        <v>0</v>
      </c>
      <c r="N31">
        <f t="shared" si="5"/>
        <v>0</v>
      </c>
      <c r="O31">
        <f t="shared" si="5"/>
        <v>0</v>
      </c>
      <c r="P31">
        <f t="shared" si="5"/>
        <v>0</v>
      </c>
      <c r="Q31">
        <f t="shared" si="5"/>
        <v>0</v>
      </c>
      <c r="R31">
        <f t="shared" si="5"/>
        <v>0</v>
      </c>
      <c r="S31">
        <f t="shared" si="5"/>
        <v>0</v>
      </c>
      <c r="T31">
        <f t="shared" si="5"/>
        <v>0</v>
      </c>
      <c r="U31">
        <f t="shared" si="5"/>
        <v>0</v>
      </c>
      <c r="V31">
        <f t="shared" si="5"/>
        <v>0</v>
      </c>
      <c r="W31">
        <f t="shared" si="5"/>
        <v>0</v>
      </c>
      <c r="X31">
        <f t="shared" si="5"/>
        <v>0</v>
      </c>
      <c r="Y31">
        <f t="shared" si="5"/>
        <v>0</v>
      </c>
      <c r="Z31">
        <f t="shared" si="5"/>
        <v>0</v>
      </c>
      <c r="AA31">
        <f t="shared" si="5"/>
        <v>0</v>
      </c>
      <c r="AB31">
        <f t="shared" si="5"/>
        <v>0</v>
      </c>
      <c r="AC31">
        <f t="shared" si="5"/>
        <v>0</v>
      </c>
      <c r="AD31">
        <f t="shared" si="5"/>
        <v>0</v>
      </c>
      <c r="AE31">
        <f t="shared" si="5"/>
        <v>0</v>
      </c>
      <c r="AF31">
        <f t="shared" si="5"/>
        <v>0</v>
      </c>
      <c r="AG31">
        <f t="shared" si="5"/>
        <v>0</v>
      </c>
      <c r="AH31">
        <f t="shared" si="5"/>
        <v>0</v>
      </c>
    </row>
    <row r="32" ht="12" customHeight="1">
      <c r="A32" t="s">
        <v>3273</v>
      </c>
      <c r="B32">
        <f t="shared" si="6" ref="B32:AH32">B22-B31</f>
        <v>0</v>
      </c>
      <c r="C32">
        <f t="shared" si="6"/>
        <v>0</v>
      </c>
      <c r="D32">
        <f t="shared" si="6"/>
        <v>0</v>
      </c>
      <c r="E32">
        <f t="shared" si="6"/>
        <v>0</v>
      </c>
      <c r="F32">
        <f t="shared" si="6"/>
        <v>0</v>
      </c>
      <c r="G32">
        <f t="shared" si="6"/>
        <v>0</v>
      </c>
      <c r="H32">
        <f t="shared" si="6"/>
        <v>0</v>
      </c>
      <c r="I32">
        <f t="shared" si="6"/>
        <v>0</v>
      </c>
      <c r="J32">
        <f t="shared" si="6"/>
        <v>0</v>
      </c>
      <c r="K32">
        <f t="shared" si="6"/>
        <v>0</v>
      </c>
      <c r="L32">
        <f t="shared" si="6"/>
        <v>0</v>
      </c>
      <c r="M32">
        <f t="shared" si="6"/>
        <v>0</v>
      </c>
      <c r="N32">
        <f t="shared" si="6"/>
        <v>0</v>
      </c>
      <c r="O32">
        <f t="shared" si="6"/>
        <v>0</v>
      </c>
      <c r="P32">
        <f t="shared" si="6"/>
        <v>0</v>
      </c>
      <c r="Q32">
        <f t="shared" si="6"/>
        <v>0</v>
      </c>
      <c r="R32">
        <f t="shared" si="6"/>
        <v>0</v>
      </c>
      <c r="S32">
        <f t="shared" si="6"/>
        <v>0</v>
      </c>
      <c r="T32">
        <f t="shared" si="6"/>
        <v>0</v>
      </c>
      <c r="U32">
        <f t="shared" si="6"/>
        <v>0</v>
      </c>
      <c r="V32">
        <f t="shared" si="6"/>
        <v>0</v>
      </c>
      <c r="W32">
        <f t="shared" si="6"/>
        <v>0</v>
      </c>
      <c r="X32">
        <f t="shared" si="6"/>
        <v>0</v>
      </c>
      <c r="Y32">
        <f t="shared" si="6"/>
        <v>0</v>
      </c>
      <c r="Z32">
        <f t="shared" si="6"/>
        <v>0</v>
      </c>
      <c r="AA32">
        <f t="shared" si="6"/>
        <v>0</v>
      </c>
      <c r="AB32">
        <f t="shared" si="6"/>
        <v>0</v>
      </c>
      <c r="AC32">
        <f t="shared" si="6"/>
        <v>0</v>
      </c>
      <c r="AD32">
        <f t="shared" si="6"/>
        <v>0</v>
      </c>
      <c r="AE32">
        <f t="shared" si="6"/>
        <v>0</v>
      </c>
      <c r="AF32">
        <f t="shared" si="6"/>
        <v>0</v>
      </c>
      <c r="AG32">
        <f t="shared" si="6"/>
        <v>0</v>
      </c>
      <c r="AH32">
        <f t="shared" si="6"/>
        <v>0</v>
      </c>
    </row>
    <row r="33" ht="12" customHeight="1">
      <c r="A33" t="s">
        <v>3274</v>
      </c>
      <c r="L33">
        <v>0</v>
      </c>
      <c r="M33">
        <v>0</v>
      </c>
      <c r="N33">
        <v>0</v>
      </c>
      <c r="O33">
        <v>0</v>
      </c>
      <c r="P33">
        <v>0</v>
      </c>
      <c r="Q33">
        <v>0</v>
      </c>
      <c r="R33">
        <v>0</v>
      </c>
      <c r="S33">
        <v>0</v>
      </c>
    </row>
    <row r="34" ht="12" customHeight="1">
      <c r="A34" t="s">
        <v>3275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row>
    <row r="35" ht="12" customHeight="1">
      <c r="A35" t="s">
        <v>3276</v>
      </c>
      <c r="L35">
        <v>0</v>
      </c>
      <c r="M35">
        <v>0</v>
      </c>
      <c r="N35">
        <v>0</v>
      </c>
      <c r="O35">
        <v>0</v>
      </c>
      <c r="P35">
        <v>0</v>
      </c>
      <c r="Q35">
        <v>0</v>
      </c>
      <c r="R35">
        <v>0</v>
      </c>
      <c r="S35">
        <v>0</v>
      </c>
    </row>
    <row r="36" ht="12" customHeight="1">
      <c r="A36" t="s">
        <v>3277</v>
      </c>
      <c r="L36">
        <v>0</v>
      </c>
      <c r="M36">
        <v>0</v>
      </c>
      <c r="N36">
        <v>0</v>
      </c>
      <c r="O36">
        <v>0</v>
      </c>
      <c r="P36">
        <v>0</v>
      </c>
      <c r="Q36">
        <v>0</v>
      </c>
      <c r="R36">
        <v>0</v>
      </c>
      <c r="S36">
        <v>0</v>
      </c>
    </row>
    <row r="37" ht="12" customHeight="1">
      <c r="A37" t="s">
        <v>3278</v>
      </c>
      <c r="L37">
        <v>0</v>
      </c>
      <c r="M37">
        <v>0</v>
      </c>
      <c r="N37">
        <v>0</v>
      </c>
      <c r="O37">
        <v>0</v>
      </c>
      <c r="P37">
        <v>0</v>
      </c>
      <c r="Q37">
        <v>0</v>
      </c>
      <c r="R37">
        <v>0</v>
      </c>
      <c r="S37">
        <v>0</v>
      </c>
    </row>
    <row r="38" ht="12" customHeight="1">
      <c r="A38" t="s">
        <v>3279</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ht="12" customHeight="1">
      <c r="A39" t="s">
        <v>3280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ht="12" customHeight="1">
      <c r="A40" t="s">
        <v>3281</v>
      </c>
      <c r="L40" t="s">
        <v>188</v>
      </c>
      <c r="M40" t="s">
        <v>188</v>
      </c>
      <c r="N40" t="s">
        <v>188</v>
      </c>
      <c r="O40" t="s">
        <v>188</v>
      </c>
      <c r="P40" t="s">
        <v>188</v>
      </c>
      <c r="Q40" t="s">
        <v>188</v>
      </c>
      <c r="R40" t="s">
        <v>188</v>
      </c>
      <c r="S40" t="s">
        <v>188</v>
      </c>
    </row>
    <row r="41" ht="12" customHeight="1">
      <c r="A41" t="s">
        <v>3282</v>
      </c>
      <c r="L41">
        <v>0</v>
      </c>
      <c r="M41">
        <v>0</v>
      </c>
      <c r="N41">
        <v>0</v>
      </c>
      <c r="O41">
        <v>0</v>
      </c>
      <c r="P41">
        <v>0</v>
      </c>
      <c r="Q41">
        <v>0</v>
      </c>
      <c r="R41">
        <v>0</v>
      </c>
      <c r="S41">
        <v>0</v>
      </c>
    </row>
    <row r="42" ht="12" customHeight="1">
      <c r="A42" t="s">
        <v>3283</v>
      </c>
      <c r="L42">
        <v>0</v>
      </c>
      <c r="M42">
        <v>0</v>
      </c>
      <c r="N42">
        <v>0</v>
      </c>
      <c r="O42">
        <v>0</v>
      </c>
      <c r="P42">
        <v>0</v>
      </c>
      <c r="Q42">
        <v>0</v>
      </c>
      <c r="R42">
        <v>0</v>
      </c>
      <c r="S42">
        <v>0</v>
      </c>
    </row>
    <row r="43" ht="12" customHeight="1">
      <c r="A43" t="s">
        <v>3284</v>
      </c>
      <c r="L43">
        <v>0</v>
      </c>
      <c r="M43">
        <v>0</v>
      </c>
      <c r="N43">
        <v>0</v>
      </c>
      <c r="O43">
        <v>0</v>
      </c>
      <c r="P43">
        <v>0</v>
      </c>
      <c r="Q43">
        <v>0</v>
      </c>
      <c r="R43">
        <v>0</v>
      </c>
      <c r="S43">
        <v>0</v>
      </c>
    </row>
    <row r="44" ht="12" customHeight="1">
      <c r="A44" t="s">
        <v>3285</v>
      </c>
    </row>
    <row r="45" ht="12" customHeight="1">
      <c r="A45" t="s">
        <v>3286</v>
      </c>
      <c r="B45" t="s">
        <v>269</v>
      </c>
      <c r="C45" t="s">
        <v>269</v>
      </c>
      <c r="D45" t="s">
        <v>269</v>
      </c>
      <c r="E45" t="s">
        <v>269</v>
      </c>
      <c r="F45" t="s">
        <v>269</v>
      </c>
      <c r="G45" t="s">
        <v>269</v>
      </c>
      <c r="H45" t="s">
        <v>269</v>
      </c>
      <c r="I45" t="s">
        <v>269</v>
      </c>
      <c r="J45" t="s">
        <v>269</v>
      </c>
      <c r="K45" t="s">
        <v>269</v>
      </c>
      <c r="L45" t="s">
        <v>269</v>
      </c>
      <c r="M45" t="s">
        <v>269</v>
      </c>
      <c r="N45" t="s">
        <v>269</v>
      </c>
      <c r="O45" t="s">
        <v>269</v>
      </c>
      <c r="P45" t="s">
        <v>269</v>
      </c>
      <c r="Q45" t="s">
        <v>269</v>
      </c>
      <c r="R45" t="s">
        <v>269</v>
      </c>
      <c r="S45" t="s">
        <v>269</v>
      </c>
      <c r="T45" t="s">
        <v>269</v>
      </c>
      <c r="U45" t="s">
        <v>269</v>
      </c>
      <c r="V45" t="s">
        <v>269</v>
      </c>
      <c r="W45" t="s">
        <v>269</v>
      </c>
      <c r="X45" t="s">
        <v>269</v>
      </c>
      <c r="Y45" t="s">
        <v>269</v>
      </c>
      <c r="Z45" t="s">
        <v>269</v>
      </c>
      <c r="AA45" t="s">
        <v>269</v>
      </c>
      <c r="AB45" t="s">
        <v>269</v>
      </c>
      <c r="AC45" t="s">
        <v>269</v>
      </c>
      <c r="AD45" t="s">
        <v>269</v>
      </c>
      <c r="AE45" t="s">
        <v>269</v>
      </c>
      <c r="AF45" t="s">
        <v>269</v>
      </c>
      <c r="AG45" t="s">
        <v>269</v>
      </c>
      <c r="AH45" t="s">
        <v>269</v>
      </c>
    </row>
    <row r="46" ht="12" customHeight="1">
      <c r="A46" t="s">
        <v>3287</v>
      </c>
      <c r="B46" t="s">
        <v>269</v>
      </c>
      <c r="C46" t="s">
        <v>269</v>
      </c>
      <c r="D46" t="s">
        <v>269</v>
      </c>
      <c r="E46" t="s">
        <v>269</v>
      </c>
      <c r="F46" t="s">
        <v>269</v>
      </c>
      <c r="G46" t="s">
        <v>269</v>
      </c>
      <c r="H46" t="s">
        <v>269</v>
      </c>
      <c r="I46" t="s">
        <v>269</v>
      </c>
      <c r="J46" t="s">
        <v>269</v>
      </c>
      <c r="K46" t="s">
        <v>269</v>
      </c>
      <c r="L46" t="s">
        <v>269</v>
      </c>
      <c r="M46" t="s">
        <v>269</v>
      </c>
      <c r="N46" t="s">
        <v>269</v>
      </c>
      <c r="O46" t="s">
        <v>269</v>
      </c>
      <c r="P46" t="s">
        <v>269</v>
      </c>
      <c r="Q46" t="s">
        <v>269</v>
      </c>
      <c r="R46" t="s">
        <v>269</v>
      </c>
      <c r="S46" t="s">
        <v>269</v>
      </c>
      <c r="T46" t="s">
        <v>269</v>
      </c>
      <c r="U46" t="s">
        <v>269</v>
      </c>
      <c r="V46" t="s">
        <v>269</v>
      </c>
      <c r="W46" t="s">
        <v>269</v>
      </c>
      <c r="X46" t="s">
        <v>269</v>
      </c>
      <c r="Y46" t="s">
        <v>269</v>
      </c>
      <c r="Z46" t="s">
        <v>269</v>
      </c>
      <c r="AA46" t="s">
        <v>269</v>
      </c>
      <c r="AB46" t="s">
        <v>269</v>
      </c>
      <c r="AC46" t="s">
        <v>269</v>
      </c>
      <c r="AD46" t="s">
        <v>269</v>
      </c>
      <c r="AE46" t="s">
        <v>269</v>
      </c>
      <c r="AF46" t="s">
        <v>269</v>
      </c>
      <c r="AG46" t="s">
        <v>269</v>
      </c>
      <c r="AH46" t="s">
        <v>269</v>
      </c>
    </row>
    <row r="47" ht="12" customHeight="1">
      <c r="A47" t="s">
        <v>3288</v>
      </c>
      <c r="B47" t="s">
        <v>188</v>
      </c>
      <c r="C47" t="s">
        <v>188</v>
      </c>
      <c r="D47" t="s">
        <v>188</v>
      </c>
      <c r="E47" t="s">
        <v>188</v>
      </c>
      <c r="F47" t="s">
        <v>188</v>
      </c>
      <c r="G47" t="s">
        <v>188</v>
      </c>
      <c r="H47" t="s">
        <v>188</v>
      </c>
      <c r="I47" t="s">
        <v>188</v>
      </c>
      <c r="J47" t="s">
        <v>188</v>
      </c>
      <c r="K47" t="s">
        <v>188</v>
      </c>
      <c r="L47" t="s">
        <v>188</v>
      </c>
      <c r="M47" t="s">
        <v>188</v>
      </c>
      <c r="N47" t="s">
        <v>188</v>
      </c>
      <c r="O47" t="s">
        <v>188</v>
      </c>
      <c r="P47" t="s">
        <v>188</v>
      </c>
      <c r="Q47" t="s">
        <v>188</v>
      </c>
      <c r="R47" t="s">
        <v>188</v>
      </c>
      <c r="S47" t="s">
        <v>188</v>
      </c>
      <c r="T47" t="s">
        <v>188</v>
      </c>
      <c r="U47" t="s">
        <v>188</v>
      </c>
      <c r="V47" t="s">
        <v>188</v>
      </c>
      <c r="W47" t="s">
        <v>188</v>
      </c>
      <c r="X47" t="s">
        <v>188</v>
      </c>
      <c r="Y47" t="s">
        <v>188</v>
      </c>
      <c r="Z47" t="s">
        <v>188</v>
      </c>
      <c r="AA47" t="s">
        <v>188</v>
      </c>
      <c r="AB47" t="s">
        <v>188</v>
      </c>
      <c r="AC47" t="s">
        <v>188</v>
      </c>
      <c r="AD47" t="s">
        <v>188</v>
      </c>
      <c r="AE47" t="s">
        <v>188</v>
      </c>
      <c r="AF47" t="s">
        <v>188</v>
      </c>
      <c r="AG47" t="s">
        <v>188</v>
      </c>
      <c r="AH47" t="s">
        <v>188</v>
      </c>
    </row>
    <row r="48" ht="12" customHeight="1">
      <c r="A48" t="s">
        <v>3289</v>
      </c>
      <c r="B48" t="s">
        <v>363</v>
      </c>
      <c r="C48" t="s">
        <v>363</v>
      </c>
      <c r="D48" t="s">
        <v>363</v>
      </c>
      <c r="E48" t="s">
        <v>363</v>
      </c>
      <c r="F48" t="s">
        <v>363</v>
      </c>
      <c r="G48" t="s">
        <v>363</v>
      </c>
      <c r="H48" t="s">
        <v>363</v>
      </c>
      <c r="I48" t="s">
        <v>363</v>
      </c>
      <c r="J48" t="s">
        <v>363</v>
      </c>
      <c r="K48" t="s">
        <v>363</v>
      </c>
      <c r="L48" t="s">
        <v>363</v>
      </c>
      <c r="M48" t="s">
        <v>363</v>
      </c>
      <c r="N48" t="s">
        <v>363</v>
      </c>
      <c r="O48" t="s">
        <v>363</v>
      </c>
      <c r="P48" t="s">
        <v>363</v>
      </c>
      <c r="Q48" t="s">
        <v>363</v>
      </c>
      <c r="R48" t="s">
        <v>363</v>
      </c>
      <c r="S48" t="s">
        <v>363</v>
      </c>
      <c r="T48" t="s">
        <v>363</v>
      </c>
      <c r="U48" t="s">
        <v>363</v>
      </c>
      <c r="V48" t="s">
        <v>363</v>
      </c>
      <c r="W48" t="s">
        <v>363</v>
      </c>
      <c r="X48" t="s">
        <v>363</v>
      </c>
      <c r="Y48" t="s">
        <v>363</v>
      </c>
      <c r="Z48" t="s">
        <v>363</v>
      </c>
      <c r="AA48" t="s">
        <v>363</v>
      </c>
      <c r="AB48" t="s">
        <v>363</v>
      </c>
      <c r="AC48" t="s">
        <v>363</v>
      </c>
      <c r="AD48" t="s">
        <v>363</v>
      </c>
      <c r="AE48" t="s">
        <v>363</v>
      </c>
      <c r="AF48" t="s">
        <v>363</v>
      </c>
      <c r="AG48" t="s">
        <v>363</v>
      </c>
      <c r="AH48" t="s">
        <v>363</v>
      </c>
    </row>
    <row r="49" ht="12" customHeight="1">
      <c r="A49" t="s">
        <v>2260</v>
      </c>
      <c r="B49" t="s">
        <v>290</v>
      </c>
      <c r="C49" t="s">
        <v>290</v>
      </c>
      <c r="D49" t="s">
        <v>290</v>
      </c>
      <c r="E49" t="s">
        <v>290</v>
      </c>
      <c r="F49" t="s">
        <v>290</v>
      </c>
      <c r="G49" t="s">
        <v>290</v>
      </c>
      <c r="H49" t="s">
        <v>290</v>
      </c>
      <c r="I49" t="s">
        <v>290</v>
      </c>
      <c r="J49" t="s">
        <v>290</v>
      </c>
      <c r="K49" t="s">
        <v>290</v>
      </c>
      <c r="L49" t="s">
        <v>290</v>
      </c>
      <c r="M49" t="s">
        <v>290</v>
      </c>
      <c r="N49" t="s">
        <v>290</v>
      </c>
      <c r="O49" t="s">
        <v>290</v>
      </c>
      <c r="P49" t="s">
        <v>290</v>
      </c>
      <c r="Q49" t="s">
        <v>290</v>
      </c>
      <c r="R49" t="s">
        <v>290</v>
      </c>
      <c r="S49" t="s">
        <v>290</v>
      </c>
      <c r="T49" t="s">
        <v>290</v>
      </c>
      <c r="U49" t="s">
        <v>290</v>
      </c>
      <c r="V49" t="s">
        <v>290</v>
      </c>
      <c r="W49" t="s">
        <v>290</v>
      </c>
      <c r="X49" t="s">
        <v>290</v>
      </c>
      <c r="Y49" t="s">
        <v>290</v>
      </c>
      <c r="Z49" t="s">
        <v>290</v>
      </c>
      <c r="AA49" t="s">
        <v>290</v>
      </c>
      <c r="AB49" t="s">
        <v>290</v>
      </c>
      <c r="AC49" t="s">
        <v>290</v>
      </c>
      <c r="AD49" t="s">
        <v>290</v>
      </c>
      <c r="AE49" t="s">
        <v>290</v>
      </c>
      <c r="AF49" t="s">
        <v>290</v>
      </c>
      <c r="AG49" t="s">
        <v>290</v>
      </c>
      <c r="AH49" t="s">
        <v>290</v>
      </c>
    </row>
    <row r="50" ht="12" customHeight="1">
      <c r="A50" t="s">
        <v>3290</v>
      </c>
      <c r="B50" t="s">
        <v>188</v>
      </c>
      <c r="C50" t="s">
        <v>188</v>
      </c>
      <c r="D50" t="s">
        <v>188</v>
      </c>
      <c r="E50" t="s">
        <v>188</v>
      </c>
      <c r="F50" t="s">
        <v>188</v>
      </c>
      <c r="G50" t="s">
        <v>188</v>
      </c>
      <c r="H50" t="s">
        <v>188</v>
      </c>
      <c r="I50" t="s">
        <v>188</v>
      </c>
      <c r="J50" t="s">
        <v>188</v>
      </c>
      <c r="K50" t="s">
        <v>188</v>
      </c>
      <c r="L50" t="s">
        <v>188</v>
      </c>
      <c r="M50" t="s">
        <v>188</v>
      </c>
      <c r="N50" t="s">
        <v>188</v>
      </c>
      <c r="O50" t="s">
        <v>188</v>
      </c>
      <c r="P50" t="s">
        <v>188</v>
      </c>
      <c r="Q50" t="s">
        <v>188</v>
      </c>
      <c r="R50" t="s">
        <v>188</v>
      </c>
      <c r="S50" t="s">
        <v>188</v>
      </c>
      <c r="T50" t="s">
        <v>188</v>
      </c>
      <c r="U50" t="s">
        <v>188</v>
      </c>
      <c r="V50" t="s">
        <v>188</v>
      </c>
      <c r="W50" t="s">
        <v>188</v>
      </c>
      <c r="X50" t="s">
        <v>188</v>
      </c>
      <c r="Y50" t="s">
        <v>188</v>
      </c>
      <c r="Z50" t="s">
        <v>188</v>
      </c>
      <c r="AA50" t="s">
        <v>188</v>
      </c>
      <c r="AB50" t="s">
        <v>188</v>
      </c>
      <c r="AC50" t="s">
        <v>188</v>
      </c>
      <c r="AD50" t="s">
        <v>188</v>
      </c>
      <c r="AE50" t="s">
        <v>188</v>
      </c>
      <c r="AF50" t="s">
        <v>188</v>
      </c>
      <c r="AG50" t="s">
        <v>188</v>
      </c>
      <c r="AH50" t="s">
        <v>188</v>
      </c>
    </row>
    <row r="51" ht="12" customHeight="1">
      <c r="A51" t="s">
        <v>3291</v>
      </c>
      <c r="B51" t="s">
        <v>188</v>
      </c>
      <c r="C51" t="s">
        <v>188</v>
      </c>
      <c r="D51" t="s">
        <v>188</v>
      </c>
      <c r="E51" t="s">
        <v>188</v>
      </c>
      <c r="F51" t="s">
        <v>188</v>
      </c>
      <c r="G51" t="s">
        <v>188</v>
      </c>
      <c r="H51" t="s">
        <v>188</v>
      </c>
      <c r="I51" t="s">
        <v>188</v>
      </c>
      <c r="J51" t="s">
        <v>188</v>
      </c>
      <c r="K51" t="s">
        <v>188</v>
      </c>
      <c r="L51" t="s">
        <v>188</v>
      </c>
      <c r="M51" t="s">
        <v>188</v>
      </c>
      <c r="N51" t="s">
        <v>188</v>
      </c>
      <c r="O51" t="s">
        <v>188</v>
      </c>
      <c r="P51" t="s">
        <v>188</v>
      </c>
      <c r="Q51" t="s">
        <v>188</v>
      </c>
      <c r="R51" t="s">
        <v>188</v>
      </c>
      <c r="S51" t="s">
        <v>188</v>
      </c>
      <c r="T51" t="s">
        <v>188</v>
      </c>
      <c r="U51" t="s">
        <v>188</v>
      </c>
      <c r="V51" t="s">
        <v>188</v>
      </c>
      <c r="W51" t="s">
        <v>188</v>
      </c>
      <c r="X51" t="s">
        <v>188</v>
      </c>
      <c r="Y51" t="s">
        <v>188</v>
      </c>
      <c r="Z51" t="s">
        <v>188</v>
      </c>
      <c r="AA51" t="s">
        <v>188</v>
      </c>
      <c r="AB51" t="s">
        <v>188</v>
      </c>
      <c r="AC51" t="s">
        <v>188</v>
      </c>
      <c r="AD51" t="s">
        <v>188</v>
      </c>
      <c r="AE51" t="s">
        <v>188</v>
      </c>
      <c r="AF51" t="s">
        <v>188</v>
      </c>
      <c r="AG51" t="s">
        <v>188</v>
      </c>
      <c r="AH51" t="s">
        <v>188</v>
      </c>
    </row>
    <row r="52" ht="12" customHeight="1">
      <c r="A52" t="s">
        <v>3292</v>
      </c>
      <c r="B52" t="s">
        <v>290</v>
      </c>
      <c r="C52" t="s">
        <v>290</v>
      </c>
      <c r="D52" t="s">
        <v>290</v>
      </c>
      <c r="E52" t="s">
        <v>290</v>
      </c>
      <c r="F52" t="s">
        <v>290</v>
      </c>
      <c r="G52" t="s">
        <v>290</v>
      </c>
      <c r="H52" t="s">
        <v>290</v>
      </c>
      <c r="I52" t="s">
        <v>290</v>
      </c>
      <c r="J52" t="s">
        <v>290</v>
      </c>
      <c r="K52" t="s">
        <v>290</v>
      </c>
      <c r="L52" t="s">
        <v>290</v>
      </c>
      <c r="M52" t="s">
        <v>290</v>
      </c>
      <c r="N52" t="s">
        <v>290</v>
      </c>
      <c r="O52" t="s">
        <v>290</v>
      </c>
      <c r="P52" t="s">
        <v>290</v>
      </c>
      <c r="Q52" t="s">
        <v>290</v>
      </c>
      <c r="R52" t="s">
        <v>290</v>
      </c>
      <c r="S52" t="s">
        <v>290</v>
      </c>
      <c r="T52" t="s">
        <v>290</v>
      </c>
      <c r="U52" t="s">
        <v>290</v>
      </c>
      <c r="V52" t="s">
        <v>290</v>
      </c>
      <c r="W52" t="s">
        <v>290</v>
      </c>
      <c r="X52" t="s">
        <v>290</v>
      </c>
      <c r="Y52" t="s">
        <v>290</v>
      </c>
      <c r="Z52" t="s">
        <v>290</v>
      </c>
      <c r="AA52" t="s">
        <v>290</v>
      </c>
      <c r="AB52" t="s">
        <v>290</v>
      </c>
      <c r="AC52" t="s">
        <v>290</v>
      </c>
      <c r="AD52" t="s">
        <v>290</v>
      </c>
      <c r="AE52" t="s">
        <v>290</v>
      </c>
      <c r="AF52" t="s">
        <v>290</v>
      </c>
      <c r="AG52" t="s">
        <v>290</v>
      </c>
      <c r="AH52" t="s">
        <v>290</v>
      </c>
    </row>
    <row r="53" ht="12" customHeight="1">
      <c r="A53" t="s">
        <v>3293</v>
      </c>
      <c r="B53" t="s">
        <v>299</v>
      </c>
      <c r="C53" t="s">
        <v>299</v>
      </c>
      <c r="D53" t="s">
        <v>299</v>
      </c>
      <c r="E53" t="s">
        <v>299</v>
      </c>
      <c r="F53" t="s">
        <v>299</v>
      </c>
      <c r="G53" t="s">
        <v>299</v>
      </c>
      <c r="H53" t="s">
        <v>299</v>
      </c>
      <c r="I53" t="s">
        <v>299</v>
      </c>
      <c r="J53" t="s">
        <v>299</v>
      </c>
      <c r="K53" t="s">
        <v>299</v>
      </c>
      <c r="L53" t="s">
        <v>299</v>
      </c>
      <c r="M53" t="s">
        <v>299</v>
      </c>
      <c r="N53" t="s">
        <v>299</v>
      </c>
      <c r="O53" t="s">
        <v>299</v>
      </c>
      <c r="P53" t="s">
        <v>299</v>
      </c>
      <c r="Q53" t="s">
        <v>299</v>
      </c>
      <c r="R53" t="s">
        <v>299</v>
      </c>
      <c r="S53" t="s">
        <v>299</v>
      </c>
      <c r="T53" t="s">
        <v>299</v>
      </c>
      <c r="U53" t="s">
        <v>299</v>
      </c>
      <c r="V53" t="s">
        <v>299</v>
      </c>
      <c r="W53" t="s">
        <v>299</v>
      </c>
      <c r="X53" t="s">
        <v>299</v>
      </c>
      <c r="Y53" t="s">
        <v>299</v>
      </c>
      <c r="Z53" t="s">
        <v>299</v>
      </c>
      <c r="AA53" t="s">
        <v>299</v>
      </c>
      <c r="AB53" t="s">
        <v>299</v>
      </c>
      <c r="AC53" t="s">
        <v>299</v>
      </c>
      <c r="AD53" t="s">
        <v>299</v>
      </c>
      <c r="AE53" t="s">
        <v>299</v>
      </c>
      <c r="AF53" t="s">
        <v>299</v>
      </c>
      <c r="AG53" t="s">
        <v>299</v>
      </c>
      <c r="AH53" t="s">
        <v>299</v>
      </c>
    </row>
    <row r="54" ht="12" customHeight="1">
      <c r="A54" t="s">
        <v>3294</v>
      </c>
    </row>
    <row r="55" ht="12" customHeight="1">
      <c r="A55" t="s">
        <v>3295</v>
      </c>
    </row>
    <row r="56" ht="12" customHeight="1">
      <c r="A56" t="s">
        <v>3296</v>
      </c>
      <c r="B56">
        <v>1</v>
      </c>
      <c r="C56">
        <v>1</v>
      </c>
      <c r="D56">
        <v>1</v>
      </c>
      <c r="E56">
        <v>1</v>
      </c>
      <c r="F56">
        <v>1</v>
      </c>
      <c r="G56">
        <v>1</v>
      </c>
      <c r="H56">
        <v>1</v>
      </c>
      <c r="I56">
        <v>1</v>
      </c>
      <c r="J56">
        <v>1</v>
      </c>
      <c r="K56">
        <v>1</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ht="12" customHeight="1">
      <c r="A57" t="s">
        <v>3297</v>
      </c>
    </row>
    <row r="58" ht="12" customHeight="1">
      <c r="A58" s="2" t="s">
        <v>3298</v>
      </c>
    </row>
    <row r="59" ht="12.75" customHeight="1">
      <c r="A59" t="s">
        <v>3299</v>
      </c>
      <c r="B59" t="s">
        <v>174</v>
      </c>
      <c r="C59" t="s">
        <v>174</v>
      </c>
      <c r="D59" t="s">
        <v>174</v>
      </c>
      <c r="E59" t="s">
        <v>174</v>
      </c>
      <c r="F59" t="s">
        <v>174</v>
      </c>
      <c r="G59" t="s">
        <v>174</v>
      </c>
      <c r="H59" t="s">
        <v>174</v>
      </c>
      <c r="I59" t="s">
        <v>174</v>
      </c>
      <c r="J59" t="s">
        <v>174</v>
      </c>
      <c r="K59" t="s">
        <v>174</v>
      </c>
    </row>
    <row r="60" ht="12" customHeight="1">
      <c r="A60" s="2" t="s">
        <v>3300</v>
      </c>
    </row>
    <row r="61" ht="12" customHeight="1">
      <c r="A61" s="2" t="s">
        <v>3301</v>
      </c>
    </row>
    <row r="62" ht="12" customHeight="1">
      <c r="A62" s="2" t="s">
        <v>3302</v>
      </c>
    </row>
    <row r="63" ht="12" customHeight="1">
      <c r="A63" s="2" t="s">
        <v>3303</v>
      </c>
    </row>
    <row r="64" ht="12" customHeight="1">
      <c r="A64" s="2" t="s">
        <v>3304</v>
      </c>
    </row>
    <row r="65" ht="12" customHeight="1">
      <c r="A65" s="2" t="s">
        <v>3305</v>
      </c>
    </row>
    <row r="66" ht="12" customHeight="1">
      <c r="A66" s="2" t="s">
        <v>3306</v>
      </c>
    </row>
    <row r="67" ht="12" customHeight="1">
      <c r="A67" s="2" t="s">
        <v>3307</v>
      </c>
    </row>
    <row r="68" ht="12.75" customHeight="1">
      <c r="A68" t="s">
        <v>3308</v>
      </c>
      <c r="B68" t="s">
        <v>174</v>
      </c>
      <c r="C68" t="s">
        <v>174</v>
      </c>
      <c r="D68" t="s">
        <v>174</v>
      </c>
      <c r="E68" t="s">
        <v>174</v>
      </c>
      <c r="F68" t="s">
        <v>174</v>
      </c>
      <c r="G68" t="s">
        <v>174</v>
      </c>
      <c r="H68" t="s">
        <v>174</v>
      </c>
      <c r="I68" t="s">
        <v>174</v>
      </c>
      <c r="J68" t="s">
        <v>174</v>
      </c>
      <c r="K68" t="s">
        <v>174</v>
      </c>
      <c r="L68" t="s">
        <v>174</v>
      </c>
      <c r="M68" t="s">
        <v>174</v>
      </c>
      <c r="N68" t="s">
        <v>174</v>
      </c>
      <c r="O68" t="s">
        <v>174</v>
      </c>
      <c r="P68" t="s">
        <v>174</v>
      </c>
      <c r="Q68" t="s">
        <v>174</v>
      </c>
      <c r="R68" t="s">
        <v>174</v>
      </c>
      <c r="S68" t="s">
        <v>174</v>
      </c>
      <c r="T68" t="s">
        <v>174</v>
      </c>
      <c r="U68" t="s">
        <v>174</v>
      </c>
      <c r="V68" t="s">
        <v>174</v>
      </c>
      <c r="W68" t="s">
        <v>174</v>
      </c>
      <c r="X68" t="s">
        <v>174</v>
      </c>
      <c r="Y68" t="s">
        <v>174</v>
      </c>
      <c r="Z68" t="s">
        <v>174</v>
      </c>
      <c r="AA68" t="s">
        <v>174</v>
      </c>
      <c r="AB68" t="s">
        <v>174</v>
      </c>
      <c r="AC68" t="s">
        <v>174</v>
      </c>
      <c r="AD68" t="s">
        <v>174</v>
      </c>
      <c r="AE68" t="s">
        <v>174</v>
      </c>
      <c r="AF68" t="s">
        <v>174</v>
      </c>
      <c r="AG68" t="s">
        <v>174</v>
      </c>
      <c r="AH68" t="s">
        <v>174</v>
      </c>
    </row>
    <row r="69" ht="12.75" customHeight="1">
      <c r="A69" t="s">
        <v>3309</v>
      </c>
      <c r="B69" t="s">
        <v>367</v>
      </c>
      <c r="C69" t="s">
        <v>367</v>
      </c>
      <c r="D69" t="s">
        <v>367</v>
      </c>
      <c r="E69" t="s">
        <v>367</v>
      </c>
      <c r="F69" t="s">
        <v>367</v>
      </c>
      <c r="G69" t="s">
        <v>367</v>
      </c>
      <c r="H69" t="s">
        <v>367</v>
      </c>
      <c r="I69" t="s">
        <v>367</v>
      </c>
      <c r="J69" t="s">
        <v>367</v>
      </c>
      <c r="K69" t="s">
        <v>367</v>
      </c>
      <c r="L69" t="s">
        <v>367</v>
      </c>
      <c r="M69" t="s">
        <v>367</v>
      </c>
      <c r="N69" t="s">
        <v>367</v>
      </c>
      <c r="O69" t="s">
        <v>367</v>
      </c>
      <c r="P69" t="s">
        <v>367</v>
      </c>
      <c r="Q69" t="s">
        <v>367</v>
      </c>
      <c r="R69" t="s">
        <v>367</v>
      </c>
      <c r="S69" t="s">
        <v>367</v>
      </c>
      <c r="T69" t="s">
        <v>367</v>
      </c>
      <c r="U69" t="s">
        <v>367</v>
      </c>
      <c r="V69" t="s">
        <v>367</v>
      </c>
      <c r="W69" t="s">
        <v>367</v>
      </c>
      <c r="X69" t="s">
        <v>367</v>
      </c>
      <c r="Y69" t="s">
        <v>367</v>
      </c>
      <c r="Z69" t="s">
        <v>367</v>
      </c>
      <c r="AA69" t="s">
        <v>367</v>
      </c>
      <c r="AB69" t="s">
        <v>367</v>
      </c>
      <c r="AC69" t="s">
        <v>367</v>
      </c>
      <c r="AD69" t="s">
        <v>367</v>
      </c>
      <c r="AE69" t="s">
        <v>367</v>
      </c>
      <c r="AF69" t="s">
        <v>367</v>
      </c>
      <c r="AG69" t="s">
        <v>367</v>
      </c>
      <c r="AH69" t="s">
        <v>367</v>
      </c>
    </row>
    <row r="70" ht="12.75" customHeight="1"/>
    <row r="71" ht="12" customHeight="1">
      <c r="A71" t="str">
        <f>"Combined KP Net Worth / "&amp;TEXT(ROUND(_xlfn.IFERROR(B71/LoanAmount,0),2),"0.00%")&amp;" of Loan Amount"</f>
        <v>Combined KP Net Worth / 0.00% of Loan Amount</v>
      </c>
      <c r="B71">
        <f>L32+M32+N32+O32+P32+Q32+R32</f>
        <v>0</v>
      </c>
    </row>
    <row r="72" ht="12.75" customHeight="1">
      <c r="A72" t="str">
        <f>"Combined KP Liquidity  / "&amp;TEXT(ROUND(_xlfn.IFERROR(B72/LoanAmount,0),2),"0.00%")&amp;" of Loan Amount"</f>
        <v>Combined KP Liquidity  / 0.00% of Loan Amount</v>
      </c>
      <c r="B72">
        <f>L12+M12+N12+O12+P12+Q12+R12</f>
        <v>0</v>
      </c>
      <c r="AJ72" t="s">
        <v>3312</v>
      </c>
    </row>
    <row r="77" ht="12" customHeight="1">
      <c r="A77" t="s">
        <v>572</v>
      </c>
    </row>
    <row r="78" ht="12" customHeight="1">
      <c r="A78" t="e">
        <f>LoanAmount</f>
        <v>#NAME?</v>
      </c>
    </row>
    <row r="79" ht="12" customHeight="1">
      <c r="A79" t="s">
        <v>3313</v>
      </c>
    </row>
    <row r="81" ht="12" customHeight="1">
      <c r="A81" t="s">
        <v>3314</v>
      </c>
    </row>
  </sheetData>
  <hyperlinks>
    <hyperlink ref="A58" r:id="rId1" display="Date of Credit Report/Public Record Search:"/>
    <hyperlink ref="A60" r:id="rId2" display="Date of AEC?"/>
    <hyperlink ref="A61" r:id="rId3" display="Date of Google Search?"/>
    <hyperlink ref="A62" r:id="rId4" display="Date of OFAC?"/>
    <hyperlink ref="A63" r:id="rId5" display="Date of Lexis/Nexis?"/>
    <hyperlink ref="A64" r:id="rId6" display="Date of LDP (HUD):"/>
    <hyperlink ref="A65" r:id="rId7" display="Date of EPLS (HUD)"/>
    <hyperlink ref="A66" r:id="rId8" display="Date of Suspended CP (FHFA)"/>
    <hyperlink ref="A67" r:id="rId9" display="Courtlink Search"/>
  </hyperlinks>
  <printOptions verticalCentered="1"/>
  <pageMargins left="0.25" right="0.25" top="0.25" bottom="0.25" header="0.25" footer="0.25"/>
  <pageSetup useFirstPageNumber="1" fitToHeight="1" fitToWidth="1" paperSize="5" firstPageNumber="1" scale="73" pageOrder="downThenOver" orientation="landscape"/>
  <headerFooter>
    <oddHeader>&amp;L&amp;C&amp;R</oddHeader>
    <oddFooter>&amp;L&amp;C&amp;R</oddFooter>
  </headerFooter>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90DF257-204C-EB5A-ED94-35DB2971963E}"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'Bor-KP-Prin'!L6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3341</v>
      </c>
      <c r="Y6" t="s">
        <v>3342</v>
      </c>
      <c r="Z6" t="s">
        <v>3343</v>
      </c>
      <c r="AA6" t="s">
        <v>3344</v>
      </c>
      <c r="AB6" t="s">
        <v>3345</v>
      </c>
      <c r="AC6" t="s">
        <v>760</v>
      </c>
      <c r="AD6">
        <v>0</v>
      </c>
      <c r="AF6" t="str">
        <f t="shared" si="16" ref="AF6:AF100">$N$2&amp;" Ownership Role"</f>
        <v>XXXX Ownership Role</v>
      </c>
      <c r="AG6" t="str">
        <f t="shared" si="17"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tr">
        <f t="shared" si="15" ref="X44:AD44">X6</f>
        <v>NCF
(before Debt Service)</v>
      </c>
      <c r="Y44" t="s">
        <v>3342</v>
      </c>
      <c r="Z44" t="s">
        <v>3343</v>
      </c>
      <c r="AA44" t="s">
        <v>3361</v>
      </c>
      <c r="AB44" t="s">
        <v>3345</v>
      </c>
      <c r="AC44" t="s">
        <v>760</v>
      </c>
      <c r="AD44">
        <f t="shared" si="15"/>
        <v>0</v>
      </c>
      <c r="AF44" t="str">
        <f t="shared" si="16"/>
        <v>XXXX Ownership Role</v>
      </c>
      <c r="AG44" t="str">
        <f t="shared" si="17"/>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8"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8"/>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8"/>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8"/>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8"/>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8"/>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8"/>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8"/>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8"/>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8"/>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8"/>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8"/>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8"/>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8"/>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8"/>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8"/>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8"/>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8"/>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8"/>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8"/>
        <v>0</v>
      </c>
      <c r="AE65">
        <f t="shared" si="6"/>
        <v>0</v>
      </c>
      <c r="AH65">
        <f t="shared" si="7"/>
        <v>0</v>
      </c>
      <c r="AI65">
        <f t="shared" si="8"/>
        <v>0</v>
      </c>
      <c r="AL65">
        <f t="shared" si="9"/>
      </c>
      <c r="AM65">
        <f t="shared" si="10"/>
        <v>0</v>
      </c>
      <c r="AO65">
        <f t="shared" si="11"/>
        <v>0</v>
      </c>
    </row>
    <row r="66" ht="18" customHeight="1">
      <c r="A66" t="s">
        <v>2443</v>
      </c>
      <c r="G66">
        <f t="shared" si="19" ref="G66:AO122">SUM(G46:G65)</f>
        <v>0</v>
      </c>
      <c r="I66">
        <f t="shared" si="26" ref="I66:I122">IF(G66=0,0,SUMPRODUCT(G46:G65,I46:I65)/G66)</f>
        <v>0</v>
      </c>
      <c r="L66">
        <f t="shared" si="19"/>
        <v>0</v>
      </c>
      <c r="M66">
        <f t="shared" si="19"/>
        <v>0</v>
      </c>
      <c r="N66">
        <f t="shared" si="0"/>
        <v>0</v>
      </c>
      <c r="O66">
        <f t="shared" si="19"/>
        <v>0</v>
      </c>
      <c r="X66">
        <f t="shared" si="19"/>
        <v>0</v>
      </c>
      <c r="Y66">
        <f t="shared" si="1"/>
        <v>0</v>
      </c>
      <c r="Z66">
        <f t="shared" si="19"/>
        <v>0</v>
      </c>
      <c r="AA66" t="e">
        <f t="shared" si="2"/>
        <v>#DIV/0!</v>
      </c>
      <c r="AB66">
        <f t="shared" si="3"/>
        <v>0</v>
      </c>
      <c r="AC66">
        <f t="shared" si="4"/>
        <v>0</v>
      </c>
      <c r="AD66">
        <f t="shared" si="18"/>
        <v>0</v>
      </c>
      <c r="AE66">
        <f t="shared" si="6"/>
        <v>0</v>
      </c>
      <c r="AF66" t="s">
        <v>3354</v>
      </c>
      <c r="AH66">
        <f t="shared" si="19"/>
        <v>0</v>
      </c>
      <c r="AI66">
        <f t="shared" si="19"/>
        <v>0</v>
      </c>
      <c r="AJ66">
        <f t="shared" si="19"/>
        <v>0</v>
      </c>
      <c r="AL66">
        <f t="shared" si="19"/>
        <v>0</v>
      </c>
      <c r="AM66">
        <f t="shared" si="10"/>
        <v>0</v>
      </c>
      <c r="AO66">
        <f t="shared" si="19"/>
        <v>0</v>
      </c>
    </row>
    <row r="67" ht="18.75" customHeight="1">
      <c r="AF67" t="s">
        <v>3355</v>
      </c>
      <c r="AH67">
        <f t="shared" si="22" ref="AH67:AH123">SUM(Z46:Z65)-SUM(N46:N65)</f>
        <v>0</v>
      </c>
      <c r="AI67">
        <f t="shared" si="23"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tr">
        <f t="shared" si="20" ref="X72:AD72">X6</f>
        <v>NCF
(before Debt Service)</v>
      </c>
      <c r="Y72" t="s">
        <v>3342</v>
      </c>
      <c r="Z72" t="s">
        <v>3343</v>
      </c>
      <c r="AA72" t="s">
        <v>3361</v>
      </c>
      <c r="AB72" t="s">
        <v>3345</v>
      </c>
      <c r="AC72" t="s">
        <v>760</v>
      </c>
      <c r="AD72">
        <f t="shared" si="20"/>
        <v>0</v>
      </c>
      <c r="AF72" t="str">
        <f t="shared" si="16"/>
        <v>XXXX Ownership Role</v>
      </c>
      <c r="AG72" t="str">
        <f t="shared" si="17"/>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21"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21"/>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21"/>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21"/>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21"/>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21"/>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21"/>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21"/>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21"/>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21"/>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21"/>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21"/>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21"/>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21"/>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21"/>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21"/>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21"/>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21"/>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21"/>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21"/>
        <v>0</v>
      </c>
      <c r="AE93">
        <f t="shared" si="6"/>
        <v>0</v>
      </c>
      <c r="AH93">
        <f t="shared" si="7"/>
        <v>0</v>
      </c>
      <c r="AI93">
        <f t="shared" si="8"/>
        <v>0</v>
      </c>
      <c r="AL93">
        <f t="shared" si="9"/>
      </c>
      <c r="AM93">
        <f t="shared" si="10"/>
        <v>0</v>
      </c>
      <c r="AO93">
        <f t="shared" si="11"/>
        <v>0</v>
      </c>
    </row>
    <row r="94" ht="18" customHeight="1">
      <c r="A94" t="s">
        <v>2443</v>
      </c>
      <c r="G94">
        <f t="shared" si="19"/>
        <v>0</v>
      </c>
      <c r="L94">
        <f t="shared" si="19"/>
        <v>0</v>
      </c>
      <c r="M94">
        <f t="shared" si="19"/>
        <v>0</v>
      </c>
      <c r="N94">
        <f t="shared" si="0"/>
        <v>0</v>
      </c>
      <c r="O94">
        <f t="shared" si="19"/>
        <v>0</v>
      </c>
      <c r="X94">
        <f t="shared" si="19"/>
        <v>0</v>
      </c>
      <c r="Y94">
        <f t="shared" si="1"/>
        <v>0</v>
      </c>
      <c r="Z94">
        <f t="shared" si="19"/>
        <v>0</v>
      </c>
      <c r="AA94" t="e">
        <f t="shared" si="2"/>
        <v>#DIV/0!</v>
      </c>
      <c r="AB94">
        <f t="shared" si="3"/>
        <v>0</v>
      </c>
      <c r="AC94">
        <f t="shared" si="4"/>
        <v>0</v>
      </c>
      <c r="AD94">
        <f t="shared" si="21"/>
        <v>0</v>
      </c>
      <c r="AE94">
        <f t="shared" si="6"/>
        <v>0</v>
      </c>
      <c r="AF94" t="s">
        <v>3354</v>
      </c>
      <c r="AH94">
        <f t="shared" si="19"/>
        <v>0</v>
      </c>
      <c r="AI94">
        <f t="shared" si="19"/>
        <v>0</v>
      </c>
      <c r="AJ94">
        <f t="shared" si="19"/>
        <v>0</v>
      </c>
      <c r="AL94">
        <f t="shared" si="19"/>
        <v>0</v>
      </c>
      <c r="AM94">
        <f t="shared" si="10"/>
        <v>0</v>
      </c>
      <c r="AO94">
        <f t="shared" si="19"/>
        <v>0</v>
      </c>
    </row>
    <row r="95" ht="18.75" customHeight="1">
      <c r="AF95" t="s">
        <v>3355</v>
      </c>
      <c r="AH95">
        <f t="shared" si="22"/>
        <v>0</v>
      </c>
      <c r="AI95">
        <f t="shared" si="23"/>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tr">
        <f t="shared" si="24" ref="X100:AD100">X6</f>
        <v>NCF
(before Debt Service)</v>
      </c>
      <c r="Y100" t="s">
        <v>3342</v>
      </c>
      <c r="Z100" t="s">
        <v>3343</v>
      </c>
      <c r="AA100" t="s">
        <v>3344</v>
      </c>
      <c r="AB100" t="s">
        <v>3345</v>
      </c>
      <c r="AC100" t="s">
        <v>760</v>
      </c>
      <c r="AD100">
        <f t="shared" si="24"/>
        <v>0</v>
      </c>
      <c r="AF100" t="str">
        <f t="shared" si="16"/>
        <v>XXXX Ownership Role</v>
      </c>
      <c r="AG100" t="str">
        <f t="shared" si="17"/>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5"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5"/>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5"/>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5"/>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5"/>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5"/>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5"/>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5"/>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5"/>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5"/>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5"/>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5"/>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5"/>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5"/>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5"/>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5"/>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5"/>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5"/>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5"/>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5"/>
        <v>0</v>
      </c>
      <c r="AE121">
        <f t="shared" si="6"/>
        <v>0</v>
      </c>
      <c r="AH121">
        <f t="shared" si="7"/>
        <v>0</v>
      </c>
      <c r="AI121">
        <f t="shared" si="8"/>
        <v>0</v>
      </c>
      <c r="AL121">
        <f t="shared" si="9"/>
      </c>
      <c r="AM121">
        <f t="shared" si="10"/>
        <v>0</v>
      </c>
      <c r="AO121">
        <f t="shared" si="11"/>
        <v>0</v>
      </c>
    </row>
    <row r="122" ht="18" customHeight="1">
      <c r="A122" t="s">
        <v>2443</v>
      </c>
      <c r="G122">
        <f t="shared" si="19"/>
        <v>0</v>
      </c>
      <c r="I122">
        <f t="shared" si="26"/>
        <v>0</v>
      </c>
      <c r="L122">
        <f t="shared" si="19"/>
        <v>0</v>
      </c>
      <c r="M122">
        <f t="shared" si="19"/>
        <v>0</v>
      </c>
      <c r="N122">
        <f t="shared" si="0"/>
        <v>0</v>
      </c>
      <c r="O122">
        <f t="shared" si="19"/>
        <v>0</v>
      </c>
      <c r="X122">
        <f t="shared" si="19"/>
        <v>0</v>
      </c>
      <c r="Y122">
        <f t="shared" si="1"/>
        <v>0</v>
      </c>
      <c r="Z122">
        <f t="shared" si="19"/>
        <v>0</v>
      </c>
      <c r="AA122" t="e">
        <f t="shared" si="2"/>
        <v>#DIV/0!</v>
      </c>
      <c r="AB122">
        <f t="shared" si="3"/>
        <v>0</v>
      </c>
      <c r="AC122">
        <f t="shared" si="4"/>
        <v>0</v>
      </c>
      <c r="AD122">
        <f t="shared" si="25"/>
        <v>0</v>
      </c>
      <c r="AE122">
        <f t="shared" si="6"/>
        <v>0</v>
      </c>
      <c r="AF122" t="s">
        <v>3354</v>
      </c>
      <c r="AH122">
        <f t="shared" si="19"/>
        <v>0</v>
      </c>
      <c r="AI122">
        <f t="shared" si="19"/>
        <v>0</v>
      </c>
      <c r="AJ122">
        <f t="shared" si="19"/>
        <v>0</v>
      </c>
      <c r="AL122">
        <f t="shared" si="19"/>
        <v>0</v>
      </c>
      <c r="AM122">
        <f t="shared" si="10"/>
        <v>0</v>
      </c>
      <c r="AO122">
        <f t="shared" si="19"/>
        <v>0</v>
      </c>
    </row>
    <row r="123" ht="18.75" customHeight="1">
      <c r="AF123" t="s">
        <v>3355</v>
      </c>
      <c r="AH123">
        <f t="shared" si="22"/>
        <v>0</v>
      </c>
      <c r="AI123">
        <f t="shared" si="23"/>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7" ref="L126:AO127">L38+L66+L94+L122</f>
        <v>0</v>
      </c>
      <c r="M126">
        <f t="shared" si="27"/>
        <v>0</v>
      </c>
      <c r="N126">
        <f t="shared" si="0"/>
        <v>0</v>
      </c>
      <c r="O126">
        <f t="shared" si="27"/>
        <v>0</v>
      </c>
      <c r="X126">
        <f t="shared" si="27"/>
        <v>0</v>
      </c>
      <c r="Y126">
        <f t="shared" si="1"/>
        <v>0</v>
      </c>
      <c r="Z126">
        <f t="shared" si="27"/>
        <v>0</v>
      </c>
      <c r="AB126">
        <f t="shared" si="3"/>
        <v>0</v>
      </c>
      <c r="AC126">
        <f t="shared" si="4"/>
        <v>0</v>
      </c>
      <c r="AD126">
        <f t="shared" si="5"/>
        <v>0</v>
      </c>
      <c r="AE126">
        <f t="shared" si="6"/>
        <v>0</v>
      </c>
      <c r="AF126" t="s">
        <v>3354</v>
      </c>
      <c r="AH126">
        <f t="shared" si="27"/>
        <v>0</v>
      </c>
      <c r="AI126">
        <f t="shared" si="27"/>
        <v>0</v>
      </c>
      <c r="AJ126">
        <f t="shared" si="27"/>
        <v>0</v>
      </c>
      <c r="AL126">
        <f t="shared" si="27"/>
        <v>0</v>
      </c>
      <c r="AM126">
        <f t="shared" si="10"/>
        <v>0</v>
      </c>
      <c r="AO126">
        <f t="shared" si="27"/>
        <v>0</v>
      </c>
    </row>
    <row r="127" ht="15.75" customHeight="1">
      <c r="AF127" t="s">
        <v>3355</v>
      </c>
      <c r="AH127">
        <f t="shared" si="27"/>
        <v>0</v>
      </c>
      <c r="AI127">
        <f t="shared" si="27"/>
        <v>0</v>
      </c>
    </row>
    <row r="128" ht="15.75" customHeight="1"/>
    <row r="129" ht="15.75" customHeight="1">
      <c r="AO129">
        <f>'Bor-KP-Prin'!L15-'Bor-KP-Prin'!L25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C3C8586D-1B26-C9FE-1937-8DD85E7A1C0B}"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'Bor-KP-Prin'!M6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3341</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tr">
        <f>X6</f>
        <v>NCF
(before Debt Service)</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tr">
        <f>X6</f>
        <v>NCF
(before Debt Service)</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tr">
        <f>X6</f>
        <v>NCF
(before Debt Service)</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'Bor-KP-Prin'!M15-'Bor-KP-Prin'!M25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2EB07F65-27BE-2D5A-93BA-F2D81C826484}"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'Bor-KP-Prin'!N6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3373</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tr">
        <f>X6</f>
        <v>NCF 
(before Debt Service)</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tr">
        <f>X6</f>
        <v>NCF 
(before Debt Service)</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tr">
        <f>X6</f>
        <v>NCF 
(before Debt Service)</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'Bor-KP-Prin'!N15-'Bor-KP-Prin'!N25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715ABCB4-06FA-6A0D-B5CA-D6F76E838C29}"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'Bor-KP-Prin'!O6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3373</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
        <v>3373</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
        <v>3373</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
        <v>3373</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'Bor-KP-Prin'!O15-'Bor-KP-Prin'!O25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45E16D3-0115-0C2C-26BC-6D9283306AB4}"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'Bor-KP-Prin'!P6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3373</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
        <v>3373</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
        <v>3373</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
        <v>3373</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'Bor-KP-Prin'!P15-'Bor-KP-Prin'!P25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78EA7E2B-A7D3-5781-86BC-7DE7255D3292}"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'Bor-KP-Prin'!Q6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3373</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
        <v>3373</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
        <v>3373</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
        <v>3373</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'Bor-KP-Prin'!Q15-'Bor-KP-Prin'!Q25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CA1D4D95-A079-1293-038A-692FA54192FF}"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'Bor-KP-Prin'!R6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3373</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
        <v>3373</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
        <v>3373</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
        <v>3373</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'Bor-KP-Prin'!R15-'Bor-KP-Prin'!R25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D88B997-7472-3023-0693-EC37CB301FE3}" mc:Ignorable="x14ac xr xr2 xr3">
  <dimension ref="A1:AP131"/>
  <sheetViews>
    <sheetView topLeftCell="A1" zoomScale="70" workbookViewId="0">
      <selection activeCell="C2" sqref="C2"/>
    </sheetView>
  </sheetViews>
  <sheetFormatPr defaultRowHeight="14.497499999999997" defaultColWidth="9.57421875" customHeight="1"/>
  <cols>
    <col min="1" max="1" width="3.57421875" customWidth="1"/>
    <col min="2" max="3" width="15.57421875" customWidth="1"/>
    <col min="4" max="5" width="11.57421875" customWidth="1"/>
    <col min="6" max="6" width="12.57421875" customWidth="1"/>
    <col min="7" max="7" width="10.57421875" customWidth="1"/>
    <col min="8" max="8" width="13.57421875" customWidth="1"/>
    <col min="9" max="9" width="7.57421875" customWidth="1"/>
    <col min="11" max="11" width="14.57421875" customWidth="1"/>
    <col min="12" max="15" width="14.00390625" customWidth="1"/>
    <col min="16" max="17" width="7.57421875" customWidth="1"/>
    <col min="18" max="18" width="14.00390625" customWidth="1"/>
    <col min="20" max="20" width="11.57421875" customWidth="1"/>
    <col min="21" max="21" width="14.57421875" customWidth="1"/>
    <col min="22" max="22" width="11.57421875" customWidth="1"/>
    <col min="23" max="23" width="17.7109375" customWidth="1"/>
    <col min="24" max="24" width="12.57421875" customWidth="1"/>
    <col min="25" max="25" width="8.8515625" customWidth="1"/>
    <col min="26" max="26" width="13.57421875" customWidth="1"/>
    <col min="27" max="27" width="11.57421875" customWidth="1"/>
    <col min="30" max="30" width="14.00390625" customWidth="1"/>
    <col min="31" max="31" width="11.57421875" customWidth="1"/>
    <col min="32" max="34" width="15.57421875" customWidth="1"/>
    <col min="35" max="35" width="13.57421875" customWidth="1"/>
    <col min="36" max="36" width="12.57421875" customWidth="1"/>
    <col min="38" max="38" width="15.57421875" customWidth="1"/>
    <col min="41" max="41" width="16.57421875" customWidth="1"/>
  </cols>
  <sheetData>
    <row r="1" ht="17.25" customHeight="1">
      <c r="A1" t="s">
        <v>3315</v>
      </c>
    </row>
    <row r="2" ht="15.75" customHeight="1">
      <c r="A2" t="s">
        <v>2420</v>
      </c>
      <c r="C2" t="str">
        <f>PropertyName_DataPageTab</f>
        <v>XXXX</v>
      </c>
      <c r="L2" t="s">
        <v>3316</v>
      </c>
      <c r="N2" t="str">
        <f>'Bor-KP-Prin'!S6</f>
        <v>XXXX</v>
      </c>
    </row>
    <row r="3" ht="15.75" customHeight="1"/>
    <row r="4" ht="15.75" customHeight="1">
      <c r="A4" t="s">
        <v>202</v>
      </c>
      <c r="F4" t="s">
        <v>3317</v>
      </c>
    </row>
    <row r="5" ht="15.75" customHeight="1">
      <c r="A5" t="s">
        <v>3318</v>
      </c>
      <c r="L5" t="s">
        <v>3319</v>
      </c>
      <c r="X5" t="s">
        <v>3320</v>
      </c>
      <c r="Z5" t="s">
        <v>3321</v>
      </c>
      <c r="AD5" t="s">
        <v>3322</v>
      </c>
      <c r="AF5" t="s">
        <v>3323</v>
      </c>
      <c r="AL5" t="s">
        <v>3324</v>
      </c>
    </row>
    <row r="6" ht="15" customHeight="1">
      <c r="A6" t="s">
        <v>3103</v>
      </c>
      <c r="B6" t="s">
        <v>3325</v>
      </c>
      <c r="C6" t="s">
        <v>273</v>
      </c>
      <c r="D6" t="s">
        <v>279</v>
      </c>
      <c r="E6" t="s">
        <v>289</v>
      </c>
      <c r="F6" t="s">
        <v>3326</v>
      </c>
      <c r="G6" t="s">
        <v>3327</v>
      </c>
      <c r="H6" t="s">
        <v>660</v>
      </c>
      <c r="I6" t="s">
        <v>3328</v>
      </c>
      <c r="J6" t="s">
        <v>3329</v>
      </c>
      <c r="K6" t="s">
        <v>3330</v>
      </c>
      <c r="L6" t="s">
        <v>3331</v>
      </c>
      <c r="M6" t="s">
        <v>3332</v>
      </c>
      <c r="N6" t="s">
        <v>3333</v>
      </c>
      <c r="O6" t="s">
        <v>3334</v>
      </c>
      <c r="P6" t="s">
        <v>3335</v>
      </c>
      <c r="R6" t="s">
        <v>3336</v>
      </c>
      <c r="S6" t="s">
        <v>578</v>
      </c>
      <c r="T6" t="s">
        <v>3337</v>
      </c>
      <c r="U6" t="s">
        <v>3338</v>
      </c>
      <c r="V6" t="s">
        <v>3339</v>
      </c>
      <c r="W6" t="s">
        <v>3340</v>
      </c>
      <c r="X6" t="s">
        <v>3373</v>
      </c>
      <c r="Y6" t="s">
        <v>3342</v>
      </c>
      <c r="Z6" t="s">
        <v>3343</v>
      </c>
      <c r="AA6" t="s">
        <v>3344</v>
      </c>
      <c r="AB6" t="s">
        <v>3345</v>
      </c>
      <c r="AC6" t="s">
        <v>760</v>
      </c>
      <c r="AD6">
        <v>0</v>
      </c>
      <c r="AF6" t="str">
        <f t="shared" si="15" ref="AF6:AF100">$N$2&amp;" Ownership Role"</f>
        <v>XXXX Ownership Role</v>
      </c>
      <c r="AG6" t="str">
        <f t="shared" si="16" ref="AG6:AG100">$N$2&amp;" Ownership Interest"</f>
        <v>XXXX Ownership Interest</v>
      </c>
      <c r="AH6" t="s">
        <v>3348</v>
      </c>
      <c r="AI6" t="s">
        <v>3349</v>
      </c>
      <c r="AJ6" t="s">
        <v>3350</v>
      </c>
      <c r="AL6">
        <v>0.055</v>
      </c>
      <c r="AM6" t="s">
        <v>3342</v>
      </c>
      <c r="AO6" t="s">
        <v>3348</v>
      </c>
    </row>
    <row r="7" ht="44.25" customHeight="1">
      <c r="AD7" t="s">
        <v>3351</v>
      </c>
      <c r="AE7" t="s">
        <v>3352</v>
      </c>
      <c r="AL7" t="s">
        <v>3353</v>
      </c>
    </row>
    <row r="8" ht="30" customHeight="1">
      <c r="A8">
        <v>1</v>
      </c>
      <c r="N8">
        <f t="shared" si="0" ref="N8:N126">L8+M8</f>
        <v>0</v>
      </c>
      <c r="Y8">
        <f t="shared" si="1" ref="Y8:Y126">IF(X8&gt;0,X8/O8,0)</f>
        <v>0</v>
      </c>
      <c r="AA8">
        <f t="shared" si="2" ref="AA8:AA122">IF(G8="",0,Z8/G8)</f>
        <v>0</v>
      </c>
      <c r="AB8">
        <f t="shared" si="3" ref="AB8:AB126">IF(X8=0,0,X8/Z8)</f>
        <v>0</v>
      </c>
      <c r="AC8">
        <f t="shared" si="4" ref="AC8:AC126">IF(Z8&gt;0,N8/Z8,0)</f>
        <v>0</v>
      </c>
      <c r="AD8">
        <f t="shared" si="5" ref="AD8:AD126">_xlfn.IFERROR(X8/$AD$6,0)</f>
        <v>0</v>
      </c>
      <c r="AE8">
        <f t="shared" si="6" ref="AE8:AE126">_xlfn.IFERROR(N8/AD8,0)</f>
        <v>0</v>
      </c>
      <c r="AH8">
        <f t="shared" si="7" ref="AH8:AH121">(Z8-N8)*AG8</f>
        <v>0</v>
      </c>
      <c r="AI8">
        <f t="shared" si="8" ref="AI8:AI121">(X8-O8)*AG8</f>
        <v>0</v>
      </c>
      <c r="AL8">
        <f t="shared" si="9" ref="AL8:AL121">IF(O8="","",PMT($AL$6,30,-N8,0))</f>
      </c>
      <c r="AM8">
        <f t="shared" si="10" ref="AM8:AM126">IF(X8&gt;0,X8/AL8,0)</f>
        <v>0</v>
      </c>
      <c r="AO8">
        <f t="shared" si="11" ref="AO8:AO121">(Z8-N8)*AG8</f>
        <v>0</v>
      </c>
    </row>
    <row r="9" ht="30" customHeight="1">
      <c r="A9">
        <f t="shared" si="12" ref="A9:A121">A8+1</f>
        <v>2</v>
      </c>
      <c r="N9">
        <f t="shared" si="0"/>
        <v>0</v>
      </c>
      <c r="Y9">
        <f t="shared" si="1"/>
        <v>0</v>
      </c>
      <c r="AA9">
        <f t="shared" si="2"/>
        <v>0</v>
      </c>
      <c r="AB9">
        <f t="shared" si="3"/>
        <v>0</v>
      </c>
      <c r="AC9">
        <f t="shared" si="4"/>
        <v>0</v>
      </c>
      <c r="AD9">
        <f t="shared" si="5"/>
        <v>0</v>
      </c>
      <c r="AE9">
        <f t="shared" si="6"/>
        <v>0</v>
      </c>
      <c r="AH9">
        <f t="shared" si="7"/>
        <v>0</v>
      </c>
      <c r="AI9">
        <f t="shared" si="8"/>
        <v>0</v>
      </c>
      <c r="AL9">
        <f t="shared" si="9"/>
      </c>
      <c r="AM9">
        <f t="shared" si="10"/>
        <v>0</v>
      </c>
      <c r="AO9">
        <f t="shared" si="11"/>
        <v>0</v>
      </c>
    </row>
    <row r="10" ht="30" customHeight="1">
      <c r="A10">
        <f t="shared" si="12"/>
        <v>3</v>
      </c>
      <c r="N10">
        <f t="shared" si="0"/>
        <v>0</v>
      </c>
      <c r="Y10">
        <f t="shared" si="1"/>
        <v>0</v>
      </c>
      <c r="AA10">
        <f t="shared" si="2"/>
        <v>0</v>
      </c>
      <c r="AB10">
        <f t="shared" si="3"/>
        <v>0</v>
      </c>
      <c r="AC10">
        <f t="shared" si="4"/>
        <v>0</v>
      </c>
      <c r="AD10">
        <f t="shared" si="5"/>
        <v>0</v>
      </c>
      <c r="AE10">
        <f t="shared" si="6"/>
        <v>0</v>
      </c>
      <c r="AH10">
        <f t="shared" si="7"/>
        <v>0</v>
      </c>
      <c r="AI10">
        <f t="shared" si="8"/>
        <v>0</v>
      </c>
      <c r="AL10">
        <f t="shared" si="9"/>
      </c>
      <c r="AM10">
        <f t="shared" si="10"/>
        <v>0</v>
      </c>
      <c r="AO10">
        <f t="shared" si="11"/>
        <v>0</v>
      </c>
    </row>
    <row r="11" ht="30" customHeight="1">
      <c r="A11">
        <f t="shared" si="12"/>
        <v>4</v>
      </c>
      <c r="N11">
        <f t="shared" si="0"/>
        <v>0</v>
      </c>
      <c r="Y11">
        <f t="shared" si="1"/>
        <v>0</v>
      </c>
      <c r="AA11">
        <f t="shared" si="2"/>
        <v>0</v>
      </c>
      <c r="AB11">
        <f t="shared" si="3"/>
        <v>0</v>
      </c>
      <c r="AC11">
        <f t="shared" si="4"/>
        <v>0</v>
      </c>
      <c r="AD11">
        <f t="shared" si="5"/>
        <v>0</v>
      </c>
      <c r="AE11">
        <f t="shared" si="6"/>
        <v>0</v>
      </c>
      <c r="AH11">
        <f t="shared" si="7"/>
        <v>0</v>
      </c>
      <c r="AI11">
        <f t="shared" si="8"/>
        <v>0</v>
      </c>
      <c r="AL11">
        <f t="shared" si="9"/>
      </c>
      <c r="AM11">
        <f t="shared" si="10"/>
        <v>0</v>
      </c>
      <c r="AO11">
        <f t="shared" si="11"/>
        <v>0</v>
      </c>
    </row>
    <row r="12" ht="30" customHeight="1">
      <c r="A12">
        <f t="shared" si="12"/>
        <v>5</v>
      </c>
      <c r="N12">
        <f t="shared" si="0"/>
        <v>0</v>
      </c>
      <c r="Y12">
        <f t="shared" si="1"/>
        <v>0</v>
      </c>
      <c r="AA12">
        <f t="shared" si="2"/>
        <v>0</v>
      </c>
      <c r="AB12">
        <f t="shared" si="3"/>
        <v>0</v>
      </c>
      <c r="AC12">
        <f t="shared" si="4"/>
        <v>0</v>
      </c>
      <c r="AD12">
        <f t="shared" si="5"/>
        <v>0</v>
      </c>
      <c r="AE12">
        <f t="shared" si="6"/>
        <v>0</v>
      </c>
      <c r="AH12">
        <f t="shared" si="7"/>
        <v>0</v>
      </c>
      <c r="AI12">
        <f t="shared" si="8"/>
        <v>0</v>
      </c>
      <c r="AL12">
        <f t="shared" si="9"/>
      </c>
      <c r="AM12">
        <f t="shared" si="10"/>
        <v>0</v>
      </c>
      <c r="AO12">
        <f t="shared" si="11"/>
        <v>0</v>
      </c>
    </row>
    <row r="13" ht="30" customHeight="1">
      <c r="A13">
        <f t="shared" si="12"/>
        <v>6</v>
      </c>
      <c r="N13">
        <f t="shared" si="0"/>
        <v>0</v>
      </c>
      <c r="Y13">
        <f t="shared" si="1"/>
        <v>0</v>
      </c>
      <c r="AA13">
        <f t="shared" si="2"/>
        <v>0</v>
      </c>
      <c r="AB13">
        <f t="shared" si="3"/>
        <v>0</v>
      </c>
      <c r="AC13">
        <f t="shared" si="4"/>
        <v>0</v>
      </c>
      <c r="AD13">
        <f t="shared" si="5"/>
        <v>0</v>
      </c>
      <c r="AE13">
        <f t="shared" si="6"/>
        <v>0</v>
      </c>
      <c r="AH13">
        <f t="shared" si="7"/>
        <v>0</v>
      </c>
      <c r="AI13">
        <f t="shared" si="8"/>
        <v>0</v>
      </c>
      <c r="AL13">
        <f t="shared" si="9"/>
      </c>
      <c r="AM13">
        <f t="shared" si="10"/>
        <v>0</v>
      </c>
      <c r="AO13">
        <f t="shared" si="11"/>
        <v>0</v>
      </c>
    </row>
    <row r="14" ht="30" customHeight="1">
      <c r="A14">
        <f t="shared" si="12"/>
        <v>7</v>
      </c>
      <c r="N14">
        <f t="shared" si="0"/>
        <v>0</v>
      </c>
      <c r="Y14">
        <f t="shared" si="1"/>
        <v>0</v>
      </c>
      <c r="AA14">
        <f t="shared" si="2"/>
        <v>0</v>
      </c>
      <c r="AB14">
        <f t="shared" si="3"/>
        <v>0</v>
      </c>
      <c r="AC14">
        <f t="shared" si="4"/>
        <v>0</v>
      </c>
      <c r="AD14">
        <f t="shared" si="5"/>
        <v>0</v>
      </c>
      <c r="AE14">
        <f t="shared" si="6"/>
        <v>0</v>
      </c>
      <c r="AH14">
        <f t="shared" si="7"/>
        <v>0</v>
      </c>
      <c r="AI14">
        <f t="shared" si="8"/>
        <v>0</v>
      </c>
      <c r="AL14">
        <f t="shared" si="9"/>
      </c>
      <c r="AM14">
        <f t="shared" si="10"/>
        <v>0</v>
      </c>
      <c r="AO14">
        <f t="shared" si="11"/>
        <v>0</v>
      </c>
    </row>
    <row r="15" ht="30" customHeight="1">
      <c r="A15">
        <f t="shared" si="12"/>
        <v>8</v>
      </c>
      <c r="N15">
        <f t="shared" si="0"/>
        <v>0</v>
      </c>
      <c r="Y15">
        <f t="shared" si="1"/>
        <v>0</v>
      </c>
      <c r="AA15">
        <f t="shared" si="2"/>
        <v>0</v>
      </c>
      <c r="AB15">
        <f t="shared" si="3"/>
        <v>0</v>
      </c>
      <c r="AC15">
        <f t="shared" si="4"/>
        <v>0</v>
      </c>
      <c r="AD15">
        <f t="shared" si="5"/>
        <v>0</v>
      </c>
      <c r="AE15">
        <f t="shared" si="6"/>
        <v>0</v>
      </c>
      <c r="AH15">
        <f t="shared" si="7"/>
        <v>0</v>
      </c>
      <c r="AI15">
        <f t="shared" si="8"/>
        <v>0</v>
      </c>
      <c r="AL15">
        <f t="shared" si="9"/>
      </c>
      <c r="AM15">
        <f t="shared" si="10"/>
        <v>0</v>
      </c>
      <c r="AO15">
        <f t="shared" si="11"/>
        <v>0</v>
      </c>
    </row>
    <row r="16" ht="30" customHeight="1">
      <c r="A16">
        <f t="shared" si="12"/>
        <v>9</v>
      </c>
      <c r="N16">
        <f t="shared" si="0"/>
        <v>0</v>
      </c>
      <c r="Y16">
        <f t="shared" si="1"/>
        <v>0</v>
      </c>
      <c r="AA16">
        <f t="shared" si="2"/>
        <v>0</v>
      </c>
      <c r="AB16">
        <f t="shared" si="3"/>
        <v>0</v>
      </c>
      <c r="AC16">
        <f t="shared" si="4"/>
        <v>0</v>
      </c>
      <c r="AD16">
        <f t="shared" si="5"/>
        <v>0</v>
      </c>
      <c r="AE16">
        <f t="shared" si="6"/>
        <v>0</v>
      </c>
      <c r="AH16">
        <f t="shared" si="7"/>
        <v>0</v>
      </c>
      <c r="AI16">
        <f t="shared" si="8"/>
        <v>0</v>
      </c>
      <c r="AL16">
        <f t="shared" si="9"/>
      </c>
      <c r="AM16">
        <f t="shared" si="10"/>
        <v>0</v>
      </c>
      <c r="AO16">
        <f t="shared" si="11"/>
        <v>0</v>
      </c>
    </row>
    <row r="17" ht="30" customHeight="1">
      <c r="A17">
        <f t="shared" si="12"/>
        <v>10</v>
      </c>
      <c r="N17">
        <f t="shared" si="0"/>
        <v>0</v>
      </c>
      <c r="Y17">
        <f t="shared" si="1"/>
        <v>0</v>
      </c>
      <c r="AA17">
        <f t="shared" si="2"/>
        <v>0</v>
      </c>
      <c r="AB17">
        <f t="shared" si="3"/>
        <v>0</v>
      </c>
      <c r="AC17">
        <f t="shared" si="4"/>
        <v>0</v>
      </c>
      <c r="AD17">
        <f t="shared" si="5"/>
        <v>0</v>
      </c>
      <c r="AE17">
        <f t="shared" si="6"/>
        <v>0</v>
      </c>
      <c r="AH17">
        <f t="shared" si="7"/>
        <v>0</v>
      </c>
      <c r="AI17">
        <f t="shared" si="8"/>
        <v>0</v>
      </c>
      <c r="AL17">
        <f t="shared" si="9"/>
      </c>
      <c r="AM17">
        <f t="shared" si="10"/>
        <v>0</v>
      </c>
      <c r="AO17">
        <f t="shared" si="11"/>
        <v>0</v>
      </c>
    </row>
    <row r="18" ht="30" customHeight="1" hidden="1">
      <c r="A18">
        <f t="shared" si="12"/>
        <v>11</v>
      </c>
      <c r="N18">
        <f t="shared" si="0"/>
        <v>0</v>
      </c>
      <c r="Y18">
        <f t="shared" si="1"/>
        <v>0</v>
      </c>
      <c r="AA18">
        <f t="shared" si="2"/>
        <v>0</v>
      </c>
      <c r="AB18">
        <f t="shared" si="3"/>
        <v>0</v>
      </c>
      <c r="AC18">
        <f t="shared" si="4"/>
        <v>0</v>
      </c>
      <c r="AD18">
        <f t="shared" si="5"/>
        <v>0</v>
      </c>
      <c r="AE18">
        <f t="shared" si="6"/>
        <v>0</v>
      </c>
      <c r="AH18">
        <f t="shared" si="7"/>
        <v>0</v>
      </c>
      <c r="AI18">
        <f t="shared" si="8"/>
        <v>0</v>
      </c>
      <c r="AL18">
        <f t="shared" si="9"/>
      </c>
      <c r="AM18">
        <f t="shared" si="10"/>
        <v>0</v>
      </c>
      <c r="AO18">
        <f t="shared" si="11"/>
        <v>0</v>
      </c>
    </row>
    <row r="19" ht="30" customHeight="1" hidden="1">
      <c r="A19">
        <f t="shared" si="12"/>
        <v>12</v>
      </c>
      <c r="N19">
        <f t="shared" si="0"/>
        <v>0</v>
      </c>
      <c r="Y19">
        <f t="shared" si="1"/>
        <v>0</v>
      </c>
      <c r="AA19">
        <f t="shared" si="2"/>
        <v>0</v>
      </c>
      <c r="AB19">
        <f t="shared" si="3"/>
        <v>0</v>
      </c>
      <c r="AC19">
        <f t="shared" si="4"/>
        <v>0</v>
      </c>
      <c r="AD19">
        <f t="shared" si="5"/>
        <v>0</v>
      </c>
      <c r="AE19">
        <f t="shared" si="6"/>
        <v>0</v>
      </c>
      <c r="AH19">
        <f t="shared" si="7"/>
        <v>0</v>
      </c>
      <c r="AI19">
        <f t="shared" si="8"/>
        <v>0</v>
      </c>
      <c r="AL19">
        <f t="shared" si="9"/>
      </c>
      <c r="AM19">
        <f t="shared" si="10"/>
        <v>0</v>
      </c>
      <c r="AO19">
        <f t="shared" si="11"/>
        <v>0</v>
      </c>
    </row>
    <row r="20" ht="30" customHeight="1" hidden="1">
      <c r="A20">
        <f t="shared" si="12"/>
        <v>13</v>
      </c>
      <c r="N20">
        <f t="shared" si="0"/>
        <v>0</v>
      </c>
      <c r="Y20">
        <f t="shared" si="1"/>
        <v>0</v>
      </c>
      <c r="AA20">
        <f t="shared" si="2"/>
        <v>0</v>
      </c>
      <c r="AB20">
        <f t="shared" si="3"/>
        <v>0</v>
      </c>
      <c r="AC20">
        <f t="shared" si="4"/>
        <v>0</v>
      </c>
      <c r="AD20">
        <f t="shared" si="5"/>
        <v>0</v>
      </c>
      <c r="AE20">
        <f t="shared" si="6"/>
        <v>0</v>
      </c>
      <c r="AH20">
        <f t="shared" si="7"/>
        <v>0</v>
      </c>
      <c r="AI20">
        <f t="shared" si="8"/>
        <v>0</v>
      </c>
      <c r="AL20">
        <f t="shared" si="9"/>
      </c>
      <c r="AM20">
        <f t="shared" si="10"/>
        <v>0</v>
      </c>
      <c r="AO20">
        <f t="shared" si="11"/>
        <v>0</v>
      </c>
    </row>
    <row r="21" ht="30" customHeight="1" hidden="1">
      <c r="A21">
        <f t="shared" si="12"/>
        <v>14</v>
      </c>
      <c r="N21">
        <f t="shared" si="0"/>
        <v>0</v>
      </c>
      <c r="Y21">
        <f t="shared" si="1"/>
        <v>0</v>
      </c>
      <c r="AA21">
        <f t="shared" si="2"/>
        <v>0</v>
      </c>
      <c r="AB21">
        <f t="shared" si="3"/>
        <v>0</v>
      </c>
      <c r="AC21">
        <f t="shared" si="4"/>
        <v>0</v>
      </c>
      <c r="AD21">
        <f t="shared" si="5"/>
        <v>0</v>
      </c>
      <c r="AE21">
        <f t="shared" si="6"/>
        <v>0</v>
      </c>
      <c r="AH21">
        <f t="shared" si="7"/>
        <v>0</v>
      </c>
      <c r="AI21">
        <f t="shared" si="8"/>
        <v>0</v>
      </c>
      <c r="AL21">
        <f t="shared" si="9"/>
      </c>
      <c r="AM21">
        <f t="shared" si="10"/>
        <v>0</v>
      </c>
      <c r="AO21">
        <f t="shared" si="11"/>
        <v>0</v>
      </c>
    </row>
    <row r="22" ht="30" customHeight="1" hidden="1">
      <c r="A22">
        <f t="shared" si="12"/>
        <v>15</v>
      </c>
      <c r="N22">
        <f t="shared" si="0"/>
        <v>0</v>
      </c>
      <c r="Y22">
        <f t="shared" si="1"/>
        <v>0</v>
      </c>
      <c r="AA22">
        <f t="shared" si="2"/>
        <v>0</v>
      </c>
      <c r="AB22">
        <f t="shared" si="3"/>
        <v>0</v>
      </c>
      <c r="AC22">
        <f t="shared" si="4"/>
        <v>0</v>
      </c>
      <c r="AD22">
        <f t="shared" si="5"/>
        <v>0</v>
      </c>
      <c r="AE22">
        <f t="shared" si="6"/>
        <v>0</v>
      </c>
      <c r="AH22">
        <f t="shared" si="7"/>
        <v>0</v>
      </c>
      <c r="AI22">
        <f t="shared" si="8"/>
        <v>0</v>
      </c>
      <c r="AL22">
        <f t="shared" si="9"/>
      </c>
      <c r="AM22">
        <f t="shared" si="10"/>
        <v>0</v>
      </c>
      <c r="AO22">
        <f t="shared" si="11"/>
        <v>0</v>
      </c>
    </row>
    <row r="23" ht="30" customHeight="1" hidden="1">
      <c r="A23">
        <f t="shared" si="12"/>
        <v>16</v>
      </c>
      <c r="N23">
        <f t="shared" si="0"/>
        <v>0</v>
      </c>
      <c r="Y23">
        <f t="shared" si="1"/>
        <v>0</v>
      </c>
      <c r="AA23">
        <f t="shared" si="2"/>
        <v>0</v>
      </c>
      <c r="AB23">
        <f t="shared" si="3"/>
        <v>0</v>
      </c>
      <c r="AC23">
        <f t="shared" si="4"/>
        <v>0</v>
      </c>
      <c r="AD23">
        <f t="shared" si="5"/>
        <v>0</v>
      </c>
      <c r="AE23">
        <f t="shared" si="6"/>
        <v>0</v>
      </c>
      <c r="AH23">
        <f t="shared" si="7"/>
        <v>0</v>
      </c>
      <c r="AI23">
        <f t="shared" si="8"/>
        <v>0</v>
      </c>
      <c r="AL23">
        <f t="shared" si="9"/>
      </c>
      <c r="AM23">
        <f t="shared" si="10"/>
        <v>0</v>
      </c>
      <c r="AO23">
        <f t="shared" si="11"/>
        <v>0</v>
      </c>
    </row>
    <row r="24" ht="30" customHeight="1" hidden="1">
      <c r="A24">
        <f t="shared" si="12"/>
        <v>17</v>
      </c>
      <c r="N24">
        <f t="shared" si="0"/>
        <v>0</v>
      </c>
      <c r="Y24">
        <f t="shared" si="1"/>
        <v>0</v>
      </c>
      <c r="AA24">
        <f t="shared" si="2"/>
        <v>0</v>
      </c>
      <c r="AB24">
        <f t="shared" si="3"/>
        <v>0</v>
      </c>
      <c r="AC24">
        <f t="shared" si="4"/>
        <v>0</v>
      </c>
      <c r="AD24">
        <f t="shared" si="5"/>
        <v>0</v>
      </c>
      <c r="AE24">
        <f t="shared" si="6"/>
        <v>0</v>
      </c>
      <c r="AH24">
        <f t="shared" si="7"/>
        <v>0</v>
      </c>
      <c r="AI24">
        <f t="shared" si="8"/>
        <v>0</v>
      </c>
      <c r="AL24">
        <f t="shared" si="9"/>
      </c>
      <c r="AM24">
        <f t="shared" si="10"/>
        <v>0</v>
      </c>
      <c r="AO24">
        <f t="shared" si="11"/>
        <v>0</v>
      </c>
    </row>
    <row r="25" ht="30" customHeight="1" hidden="1">
      <c r="A25">
        <f t="shared" si="12"/>
        <v>18</v>
      </c>
      <c r="N25">
        <f t="shared" si="0"/>
        <v>0</v>
      </c>
      <c r="Y25">
        <f t="shared" si="1"/>
        <v>0</v>
      </c>
      <c r="AA25">
        <f t="shared" si="2"/>
        <v>0</v>
      </c>
      <c r="AB25">
        <f t="shared" si="3"/>
        <v>0</v>
      </c>
      <c r="AC25">
        <f t="shared" si="4"/>
        <v>0</v>
      </c>
      <c r="AD25">
        <f t="shared" si="5"/>
        <v>0</v>
      </c>
      <c r="AE25">
        <f t="shared" si="6"/>
        <v>0</v>
      </c>
      <c r="AH25">
        <f t="shared" si="7"/>
        <v>0</v>
      </c>
      <c r="AI25">
        <f t="shared" si="8"/>
        <v>0</v>
      </c>
      <c r="AL25">
        <f t="shared" si="9"/>
      </c>
      <c r="AM25">
        <f t="shared" si="10"/>
        <v>0</v>
      </c>
      <c r="AO25">
        <f t="shared" si="11"/>
        <v>0</v>
      </c>
    </row>
    <row r="26" ht="30" customHeight="1" hidden="1">
      <c r="A26">
        <f t="shared" si="12"/>
        <v>19</v>
      </c>
      <c r="N26">
        <f t="shared" si="0"/>
        <v>0</v>
      </c>
      <c r="Y26">
        <f t="shared" si="1"/>
        <v>0</v>
      </c>
      <c r="AA26">
        <f t="shared" si="2"/>
        <v>0</v>
      </c>
      <c r="AB26">
        <f t="shared" si="3"/>
        <v>0</v>
      </c>
      <c r="AC26">
        <f t="shared" si="4"/>
        <v>0</v>
      </c>
      <c r="AD26">
        <f t="shared" si="5"/>
        <v>0</v>
      </c>
      <c r="AE26">
        <f t="shared" si="6"/>
        <v>0</v>
      </c>
      <c r="AH26">
        <f t="shared" si="7"/>
        <v>0</v>
      </c>
      <c r="AI26">
        <f t="shared" si="8"/>
        <v>0</v>
      </c>
      <c r="AL26">
        <f t="shared" si="9"/>
      </c>
      <c r="AM26">
        <f t="shared" si="10"/>
        <v>0</v>
      </c>
      <c r="AO26">
        <f t="shared" si="11"/>
        <v>0</v>
      </c>
    </row>
    <row r="27" ht="30" customHeight="1" hidden="1">
      <c r="A27">
        <f t="shared" si="12"/>
        <v>20</v>
      </c>
      <c r="N27">
        <f t="shared" si="0"/>
        <v>0</v>
      </c>
      <c r="Y27">
        <f t="shared" si="1"/>
        <v>0</v>
      </c>
      <c r="AA27">
        <f t="shared" si="2"/>
        <v>0</v>
      </c>
      <c r="AB27">
        <f t="shared" si="3"/>
        <v>0</v>
      </c>
      <c r="AC27">
        <f t="shared" si="4"/>
        <v>0</v>
      </c>
      <c r="AD27">
        <f t="shared" si="5"/>
        <v>0</v>
      </c>
      <c r="AE27">
        <f t="shared" si="6"/>
        <v>0</v>
      </c>
      <c r="AH27">
        <f t="shared" si="7"/>
        <v>0</v>
      </c>
      <c r="AI27">
        <f t="shared" si="8"/>
        <v>0</v>
      </c>
      <c r="AL27">
        <f t="shared" si="9"/>
      </c>
      <c r="AM27">
        <f t="shared" si="10"/>
        <v>0</v>
      </c>
      <c r="AO27">
        <f t="shared" si="11"/>
        <v>0</v>
      </c>
    </row>
    <row r="28" ht="30" customHeight="1" hidden="1">
      <c r="A28">
        <f t="shared" si="12"/>
        <v>21</v>
      </c>
      <c r="N28">
        <f t="shared" si="0"/>
        <v>0</v>
      </c>
      <c r="Y28">
        <f t="shared" si="1"/>
        <v>0</v>
      </c>
      <c r="AA28">
        <f t="shared" si="2"/>
        <v>0</v>
      </c>
      <c r="AB28">
        <f t="shared" si="3"/>
        <v>0</v>
      </c>
      <c r="AC28">
        <f t="shared" si="4"/>
        <v>0</v>
      </c>
      <c r="AD28">
        <f t="shared" si="5"/>
        <v>0</v>
      </c>
      <c r="AE28">
        <f t="shared" si="6"/>
        <v>0</v>
      </c>
      <c r="AH28">
        <f t="shared" si="7"/>
        <v>0</v>
      </c>
      <c r="AI28">
        <f t="shared" si="8"/>
        <v>0</v>
      </c>
      <c r="AL28">
        <f t="shared" si="9"/>
      </c>
      <c r="AM28">
        <f t="shared" si="10"/>
        <v>0</v>
      </c>
      <c r="AO28">
        <f t="shared" si="11"/>
        <v>0</v>
      </c>
    </row>
    <row r="29" ht="30" customHeight="1" hidden="1">
      <c r="A29">
        <f t="shared" si="12"/>
        <v>22</v>
      </c>
      <c r="N29">
        <f t="shared" si="0"/>
        <v>0</v>
      </c>
      <c r="Y29">
        <f t="shared" si="1"/>
        <v>0</v>
      </c>
      <c r="AA29">
        <f t="shared" si="2"/>
        <v>0</v>
      </c>
      <c r="AB29">
        <f t="shared" si="3"/>
        <v>0</v>
      </c>
      <c r="AC29">
        <f t="shared" si="4"/>
        <v>0</v>
      </c>
      <c r="AD29">
        <f t="shared" si="5"/>
        <v>0</v>
      </c>
      <c r="AE29">
        <f t="shared" si="6"/>
        <v>0</v>
      </c>
      <c r="AH29">
        <f t="shared" si="7"/>
        <v>0</v>
      </c>
      <c r="AI29">
        <f t="shared" si="8"/>
        <v>0</v>
      </c>
      <c r="AL29">
        <f t="shared" si="9"/>
      </c>
      <c r="AM29">
        <f t="shared" si="10"/>
        <v>0</v>
      </c>
      <c r="AO29">
        <f t="shared" si="11"/>
        <v>0</v>
      </c>
    </row>
    <row r="30" ht="30" customHeight="1" hidden="1">
      <c r="A30">
        <f t="shared" si="12"/>
        <v>23</v>
      </c>
      <c r="N30">
        <f t="shared" si="0"/>
        <v>0</v>
      </c>
      <c r="Y30">
        <f t="shared" si="1"/>
        <v>0</v>
      </c>
      <c r="AA30">
        <f t="shared" si="2"/>
        <v>0</v>
      </c>
      <c r="AB30">
        <f t="shared" si="3"/>
        <v>0</v>
      </c>
      <c r="AC30">
        <f t="shared" si="4"/>
        <v>0</v>
      </c>
      <c r="AD30">
        <f t="shared" si="5"/>
        <v>0</v>
      </c>
      <c r="AE30">
        <f t="shared" si="6"/>
        <v>0</v>
      </c>
      <c r="AH30">
        <f t="shared" si="7"/>
        <v>0</v>
      </c>
      <c r="AI30">
        <f t="shared" si="8"/>
        <v>0</v>
      </c>
      <c r="AL30">
        <f t="shared" si="9"/>
      </c>
      <c r="AM30">
        <f t="shared" si="10"/>
        <v>0</v>
      </c>
      <c r="AO30">
        <f t="shared" si="11"/>
        <v>0</v>
      </c>
    </row>
    <row r="31" ht="30" customHeight="1" hidden="1">
      <c r="A31">
        <f t="shared" si="12"/>
        <v>24</v>
      </c>
      <c r="N31">
        <f t="shared" si="0"/>
        <v>0</v>
      </c>
      <c r="Y31">
        <f t="shared" si="1"/>
        <v>0</v>
      </c>
      <c r="AA31">
        <f t="shared" si="2"/>
        <v>0</v>
      </c>
      <c r="AB31">
        <f t="shared" si="3"/>
        <v>0</v>
      </c>
      <c r="AC31">
        <f t="shared" si="4"/>
        <v>0</v>
      </c>
      <c r="AD31">
        <f t="shared" si="5"/>
        <v>0</v>
      </c>
      <c r="AE31">
        <f t="shared" si="6"/>
        <v>0</v>
      </c>
      <c r="AH31">
        <f t="shared" si="7"/>
        <v>0</v>
      </c>
      <c r="AI31">
        <f t="shared" si="8"/>
        <v>0</v>
      </c>
      <c r="AL31">
        <f t="shared" si="9"/>
      </c>
      <c r="AM31">
        <f t="shared" si="10"/>
        <v>0</v>
      </c>
      <c r="AO31">
        <f t="shared" si="11"/>
        <v>0</v>
      </c>
    </row>
    <row r="32" ht="30" customHeight="1" hidden="1">
      <c r="A32">
        <f t="shared" si="12"/>
        <v>25</v>
      </c>
      <c r="N32">
        <f t="shared" si="0"/>
        <v>0</v>
      </c>
      <c r="Y32">
        <f t="shared" si="1"/>
        <v>0</v>
      </c>
      <c r="AA32">
        <f t="shared" si="2"/>
        <v>0</v>
      </c>
      <c r="AB32">
        <f t="shared" si="3"/>
        <v>0</v>
      </c>
      <c r="AC32">
        <f t="shared" si="4"/>
        <v>0</v>
      </c>
      <c r="AD32">
        <f t="shared" si="5"/>
        <v>0</v>
      </c>
      <c r="AE32">
        <f t="shared" si="6"/>
        <v>0</v>
      </c>
      <c r="AH32">
        <f t="shared" si="7"/>
        <v>0</v>
      </c>
      <c r="AI32">
        <f t="shared" si="8"/>
        <v>0</v>
      </c>
      <c r="AL32">
        <f t="shared" si="9"/>
      </c>
      <c r="AM32">
        <f t="shared" si="10"/>
        <v>0</v>
      </c>
      <c r="AO32">
        <f t="shared" si="11"/>
        <v>0</v>
      </c>
    </row>
    <row r="33" ht="30" customHeight="1" hidden="1">
      <c r="A33">
        <f t="shared" si="12"/>
        <v>26</v>
      </c>
      <c r="N33">
        <f t="shared" si="0"/>
        <v>0</v>
      </c>
      <c r="Y33">
        <f t="shared" si="1"/>
        <v>0</v>
      </c>
      <c r="AA33">
        <f t="shared" si="2"/>
        <v>0</v>
      </c>
      <c r="AB33">
        <f t="shared" si="3"/>
        <v>0</v>
      </c>
      <c r="AC33">
        <f t="shared" si="4"/>
        <v>0</v>
      </c>
      <c r="AD33">
        <f t="shared" si="5"/>
        <v>0</v>
      </c>
      <c r="AE33">
        <f t="shared" si="6"/>
        <v>0</v>
      </c>
      <c r="AH33">
        <f t="shared" si="7"/>
        <v>0</v>
      </c>
      <c r="AI33">
        <f t="shared" si="8"/>
        <v>0</v>
      </c>
      <c r="AL33">
        <f t="shared" si="9"/>
      </c>
      <c r="AM33">
        <f t="shared" si="10"/>
        <v>0</v>
      </c>
      <c r="AO33">
        <f t="shared" si="11"/>
        <v>0</v>
      </c>
    </row>
    <row r="34" ht="30" customHeight="1" hidden="1">
      <c r="A34">
        <f t="shared" si="12"/>
        <v>27</v>
      </c>
      <c r="N34">
        <f t="shared" si="0"/>
        <v>0</v>
      </c>
      <c r="Y34">
        <f t="shared" si="1"/>
        <v>0</v>
      </c>
      <c r="AA34">
        <f t="shared" si="2"/>
        <v>0</v>
      </c>
      <c r="AB34">
        <f t="shared" si="3"/>
        <v>0</v>
      </c>
      <c r="AC34">
        <f t="shared" si="4"/>
        <v>0</v>
      </c>
      <c r="AD34">
        <f t="shared" si="5"/>
        <v>0</v>
      </c>
      <c r="AE34">
        <f t="shared" si="6"/>
        <v>0</v>
      </c>
      <c r="AH34">
        <f t="shared" si="7"/>
        <v>0</v>
      </c>
      <c r="AI34">
        <f t="shared" si="8"/>
        <v>0</v>
      </c>
      <c r="AL34">
        <f t="shared" si="9"/>
      </c>
      <c r="AM34">
        <f t="shared" si="10"/>
        <v>0</v>
      </c>
      <c r="AO34">
        <f t="shared" si="11"/>
        <v>0</v>
      </c>
    </row>
    <row r="35" ht="30" customHeight="1" hidden="1">
      <c r="A35">
        <f t="shared" si="12"/>
        <v>28</v>
      </c>
      <c r="N35">
        <f t="shared" si="0"/>
        <v>0</v>
      </c>
      <c r="Y35">
        <f t="shared" si="1"/>
        <v>0</v>
      </c>
      <c r="AA35">
        <f t="shared" si="2"/>
        <v>0</v>
      </c>
      <c r="AB35">
        <f t="shared" si="3"/>
        <v>0</v>
      </c>
      <c r="AC35">
        <f t="shared" si="4"/>
        <v>0</v>
      </c>
      <c r="AD35">
        <f t="shared" si="5"/>
        <v>0</v>
      </c>
      <c r="AE35">
        <f t="shared" si="6"/>
        <v>0</v>
      </c>
      <c r="AH35">
        <f t="shared" si="7"/>
        <v>0</v>
      </c>
      <c r="AI35">
        <f t="shared" si="8"/>
        <v>0</v>
      </c>
      <c r="AL35">
        <f t="shared" si="9"/>
      </c>
      <c r="AM35">
        <f t="shared" si="10"/>
        <v>0</v>
      </c>
      <c r="AO35">
        <f t="shared" si="11"/>
        <v>0</v>
      </c>
    </row>
    <row r="36" ht="30" customHeight="1" hidden="1">
      <c r="A36">
        <f t="shared" si="12"/>
        <v>29</v>
      </c>
      <c r="N36">
        <f t="shared" si="0"/>
        <v>0</v>
      </c>
      <c r="Y36">
        <f t="shared" si="1"/>
        <v>0</v>
      </c>
      <c r="AA36">
        <f t="shared" si="2"/>
        <v>0</v>
      </c>
      <c r="AB36">
        <f t="shared" si="3"/>
        <v>0</v>
      </c>
      <c r="AC36">
        <f t="shared" si="4"/>
        <v>0</v>
      </c>
      <c r="AD36">
        <f t="shared" si="5"/>
        <v>0</v>
      </c>
      <c r="AE36">
        <f t="shared" si="6"/>
        <v>0</v>
      </c>
      <c r="AH36">
        <f t="shared" si="7"/>
        <v>0</v>
      </c>
      <c r="AI36">
        <f t="shared" si="8"/>
        <v>0</v>
      </c>
      <c r="AL36">
        <f t="shared" si="9"/>
      </c>
      <c r="AM36">
        <f t="shared" si="10"/>
        <v>0</v>
      </c>
      <c r="AO36">
        <f t="shared" si="11"/>
        <v>0</v>
      </c>
    </row>
    <row r="37" ht="30" customHeight="1" hidden="1">
      <c r="A37">
        <f t="shared" si="12"/>
        <v>30</v>
      </c>
      <c r="N37">
        <f t="shared" si="0"/>
        <v>0</v>
      </c>
      <c r="Y37">
        <f t="shared" si="1"/>
        <v>0</v>
      </c>
      <c r="AA37">
        <f t="shared" si="2"/>
        <v>0</v>
      </c>
      <c r="AB37">
        <f t="shared" si="3"/>
        <v>0</v>
      </c>
      <c r="AC37">
        <f t="shared" si="4"/>
        <v>0</v>
      </c>
      <c r="AD37">
        <f t="shared" si="5"/>
        <v>0</v>
      </c>
      <c r="AE37">
        <f t="shared" si="6"/>
        <v>0</v>
      </c>
      <c r="AH37">
        <f t="shared" si="7"/>
        <v>0</v>
      </c>
      <c r="AI37">
        <f t="shared" si="8"/>
        <v>0</v>
      </c>
      <c r="AL37">
        <f t="shared" si="9"/>
      </c>
      <c r="AM37">
        <f t="shared" si="10"/>
        <v>0</v>
      </c>
      <c r="AO37">
        <f t="shared" si="11"/>
        <v>0</v>
      </c>
    </row>
    <row r="38" ht="18" customHeight="1">
      <c r="A38" t="s">
        <v>2443</v>
      </c>
      <c r="G38">
        <f t="shared" si="13" ref="G38:AO38">SUM(G8:G37)</f>
        <v>0</v>
      </c>
      <c r="I38">
        <f>IF(G38=0,0,SUMPRODUCT(G8:G37,I8:I37)/G38)</f>
        <v>0</v>
      </c>
      <c r="L38">
        <f t="shared" si="13"/>
        <v>0</v>
      </c>
      <c r="M38">
        <f t="shared" si="13"/>
        <v>0</v>
      </c>
      <c r="N38">
        <f t="shared" si="0"/>
        <v>0</v>
      </c>
      <c r="O38">
        <f t="shared" si="13"/>
        <v>0</v>
      </c>
      <c r="X38">
        <f t="shared" si="13"/>
        <v>0</v>
      </c>
      <c r="Y38">
        <f t="shared" si="1"/>
        <v>0</v>
      </c>
      <c r="Z38">
        <f t="shared" si="13"/>
        <v>0</v>
      </c>
      <c r="AA38" t="e">
        <f t="shared" si="2"/>
        <v>#DIV/0!</v>
      </c>
      <c r="AB38">
        <f t="shared" si="3"/>
        <v>0</v>
      </c>
      <c r="AC38">
        <f t="shared" si="4"/>
        <v>0</v>
      </c>
      <c r="AD38">
        <f t="shared" si="5"/>
        <v>0</v>
      </c>
      <c r="AE38">
        <f t="shared" si="6"/>
        <v>0</v>
      </c>
      <c r="AF38" t="s">
        <v>3354</v>
      </c>
      <c r="AH38">
        <f t="shared" si="13"/>
        <v>0</v>
      </c>
      <c r="AI38">
        <f t="shared" si="13"/>
        <v>0</v>
      </c>
      <c r="AJ38">
        <f t="shared" si="13"/>
        <v>0</v>
      </c>
      <c r="AL38">
        <f t="shared" si="13"/>
        <v>0</v>
      </c>
      <c r="AM38">
        <f t="shared" si="10"/>
        <v>0</v>
      </c>
      <c r="AO38">
        <f t="shared" si="13"/>
        <v>0</v>
      </c>
    </row>
    <row r="39" ht="18.75" customHeight="1">
      <c r="AF39" t="s">
        <v>3355</v>
      </c>
      <c r="AH39">
        <f>SUM(Z8:Z37)-SUM(N8:N37)</f>
        <v>0</v>
      </c>
      <c r="AI39">
        <f>SUM(X8:X37)-SUM(O8:O37)</f>
        <v>0</v>
      </c>
    </row>
    <row r="40" ht="16.5" customHeight="1">
      <c r="L40" t="s">
        <v>3356</v>
      </c>
      <c r="N40">
        <f t="shared" si="14" ref="N40:Z40">SUMIF($U$6:$U$37,"*W &amp; D*",N6:N37)+SUMIF($U$6:$U$37,"*W&amp;D*",N6:N37)+SUMIF($U$6:$U$37,"*Walker*",N6:N37)+SUMIF($U$6:$U$37,"WD",N6:N37)+SUMIF($U$6:$U$37,"WDLLC",N6:N37)</f>
        <v>0</v>
      </c>
      <c r="O40">
        <f t="shared" si="14"/>
        <v>0</v>
      </c>
      <c r="X40">
        <f t="shared" si="14"/>
        <v>0</v>
      </c>
      <c r="Y40">
        <f>IF(O40&gt;0,X40/O40,0)</f>
        <v>0</v>
      </c>
      <c r="Z40">
        <f t="shared" si="14"/>
        <v>0</v>
      </c>
      <c r="AC40">
        <f t="shared" si="4"/>
        <v>0</v>
      </c>
    </row>
    <row r="41" ht="15.75" customHeight="1">
      <c r="L41" t="s">
        <v>3357</v>
      </c>
      <c r="N41">
        <f>SUMIF(V8:V37,"Fannie Mae",N8:N37)</f>
        <v>0</v>
      </c>
    </row>
    <row r="42" ht="15.75" customHeight="1">
      <c r="A42" t="s">
        <v>3358</v>
      </c>
      <c r="F42" t="s">
        <v>3359</v>
      </c>
    </row>
    <row r="43" ht="15.75" customHeight="1">
      <c r="A43" t="s">
        <v>3318</v>
      </c>
      <c r="L43" t="s">
        <v>3319</v>
      </c>
      <c r="X43" t="s">
        <v>3320</v>
      </c>
      <c r="Z43" t="s">
        <v>3321</v>
      </c>
      <c r="AD43" t="s">
        <v>3322</v>
      </c>
      <c r="AF43" t="s">
        <v>3323</v>
      </c>
      <c r="AL43" t="s">
        <v>3320</v>
      </c>
    </row>
    <row r="44" ht="15" customHeight="1">
      <c r="A44" t="s">
        <v>3103</v>
      </c>
      <c r="B44" t="s">
        <v>3325</v>
      </c>
      <c r="C44" t="s">
        <v>273</v>
      </c>
      <c r="D44" t="s">
        <v>279</v>
      </c>
      <c r="E44" t="s">
        <v>289</v>
      </c>
      <c r="F44" t="s">
        <v>3326</v>
      </c>
      <c r="G44" t="s">
        <v>3360</v>
      </c>
      <c r="H44" t="s">
        <v>660</v>
      </c>
      <c r="I44" t="s">
        <v>3328</v>
      </c>
      <c r="J44" t="s">
        <v>3329</v>
      </c>
      <c r="K44" t="s">
        <v>3330</v>
      </c>
      <c r="L44" t="s">
        <v>3331</v>
      </c>
      <c r="M44" t="s">
        <v>3332</v>
      </c>
      <c r="N44" t="s">
        <v>3333</v>
      </c>
      <c r="O44" t="s">
        <v>3334</v>
      </c>
      <c r="P44" t="s">
        <v>3335</v>
      </c>
      <c r="R44" t="s">
        <v>3336</v>
      </c>
      <c r="S44" t="s">
        <v>578</v>
      </c>
      <c r="T44" t="s">
        <v>3337</v>
      </c>
      <c r="U44" t="s">
        <v>3338</v>
      </c>
      <c r="W44" t="s">
        <v>3340</v>
      </c>
      <c r="X44" t="s">
        <v>3373</v>
      </c>
      <c r="Y44" t="s">
        <v>3342</v>
      </c>
      <c r="Z44" t="s">
        <v>3343</v>
      </c>
      <c r="AA44" t="s">
        <v>3361</v>
      </c>
      <c r="AB44" t="s">
        <v>3345</v>
      </c>
      <c r="AC44" t="s">
        <v>760</v>
      </c>
      <c r="AD44">
        <f>_xlfn.IFERROR(AD6,0)</f>
        <v>0</v>
      </c>
      <c r="AF44" t="str">
        <f t="shared" si="15"/>
        <v>XXXX Ownership Role</v>
      </c>
      <c r="AG44" t="str">
        <f t="shared" si="16"/>
        <v>XXXX Ownership Interest</v>
      </c>
      <c r="AH44" t="s">
        <v>3348</v>
      </c>
      <c r="AI44" t="s">
        <v>3349</v>
      </c>
      <c r="AJ44" t="s">
        <v>3350</v>
      </c>
      <c r="AL44" t="s">
        <v>3353</v>
      </c>
      <c r="AM44" t="s">
        <v>3342</v>
      </c>
      <c r="AO44" t="s">
        <v>3348</v>
      </c>
    </row>
    <row r="45" ht="41.25" customHeight="1">
      <c r="AD45" t="s">
        <v>3351</v>
      </c>
      <c r="AE45" t="s">
        <v>3352</v>
      </c>
    </row>
    <row r="46" ht="30" customHeight="1">
      <c r="A46">
        <v>1</v>
      </c>
      <c r="N46">
        <f t="shared" si="0"/>
        <v>0</v>
      </c>
      <c r="Y46">
        <f t="shared" si="1"/>
        <v>0</v>
      </c>
      <c r="AA46">
        <f t="shared" si="2"/>
        <v>0</v>
      </c>
      <c r="AB46">
        <f t="shared" si="3"/>
        <v>0</v>
      </c>
      <c r="AC46">
        <f t="shared" si="4"/>
        <v>0</v>
      </c>
      <c r="AD46">
        <f t="shared" si="17" ref="AD46:AD66">_xlfn.IFERROR(X46/$AD$44,0)</f>
        <v>0</v>
      </c>
      <c r="AE46">
        <f t="shared" si="6"/>
        <v>0</v>
      </c>
      <c r="AH46">
        <f t="shared" si="7"/>
        <v>0</v>
      </c>
      <c r="AI46">
        <f t="shared" si="8"/>
        <v>0</v>
      </c>
      <c r="AL46">
        <f t="shared" si="9"/>
      </c>
      <c r="AM46">
        <f t="shared" si="10"/>
        <v>0</v>
      </c>
      <c r="AO46">
        <f t="shared" si="11"/>
        <v>0</v>
      </c>
    </row>
    <row r="47" ht="30" customHeight="1">
      <c r="A47">
        <f t="shared" si="12"/>
        <v>2</v>
      </c>
      <c r="N47">
        <f t="shared" si="0"/>
        <v>0</v>
      </c>
      <c r="Y47">
        <f t="shared" si="1"/>
        <v>0</v>
      </c>
      <c r="AA47">
        <f t="shared" si="2"/>
        <v>0</v>
      </c>
      <c r="AB47">
        <f t="shared" si="3"/>
        <v>0</v>
      </c>
      <c r="AC47">
        <f t="shared" si="4"/>
        <v>0</v>
      </c>
      <c r="AD47">
        <f t="shared" si="17"/>
        <v>0</v>
      </c>
      <c r="AE47">
        <f t="shared" si="6"/>
        <v>0</v>
      </c>
      <c r="AH47">
        <f t="shared" si="7"/>
        <v>0</v>
      </c>
      <c r="AI47">
        <f t="shared" si="8"/>
        <v>0</v>
      </c>
      <c r="AL47">
        <f t="shared" si="9"/>
      </c>
      <c r="AM47">
        <f t="shared" si="10"/>
        <v>0</v>
      </c>
      <c r="AO47">
        <f t="shared" si="11"/>
        <v>0</v>
      </c>
    </row>
    <row r="48" ht="30" customHeight="1">
      <c r="A48">
        <f t="shared" si="12"/>
        <v>3</v>
      </c>
      <c r="N48">
        <f t="shared" si="0"/>
        <v>0</v>
      </c>
      <c r="Y48">
        <f t="shared" si="1"/>
        <v>0</v>
      </c>
      <c r="AA48">
        <f t="shared" si="2"/>
        <v>0</v>
      </c>
      <c r="AB48">
        <f t="shared" si="3"/>
        <v>0</v>
      </c>
      <c r="AC48">
        <f t="shared" si="4"/>
        <v>0</v>
      </c>
      <c r="AD48">
        <f t="shared" si="17"/>
        <v>0</v>
      </c>
      <c r="AE48">
        <f t="shared" si="6"/>
        <v>0</v>
      </c>
      <c r="AH48">
        <f t="shared" si="7"/>
        <v>0</v>
      </c>
      <c r="AI48">
        <f t="shared" si="8"/>
        <v>0</v>
      </c>
      <c r="AL48">
        <f t="shared" si="9"/>
      </c>
      <c r="AM48">
        <f t="shared" si="10"/>
        <v>0</v>
      </c>
      <c r="AO48">
        <f t="shared" si="11"/>
        <v>0</v>
      </c>
    </row>
    <row r="49" ht="30" customHeight="1" hidden="1">
      <c r="A49">
        <f t="shared" si="12"/>
        <v>4</v>
      </c>
      <c r="N49">
        <f t="shared" si="0"/>
        <v>0</v>
      </c>
      <c r="Y49">
        <f t="shared" si="1"/>
        <v>0</v>
      </c>
      <c r="AA49">
        <f t="shared" si="2"/>
        <v>0</v>
      </c>
      <c r="AB49">
        <f t="shared" si="3"/>
        <v>0</v>
      </c>
      <c r="AC49">
        <f t="shared" si="4"/>
        <v>0</v>
      </c>
      <c r="AD49">
        <f t="shared" si="17"/>
        <v>0</v>
      </c>
      <c r="AE49">
        <f t="shared" si="6"/>
        <v>0</v>
      </c>
      <c r="AH49">
        <f t="shared" si="7"/>
        <v>0</v>
      </c>
      <c r="AI49">
        <f t="shared" si="8"/>
        <v>0</v>
      </c>
      <c r="AL49">
        <f t="shared" si="9"/>
      </c>
      <c r="AM49">
        <f t="shared" si="10"/>
        <v>0</v>
      </c>
      <c r="AO49">
        <f t="shared" si="11"/>
        <v>0</v>
      </c>
    </row>
    <row r="50" ht="30" customHeight="1" hidden="1">
      <c r="A50">
        <f t="shared" si="12"/>
        <v>5</v>
      </c>
      <c r="N50">
        <f t="shared" si="0"/>
        <v>0</v>
      </c>
      <c r="Y50">
        <f t="shared" si="1"/>
        <v>0</v>
      </c>
      <c r="AA50">
        <f t="shared" si="2"/>
        <v>0</v>
      </c>
      <c r="AB50">
        <f t="shared" si="3"/>
        <v>0</v>
      </c>
      <c r="AC50">
        <f t="shared" si="4"/>
        <v>0</v>
      </c>
      <c r="AD50">
        <f t="shared" si="17"/>
        <v>0</v>
      </c>
      <c r="AE50">
        <f t="shared" si="6"/>
        <v>0</v>
      </c>
      <c r="AH50">
        <f t="shared" si="7"/>
        <v>0</v>
      </c>
      <c r="AI50">
        <f t="shared" si="8"/>
        <v>0</v>
      </c>
      <c r="AL50">
        <f t="shared" si="9"/>
      </c>
      <c r="AM50">
        <f t="shared" si="10"/>
        <v>0</v>
      </c>
      <c r="AO50">
        <f t="shared" si="11"/>
        <v>0</v>
      </c>
    </row>
    <row r="51" ht="30" customHeight="1" hidden="1">
      <c r="A51">
        <f t="shared" si="12"/>
        <v>6</v>
      </c>
      <c r="N51">
        <f t="shared" si="0"/>
        <v>0</v>
      </c>
      <c r="Y51">
        <f t="shared" si="1"/>
        <v>0</v>
      </c>
      <c r="AA51">
        <f t="shared" si="2"/>
        <v>0</v>
      </c>
      <c r="AB51">
        <f t="shared" si="3"/>
        <v>0</v>
      </c>
      <c r="AC51">
        <f t="shared" si="4"/>
        <v>0</v>
      </c>
      <c r="AD51">
        <f t="shared" si="17"/>
        <v>0</v>
      </c>
      <c r="AE51">
        <f t="shared" si="6"/>
        <v>0</v>
      </c>
      <c r="AH51">
        <f t="shared" si="7"/>
        <v>0</v>
      </c>
      <c r="AI51">
        <f t="shared" si="8"/>
        <v>0</v>
      </c>
      <c r="AL51">
        <f t="shared" si="9"/>
      </c>
      <c r="AM51">
        <f t="shared" si="10"/>
        <v>0</v>
      </c>
      <c r="AO51">
        <f t="shared" si="11"/>
        <v>0</v>
      </c>
    </row>
    <row r="52" ht="30" customHeight="1" hidden="1">
      <c r="A52">
        <f t="shared" si="12"/>
        <v>7</v>
      </c>
      <c r="N52">
        <f t="shared" si="0"/>
        <v>0</v>
      </c>
      <c r="Y52">
        <f t="shared" si="1"/>
        <v>0</v>
      </c>
      <c r="AA52">
        <f t="shared" si="2"/>
        <v>0</v>
      </c>
      <c r="AB52">
        <f t="shared" si="3"/>
        <v>0</v>
      </c>
      <c r="AC52">
        <f t="shared" si="4"/>
        <v>0</v>
      </c>
      <c r="AD52">
        <f t="shared" si="17"/>
        <v>0</v>
      </c>
      <c r="AE52">
        <f t="shared" si="6"/>
        <v>0</v>
      </c>
      <c r="AH52">
        <f t="shared" si="7"/>
        <v>0</v>
      </c>
      <c r="AI52">
        <f t="shared" si="8"/>
        <v>0</v>
      </c>
      <c r="AL52">
        <f t="shared" si="9"/>
      </c>
      <c r="AM52">
        <f t="shared" si="10"/>
        <v>0</v>
      </c>
      <c r="AO52">
        <f t="shared" si="11"/>
        <v>0</v>
      </c>
    </row>
    <row r="53" ht="30" customHeight="1" hidden="1">
      <c r="A53">
        <f t="shared" si="12"/>
        <v>8</v>
      </c>
      <c r="N53">
        <f t="shared" si="0"/>
        <v>0</v>
      </c>
      <c r="Y53">
        <f t="shared" si="1"/>
        <v>0</v>
      </c>
      <c r="AA53">
        <f t="shared" si="2"/>
        <v>0</v>
      </c>
      <c r="AB53">
        <f t="shared" si="3"/>
        <v>0</v>
      </c>
      <c r="AC53">
        <f t="shared" si="4"/>
        <v>0</v>
      </c>
      <c r="AD53">
        <f t="shared" si="17"/>
        <v>0</v>
      </c>
      <c r="AE53">
        <f t="shared" si="6"/>
        <v>0</v>
      </c>
      <c r="AH53">
        <f t="shared" si="7"/>
        <v>0</v>
      </c>
      <c r="AI53">
        <f t="shared" si="8"/>
        <v>0</v>
      </c>
      <c r="AL53">
        <f t="shared" si="9"/>
      </c>
      <c r="AM53">
        <f t="shared" si="10"/>
        <v>0</v>
      </c>
      <c r="AO53">
        <f t="shared" si="11"/>
        <v>0</v>
      </c>
    </row>
    <row r="54" ht="30" customHeight="1" hidden="1">
      <c r="A54">
        <f t="shared" si="12"/>
        <v>9</v>
      </c>
      <c r="N54">
        <f t="shared" si="0"/>
        <v>0</v>
      </c>
      <c r="Y54">
        <f t="shared" si="1"/>
        <v>0</v>
      </c>
      <c r="AA54">
        <f t="shared" si="2"/>
        <v>0</v>
      </c>
      <c r="AB54">
        <f t="shared" si="3"/>
        <v>0</v>
      </c>
      <c r="AC54">
        <f t="shared" si="4"/>
        <v>0</v>
      </c>
      <c r="AD54">
        <f t="shared" si="17"/>
        <v>0</v>
      </c>
      <c r="AE54">
        <f t="shared" si="6"/>
        <v>0</v>
      </c>
      <c r="AH54">
        <f t="shared" si="7"/>
        <v>0</v>
      </c>
      <c r="AI54">
        <f t="shared" si="8"/>
        <v>0</v>
      </c>
      <c r="AL54">
        <f t="shared" si="9"/>
      </c>
      <c r="AM54">
        <f t="shared" si="10"/>
        <v>0</v>
      </c>
      <c r="AO54">
        <f t="shared" si="11"/>
        <v>0</v>
      </c>
    </row>
    <row r="55" ht="30" customHeight="1" hidden="1">
      <c r="A55">
        <f t="shared" si="12"/>
        <v>10</v>
      </c>
      <c r="N55">
        <f t="shared" si="0"/>
        <v>0</v>
      </c>
      <c r="Y55">
        <f t="shared" si="1"/>
        <v>0</v>
      </c>
      <c r="AA55">
        <f t="shared" si="2"/>
        <v>0</v>
      </c>
      <c r="AB55">
        <f t="shared" si="3"/>
        <v>0</v>
      </c>
      <c r="AC55">
        <f t="shared" si="4"/>
        <v>0</v>
      </c>
      <c r="AD55">
        <f t="shared" si="17"/>
        <v>0</v>
      </c>
      <c r="AE55">
        <f t="shared" si="6"/>
        <v>0</v>
      </c>
      <c r="AH55">
        <f t="shared" si="7"/>
        <v>0</v>
      </c>
      <c r="AI55">
        <f t="shared" si="8"/>
        <v>0</v>
      </c>
      <c r="AL55">
        <f t="shared" si="9"/>
      </c>
      <c r="AM55">
        <f t="shared" si="10"/>
        <v>0</v>
      </c>
      <c r="AO55">
        <f t="shared" si="11"/>
        <v>0</v>
      </c>
    </row>
    <row r="56" ht="30" customHeight="1" hidden="1">
      <c r="A56">
        <f t="shared" si="12"/>
        <v>11</v>
      </c>
      <c r="N56">
        <f t="shared" si="0"/>
        <v>0</v>
      </c>
      <c r="Y56">
        <f t="shared" si="1"/>
        <v>0</v>
      </c>
      <c r="AA56">
        <f t="shared" si="2"/>
        <v>0</v>
      </c>
      <c r="AB56">
        <f t="shared" si="3"/>
        <v>0</v>
      </c>
      <c r="AC56">
        <f t="shared" si="4"/>
        <v>0</v>
      </c>
      <c r="AD56">
        <f t="shared" si="17"/>
        <v>0</v>
      </c>
      <c r="AE56">
        <f t="shared" si="6"/>
        <v>0</v>
      </c>
      <c r="AH56">
        <f t="shared" si="7"/>
        <v>0</v>
      </c>
      <c r="AI56">
        <f t="shared" si="8"/>
        <v>0</v>
      </c>
      <c r="AL56">
        <f t="shared" si="9"/>
      </c>
      <c r="AM56">
        <f t="shared" si="10"/>
        <v>0</v>
      </c>
      <c r="AO56">
        <f t="shared" si="11"/>
        <v>0</v>
      </c>
    </row>
    <row r="57" ht="30" customHeight="1" hidden="1">
      <c r="A57">
        <f t="shared" si="12"/>
        <v>12</v>
      </c>
      <c r="N57">
        <f t="shared" si="0"/>
        <v>0</v>
      </c>
      <c r="Y57">
        <f t="shared" si="1"/>
        <v>0</v>
      </c>
      <c r="AA57">
        <f t="shared" si="2"/>
        <v>0</v>
      </c>
      <c r="AB57">
        <f t="shared" si="3"/>
        <v>0</v>
      </c>
      <c r="AC57">
        <f t="shared" si="4"/>
        <v>0</v>
      </c>
      <c r="AD57">
        <f t="shared" si="17"/>
        <v>0</v>
      </c>
      <c r="AE57">
        <f t="shared" si="6"/>
        <v>0</v>
      </c>
      <c r="AH57">
        <f t="shared" si="7"/>
        <v>0</v>
      </c>
      <c r="AI57">
        <f t="shared" si="8"/>
        <v>0</v>
      </c>
      <c r="AL57">
        <f t="shared" si="9"/>
      </c>
      <c r="AM57">
        <f t="shared" si="10"/>
        <v>0</v>
      </c>
      <c r="AO57">
        <f t="shared" si="11"/>
        <v>0</v>
      </c>
    </row>
    <row r="58" ht="30" customHeight="1" hidden="1">
      <c r="A58">
        <f t="shared" si="12"/>
        <v>13</v>
      </c>
      <c r="N58">
        <f t="shared" si="0"/>
        <v>0</v>
      </c>
      <c r="Y58">
        <f t="shared" si="1"/>
        <v>0</v>
      </c>
      <c r="AA58">
        <f t="shared" si="2"/>
        <v>0</v>
      </c>
      <c r="AB58">
        <f t="shared" si="3"/>
        <v>0</v>
      </c>
      <c r="AC58">
        <f t="shared" si="4"/>
        <v>0</v>
      </c>
      <c r="AD58">
        <f t="shared" si="17"/>
        <v>0</v>
      </c>
      <c r="AE58">
        <f t="shared" si="6"/>
        <v>0</v>
      </c>
      <c r="AH58">
        <f t="shared" si="7"/>
        <v>0</v>
      </c>
      <c r="AI58">
        <f t="shared" si="8"/>
        <v>0</v>
      </c>
      <c r="AL58">
        <f t="shared" si="9"/>
      </c>
      <c r="AM58">
        <f t="shared" si="10"/>
        <v>0</v>
      </c>
      <c r="AO58">
        <f t="shared" si="11"/>
        <v>0</v>
      </c>
    </row>
    <row r="59" ht="30" customHeight="1" hidden="1">
      <c r="A59">
        <f t="shared" si="12"/>
        <v>14</v>
      </c>
      <c r="N59">
        <f t="shared" si="0"/>
        <v>0</v>
      </c>
      <c r="Y59">
        <f t="shared" si="1"/>
        <v>0</v>
      </c>
      <c r="AA59">
        <f t="shared" si="2"/>
        <v>0</v>
      </c>
      <c r="AB59">
        <f t="shared" si="3"/>
        <v>0</v>
      </c>
      <c r="AC59">
        <f t="shared" si="4"/>
        <v>0</v>
      </c>
      <c r="AD59">
        <f t="shared" si="17"/>
        <v>0</v>
      </c>
      <c r="AE59">
        <f t="shared" si="6"/>
        <v>0</v>
      </c>
      <c r="AH59">
        <f t="shared" si="7"/>
        <v>0</v>
      </c>
      <c r="AI59">
        <f t="shared" si="8"/>
        <v>0</v>
      </c>
      <c r="AL59">
        <f t="shared" si="9"/>
      </c>
      <c r="AM59">
        <f t="shared" si="10"/>
        <v>0</v>
      </c>
      <c r="AO59">
        <f t="shared" si="11"/>
        <v>0</v>
      </c>
    </row>
    <row r="60" ht="30" customHeight="1" hidden="1">
      <c r="A60">
        <f t="shared" si="12"/>
        <v>15</v>
      </c>
      <c r="N60">
        <f t="shared" si="0"/>
        <v>0</v>
      </c>
      <c r="Y60">
        <f t="shared" si="1"/>
        <v>0</v>
      </c>
      <c r="AA60">
        <f t="shared" si="2"/>
        <v>0</v>
      </c>
      <c r="AB60">
        <f t="shared" si="3"/>
        <v>0</v>
      </c>
      <c r="AC60">
        <f t="shared" si="4"/>
        <v>0</v>
      </c>
      <c r="AD60">
        <f t="shared" si="17"/>
        <v>0</v>
      </c>
      <c r="AE60">
        <f t="shared" si="6"/>
        <v>0</v>
      </c>
      <c r="AH60">
        <f t="shared" si="7"/>
        <v>0</v>
      </c>
      <c r="AI60">
        <f t="shared" si="8"/>
        <v>0</v>
      </c>
      <c r="AL60">
        <f t="shared" si="9"/>
      </c>
      <c r="AM60">
        <f t="shared" si="10"/>
        <v>0</v>
      </c>
      <c r="AO60">
        <f t="shared" si="11"/>
        <v>0</v>
      </c>
    </row>
    <row r="61" ht="30" customHeight="1" hidden="1">
      <c r="A61">
        <f t="shared" si="12"/>
        <v>16</v>
      </c>
      <c r="N61">
        <f t="shared" si="0"/>
        <v>0</v>
      </c>
      <c r="Y61">
        <f t="shared" si="1"/>
        <v>0</v>
      </c>
      <c r="AA61">
        <f t="shared" si="2"/>
        <v>0</v>
      </c>
      <c r="AB61">
        <f t="shared" si="3"/>
        <v>0</v>
      </c>
      <c r="AC61">
        <f t="shared" si="4"/>
        <v>0</v>
      </c>
      <c r="AD61">
        <f t="shared" si="17"/>
        <v>0</v>
      </c>
      <c r="AE61">
        <f t="shared" si="6"/>
        <v>0</v>
      </c>
      <c r="AH61">
        <f t="shared" si="7"/>
        <v>0</v>
      </c>
      <c r="AI61">
        <f t="shared" si="8"/>
        <v>0</v>
      </c>
      <c r="AL61">
        <f t="shared" si="9"/>
      </c>
      <c r="AM61">
        <f t="shared" si="10"/>
        <v>0</v>
      </c>
      <c r="AO61">
        <f t="shared" si="11"/>
        <v>0</v>
      </c>
    </row>
    <row r="62" ht="30" customHeight="1" hidden="1">
      <c r="A62">
        <f t="shared" si="12"/>
        <v>17</v>
      </c>
      <c r="N62">
        <f t="shared" si="0"/>
        <v>0</v>
      </c>
      <c r="Y62">
        <f t="shared" si="1"/>
        <v>0</v>
      </c>
      <c r="AA62">
        <f t="shared" si="2"/>
        <v>0</v>
      </c>
      <c r="AB62">
        <f t="shared" si="3"/>
        <v>0</v>
      </c>
      <c r="AC62">
        <f t="shared" si="4"/>
        <v>0</v>
      </c>
      <c r="AD62">
        <f t="shared" si="17"/>
        <v>0</v>
      </c>
      <c r="AE62">
        <f t="shared" si="6"/>
        <v>0</v>
      </c>
      <c r="AH62">
        <f t="shared" si="7"/>
        <v>0</v>
      </c>
      <c r="AI62">
        <f t="shared" si="8"/>
        <v>0</v>
      </c>
      <c r="AL62">
        <f t="shared" si="9"/>
      </c>
      <c r="AM62">
        <f t="shared" si="10"/>
        <v>0</v>
      </c>
      <c r="AO62">
        <f t="shared" si="11"/>
        <v>0</v>
      </c>
    </row>
    <row r="63" ht="30" customHeight="1" hidden="1">
      <c r="A63">
        <f t="shared" si="12"/>
        <v>18</v>
      </c>
      <c r="N63">
        <f t="shared" si="0"/>
        <v>0</v>
      </c>
      <c r="Y63">
        <f t="shared" si="1"/>
        <v>0</v>
      </c>
      <c r="AA63">
        <f t="shared" si="2"/>
        <v>0</v>
      </c>
      <c r="AB63">
        <f t="shared" si="3"/>
        <v>0</v>
      </c>
      <c r="AC63">
        <f t="shared" si="4"/>
        <v>0</v>
      </c>
      <c r="AD63">
        <f t="shared" si="17"/>
        <v>0</v>
      </c>
      <c r="AE63">
        <f t="shared" si="6"/>
        <v>0</v>
      </c>
      <c r="AH63">
        <f t="shared" si="7"/>
        <v>0</v>
      </c>
      <c r="AI63">
        <f t="shared" si="8"/>
        <v>0</v>
      </c>
      <c r="AL63">
        <f t="shared" si="9"/>
      </c>
      <c r="AM63">
        <f t="shared" si="10"/>
        <v>0</v>
      </c>
      <c r="AO63">
        <f t="shared" si="11"/>
        <v>0</v>
      </c>
    </row>
    <row r="64" ht="30" customHeight="1" hidden="1">
      <c r="A64">
        <f t="shared" si="12"/>
        <v>19</v>
      </c>
      <c r="N64">
        <f t="shared" si="0"/>
        <v>0</v>
      </c>
      <c r="Y64">
        <f t="shared" si="1"/>
        <v>0</v>
      </c>
      <c r="AA64">
        <f t="shared" si="2"/>
        <v>0</v>
      </c>
      <c r="AB64">
        <f t="shared" si="3"/>
        <v>0</v>
      </c>
      <c r="AC64">
        <f t="shared" si="4"/>
        <v>0</v>
      </c>
      <c r="AD64">
        <f t="shared" si="17"/>
        <v>0</v>
      </c>
      <c r="AE64">
        <f t="shared" si="6"/>
        <v>0</v>
      </c>
      <c r="AH64">
        <f t="shared" si="7"/>
        <v>0</v>
      </c>
      <c r="AI64">
        <f t="shared" si="8"/>
        <v>0</v>
      </c>
      <c r="AL64">
        <f t="shared" si="9"/>
      </c>
      <c r="AM64">
        <f t="shared" si="10"/>
        <v>0</v>
      </c>
      <c r="AO64">
        <f t="shared" si="11"/>
        <v>0</v>
      </c>
    </row>
    <row r="65" ht="15.75" customHeight="1" hidden="1">
      <c r="A65">
        <f t="shared" si="12"/>
        <v>20</v>
      </c>
      <c r="N65">
        <f t="shared" si="0"/>
        <v>0</v>
      </c>
      <c r="Y65">
        <f t="shared" si="1"/>
        <v>0</v>
      </c>
      <c r="AA65">
        <f t="shared" si="2"/>
        <v>0</v>
      </c>
      <c r="AB65">
        <f t="shared" si="3"/>
        <v>0</v>
      </c>
      <c r="AC65">
        <f t="shared" si="4"/>
        <v>0</v>
      </c>
      <c r="AD65">
        <f t="shared" si="17"/>
        <v>0</v>
      </c>
      <c r="AE65">
        <f t="shared" si="6"/>
        <v>0</v>
      </c>
      <c r="AH65">
        <f t="shared" si="7"/>
        <v>0</v>
      </c>
      <c r="AI65">
        <f t="shared" si="8"/>
        <v>0</v>
      </c>
      <c r="AL65">
        <f t="shared" si="9"/>
      </c>
      <c r="AM65">
        <f t="shared" si="10"/>
        <v>0</v>
      </c>
      <c r="AO65">
        <f t="shared" si="11"/>
        <v>0</v>
      </c>
    </row>
    <row r="66" ht="18" customHeight="1">
      <c r="A66" t="s">
        <v>2443</v>
      </c>
      <c r="G66">
        <f t="shared" si="18" ref="G66:AO122">SUM(G46:G65)</f>
        <v>0</v>
      </c>
      <c r="I66">
        <f t="shared" si="23" ref="I66:I122">IF(G66=0,0,SUMPRODUCT(G46:G65,I46:I65)/G66)</f>
        <v>0</v>
      </c>
      <c r="L66">
        <f t="shared" si="18"/>
        <v>0</v>
      </c>
      <c r="M66">
        <f t="shared" si="18"/>
        <v>0</v>
      </c>
      <c r="N66">
        <f t="shared" si="0"/>
        <v>0</v>
      </c>
      <c r="O66">
        <f t="shared" si="18"/>
        <v>0</v>
      </c>
      <c r="X66">
        <f t="shared" si="18"/>
        <v>0</v>
      </c>
      <c r="Y66">
        <f t="shared" si="1"/>
        <v>0</v>
      </c>
      <c r="Z66">
        <f t="shared" si="18"/>
        <v>0</v>
      </c>
      <c r="AA66" t="e">
        <f t="shared" si="2"/>
        <v>#DIV/0!</v>
      </c>
      <c r="AB66">
        <f t="shared" si="3"/>
        <v>0</v>
      </c>
      <c r="AC66">
        <f t="shared" si="4"/>
        <v>0</v>
      </c>
      <c r="AD66">
        <f t="shared" si="17"/>
        <v>0</v>
      </c>
      <c r="AE66">
        <f t="shared" si="6"/>
        <v>0</v>
      </c>
      <c r="AF66" t="s">
        <v>3354</v>
      </c>
      <c r="AH66">
        <f t="shared" si="18"/>
        <v>0</v>
      </c>
      <c r="AI66">
        <f t="shared" si="18"/>
        <v>0</v>
      </c>
      <c r="AJ66">
        <f t="shared" si="18"/>
        <v>0</v>
      </c>
      <c r="AL66">
        <f t="shared" si="18"/>
        <v>0</v>
      </c>
      <c r="AM66">
        <f t="shared" si="10"/>
        <v>0</v>
      </c>
      <c r="AO66">
        <f t="shared" si="18"/>
        <v>0</v>
      </c>
    </row>
    <row r="67" ht="18.75" customHeight="1">
      <c r="AF67" t="s">
        <v>3355</v>
      </c>
      <c r="AH67">
        <f t="shared" si="20" ref="AH67:AH123">SUM(Z46:Z65)-SUM(N46:N65)</f>
        <v>0</v>
      </c>
      <c r="AI67">
        <f t="shared" si="21" ref="AI67:AI123">SUM(X46:X65)-SUM(O46:O65)</f>
        <v>0</v>
      </c>
    </row>
    <row r="68" ht="15" customHeight="1"/>
    <row r="69" ht="15.75" customHeight="1"/>
    <row r="70" ht="15.75" customHeight="1">
      <c r="A70" t="s">
        <v>3362</v>
      </c>
    </row>
    <row r="71" ht="15.75" customHeight="1">
      <c r="A71" t="s">
        <v>3318</v>
      </c>
      <c r="L71" t="s">
        <v>3319</v>
      </c>
      <c r="X71" t="s">
        <v>3320</v>
      </c>
      <c r="Z71" t="s">
        <v>3321</v>
      </c>
      <c r="AD71" t="s">
        <v>3322</v>
      </c>
      <c r="AF71" t="s">
        <v>3323</v>
      </c>
      <c r="AL71" t="s">
        <v>3320</v>
      </c>
    </row>
    <row r="72" ht="15" customHeight="1">
      <c r="A72" t="s">
        <v>3103</v>
      </c>
      <c r="B72" t="s">
        <v>3325</v>
      </c>
      <c r="C72" t="s">
        <v>273</v>
      </c>
      <c r="D72" t="s">
        <v>279</v>
      </c>
      <c r="E72" t="s">
        <v>289</v>
      </c>
      <c r="F72" t="s">
        <v>3363</v>
      </c>
      <c r="G72" t="s">
        <v>3364</v>
      </c>
      <c r="H72" t="s">
        <v>3365</v>
      </c>
      <c r="I72" t="s">
        <v>3328</v>
      </c>
      <c r="J72" t="s">
        <v>3329</v>
      </c>
      <c r="K72" t="s">
        <v>3330</v>
      </c>
      <c r="L72" t="s">
        <v>3331</v>
      </c>
      <c r="M72" t="s">
        <v>3332</v>
      </c>
      <c r="N72" t="s">
        <v>3333</v>
      </c>
      <c r="O72" t="s">
        <v>3334</v>
      </c>
      <c r="P72" t="s">
        <v>3335</v>
      </c>
      <c r="R72" t="s">
        <v>3336</v>
      </c>
      <c r="S72" t="s">
        <v>578</v>
      </c>
      <c r="T72" t="s">
        <v>3337</v>
      </c>
      <c r="U72" t="s">
        <v>3338</v>
      </c>
      <c r="W72" t="s">
        <v>3340</v>
      </c>
      <c r="X72" t="s">
        <v>3373</v>
      </c>
      <c r="Y72" t="s">
        <v>3342</v>
      </c>
      <c r="Z72" t="s">
        <v>3343</v>
      </c>
      <c r="AA72" t="s">
        <v>3361</v>
      </c>
      <c r="AB72" t="s">
        <v>3345</v>
      </c>
      <c r="AC72" t="s">
        <v>760</v>
      </c>
      <c r="AD72">
        <f>_xlfn.IFERROR(AD6,0)</f>
        <v>0</v>
      </c>
      <c r="AF72" t="str">
        <f t="shared" si="15"/>
        <v>XXXX Ownership Role</v>
      </c>
      <c r="AG72" t="str">
        <f t="shared" si="16"/>
        <v>XXXX Ownership Interest</v>
      </c>
      <c r="AH72" t="s">
        <v>3348</v>
      </c>
      <c r="AI72" t="s">
        <v>3349</v>
      </c>
      <c r="AJ72" t="s">
        <v>3350</v>
      </c>
      <c r="AL72" t="s">
        <v>3353</v>
      </c>
      <c r="AM72" t="s">
        <v>3342</v>
      </c>
      <c r="AO72" t="s">
        <v>3348</v>
      </c>
    </row>
    <row r="73" ht="41.25" customHeight="1">
      <c r="AD73" t="s">
        <v>3351</v>
      </c>
      <c r="AE73" t="s">
        <v>3352</v>
      </c>
    </row>
    <row r="74" ht="30" customHeight="1">
      <c r="A74">
        <v>1</v>
      </c>
      <c r="N74">
        <f t="shared" si="0"/>
        <v>0</v>
      </c>
      <c r="Y74">
        <f t="shared" si="1"/>
        <v>0</v>
      </c>
      <c r="AA74">
        <f t="shared" si="2"/>
        <v>0</v>
      </c>
      <c r="AB74">
        <f t="shared" si="3"/>
        <v>0</v>
      </c>
      <c r="AC74">
        <f t="shared" si="4"/>
        <v>0</v>
      </c>
      <c r="AD74">
        <f t="shared" si="19" ref="AD74:AD94">_xlfn.IFERROR(X74/$AD$72,0)</f>
        <v>0</v>
      </c>
      <c r="AE74">
        <f t="shared" si="6"/>
        <v>0</v>
      </c>
      <c r="AH74">
        <f t="shared" si="7"/>
        <v>0</v>
      </c>
      <c r="AI74">
        <f t="shared" si="8"/>
        <v>0</v>
      </c>
      <c r="AL74">
        <f t="shared" si="9"/>
      </c>
      <c r="AM74">
        <f t="shared" si="10"/>
        <v>0</v>
      </c>
      <c r="AO74">
        <f t="shared" si="11"/>
        <v>0</v>
      </c>
    </row>
    <row r="75" ht="30" customHeight="1">
      <c r="A75">
        <f t="shared" si="12"/>
        <v>2</v>
      </c>
      <c r="N75">
        <f t="shared" si="0"/>
        <v>0</v>
      </c>
      <c r="Y75">
        <f t="shared" si="1"/>
        <v>0</v>
      </c>
      <c r="AA75">
        <f t="shared" si="2"/>
        <v>0</v>
      </c>
      <c r="AB75">
        <f t="shared" si="3"/>
        <v>0</v>
      </c>
      <c r="AC75">
        <f t="shared" si="4"/>
        <v>0</v>
      </c>
      <c r="AD75">
        <f t="shared" si="19"/>
        <v>0</v>
      </c>
      <c r="AE75">
        <f t="shared" si="6"/>
        <v>0</v>
      </c>
      <c r="AH75">
        <f t="shared" si="7"/>
        <v>0</v>
      </c>
      <c r="AI75">
        <f t="shared" si="8"/>
        <v>0</v>
      </c>
      <c r="AL75">
        <f t="shared" si="9"/>
      </c>
      <c r="AM75">
        <f t="shared" si="10"/>
        <v>0</v>
      </c>
      <c r="AO75">
        <f t="shared" si="11"/>
        <v>0</v>
      </c>
    </row>
    <row r="76" ht="30" customHeight="1">
      <c r="A76">
        <f t="shared" si="12"/>
        <v>3</v>
      </c>
      <c r="N76">
        <f t="shared" si="0"/>
        <v>0</v>
      </c>
      <c r="Y76">
        <f t="shared" si="1"/>
        <v>0</v>
      </c>
      <c r="AA76">
        <f t="shared" si="2"/>
        <v>0</v>
      </c>
      <c r="AB76">
        <f t="shared" si="3"/>
        <v>0</v>
      </c>
      <c r="AC76">
        <f t="shared" si="4"/>
        <v>0</v>
      </c>
      <c r="AD76">
        <f t="shared" si="19"/>
        <v>0</v>
      </c>
      <c r="AE76">
        <f t="shared" si="6"/>
        <v>0</v>
      </c>
      <c r="AH76">
        <f t="shared" si="7"/>
        <v>0</v>
      </c>
      <c r="AI76">
        <f t="shared" si="8"/>
        <v>0</v>
      </c>
      <c r="AL76">
        <f t="shared" si="9"/>
      </c>
      <c r="AM76">
        <f t="shared" si="10"/>
        <v>0</v>
      </c>
      <c r="AO76">
        <f t="shared" si="11"/>
        <v>0</v>
      </c>
    </row>
    <row r="77" ht="30" customHeight="1" hidden="1">
      <c r="A77">
        <f t="shared" si="12"/>
        <v>4</v>
      </c>
      <c r="N77">
        <f t="shared" si="0"/>
        <v>0</v>
      </c>
      <c r="Y77">
        <f t="shared" si="1"/>
        <v>0</v>
      </c>
      <c r="AA77">
        <f t="shared" si="2"/>
        <v>0</v>
      </c>
      <c r="AB77">
        <f t="shared" si="3"/>
        <v>0</v>
      </c>
      <c r="AC77">
        <f t="shared" si="4"/>
        <v>0</v>
      </c>
      <c r="AD77">
        <f t="shared" si="19"/>
        <v>0</v>
      </c>
      <c r="AE77">
        <f t="shared" si="6"/>
        <v>0</v>
      </c>
      <c r="AH77">
        <f t="shared" si="7"/>
        <v>0</v>
      </c>
      <c r="AI77">
        <f t="shared" si="8"/>
        <v>0</v>
      </c>
      <c r="AL77">
        <f t="shared" si="9"/>
      </c>
      <c r="AM77">
        <f t="shared" si="10"/>
        <v>0</v>
      </c>
      <c r="AO77">
        <f t="shared" si="11"/>
        <v>0</v>
      </c>
    </row>
    <row r="78" ht="30" customHeight="1" hidden="1">
      <c r="A78">
        <f t="shared" si="12"/>
        <v>5</v>
      </c>
      <c r="N78">
        <f t="shared" si="0"/>
        <v>0</v>
      </c>
      <c r="Y78">
        <f t="shared" si="1"/>
        <v>0</v>
      </c>
      <c r="AA78">
        <f t="shared" si="2"/>
        <v>0</v>
      </c>
      <c r="AB78">
        <f t="shared" si="3"/>
        <v>0</v>
      </c>
      <c r="AC78">
        <f t="shared" si="4"/>
        <v>0</v>
      </c>
      <c r="AD78">
        <f t="shared" si="19"/>
        <v>0</v>
      </c>
      <c r="AE78">
        <f t="shared" si="6"/>
        <v>0</v>
      </c>
      <c r="AH78">
        <f t="shared" si="7"/>
        <v>0</v>
      </c>
      <c r="AI78">
        <f t="shared" si="8"/>
        <v>0</v>
      </c>
      <c r="AL78">
        <f t="shared" si="9"/>
      </c>
      <c r="AM78">
        <f t="shared" si="10"/>
        <v>0</v>
      </c>
      <c r="AO78">
        <f t="shared" si="11"/>
        <v>0</v>
      </c>
    </row>
    <row r="79" ht="30" customHeight="1" hidden="1">
      <c r="A79">
        <f t="shared" si="12"/>
        <v>6</v>
      </c>
      <c r="N79">
        <f t="shared" si="0"/>
        <v>0</v>
      </c>
      <c r="Y79">
        <f t="shared" si="1"/>
        <v>0</v>
      </c>
      <c r="AA79">
        <f t="shared" si="2"/>
        <v>0</v>
      </c>
      <c r="AB79">
        <f t="shared" si="3"/>
        <v>0</v>
      </c>
      <c r="AC79">
        <f t="shared" si="4"/>
        <v>0</v>
      </c>
      <c r="AD79">
        <f t="shared" si="19"/>
        <v>0</v>
      </c>
      <c r="AE79">
        <f t="shared" si="6"/>
        <v>0</v>
      </c>
      <c r="AH79">
        <f t="shared" si="7"/>
        <v>0</v>
      </c>
      <c r="AI79">
        <f t="shared" si="8"/>
        <v>0</v>
      </c>
      <c r="AL79">
        <f t="shared" si="9"/>
      </c>
      <c r="AM79">
        <f t="shared" si="10"/>
        <v>0</v>
      </c>
      <c r="AO79">
        <f t="shared" si="11"/>
        <v>0</v>
      </c>
    </row>
    <row r="80" ht="30" customHeight="1" hidden="1">
      <c r="A80">
        <f t="shared" si="12"/>
        <v>7</v>
      </c>
      <c r="N80">
        <f t="shared" si="0"/>
        <v>0</v>
      </c>
      <c r="Y80">
        <f t="shared" si="1"/>
        <v>0</v>
      </c>
      <c r="AA80">
        <f t="shared" si="2"/>
        <v>0</v>
      </c>
      <c r="AB80">
        <f t="shared" si="3"/>
        <v>0</v>
      </c>
      <c r="AC80">
        <f t="shared" si="4"/>
        <v>0</v>
      </c>
      <c r="AD80">
        <f t="shared" si="19"/>
        <v>0</v>
      </c>
      <c r="AE80">
        <f t="shared" si="6"/>
        <v>0</v>
      </c>
      <c r="AH80">
        <f t="shared" si="7"/>
        <v>0</v>
      </c>
      <c r="AI80">
        <f t="shared" si="8"/>
        <v>0</v>
      </c>
      <c r="AL80">
        <f t="shared" si="9"/>
      </c>
      <c r="AM80">
        <f t="shared" si="10"/>
        <v>0</v>
      </c>
      <c r="AO80">
        <f t="shared" si="11"/>
        <v>0</v>
      </c>
    </row>
    <row r="81" ht="30" customHeight="1" hidden="1">
      <c r="A81">
        <f t="shared" si="12"/>
        <v>8</v>
      </c>
      <c r="N81">
        <f t="shared" si="0"/>
        <v>0</v>
      </c>
      <c r="Y81">
        <f t="shared" si="1"/>
        <v>0</v>
      </c>
      <c r="AA81">
        <f t="shared" si="2"/>
        <v>0</v>
      </c>
      <c r="AB81">
        <f t="shared" si="3"/>
        <v>0</v>
      </c>
      <c r="AC81">
        <f t="shared" si="4"/>
        <v>0</v>
      </c>
      <c r="AD81">
        <f t="shared" si="19"/>
        <v>0</v>
      </c>
      <c r="AE81">
        <f t="shared" si="6"/>
        <v>0</v>
      </c>
      <c r="AH81">
        <f t="shared" si="7"/>
        <v>0</v>
      </c>
      <c r="AI81">
        <f t="shared" si="8"/>
        <v>0</v>
      </c>
      <c r="AL81">
        <f t="shared" si="9"/>
      </c>
      <c r="AM81">
        <f t="shared" si="10"/>
        <v>0</v>
      </c>
      <c r="AO81">
        <f t="shared" si="11"/>
        <v>0</v>
      </c>
    </row>
    <row r="82" ht="30" customHeight="1" hidden="1">
      <c r="A82">
        <f t="shared" si="12"/>
        <v>9</v>
      </c>
      <c r="N82">
        <f t="shared" si="0"/>
        <v>0</v>
      </c>
      <c r="Y82">
        <f t="shared" si="1"/>
        <v>0</v>
      </c>
      <c r="AA82">
        <f t="shared" si="2"/>
        <v>0</v>
      </c>
      <c r="AB82">
        <f t="shared" si="3"/>
        <v>0</v>
      </c>
      <c r="AC82">
        <f t="shared" si="4"/>
        <v>0</v>
      </c>
      <c r="AD82">
        <f t="shared" si="19"/>
        <v>0</v>
      </c>
      <c r="AE82">
        <f t="shared" si="6"/>
        <v>0</v>
      </c>
      <c r="AH82">
        <f t="shared" si="7"/>
        <v>0</v>
      </c>
      <c r="AI82">
        <f t="shared" si="8"/>
        <v>0</v>
      </c>
      <c r="AL82">
        <f t="shared" si="9"/>
      </c>
      <c r="AM82">
        <f t="shared" si="10"/>
        <v>0</v>
      </c>
      <c r="AO82">
        <f t="shared" si="11"/>
        <v>0</v>
      </c>
    </row>
    <row r="83" ht="30" customHeight="1" hidden="1">
      <c r="A83">
        <f t="shared" si="12"/>
        <v>10</v>
      </c>
      <c r="N83">
        <f t="shared" si="0"/>
        <v>0</v>
      </c>
      <c r="Y83">
        <f t="shared" si="1"/>
        <v>0</v>
      </c>
      <c r="AA83">
        <f t="shared" si="2"/>
        <v>0</v>
      </c>
      <c r="AB83">
        <f t="shared" si="3"/>
        <v>0</v>
      </c>
      <c r="AC83">
        <f t="shared" si="4"/>
        <v>0</v>
      </c>
      <c r="AD83">
        <f t="shared" si="19"/>
        <v>0</v>
      </c>
      <c r="AE83">
        <f t="shared" si="6"/>
        <v>0</v>
      </c>
      <c r="AH83">
        <f t="shared" si="7"/>
        <v>0</v>
      </c>
      <c r="AI83">
        <f t="shared" si="8"/>
        <v>0</v>
      </c>
      <c r="AL83">
        <f t="shared" si="9"/>
      </c>
      <c r="AM83">
        <f t="shared" si="10"/>
        <v>0</v>
      </c>
      <c r="AO83">
        <f t="shared" si="11"/>
        <v>0</v>
      </c>
    </row>
    <row r="84" ht="30" customHeight="1" hidden="1">
      <c r="A84">
        <f t="shared" si="12"/>
        <v>11</v>
      </c>
      <c r="N84">
        <f t="shared" si="0"/>
        <v>0</v>
      </c>
      <c r="Y84">
        <f t="shared" si="1"/>
        <v>0</v>
      </c>
      <c r="AA84">
        <f t="shared" si="2"/>
        <v>0</v>
      </c>
      <c r="AB84">
        <f t="shared" si="3"/>
        <v>0</v>
      </c>
      <c r="AC84">
        <f t="shared" si="4"/>
        <v>0</v>
      </c>
      <c r="AD84">
        <f t="shared" si="19"/>
        <v>0</v>
      </c>
      <c r="AE84">
        <f t="shared" si="6"/>
        <v>0</v>
      </c>
      <c r="AH84">
        <f t="shared" si="7"/>
        <v>0</v>
      </c>
      <c r="AI84">
        <f t="shared" si="8"/>
        <v>0</v>
      </c>
      <c r="AL84">
        <f t="shared" si="9"/>
      </c>
      <c r="AM84">
        <f t="shared" si="10"/>
        <v>0</v>
      </c>
      <c r="AO84">
        <f t="shared" si="11"/>
        <v>0</v>
      </c>
    </row>
    <row r="85" ht="30" customHeight="1" hidden="1">
      <c r="A85">
        <f t="shared" si="12"/>
        <v>12</v>
      </c>
      <c r="N85">
        <f t="shared" si="0"/>
        <v>0</v>
      </c>
      <c r="Y85">
        <f t="shared" si="1"/>
        <v>0</v>
      </c>
      <c r="AA85">
        <f t="shared" si="2"/>
        <v>0</v>
      </c>
      <c r="AB85">
        <f t="shared" si="3"/>
        <v>0</v>
      </c>
      <c r="AC85">
        <f t="shared" si="4"/>
        <v>0</v>
      </c>
      <c r="AD85">
        <f t="shared" si="19"/>
        <v>0</v>
      </c>
      <c r="AE85">
        <f t="shared" si="6"/>
        <v>0</v>
      </c>
      <c r="AH85">
        <f t="shared" si="7"/>
        <v>0</v>
      </c>
      <c r="AI85">
        <f t="shared" si="8"/>
        <v>0</v>
      </c>
      <c r="AL85">
        <f t="shared" si="9"/>
      </c>
      <c r="AM85">
        <f t="shared" si="10"/>
        <v>0</v>
      </c>
      <c r="AO85">
        <f t="shared" si="11"/>
        <v>0</v>
      </c>
    </row>
    <row r="86" ht="30" customHeight="1" hidden="1">
      <c r="A86">
        <f t="shared" si="12"/>
        <v>13</v>
      </c>
      <c r="N86">
        <f t="shared" si="0"/>
        <v>0</v>
      </c>
      <c r="Y86">
        <f t="shared" si="1"/>
        <v>0</v>
      </c>
      <c r="AA86">
        <f t="shared" si="2"/>
        <v>0</v>
      </c>
      <c r="AB86">
        <f t="shared" si="3"/>
        <v>0</v>
      </c>
      <c r="AC86">
        <f t="shared" si="4"/>
        <v>0</v>
      </c>
      <c r="AD86">
        <f t="shared" si="19"/>
        <v>0</v>
      </c>
      <c r="AE86">
        <f t="shared" si="6"/>
        <v>0</v>
      </c>
      <c r="AH86">
        <f t="shared" si="7"/>
        <v>0</v>
      </c>
      <c r="AI86">
        <f t="shared" si="8"/>
        <v>0</v>
      </c>
      <c r="AL86">
        <f t="shared" si="9"/>
      </c>
      <c r="AM86">
        <f t="shared" si="10"/>
        <v>0</v>
      </c>
      <c r="AO86">
        <f t="shared" si="11"/>
        <v>0</v>
      </c>
    </row>
    <row r="87" ht="30" customHeight="1" hidden="1">
      <c r="A87">
        <f t="shared" si="12"/>
        <v>14</v>
      </c>
      <c r="N87">
        <f t="shared" si="0"/>
        <v>0</v>
      </c>
      <c r="Y87">
        <f t="shared" si="1"/>
        <v>0</v>
      </c>
      <c r="AA87">
        <f t="shared" si="2"/>
        <v>0</v>
      </c>
      <c r="AB87">
        <f t="shared" si="3"/>
        <v>0</v>
      </c>
      <c r="AC87">
        <f t="shared" si="4"/>
        <v>0</v>
      </c>
      <c r="AD87">
        <f t="shared" si="19"/>
        <v>0</v>
      </c>
      <c r="AE87">
        <f t="shared" si="6"/>
        <v>0</v>
      </c>
      <c r="AH87">
        <f t="shared" si="7"/>
        <v>0</v>
      </c>
      <c r="AI87">
        <f t="shared" si="8"/>
        <v>0</v>
      </c>
      <c r="AL87">
        <f t="shared" si="9"/>
      </c>
      <c r="AM87">
        <f t="shared" si="10"/>
        <v>0</v>
      </c>
      <c r="AO87">
        <f t="shared" si="11"/>
        <v>0</v>
      </c>
    </row>
    <row r="88" ht="30" customHeight="1" hidden="1">
      <c r="A88">
        <f t="shared" si="12"/>
        <v>15</v>
      </c>
      <c r="N88">
        <f t="shared" si="0"/>
        <v>0</v>
      </c>
      <c r="Y88">
        <f t="shared" si="1"/>
        <v>0</v>
      </c>
      <c r="AA88">
        <f t="shared" si="2"/>
        <v>0</v>
      </c>
      <c r="AB88">
        <f t="shared" si="3"/>
        <v>0</v>
      </c>
      <c r="AC88">
        <f t="shared" si="4"/>
        <v>0</v>
      </c>
      <c r="AD88">
        <f t="shared" si="19"/>
        <v>0</v>
      </c>
      <c r="AE88">
        <f t="shared" si="6"/>
        <v>0</v>
      </c>
      <c r="AH88">
        <f t="shared" si="7"/>
        <v>0</v>
      </c>
      <c r="AI88">
        <f t="shared" si="8"/>
        <v>0</v>
      </c>
      <c r="AL88">
        <f t="shared" si="9"/>
      </c>
      <c r="AM88">
        <f t="shared" si="10"/>
        <v>0</v>
      </c>
      <c r="AO88">
        <f t="shared" si="11"/>
        <v>0</v>
      </c>
    </row>
    <row r="89" ht="30" customHeight="1" hidden="1">
      <c r="A89">
        <f t="shared" si="12"/>
        <v>16</v>
      </c>
      <c r="N89">
        <f t="shared" si="0"/>
        <v>0</v>
      </c>
      <c r="Y89">
        <f t="shared" si="1"/>
        <v>0</v>
      </c>
      <c r="AA89">
        <f t="shared" si="2"/>
        <v>0</v>
      </c>
      <c r="AB89">
        <f t="shared" si="3"/>
        <v>0</v>
      </c>
      <c r="AC89">
        <f t="shared" si="4"/>
        <v>0</v>
      </c>
      <c r="AD89">
        <f t="shared" si="19"/>
        <v>0</v>
      </c>
      <c r="AE89">
        <f t="shared" si="6"/>
        <v>0</v>
      </c>
      <c r="AH89">
        <f t="shared" si="7"/>
        <v>0</v>
      </c>
      <c r="AI89">
        <f t="shared" si="8"/>
        <v>0</v>
      </c>
      <c r="AL89">
        <f t="shared" si="9"/>
      </c>
      <c r="AM89">
        <f t="shared" si="10"/>
        <v>0</v>
      </c>
      <c r="AO89">
        <f t="shared" si="11"/>
        <v>0</v>
      </c>
    </row>
    <row r="90" ht="30" customHeight="1" hidden="1">
      <c r="A90">
        <f t="shared" si="12"/>
        <v>17</v>
      </c>
      <c r="N90">
        <f t="shared" si="0"/>
        <v>0</v>
      </c>
      <c r="Y90">
        <f t="shared" si="1"/>
        <v>0</v>
      </c>
      <c r="AA90">
        <f t="shared" si="2"/>
        <v>0</v>
      </c>
      <c r="AB90">
        <f t="shared" si="3"/>
        <v>0</v>
      </c>
      <c r="AC90">
        <f t="shared" si="4"/>
        <v>0</v>
      </c>
      <c r="AD90">
        <f t="shared" si="19"/>
        <v>0</v>
      </c>
      <c r="AE90">
        <f t="shared" si="6"/>
        <v>0</v>
      </c>
      <c r="AH90">
        <f t="shared" si="7"/>
        <v>0</v>
      </c>
      <c r="AI90">
        <f t="shared" si="8"/>
        <v>0</v>
      </c>
      <c r="AL90">
        <f t="shared" si="9"/>
      </c>
      <c r="AM90">
        <f t="shared" si="10"/>
        <v>0</v>
      </c>
      <c r="AO90">
        <f t="shared" si="11"/>
        <v>0</v>
      </c>
    </row>
    <row r="91" ht="30" customHeight="1" hidden="1">
      <c r="A91">
        <f t="shared" si="12"/>
        <v>18</v>
      </c>
      <c r="N91">
        <f t="shared" si="0"/>
        <v>0</v>
      </c>
      <c r="Y91">
        <f t="shared" si="1"/>
        <v>0</v>
      </c>
      <c r="AA91">
        <f t="shared" si="2"/>
        <v>0</v>
      </c>
      <c r="AB91">
        <f t="shared" si="3"/>
        <v>0</v>
      </c>
      <c r="AC91">
        <f t="shared" si="4"/>
        <v>0</v>
      </c>
      <c r="AD91">
        <f t="shared" si="19"/>
        <v>0</v>
      </c>
      <c r="AE91">
        <f t="shared" si="6"/>
        <v>0</v>
      </c>
      <c r="AH91">
        <f t="shared" si="7"/>
        <v>0</v>
      </c>
      <c r="AI91">
        <f t="shared" si="8"/>
        <v>0</v>
      </c>
      <c r="AL91">
        <f t="shared" si="9"/>
      </c>
      <c r="AM91">
        <f t="shared" si="10"/>
        <v>0</v>
      </c>
      <c r="AO91">
        <f t="shared" si="11"/>
        <v>0</v>
      </c>
    </row>
    <row r="92" ht="30" customHeight="1" hidden="1">
      <c r="A92">
        <f t="shared" si="12"/>
        <v>19</v>
      </c>
      <c r="N92">
        <f t="shared" si="0"/>
        <v>0</v>
      </c>
      <c r="Y92">
        <f t="shared" si="1"/>
        <v>0</v>
      </c>
      <c r="AA92">
        <f t="shared" si="2"/>
        <v>0</v>
      </c>
      <c r="AB92">
        <f t="shared" si="3"/>
        <v>0</v>
      </c>
      <c r="AC92">
        <f t="shared" si="4"/>
        <v>0</v>
      </c>
      <c r="AD92">
        <f t="shared" si="19"/>
        <v>0</v>
      </c>
      <c r="AE92">
        <f t="shared" si="6"/>
        <v>0</v>
      </c>
      <c r="AH92">
        <f t="shared" si="7"/>
        <v>0</v>
      </c>
      <c r="AI92">
        <f t="shared" si="8"/>
        <v>0</v>
      </c>
      <c r="AL92">
        <f t="shared" si="9"/>
      </c>
      <c r="AM92">
        <f t="shared" si="10"/>
        <v>0</v>
      </c>
      <c r="AO92">
        <f t="shared" si="11"/>
        <v>0</v>
      </c>
    </row>
    <row r="93" ht="30" customHeight="1" hidden="1">
      <c r="A93">
        <f t="shared" si="12"/>
        <v>20</v>
      </c>
      <c r="N93">
        <f t="shared" si="0"/>
        <v>0</v>
      </c>
      <c r="Y93">
        <f t="shared" si="1"/>
        <v>0</v>
      </c>
      <c r="AA93">
        <f t="shared" si="2"/>
        <v>0</v>
      </c>
      <c r="AB93">
        <f t="shared" si="3"/>
        <v>0</v>
      </c>
      <c r="AC93">
        <f t="shared" si="4"/>
        <v>0</v>
      </c>
      <c r="AD93">
        <f t="shared" si="19"/>
        <v>0</v>
      </c>
      <c r="AE93">
        <f t="shared" si="6"/>
        <v>0</v>
      </c>
      <c r="AH93">
        <f t="shared" si="7"/>
        <v>0</v>
      </c>
      <c r="AI93">
        <f t="shared" si="8"/>
        <v>0</v>
      </c>
      <c r="AL93">
        <f t="shared" si="9"/>
      </c>
      <c r="AM93">
        <f t="shared" si="10"/>
        <v>0</v>
      </c>
      <c r="AO93">
        <f t="shared" si="11"/>
        <v>0</v>
      </c>
    </row>
    <row r="94" ht="18" customHeight="1">
      <c r="A94" t="s">
        <v>2443</v>
      </c>
      <c r="G94">
        <f t="shared" si="18"/>
        <v>0</v>
      </c>
      <c r="L94">
        <f t="shared" si="18"/>
        <v>0</v>
      </c>
      <c r="M94">
        <f t="shared" si="18"/>
        <v>0</v>
      </c>
      <c r="N94">
        <f t="shared" si="0"/>
        <v>0</v>
      </c>
      <c r="O94">
        <f t="shared" si="18"/>
        <v>0</v>
      </c>
      <c r="X94">
        <f t="shared" si="18"/>
        <v>0</v>
      </c>
      <c r="Y94">
        <f t="shared" si="1"/>
        <v>0</v>
      </c>
      <c r="Z94">
        <f t="shared" si="18"/>
        <v>0</v>
      </c>
      <c r="AA94" t="e">
        <f t="shared" si="2"/>
        <v>#DIV/0!</v>
      </c>
      <c r="AB94">
        <f t="shared" si="3"/>
        <v>0</v>
      </c>
      <c r="AC94">
        <f t="shared" si="4"/>
        <v>0</v>
      </c>
      <c r="AD94">
        <f t="shared" si="19"/>
        <v>0</v>
      </c>
      <c r="AE94">
        <f t="shared" si="6"/>
        <v>0</v>
      </c>
      <c r="AF94" t="s">
        <v>3354</v>
      </c>
      <c r="AH94">
        <f t="shared" si="18"/>
        <v>0</v>
      </c>
      <c r="AI94">
        <f t="shared" si="18"/>
        <v>0</v>
      </c>
      <c r="AJ94">
        <f t="shared" si="18"/>
        <v>0</v>
      </c>
      <c r="AL94">
        <f t="shared" si="18"/>
        <v>0</v>
      </c>
      <c r="AM94">
        <f t="shared" si="10"/>
        <v>0</v>
      </c>
      <c r="AO94">
        <f t="shared" si="18"/>
        <v>0</v>
      </c>
    </row>
    <row r="95" ht="18.75" customHeight="1">
      <c r="AF95" t="s">
        <v>3355</v>
      </c>
      <c r="AH95">
        <f t="shared" si="20"/>
        <v>0</v>
      </c>
      <c r="AI95">
        <f t="shared" si="21"/>
        <v>0</v>
      </c>
    </row>
    <row r="96" ht="15" customHeight="1"/>
    <row r="97" ht="15.75" customHeight="1"/>
    <row r="98" ht="15.75" customHeight="1">
      <c r="A98" t="s">
        <v>3366</v>
      </c>
    </row>
    <row r="99" ht="15.75" customHeight="1">
      <c r="A99" t="s">
        <v>3318</v>
      </c>
      <c r="L99" t="s">
        <v>3319</v>
      </c>
      <c r="X99" t="s">
        <v>3320</v>
      </c>
      <c r="Z99" t="s">
        <v>3321</v>
      </c>
      <c r="AD99" t="s">
        <v>3322</v>
      </c>
      <c r="AF99" t="s">
        <v>3323</v>
      </c>
      <c r="AL99" t="s">
        <v>3320</v>
      </c>
    </row>
    <row r="100" ht="15" customHeight="1">
      <c r="A100" t="s">
        <v>3103</v>
      </c>
      <c r="B100" t="s">
        <v>3325</v>
      </c>
      <c r="C100" t="s">
        <v>273</v>
      </c>
      <c r="D100" t="s">
        <v>279</v>
      </c>
      <c r="E100" t="s">
        <v>289</v>
      </c>
      <c r="F100" t="s">
        <v>3326</v>
      </c>
      <c r="G100" t="s">
        <v>3367</v>
      </c>
      <c r="H100" t="s">
        <v>3368</v>
      </c>
      <c r="I100" t="s">
        <v>3328</v>
      </c>
      <c r="J100" t="s">
        <v>3329</v>
      </c>
      <c r="K100" t="s">
        <v>3369</v>
      </c>
      <c r="L100" t="s">
        <v>3331</v>
      </c>
      <c r="M100" t="s">
        <v>3332</v>
      </c>
      <c r="N100" t="s">
        <v>3333</v>
      </c>
      <c r="O100" t="s">
        <v>3334</v>
      </c>
      <c r="P100" t="s">
        <v>3335</v>
      </c>
      <c r="R100" t="s">
        <v>3336</v>
      </c>
      <c r="S100" t="s">
        <v>578</v>
      </c>
      <c r="T100" t="s">
        <v>3337</v>
      </c>
      <c r="U100" t="s">
        <v>3338</v>
      </c>
      <c r="W100" t="s">
        <v>3340</v>
      </c>
      <c r="X100" t="s">
        <v>3373</v>
      </c>
      <c r="Y100" t="s">
        <v>3342</v>
      </c>
      <c r="Z100" t="s">
        <v>3343</v>
      </c>
      <c r="AA100" t="s">
        <v>3344</v>
      </c>
      <c r="AB100" t="s">
        <v>3345</v>
      </c>
      <c r="AC100" t="s">
        <v>760</v>
      </c>
      <c r="AD100">
        <f>_xlfn.IFERROR(AD6,0)</f>
        <v>0</v>
      </c>
      <c r="AF100" t="str">
        <f t="shared" si="15"/>
        <v>XXXX Ownership Role</v>
      </c>
      <c r="AG100" t="str">
        <f t="shared" si="16"/>
        <v>XXXX Ownership Interest</v>
      </c>
      <c r="AH100" t="s">
        <v>3348</v>
      </c>
      <c r="AI100" t="s">
        <v>3349</v>
      </c>
      <c r="AJ100" t="s">
        <v>3350</v>
      </c>
      <c r="AL100" t="s">
        <v>3353</v>
      </c>
      <c r="AM100" t="s">
        <v>3342</v>
      </c>
      <c r="AO100" t="s">
        <v>3348</v>
      </c>
    </row>
    <row r="101" ht="46.5" customHeight="1">
      <c r="AD101" t="s">
        <v>3351</v>
      </c>
      <c r="AE101" t="s">
        <v>3352</v>
      </c>
    </row>
    <row r="102" ht="30" customHeight="1">
      <c r="A102">
        <v>1</v>
      </c>
      <c r="N102">
        <f t="shared" si="0"/>
        <v>0</v>
      </c>
      <c r="Y102">
        <f t="shared" si="1"/>
        <v>0</v>
      </c>
      <c r="AA102">
        <f t="shared" si="2"/>
        <v>0</v>
      </c>
      <c r="AB102">
        <f t="shared" si="3"/>
        <v>0</v>
      </c>
      <c r="AC102">
        <f t="shared" si="4"/>
        <v>0</v>
      </c>
      <c r="AD102">
        <f t="shared" si="22" ref="AD102:AD122">_xlfn.IFERROR(X102/$AD$100,0)</f>
        <v>0</v>
      </c>
      <c r="AE102">
        <f t="shared" si="6"/>
        <v>0</v>
      </c>
      <c r="AH102">
        <f t="shared" si="7"/>
        <v>0</v>
      </c>
      <c r="AI102">
        <f t="shared" si="8"/>
        <v>0</v>
      </c>
      <c r="AL102">
        <f t="shared" si="9"/>
      </c>
      <c r="AM102">
        <f t="shared" si="10"/>
        <v>0</v>
      </c>
      <c r="AO102">
        <f t="shared" si="11"/>
        <v>0</v>
      </c>
    </row>
    <row r="103" ht="30" customHeight="1">
      <c r="A103">
        <f t="shared" si="12"/>
        <v>2</v>
      </c>
      <c r="N103">
        <f t="shared" si="0"/>
        <v>0</v>
      </c>
      <c r="Y103">
        <f t="shared" si="1"/>
        <v>0</v>
      </c>
      <c r="AA103">
        <f t="shared" si="2"/>
        <v>0</v>
      </c>
      <c r="AB103">
        <f t="shared" si="3"/>
        <v>0</v>
      </c>
      <c r="AC103">
        <f t="shared" si="4"/>
        <v>0</v>
      </c>
      <c r="AD103">
        <f t="shared" si="22"/>
        <v>0</v>
      </c>
      <c r="AE103">
        <f t="shared" si="6"/>
        <v>0</v>
      </c>
      <c r="AH103">
        <f t="shared" si="7"/>
        <v>0</v>
      </c>
      <c r="AI103">
        <f t="shared" si="8"/>
        <v>0</v>
      </c>
      <c r="AL103">
        <f t="shared" si="9"/>
      </c>
      <c r="AM103">
        <f t="shared" si="10"/>
        <v>0</v>
      </c>
      <c r="AO103">
        <f t="shared" si="11"/>
        <v>0</v>
      </c>
    </row>
    <row r="104" ht="30" customHeight="1">
      <c r="A104">
        <f t="shared" si="12"/>
        <v>3</v>
      </c>
      <c r="N104">
        <f t="shared" si="0"/>
        <v>0</v>
      </c>
      <c r="Y104">
        <f t="shared" si="1"/>
        <v>0</v>
      </c>
      <c r="AA104">
        <f t="shared" si="2"/>
        <v>0</v>
      </c>
      <c r="AB104">
        <f t="shared" si="3"/>
        <v>0</v>
      </c>
      <c r="AC104">
        <f t="shared" si="4"/>
        <v>0</v>
      </c>
      <c r="AD104">
        <f t="shared" si="22"/>
        <v>0</v>
      </c>
      <c r="AE104">
        <f t="shared" si="6"/>
        <v>0</v>
      </c>
      <c r="AH104">
        <f t="shared" si="7"/>
        <v>0</v>
      </c>
      <c r="AI104">
        <f t="shared" si="8"/>
        <v>0</v>
      </c>
      <c r="AL104">
        <f t="shared" si="9"/>
      </c>
      <c r="AM104">
        <f t="shared" si="10"/>
        <v>0</v>
      </c>
      <c r="AO104">
        <f t="shared" si="11"/>
        <v>0</v>
      </c>
    </row>
    <row r="105" ht="30" customHeight="1" hidden="1">
      <c r="A105">
        <f t="shared" si="12"/>
        <v>4</v>
      </c>
      <c r="N105">
        <f t="shared" si="0"/>
        <v>0</v>
      </c>
      <c r="Y105">
        <f t="shared" si="1"/>
        <v>0</v>
      </c>
      <c r="AA105">
        <f t="shared" si="2"/>
        <v>0</v>
      </c>
      <c r="AB105">
        <f t="shared" si="3"/>
        <v>0</v>
      </c>
      <c r="AC105">
        <f t="shared" si="4"/>
        <v>0</v>
      </c>
      <c r="AD105">
        <f t="shared" si="22"/>
        <v>0</v>
      </c>
      <c r="AE105">
        <f t="shared" si="6"/>
        <v>0</v>
      </c>
      <c r="AH105">
        <f t="shared" si="7"/>
        <v>0</v>
      </c>
      <c r="AI105">
        <f t="shared" si="8"/>
        <v>0</v>
      </c>
      <c r="AL105">
        <f t="shared" si="9"/>
      </c>
      <c r="AM105">
        <f t="shared" si="10"/>
        <v>0</v>
      </c>
      <c r="AO105">
        <f t="shared" si="11"/>
        <v>0</v>
      </c>
    </row>
    <row r="106" ht="30" customHeight="1" hidden="1">
      <c r="A106">
        <f t="shared" si="12"/>
        <v>5</v>
      </c>
      <c r="N106">
        <f t="shared" si="0"/>
        <v>0</v>
      </c>
      <c r="Y106">
        <f t="shared" si="1"/>
        <v>0</v>
      </c>
      <c r="AA106">
        <f t="shared" si="2"/>
        <v>0</v>
      </c>
      <c r="AB106">
        <f t="shared" si="3"/>
        <v>0</v>
      </c>
      <c r="AC106">
        <f t="shared" si="4"/>
        <v>0</v>
      </c>
      <c r="AD106">
        <f t="shared" si="22"/>
        <v>0</v>
      </c>
      <c r="AE106">
        <f t="shared" si="6"/>
        <v>0</v>
      </c>
      <c r="AH106">
        <f t="shared" si="7"/>
        <v>0</v>
      </c>
      <c r="AI106">
        <f t="shared" si="8"/>
        <v>0</v>
      </c>
      <c r="AL106">
        <f t="shared" si="9"/>
      </c>
      <c r="AM106">
        <f t="shared" si="10"/>
        <v>0</v>
      </c>
      <c r="AO106">
        <f t="shared" si="11"/>
        <v>0</v>
      </c>
    </row>
    <row r="107" ht="30" customHeight="1" hidden="1">
      <c r="A107">
        <f t="shared" si="12"/>
        <v>6</v>
      </c>
      <c r="N107">
        <f t="shared" si="0"/>
        <v>0</v>
      </c>
      <c r="Y107">
        <f t="shared" si="1"/>
        <v>0</v>
      </c>
      <c r="AA107">
        <f t="shared" si="2"/>
        <v>0</v>
      </c>
      <c r="AB107">
        <f t="shared" si="3"/>
        <v>0</v>
      </c>
      <c r="AC107">
        <f t="shared" si="4"/>
        <v>0</v>
      </c>
      <c r="AD107">
        <f t="shared" si="22"/>
        <v>0</v>
      </c>
      <c r="AE107">
        <f t="shared" si="6"/>
        <v>0</v>
      </c>
      <c r="AH107">
        <f t="shared" si="7"/>
        <v>0</v>
      </c>
      <c r="AI107">
        <f t="shared" si="8"/>
        <v>0</v>
      </c>
      <c r="AL107">
        <f t="shared" si="9"/>
      </c>
      <c r="AM107">
        <f t="shared" si="10"/>
        <v>0</v>
      </c>
      <c r="AO107">
        <f t="shared" si="11"/>
        <v>0</v>
      </c>
    </row>
    <row r="108" ht="30" customHeight="1" hidden="1">
      <c r="A108">
        <f t="shared" si="12"/>
        <v>7</v>
      </c>
      <c r="N108">
        <f t="shared" si="0"/>
        <v>0</v>
      </c>
      <c r="Y108">
        <f t="shared" si="1"/>
        <v>0</v>
      </c>
      <c r="AA108">
        <f t="shared" si="2"/>
        <v>0</v>
      </c>
      <c r="AB108">
        <f t="shared" si="3"/>
        <v>0</v>
      </c>
      <c r="AC108">
        <f t="shared" si="4"/>
        <v>0</v>
      </c>
      <c r="AD108">
        <f t="shared" si="22"/>
        <v>0</v>
      </c>
      <c r="AE108">
        <f t="shared" si="6"/>
        <v>0</v>
      </c>
      <c r="AH108">
        <f t="shared" si="7"/>
        <v>0</v>
      </c>
      <c r="AI108">
        <f t="shared" si="8"/>
        <v>0</v>
      </c>
      <c r="AL108">
        <f t="shared" si="9"/>
      </c>
      <c r="AM108">
        <f t="shared" si="10"/>
        <v>0</v>
      </c>
      <c r="AO108">
        <f t="shared" si="11"/>
        <v>0</v>
      </c>
    </row>
    <row r="109" ht="30" customHeight="1" hidden="1">
      <c r="A109">
        <f t="shared" si="12"/>
        <v>8</v>
      </c>
      <c r="N109">
        <f t="shared" si="0"/>
        <v>0</v>
      </c>
      <c r="Y109">
        <f t="shared" si="1"/>
        <v>0</v>
      </c>
      <c r="AA109">
        <f t="shared" si="2"/>
        <v>0</v>
      </c>
      <c r="AB109">
        <f t="shared" si="3"/>
        <v>0</v>
      </c>
      <c r="AC109">
        <f t="shared" si="4"/>
        <v>0</v>
      </c>
      <c r="AD109">
        <f t="shared" si="22"/>
        <v>0</v>
      </c>
      <c r="AE109">
        <f t="shared" si="6"/>
        <v>0</v>
      </c>
      <c r="AH109">
        <f t="shared" si="7"/>
        <v>0</v>
      </c>
      <c r="AI109">
        <f t="shared" si="8"/>
        <v>0</v>
      </c>
      <c r="AL109">
        <f t="shared" si="9"/>
      </c>
      <c r="AM109">
        <f t="shared" si="10"/>
        <v>0</v>
      </c>
      <c r="AO109">
        <f t="shared" si="11"/>
        <v>0</v>
      </c>
    </row>
    <row r="110" ht="30" customHeight="1" hidden="1">
      <c r="A110">
        <f t="shared" si="12"/>
        <v>9</v>
      </c>
      <c r="N110">
        <f t="shared" si="0"/>
        <v>0</v>
      </c>
      <c r="Y110">
        <f t="shared" si="1"/>
        <v>0</v>
      </c>
      <c r="AA110">
        <f t="shared" si="2"/>
        <v>0</v>
      </c>
      <c r="AB110">
        <f t="shared" si="3"/>
        <v>0</v>
      </c>
      <c r="AC110">
        <f t="shared" si="4"/>
        <v>0</v>
      </c>
      <c r="AD110">
        <f t="shared" si="22"/>
        <v>0</v>
      </c>
      <c r="AE110">
        <f t="shared" si="6"/>
        <v>0</v>
      </c>
      <c r="AH110">
        <f t="shared" si="7"/>
        <v>0</v>
      </c>
      <c r="AI110">
        <f t="shared" si="8"/>
        <v>0</v>
      </c>
      <c r="AL110">
        <f t="shared" si="9"/>
      </c>
      <c r="AM110">
        <f t="shared" si="10"/>
        <v>0</v>
      </c>
      <c r="AO110">
        <f t="shared" si="11"/>
        <v>0</v>
      </c>
    </row>
    <row r="111" ht="30" customHeight="1" hidden="1">
      <c r="A111">
        <f t="shared" si="12"/>
        <v>10</v>
      </c>
      <c r="N111">
        <f t="shared" si="0"/>
        <v>0</v>
      </c>
      <c r="Y111">
        <f t="shared" si="1"/>
        <v>0</v>
      </c>
      <c r="AA111">
        <f t="shared" si="2"/>
        <v>0</v>
      </c>
      <c r="AB111">
        <f t="shared" si="3"/>
        <v>0</v>
      </c>
      <c r="AC111">
        <f t="shared" si="4"/>
        <v>0</v>
      </c>
      <c r="AD111">
        <f t="shared" si="22"/>
        <v>0</v>
      </c>
      <c r="AE111">
        <f t="shared" si="6"/>
        <v>0</v>
      </c>
      <c r="AH111">
        <f t="shared" si="7"/>
        <v>0</v>
      </c>
      <c r="AI111">
        <f t="shared" si="8"/>
        <v>0</v>
      </c>
      <c r="AL111">
        <f t="shared" si="9"/>
      </c>
      <c r="AM111">
        <f t="shared" si="10"/>
        <v>0</v>
      </c>
      <c r="AO111">
        <f t="shared" si="11"/>
        <v>0</v>
      </c>
    </row>
    <row r="112" ht="30" customHeight="1" hidden="1">
      <c r="A112">
        <f t="shared" si="12"/>
        <v>11</v>
      </c>
      <c r="N112">
        <f t="shared" si="0"/>
        <v>0</v>
      </c>
      <c r="Y112">
        <f t="shared" si="1"/>
        <v>0</v>
      </c>
      <c r="AA112">
        <f t="shared" si="2"/>
        <v>0</v>
      </c>
      <c r="AB112">
        <f t="shared" si="3"/>
        <v>0</v>
      </c>
      <c r="AC112">
        <f t="shared" si="4"/>
        <v>0</v>
      </c>
      <c r="AD112">
        <f t="shared" si="22"/>
        <v>0</v>
      </c>
      <c r="AE112">
        <f t="shared" si="6"/>
        <v>0</v>
      </c>
      <c r="AH112">
        <f t="shared" si="7"/>
        <v>0</v>
      </c>
      <c r="AI112">
        <f t="shared" si="8"/>
        <v>0</v>
      </c>
      <c r="AL112">
        <f t="shared" si="9"/>
      </c>
      <c r="AM112">
        <f t="shared" si="10"/>
        <v>0</v>
      </c>
      <c r="AO112">
        <f t="shared" si="11"/>
        <v>0</v>
      </c>
    </row>
    <row r="113" ht="30" customHeight="1" hidden="1">
      <c r="A113">
        <f t="shared" si="12"/>
        <v>12</v>
      </c>
      <c r="N113">
        <f t="shared" si="0"/>
        <v>0</v>
      </c>
      <c r="Y113">
        <f t="shared" si="1"/>
        <v>0</v>
      </c>
      <c r="AA113">
        <f t="shared" si="2"/>
        <v>0</v>
      </c>
      <c r="AB113">
        <f t="shared" si="3"/>
        <v>0</v>
      </c>
      <c r="AC113">
        <f t="shared" si="4"/>
        <v>0</v>
      </c>
      <c r="AD113">
        <f t="shared" si="22"/>
        <v>0</v>
      </c>
      <c r="AE113">
        <f t="shared" si="6"/>
        <v>0</v>
      </c>
      <c r="AH113">
        <f t="shared" si="7"/>
        <v>0</v>
      </c>
      <c r="AI113">
        <f t="shared" si="8"/>
        <v>0</v>
      </c>
      <c r="AL113">
        <f t="shared" si="9"/>
      </c>
      <c r="AM113">
        <f t="shared" si="10"/>
        <v>0</v>
      </c>
      <c r="AO113">
        <f t="shared" si="11"/>
        <v>0</v>
      </c>
    </row>
    <row r="114" ht="30" customHeight="1" hidden="1">
      <c r="A114">
        <f t="shared" si="12"/>
        <v>13</v>
      </c>
      <c r="N114">
        <f t="shared" si="0"/>
        <v>0</v>
      </c>
      <c r="Y114">
        <f t="shared" si="1"/>
        <v>0</v>
      </c>
      <c r="AA114">
        <f t="shared" si="2"/>
        <v>0</v>
      </c>
      <c r="AB114">
        <f t="shared" si="3"/>
        <v>0</v>
      </c>
      <c r="AC114">
        <f t="shared" si="4"/>
        <v>0</v>
      </c>
      <c r="AD114">
        <f t="shared" si="22"/>
        <v>0</v>
      </c>
      <c r="AE114">
        <f t="shared" si="6"/>
        <v>0</v>
      </c>
      <c r="AH114">
        <f t="shared" si="7"/>
        <v>0</v>
      </c>
      <c r="AI114">
        <f t="shared" si="8"/>
        <v>0</v>
      </c>
      <c r="AL114">
        <f t="shared" si="9"/>
      </c>
      <c r="AM114">
        <f t="shared" si="10"/>
        <v>0</v>
      </c>
      <c r="AO114">
        <f t="shared" si="11"/>
        <v>0</v>
      </c>
    </row>
    <row r="115" ht="30" customHeight="1" hidden="1">
      <c r="A115">
        <f t="shared" si="12"/>
        <v>14</v>
      </c>
      <c r="N115">
        <f t="shared" si="0"/>
        <v>0</v>
      </c>
      <c r="Y115">
        <f t="shared" si="1"/>
        <v>0</v>
      </c>
      <c r="AA115">
        <f t="shared" si="2"/>
        <v>0</v>
      </c>
      <c r="AB115">
        <f t="shared" si="3"/>
        <v>0</v>
      </c>
      <c r="AC115">
        <f t="shared" si="4"/>
        <v>0</v>
      </c>
      <c r="AD115">
        <f t="shared" si="22"/>
        <v>0</v>
      </c>
      <c r="AE115">
        <f t="shared" si="6"/>
        <v>0</v>
      </c>
      <c r="AH115">
        <f t="shared" si="7"/>
        <v>0</v>
      </c>
      <c r="AI115">
        <f t="shared" si="8"/>
        <v>0</v>
      </c>
      <c r="AL115">
        <f t="shared" si="9"/>
      </c>
      <c r="AM115">
        <f t="shared" si="10"/>
        <v>0</v>
      </c>
      <c r="AO115">
        <f t="shared" si="11"/>
        <v>0</v>
      </c>
    </row>
    <row r="116" ht="30" customHeight="1" hidden="1">
      <c r="A116">
        <f t="shared" si="12"/>
        <v>15</v>
      </c>
      <c r="N116">
        <f t="shared" si="0"/>
        <v>0</v>
      </c>
      <c r="Y116">
        <f t="shared" si="1"/>
        <v>0</v>
      </c>
      <c r="AA116">
        <f t="shared" si="2"/>
        <v>0</v>
      </c>
      <c r="AB116">
        <f t="shared" si="3"/>
        <v>0</v>
      </c>
      <c r="AC116">
        <f t="shared" si="4"/>
        <v>0</v>
      </c>
      <c r="AD116">
        <f t="shared" si="22"/>
        <v>0</v>
      </c>
      <c r="AE116">
        <f t="shared" si="6"/>
        <v>0</v>
      </c>
      <c r="AH116">
        <f t="shared" si="7"/>
        <v>0</v>
      </c>
      <c r="AI116">
        <f t="shared" si="8"/>
        <v>0</v>
      </c>
      <c r="AL116">
        <f t="shared" si="9"/>
      </c>
      <c r="AM116">
        <f t="shared" si="10"/>
        <v>0</v>
      </c>
      <c r="AO116">
        <f t="shared" si="11"/>
        <v>0</v>
      </c>
    </row>
    <row r="117" ht="30" customHeight="1" hidden="1">
      <c r="A117">
        <f t="shared" si="12"/>
        <v>16</v>
      </c>
      <c r="N117">
        <f t="shared" si="0"/>
        <v>0</v>
      </c>
      <c r="Y117">
        <f t="shared" si="1"/>
        <v>0</v>
      </c>
      <c r="AA117">
        <f t="shared" si="2"/>
        <v>0</v>
      </c>
      <c r="AB117">
        <f t="shared" si="3"/>
        <v>0</v>
      </c>
      <c r="AC117">
        <f t="shared" si="4"/>
        <v>0</v>
      </c>
      <c r="AD117">
        <f t="shared" si="22"/>
        <v>0</v>
      </c>
      <c r="AE117">
        <f t="shared" si="6"/>
        <v>0</v>
      </c>
      <c r="AH117">
        <f t="shared" si="7"/>
        <v>0</v>
      </c>
      <c r="AI117">
        <f t="shared" si="8"/>
        <v>0</v>
      </c>
      <c r="AL117">
        <f t="shared" si="9"/>
      </c>
      <c r="AM117">
        <f t="shared" si="10"/>
        <v>0</v>
      </c>
      <c r="AO117">
        <f t="shared" si="11"/>
        <v>0</v>
      </c>
    </row>
    <row r="118" ht="30" customHeight="1" hidden="1">
      <c r="A118">
        <f t="shared" si="12"/>
        <v>17</v>
      </c>
      <c r="N118">
        <f t="shared" si="0"/>
        <v>0</v>
      </c>
      <c r="Y118">
        <f t="shared" si="1"/>
        <v>0</v>
      </c>
      <c r="AA118">
        <f t="shared" si="2"/>
        <v>0</v>
      </c>
      <c r="AB118">
        <f t="shared" si="3"/>
        <v>0</v>
      </c>
      <c r="AC118">
        <f t="shared" si="4"/>
        <v>0</v>
      </c>
      <c r="AD118">
        <f t="shared" si="22"/>
        <v>0</v>
      </c>
      <c r="AE118">
        <f t="shared" si="6"/>
        <v>0</v>
      </c>
      <c r="AH118">
        <f t="shared" si="7"/>
        <v>0</v>
      </c>
      <c r="AI118">
        <f t="shared" si="8"/>
        <v>0</v>
      </c>
      <c r="AL118">
        <f t="shared" si="9"/>
      </c>
      <c r="AM118">
        <f t="shared" si="10"/>
        <v>0</v>
      </c>
      <c r="AO118">
        <f t="shared" si="11"/>
        <v>0</v>
      </c>
    </row>
    <row r="119" ht="30" customHeight="1" hidden="1">
      <c r="A119">
        <f t="shared" si="12"/>
        <v>18</v>
      </c>
      <c r="N119">
        <f t="shared" si="0"/>
        <v>0</v>
      </c>
      <c r="Y119">
        <f t="shared" si="1"/>
        <v>0</v>
      </c>
      <c r="AA119">
        <f t="shared" si="2"/>
        <v>0</v>
      </c>
      <c r="AB119">
        <f t="shared" si="3"/>
        <v>0</v>
      </c>
      <c r="AC119">
        <f t="shared" si="4"/>
        <v>0</v>
      </c>
      <c r="AD119">
        <f t="shared" si="22"/>
        <v>0</v>
      </c>
      <c r="AE119">
        <f t="shared" si="6"/>
        <v>0</v>
      </c>
      <c r="AH119">
        <f t="shared" si="7"/>
        <v>0</v>
      </c>
      <c r="AI119">
        <f t="shared" si="8"/>
        <v>0</v>
      </c>
      <c r="AL119">
        <f t="shared" si="9"/>
      </c>
      <c r="AM119">
        <f t="shared" si="10"/>
        <v>0</v>
      </c>
      <c r="AO119">
        <f t="shared" si="11"/>
        <v>0</v>
      </c>
    </row>
    <row r="120" ht="30" customHeight="1" hidden="1">
      <c r="A120">
        <f t="shared" si="12"/>
        <v>19</v>
      </c>
      <c r="N120">
        <f t="shared" si="0"/>
        <v>0</v>
      </c>
      <c r="Y120">
        <f t="shared" si="1"/>
        <v>0</v>
      </c>
      <c r="AA120">
        <f t="shared" si="2"/>
        <v>0</v>
      </c>
      <c r="AB120">
        <f t="shared" si="3"/>
        <v>0</v>
      </c>
      <c r="AC120">
        <f t="shared" si="4"/>
        <v>0</v>
      </c>
      <c r="AD120">
        <f t="shared" si="22"/>
        <v>0</v>
      </c>
      <c r="AE120">
        <f t="shared" si="6"/>
        <v>0</v>
      </c>
      <c r="AH120">
        <f t="shared" si="7"/>
        <v>0</v>
      </c>
      <c r="AI120">
        <f t="shared" si="8"/>
        <v>0</v>
      </c>
      <c r="AL120">
        <f t="shared" si="9"/>
      </c>
      <c r="AM120">
        <f t="shared" si="10"/>
        <v>0</v>
      </c>
      <c r="AO120">
        <f t="shared" si="11"/>
        <v>0</v>
      </c>
    </row>
    <row r="121" ht="30" customHeight="1" hidden="1">
      <c r="A121">
        <f t="shared" si="12"/>
        <v>20</v>
      </c>
      <c r="N121">
        <f t="shared" si="0"/>
        <v>0</v>
      </c>
      <c r="Y121">
        <f t="shared" si="1"/>
        <v>0</v>
      </c>
      <c r="AA121">
        <f t="shared" si="2"/>
        <v>0</v>
      </c>
      <c r="AB121">
        <f t="shared" si="3"/>
        <v>0</v>
      </c>
      <c r="AC121">
        <f t="shared" si="4"/>
        <v>0</v>
      </c>
      <c r="AD121">
        <f t="shared" si="22"/>
        <v>0</v>
      </c>
      <c r="AE121">
        <f t="shared" si="6"/>
        <v>0</v>
      </c>
      <c r="AH121">
        <f t="shared" si="7"/>
        <v>0</v>
      </c>
      <c r="AI121">
        <f t="shared" si="8"/>
        <v>0</v>
      </c>
      <c r="AL121">
        <f t="shared" si="9"/>
      </c>
      <c r="AM121">
        <f t="shared" si="10"/>
        <v>0</v>
      </c>
      <c r="AO121">
        <f t="shared" si="11"/>
        <v>0</v>
      </c>
    </row>
    <row r="122" ht="18" customHeight="1">
      <c r="A122" t="s">
        <v>2443</v>
      </c>
      <c r="G122">
        <f t="shared" si="18"/>
        <v>0</v>
      </c>
      <c r="I122">
        <f t="shared" si="23"/>
        <v>0</v>
      </c>
      <c r="L122">
        <f t="shared" si="18"/>
        <v>0</v>
      </c>
      <c r="M122">
        <f t="shared" si="18"/>
        <v>0</v>
      </c>
      <c r="N122">
        <f t="shared" si="0"/>
        <v>0</v>
      </c>
      <c r="O122">
        <f t="shared" si="18"/>
        <v>0</v>
      </c>
      <c r="X122">
        <f t="shared" si="18"/>
        <v>0</v>
      </c>
      <c r="Y122">
        <f t="shared" si="1"/>
        <v>0</v>
      </c>
      <c r="Z122">
        <f t="shared" si="18"/>
        <v>0</v>
      </c>
      <c r="AA122" t="e">
        <f t="shared" si="2"/>
        <v>#DIV/0!</v>
      </c>
      <c r="AB122">
        <f t="shared" si="3"/>
        <v>0</v>
      </c>
      <c r="AC122">
        <f t="shared" si="4"/>
        <v>0</v>
      </c>
      <c r="AD122">
        <f t="shared" si="22"/>
        <v>0</v>
      </c>
      <c r="AE122">
        <f t="shared" si="6"/>
        <v>0</v>
      </c>
      <c r="AF122" t="s">
        <v>3354</v>
      </c>
      <c r="AH122">
        <f t="shared" si="18"/>
        <v>0</v>
      </c>
      <c r="AI122">
        <f t="shared" si="18"/>
        <v>0</v>
      </c>
      <c r="AJ122">
        <f t="shared" si="18"/>
        <v>0</v>
      </c>
      <c r="AL122">
        <f t="shared" si="18"/>
        <v>0</v>
      </c>
      <c r="AM122">
        <f t="shared" si="10"/>
        <v>0</v>
      </c>
      <c r="AO122">
        <f t="shared" si="18"/>
        <v>0</v>
      </c>
    </row>
    <row r="123" ht="18.75" customHeight="1">
      <c r="AF123" t="s">
        <v>3355</v>
      </c>
      <c r="AH123">
        <f t="shared" si="20"/>
        <v>0</v>
      </c>
      <c r="AI123">
        <f t="shared" si="21"/>
        <v>0</v>
      </c>
    </row>
    <row r="124" ht="15" customHeight="1"/>
    <row r="125" ht="15.75" customHeight="1"/>
    <row r="126" ht="15.75" customHeight="1">
      <c r="A126" t="s">
        <v>2999</v>
      </c>
      <c r="I126">
        <f>_xlfn.LET(_xlpm.denominator,G38+G66+G94+G122,IF(_xlpm.denominator=0,0,(SUMPRODUCT(G8:G37,I8:I37)+SUMPRODUCT(G46:G65,I46:I65)+SUMPRODUCT(G74:G93,I74:I93)+SUMPRODUCT(G102:G121,I102:I121))/_xlpm.denominator))</f>
        <v>0</v>
      </c>
      <c r="L126">
        <f t="shared" si="24" ref="L126:AO127">L38+L66+L94+L122</f>
        <v>0</v>
      </c>
      <c r="M126">
        <f t="shared" si="24"/>
        <v>0</v>
      </c>
      <c r="N126">
        <f t="shared" si="0"/>
        <v>0</v>
      </c>
      <c r="O126">
        <f t="shared" si="24"/>
        <v>0</v>
      </c>
      <c r="X126">
        <f t="shared" si="24"/>
        <v>0</v>
      </c>
      <c r="Y126">
        <f t="shared" si="1"/>
        <v>0</v>
      </c>
      <c r="Z126">
        <f t="shared" si="24"/>
        <v>0</v>
      </c>
      <c r="AB126">
        <f t="shared" si="3"/>
        <v>0</v>
      </c>
      <c r="AC126">
        <f t="shared" si="4"/>
        <v>0</v>
      </c>
      <c r="AD126">
        <f t="shared" si="5"/>
        <v>0</v>
      </c>
      <c r="AE126">
        <f t="shared" si="6"/>
        <v>0</v>
      </c>
      <c r="AF126" t="s">
        <v>3354</v>
      </c>
      <c r="AH126">
        <f t="shared" si="24"/>
        <v>0</v>
      </c>
      <c r="AI126">
        <f t="shared" si="24"/>
        <v>0</v>
      </c>
      <c r="AJ126">
        <f t="shared" si="24"/>
        <v>0</v>
      </c>
      <c r="AL126">
        <f t="shared" si="24"/>
        <v>0</v>
      </c>
      <c r="AM126">
        <f t="shared" si="10"/>
        <v>0</v>
      </c>
      <c r="AO126">
        <f t="shared" si="24"/>
        <v>0</v>
      </c>
    </row>
    <row r="127" ht="15.75" customHeight="1">
      <c r="AF127" t="s">
        <v>3355</v>
      </c>
      <c r="AH127">
        <f t="shared" si="24"/>
        <v>0</v>
      </c>
      <c r="AI127">
        <f t="shared" si="24"/>
        <v>0</v>
      </c>
    </row>
    <row r="128" ht="15.75" customHeight="1"/>
    <row r="129" ht="15.75" customHeight="1">
      <c r="AO129">
        <f>'Bor-KP-Prin'!S15-'Bor-KP-Prin'!S25</f>
        <v>0</v>
      </c>
      <c r="AP129" t="s">
        <v>3370</v>
      </c>
    </row>
    <row r="130" ht="15.75" customHeight="1">
      <c r="AO130">
        <f>AO129-AO126</f>
        <v>0</v>
      </c>
      <c r="AP130" t="s">
        <v>3371</v>
      </c>
    </row>
    <row r="131" ht="15" customHeight="1">
      <c r="AO131" t="e">
        <f>AO130/AO126</f>
        <v>#DIV/0!</v>
      </c>
      <c r="AP131" t="s">
        <v>3372</v>
      </c>
    </row>
  </sheetData>
  <printOptions horizontalCentered="1"/>
  <pageMargins left="0.25" right="0.25" top="0.25" bottom="0.25" header="0.3" footer="0.3"/>
  <pageSetup paperSize="5" useFirstPageNumber="1" firstPageNumber="1" scale="40" pageOrder="downThenOver" orientation="landscape"/>
  <headerFooter>
    <oddHeader>&amp;L&amp;C&amp;R</oddHeader>
    <oddFooter>&amp;L&amp;C&amp;R</oddFooter>
  </headerFooter>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CAAD84A-BDC1-1B0C-804D-606A04AB2C57}" mc:Ignorable="x14ac xr xr2 xr3">
  <sheetPr>
    <pageSetUpPr fitToPage="1"/>
  </sheetPr>
  <dimension ref="A1:AG67"/>
  <sheetViews>
    <sheetView topLeftCell="A1" zoomScale="80" workbookViewId="0">
      <selection activeCell="I5" sqref="I5:I9"/>
    </sheetView>
  </sheetViews>
  <sheetFormatPr defaultRowHeight="12.997499999999997" defaultColWidth="0" customHeight="1"/>
  <cols>
    <col min="1" max="5" width="9.140625" hidden="1" customWidth="1"/>
    <col min="6" max="6" width="4.7109375" hidden="1" customWidth="1"/>
    <col min="7" max="7" width="4.140625" customWidth="1"/>
    <col min="8" max="8" width="17.28125" customWidth="1"/>
    <col min="9" max="9" width="20.8515625" customWidth="1"/>
    <col min="10" max="10" width="25.7109375" customWidth="1"/>
    <col min="11" max="11" width="17.8515625" customWidth="1"/>
    <col min="12" max="12" width="10.28125" customWidth="1"/>
    <col min="13" max="13" width="11.57421875" customWidth="1"/>
    <col min="14" max="16" width="9.140625" customWidth="1"/>
    <col min="17" max="17" width="10.00390625" customWidth="1"/>
    <col min="18" max="18" width="10.57421875" customWidth="1"/>
    <col min="19" max="22" width="10.00390625" customWidth="1"/>
    <col min="23" max="26" width="13.7109375" customWidth="1"/>
    <col min="27" max="27" width="4.140625" customWidth="1"/>
    <col min="28" max="33" width="9.140625" hidden="1" customWidth="1"/>
  </cols>
  <sheetData>
    <row r="1" ht="11.25" customHeight="1"/>
    <row r="2" ht="15.75" customHeight="1">
      <c r="A2" t="s">
        <v>3374</v>
      </c>
      <c r="E2" t="s">
        <v>3375</v>
      </c>
      <c r="H2" t="str">
        <f>PropertyName_DataPageTab&amp;" - Rent Comparable Analysis"</f>
        <v>XXXX - Rent Comparable Analysis</v>
      </c>
      <c r="W2" t="s">
        <v>3377</v>
      </c>
    </row>
    <row r="3" ht="10.5" customHeight="1">
      <c r="A3">
        <f>COUNTIF(A5:A64,TRUE)</f>
        <v>0</v>
      </c>
      <c r="E3">
        <f>COUNTIF(E5:E64,FALSE)</f>
        <v>0</v>
      </c>
    </row>
    <row r="4" ht="56.25" customHeight="1">
      <c r="A4" t="s">
        <v>3378</v>
      </c>
      <c r="B4" t="s">
        <v>3379</v>
      </c>
      <c r="C4" t="s">
        <v>3380</v>
      </c>
      <c r="D4" t="s">
        <v>3381</v>
      </c>
      <c r="E4" t="s">
        <v>3382</v>
      </c>
      <c r="I4" t="s">
        <v>3383</v>
      </c>
      <c r="J4" t="s">
        <v>3384</v>
      </c>
      <c r="K4" t="s">
        <v>3385</v>
      </c>
      <c r="L4" t="s">
        <v>3386</v>
      </c>
      <c r="M4" t="s">
        <v>3387</v>
      </c>
      <c r="N4" t="s">
        <v>3327</v>
      </c>
      <c r="O4" t="s">
        <v>3388</v>
      </c>
      <c r="P4" t="s">
        <v>660</v>
      </c>
      <c r="Q4" t="s">
        <v>3389</v>
      </c>
      <c r="R4" t="s">
        <v>3390</v>
      </c>
      <c r="S4" t="s">
        <v>3391</v>
      </c>
      <c r="T4" t="s">
        <v>3392</v>
      </c>
      <c r="U4" t="s">
        <v>3393</v>
      </c>
      <c r="V4" t="s">
        <v>3394</v>
      </c>
      <c r="W4" t="s">
        <v>3395</v>
      </c>
      <c r="X4" t="s">
        <v>3396</v>
      </c>
      <c r="Y4" t="s">
        <v>3397</v>
      </c>
      <c r="Z4" t="s">
        <v>3398</v>
      </c>
    </row>
    <row r="5" ht="12.75" customHeight="1">
      <c r="A5" t="b">
        <f t="shared" si="0" ref="A5:A59">COUNTA(I5:Z9)&gt;0</f>
        <v>0</v>
      </c>
      <c r="B5" t="str">
        <f t="shared" si="1" ref="B5:B59">IF(A5,COUNTA(I5:P9)=8,"-")</f>
        <v>-</v>
      </c>
      <c r="C5" t="str">
        <f t="shared" si="2" ref="C5:C59">IF(A5,COUNTIF(D5:D9,TRUE),"-")</f>
        <v>-</v>
      </c>
      <c r="D5" t="str">
        <f t="shared" si="3" ref="D5:D59">IF(A5,COUNTA(Q5:V5)=6,"-")</f>
        <v>-</v>
      </c>
      <c r="E5" t="str">
        <f t="shared" si="4" ref="E5:E59">IF(A5,AND(B5,C5&gt;0),"-")</f>
        <v>-</v>
      </c>
      <c r="H5" t="s">
        <v>3399</v>
      </c>
    </row>
    <row r="6" ht="14.25" customHeight="1">
      <c r="D6" t="str">
        <f t="shared" si="5" ref="D6:D60">IF(A5,COUNTA(Q6:V6)=6,"-")</f>
        <v>-</v>
      </c>
      <c r="H6" t="str">
        <f t="shared" si="6" ref="H6:H60">IF(E5="-",E5,IF(E5,"Complete","Incomplete"))</f>
        <v>-</v>
      </c>
    </row>
    <row r="7" ht="12.75" customHeight="1">
      <c r="D7" t="str">
        <f t="shared" si="7" ref="D7:D61">IF(A5,COUNTA(Q7:V7)=6,"-")</f>
        <v>-</v>
      </c>
    </row>
    <row r="8" ht="12.75" customHeight="1">
      <c r="D8" t="str">
        <f t="shared" si="8" ref="D8:D62">IF(A5,COUNTA(Q8:V8)=6,"-")</f>
        <v>-</v>
      </c>
    </row>
    <row r="9" ht="12.75" customHeight="1">
      <c r="D9" t="str">
        <f t="shared" si="9" ref="D9:D63">IF(A5,COUNTA(Q9:V9)=6,"-")</f>
        <v>-</v>
      </c>
    </row>
    <row r="10" ht="14.25" customHeight="1"/>
    <row r="11" ht="12.75" customHeight="1">
      <c r="A11" t="b">
        <f t="shared" si="0"/>
        <v>0</v>
      </c>
      <c r="B11" t="str">
        <f t="shared" si="1"/>
        <v>-</v>
      </c>
      <c r="C11" t="str">
        <f t="shared" si="2"/>
        <v>-</v>
      </c>
      <c r="D11" t="str">
        <f t="shared" si="3"/>
        <v>-</v>
      </c>
      <c r="E11" t="str">
        <f t="shared" si="4"/>
        <v>-</v>
      </c>
      <c r="H11" t="s">
        <v>3400</v>
      </c>
    </row>
    <row r="12" ht="14.25" customHeight="1">
      <c r="D12" t="str">
        <f t="shared" si="5"/>
        <v>-</v>
      </c>
      <c r="H12" t="str">
        <f t="shared" si="6"/>
        <v>-</v>
      </c>
    </row>
    <row r="13" ht="12.75" customHeight="1">
      <c r="D13" t="str">
        <f t="shared" si="7"/>
        <v>-</v>
      </c>
    </row>
    <row r="14" ht="12.75" customHeight="1">
      <c r="D14" t="str">
        <f t="shared" si="8"/>
        <v>-</v>
      </c>
    </row>
    <row r="15" ht="12.75" customHeight="1">
      <c r="D15" t="str">
        <f t="shared" si="9"/>
        <v>-</v>
      </c>
    </row>
    <row r="16" ht="13.5" customHeight="1"/>
    <row r="17" ht="12.75" customHeight="1">
      <c r="A17" t="b">
        <f t="shared" si="0"/>
        <v>0</v>
      </c>
      <c r="B17" t="str">
        <f t="shared" si="1"/>
        <v>-</v>
      </c>
      <c r="C17" t="str">
        <f t="shared" si="2"/>
        <v>-</v>
      </c>
      <c r="D17" t="str">
        <f t="shared" si="3"/>
        <v>-</v>
      </c>
      <c r="E17" t="str">
        <f t="shared" si="4"/>
        <v>-</v>
      </c>
      <c r="H17" t="s">
        <v>3401</v>
      </c>
    </row>
    <row r="18" ht="14.25" customHeight="1">
      <c r="D18" t="str">
        <f t="shared" si="5"/>
        <v>-</v>
      </c>
      <c r="H18" t="str">
        <f t="shared" si="6"/>
        <v>-</v>
      </c>
    </row>
    <row r="19" ht="12.75" customHeight="1">
      <c r="D19" t="str">
        <f t="shared" si="7"/>
        <v>-</v>
      </c>
    </row>
    <row r="20" ht="12.75" customHeight="1">
      <c r="D20" t="str">
        <f t="shared" si="8"/>
        <v>-</v>
      </c>
    </row>
    <row r="21" ht="12.75" customHeight="1">
      <c r="D21" t="str">
        <f t="shared" si="9"/>
        <v>-</v>
      </c>
    </row>
    <row r="22" ht="14.25" customHeight="1"/>
    <row r="23" ht="12.75" customHeight="1">
      <c r="A23" t="b">
        <f t="shared" si="0"/>
        <v>0</v>
      </c>
      <c r="B23" t="str">
        <f t="shared" si="1"/>
        <v>-</v>
      </c>
      <c r="C23" t="str">
        <f t="shared" si="2"/>
        <v>-</v>
      </c>
      <c r="D23" t="str">
        <f t="shared" si="3"/>
        <v>-</v>
      </c>
      <c r="E23" t="str">
        <f t="shared" si="4"/>
        <v>-</v>
      </c>
      <c r="H23" t="s">
        <v>3402</v>
      </c>
    </row>
    <row r="24" ht="14.25" customHeight="1">
      <c r="D24" t="str">
        <f t="shared" si="5"/>
        <v>-</v>
      </c>
      <c r="H24" t="str">
        <f t="shared" si="6"/>
        <v>-</v>
      </c>
    </row>
    <row r="25" ht="12.75" customHeight="1">
      <c r="D25" t="str">
        <f t="shared" si="7"/>
        <v>-</v>
      </c>
    </row>
    <row r="26" ht="12.75" customHeight="1">
      <c r="D26" t="str">
        <f t="shared" si="8"/>
        <v>-</v>
      </c>
    </row>
    <row r="27" ht="12.75" customHeight="1">
      <c r="D27" t="str">
        <f t="shared" si="9"/>
        <v>-</v>
      </c>
    </row>
    <row r="28" ht="14.25" customHeight="1"/>
    <row r="29" ht="12.75" customHeight="1">
      <c r="A29" t="b">
        <f t="shared" si="0"/>
        <v>0</v>
      </c>
      <c r="B29" t="str">
        <f t="shared" si="1"/>
        <v>-</v>
      </c>
      <c r="C29" t="str">
        <f t="shared" si="2"/>
        <v>-</v>
      </c>
      <c r="D29" t="str">
        <f t="shared" si="3"/>
        <v>-</v>
      </c>
      <c r="E29" t="str">
        <f t="shared" si="4"/>
        <v>-</v>
      </c>
      <c r="H29" t="s">
        <v>3403</v>
      </c>
    </row>
    <row r="30" ht="14.25" customHeight="1">
      <c r="D30" t="str">
        <f t="shared" si="5"/>
        <v>-</v>
      </c>
      <c r="H30" t="str">
        <f t="shared" si="6"/>
        <v>-</v>
      </c>
    </row>
    <row r="31" ht="12.75" customHeight="1">
      <c r="D31" t="str">
        <f t="shared" si="7"/>
        <v>-</v>
      </c>
    </row>
    <row r="32" ht="12.75" customHeight="1">
      <c r="D32" t="str">
        <f t="shared" si="8"/>
        <v>-</v>
      </c>
    </row>
    <row r="33" ht="12.75" customHeight="1">
      <c r="D33" t="str">
        <f t="shared" si="9"/>
        <v>-</v>
      </c>
    </row>
    <row r="34" ht="14.25" customHeight="1"/>
    <row r="35" ht="12.75" customHeight="1">
      <c r="A35" t="b">
        <f t="shared" si="0"/>
        <v>0</v>
      </c>
      <c r="B35" t="str">
        <f t="shared" si="1"/>
        <v>-</v>
      </c>
      <c r="C35" t="str">
        <f t="shared" si="2"/>
        <v>-</v>
      </c>
      <c r="D35" t="str">
        <f t="shared" si="3"/>
        <v>-</v>
      </c>
      <c r="E35" t="str">
        <f t="shared" si="4"/>
        <v>-</v>
      </c>
      <c r="H35" t="s">
        <v>3404</v>
      </c>
    </row>
    <row r="36" ht="14.25" customHeight="1">
      <c r="D36" t="str">
        <f t="shared" si="5"/>
        <v>-</v>
      </c>
      <c r="H36" t="str">
        <f t="shared" si="6"/>
        <v>-</v>
      </c>
    </row>
    <row r="37" ht="12.75" customHeight="1">
      <c r="D37" t="str">
        <f t="shared" si="7"/>
        <v>-</v>
      </c>
    </row>
    <row r="38" ht="12.75" customHeight="1">
      <c r="D38" t="str">
        <f t="shared" si="8"/>
        <v>-</v>
      </c>
    </row>
    <row r="39" ht="12.75" customHeight="1">
      <c r="D39" t="str">
        <f t="shared" si="9"/>
        <v>-</v>
      </c>
    </row>
    <row r="40" ht="14.25" customHeight="1"/>
    <row r="41" ht="12.75" customHeight="1">
      <c r="A41" t="b">
        <f t="shared" si="0"/>
        <v>0</v>
      </c>
      <c r="B41" t="str">
        <f t="shared" si="1"/>
        <v>-</v>
      </c>
      <c r="C41" t="str">
        <f t="shared" si="2"/>
        <v>-</v>
      </c>
      <c r="D41" t="str">
        <f t="shared" si="3"/>
        <v>-</v>
      </c>
      <c r="E41" t="str">
        <f t="shared" si="4"/>
        <v>-</v>
      </c>
      <c r="H41" t="s">
        <v>3405</v>
      </c>
    </row>
    <row r="42" ht="14.25" customHeight="1">
      <c r="D42" t="str">
        <f t="shared" si="5"/>
        <v>-</v>
      </c>
      <c r="H42" t="str">
        <f t="shared" si="6"/>
        <v>-</v>
      </c>
    </row>
    <row r="43" ht="12.75" customHeight="1">
      <c r="D43" t="str">
        <f t="shared" si="7"/>
        <v>-</v>
      </c>
    </row>
    <row r="44" ht="12.75" customHeight="1">
      <c r="D44" t="str">
        <f t="shared" si="8"/>
        <v>-</v>
      </c>
    </row>
    <row r="45" ht="12.75" customHeight="1">
      <c r="D45" t="str">
        <f t="shared" si="9"/>
        <v>-</v>
      </c>
    </row>
    <row r="46" ht="14.25" customHeight="1"/>
    <row r="47" ht="12.75" customHeight="1">
      <c r="A47" t="b">
        <f t="shared" si="0"/>
        <v>0</v>
      </c>
      <c r="B47" t="str">
        <f t="shared" si="1"/>
        <v>-</v>
      </c>
      <c r="C47" t="str">
        <f t="shared" si="2"/>
        <v>-</v>
      </c>
      <c r="D47" t="str">
        <f t="shared" si="3"/>
        <v>-</v>
      </c>
      <c r="E47" t="str">
        <f t="shared" si="4"/>
        <v>-</v>
      </c>
      <c r="H47" t="s">
        <v>3406</v>
      </c>
    </row>
    <row r="48" ht="14.25" customHeight="1">
      <c r="D48" t="str">
        <f t="shared" si="5"/>
        <v>-</v>
      </c>
      <c r="H48" t="str">
        <f t="shared" si="6"/>
        <v>-</v>
      </c>
    </row>
    <row r="49" ht="12.75" customHeight="1">
      <c r="D49" t="str">
        <f t="shared" si="7"/>
        <v>-</v>
      </c>
    </row>
    <row r="50" ht="12.75" customHeight="1">
      <c r="D50" t="str">
        <f t="shared" si="8"/>
        <v>-</v>
      </c>
    </row>
    <row r="51" ht="12.75" customHeight="1">
      <c r="D51" t="str">
        <f t="shared" si="9"/>
        <v>-</v>
      </c>
    </row>
    <row r="52" ht="14.25" customHeight="1"/>
    <row r="53" ht="12.75" customHeight="1">
      <c r="A53" t="b">
        <f t="shared" si="0"/>
        <v>0</v>
      </c>
      <c r="B53" t="str">
        <f t="shared" si="1"/>
        <v>-</v>
      </c>
      <c r="C53" t="str">
        <f t="shared" si="2"/>
        <v>-</v>
      </c>
      <c r="D53" t="str">
        <f t="shared" si="3"/>
        <v>-</v>
      </c>
      <c r="E53" t="str">
        <f t="shared" si="4"/>
        <v>-</v>
      </c>
      <c r="H53" t="s">
        <v>3407</v>
      </c>
    </row>
    <row r="54" ht="14.25" customHeight="1">
      <c r="D54" t="str">
        <f t="shared" si="5"/>
        <v>-</v>
      </c>
      <c r="H54" t="str">
        <f t="shared" si="6"/>
        <v>-</v>
      </c>
    </row>
    <row r="55" ht="12.75" customHeight="1">
      <c r="D55" t="str">
        <f t="shared" si="7"/>
        <v>-</v>
      </c>
    </row>
    <row r="56" ht="12.75" customHeight="1">
      <c r="D56" t="str">
        <f t="shared" si="8"/>
        <v>-</v>
      </c>
    </row>
    <row r="57" ht="12.75" customHeight="1">
      <c r="D57" t="str">
        <f t="shared" si="9"/>
        <v>-</v>
      </c>
    </row>
    <row r="58" ht="14.25" customHeight="1"/>
    <row r="59" ht="12.75" customHeight="1">
      <c r="A59" t="b">
        <f t="shared" si="0"/>
        <v>0</v>
      </c>
      <c r="B59" t="str">
        <f t="shared" si="1"/>
        <v>-</v>
      </c>
      <c r="C59" t="str">
        <f t="shared" si="2"/>
        <v>-</v>
      </c>
      <c r="D59" t="str">
        <f t="shared" si="3"/>
        <v>-</v>
      </c>
      <c r="E59" t="str">
        <f t="shared" si="4"/>
        <v>-</v>
      </c>
      <c r="H59" t="s">
        <v>3408</v>
      </c>
    </row>
    <row r="60" ht="14.25" customHeight="1">
      <c r="D60" t="str">
        <f t="shared" si="5"/>
        <v>-</v>
      </c>
      <c r="H60" t="str">
        <f t="shared" si="6"/>
        <v>-</v>
      </c>
    </row>
    <row r="61" ht="12.75" customHeight="1">
      <c r="D61" t="str">
        <f t="shared" si="7"/>
        <v>-</v>
      </c>
    </row>
    <row r="62" ht="12.75" customHeight="1">
      <c r="D62" t="str">
        <f t="shared" si="8"/>
        <v>-</v>
      </c>
    </row>
    <row r="63" ht="12.75" customHeight="1">
      <c r="D63" t="str">
        <f t="shared" si="9"/>
        <v>-</v>
      </c>
    </row>
    <row r="64" ht="14.25" customHeight="1"/>
    <row r="65" ht="14.25" customHeight="1"/>
    <row r="66" ht="12.75" customHeight="1"/>
    <row r="67" ht="12.75" customHeight="1" hidden="1"/>
  </sheetData>
  <printOptions/>
  <pageMargins left="0.2" right="0.2" top="0.75" bottom="0.75" header="0.3" footer="0.3"/>
  <pageSetup useFirstPageNumber="1" fitToHeight="-1" fitToWidth="1" paperSize="1" firstPageNumber="1" scale="70" pageOrder="downThenOver" orientation="landscape"/>
  <headerFooter>
    <oddHeader>&amp;L&amp;C&amp;R</oddHeader>
    <oddFooter>&amp;L&amp;C&amp;R</oddFooter>
  </headerFooter>
  <colBreaks count="1" manualBreakCount="1">
    <brk id="23" man="1" max="16384"/>
  </colBreaks>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4D5A2F6-9762-A98D-D28E-0723F118BA5A}" mc:Ignorable="x14ac xr xr2 xr3">
  <sheetPr>
    <pageSetUpPr fitToPage="1"/>
  </sheetPr>
  <dimension ref="A1:AA48"/>
  <sheetViews>
    <sheetView topLeftCell="A5" zoomScale="80" workbookViewId="0">
      <selection activeCell="G11" sqref="G11"/>
    </sheetView>
  </sheetViews>
  <sheetFormatPr defaultRowHeight="12.997499999999997" defaultColWidth="0" customHeight="1"/>
  <cols>
    <col min="1" max="1" width="4.28125" hidden="1" customWidth="1"/>
    <col min="2" max="2" width="12.57421875" hidden="1" customWidth="1"/>
    <col min="3" max="3" width="11.7109375" hidden="1" customWidth="1"/>
    <col min="4" max="4" width="5.28125" hidden="1" customWidth="1"/>
    <col min="5" max="5" width="3.57421875" customWidth="1"/>
    <col min="6" max="6" width="20.8515625" customWidth="1"/>
    <col min="7" max="16" width="23.57421875" customWidth="1"/>
    <col min="17" max="17" width="3.57421875" customWidth="1"/>
    <col min="18" max="27" width="0" hidden="1"/>
  </cols>
  <sheetData>
    <row r="1" ht="12.75" customHeight="1" hidden="1"/>
    <row r="2" ht="12.75" customHeight="1" hidden="1">
      <c r="B2" t="s">
        <v>3409</v>
      </c>
      <c r="C2">
        <f>COUNTIF(G2:P2,TRUE)</f>
        <v>0</v>
      </c>
      <c r="F2" t="s">
        <v>3378</v>
      </c>
      <c r="G2" cm="1" t="b">
        <f t="array" ref="G2">COUNTA(G11:G26)-SUMPRODUCT(--_xlfn.ISFORMULA(G11:G26))&gt;0</f>
        <v>0</v>
      </c>
      <c r="H2" cm="1" t="b">
        <f t="array" ref="H2">COUNTA(H11:H26)-SUMPRODUCT(--_xlfn.ISFORMULA(H11:H26))&gt;0</f>
        <v>0</v>
      </c>
      <c r="I2" cm="1" t="b">
        <f t="array" ref="I2">COUNTA(I11:I26)-SUMPRODUCT(--_xlfn.ISFORMULA(I11:I26))&gt;0</f>
        <v>0</v>
      </c>
      <c r="J2" cm="1" t="b">
        <f t="array" ref="J2">COUNTA(J11:J26)-SUMPRODUCT(--_xlfn.ISFORMULA(J11:J26))&gt;0</f>
        <v>0</v>
      </c>
      <c r="K2" cm="1" t="b">
        <f t="array" ref="K2">COUNTA(K11:K26)-SUMPRODUCT(--_xlfn.ISFORMULA(K11:K26))&gt;0</f>
        <v>0</v>
      </c>
      <c r="L2" cm="1" t="b">
        <f t="array" ref="L2">COUNTA(L11:L26)-SUMPRODUCT(--_xlfn.ISFORMULA(L11:L26))&gt;0</f>
        <v>0</v>
      </c>
      <c r="M2" cm="1" t="b">
        <f t="array" ref="M2">COUNTA(M11:M26)-SUMPRODUCT(--_xlfn.ISFORMULA(M11:M26))&gt;0</f>
        <v>0</v>
      </c>
      <c r="N2" cm="1" t="b">
        <f t="array" ref="N2">COUNTA(N11:N26)-SUMPRODUCT(--_xlfn.ISFORMULA(N11:N26))&gt;0</f>
        <v>0</v>
      </c>
      <c r="O2" cm="1" t="b">
        <f t="array" ref="O2">COUNTA(O11:O26)-SUMPRODUCT(--_xlfn.ISFORMULA(O11:O26))&gt;0</f>
        <v>0</v>
      </c>
      <c r="P2" cm="1" t="b">
        <f t="array" ref="P2">COUNTA(P11:P26)-SUMPRODUCT(--_xlfn.ISFORMULA(P11:P26))&gt;0</f>
        <v>0</v>
      </c>
    </row>
    <row r="3" ht="12.75" customHeight="1" hidden="1">
      <c r="B3" t="s">
        <v>3410</v>
      </c>
      <c r="C3">
        <f>COUNTIF(G3:P3,FALSE)</f>
        <v>0</v>
      </c>
      <c r="F3" t="s">
        <v>3411</v>
      </c>
      <c r="G3" t="str">
        <f t="shared" si="0" ref="G3:P3">IF(G2,COUNTA(G11:G26)=16,"-")</f>
        <v>-</v>
      </c>
      <c r="H3" t="str">
        <f t="shared" si="0"/>
        <v>-</v>
      </c>
      <c r="I3" t="str">
        <f t="shared" si="0"/>
        <v>-</v>
      </c>
      <c r="J3" t="str">
        <f t="shared" si="0"/>
        <v>-</v>
      </c>
      <c r="K3" t="str">
        <f t="shared" si="0"/>
        <v>-</v>
      </c>
      <c r="L3" t="str">
        <f t="shared" si="0"/>
        <v>-</v>
      </c>
      <c r="M3" t="str">
        <f t="shared" si="0"/>
        <v>-</v>
      </c>
      <c r="N3" t="str">
        <f t="shared" si="0"/>
        <v>-</v>
      </c>
      <c r="O3" t="str">
        <f t="shared" si="0"/>
        <v>-</v>
      </c>
      <c r="P3" t="str">
        <f t="shared" si="0"/>
        <v>-</v>
      </c>
    </row>
    <row r="4" ht="12.75" customHeight="1" hidden="1"/>
    <row r="5" ht="12.75" customHeight="1"/>
    <row r="6" ht="17.25" customHeight="1">
      <c r="H6" t="s">
        <v>3412</v>
      </c>
    </row>
    <row r="7" ht="15.75" customHeight="1"/>
    <row r="8" ht="15.75" customHeight="1"/>
    <row r="9" ht="12.75" customHeight="1"/>
    <row r="10" ht="12.75" customHeight="1">
      <c r="G10" t="s">
        <v>3399</v>
      </c>
      <c r="H10" t="s">
        <v>3400</v>
      </c>
      <c r="I10" t="s">
        <v>3401</v>
      </c>
      <c r="J10" t="s">
        <v>3402</v>
      </c>
      <c r="K10" t="s">
        <v>3403</v>
      </c>
      <c r="L10" t="s">
        <v>3404</v>
      </c>
      <c r="M10" t="s">
        <v>3405</v>
      </c>
      <c r="N10" t="s">
        <v>3406</v>
      </c>
      <c r="O10" t="s">
        <v>3407</v>
      </c>
      <c r="P10" t="s">
        <v>3408</v>
      </c>
    </row>
    <row r="11" ht="15.75" customHeight="1">
      <c r="F11" t="s">
        <v>3413</v>
      </c>
    </row>
    <row r="12" ht="25.5" customHeight="1">
      <c r="F12" t="s">
        <v>265</v>
      </c>
    </row>
    <row r="13" ht="38.25" customHeight="1">
      <c r="F13" t="s">
        <v>3384</v>
      </c>
    </row>
    <row r="14" ht="15" customHeight="1">
      <c r="F14" t="s">
        <v>3385</v>
      </c>
    </row>
    <row r="15" ht="15" customHeight="1">
      <c r="F15" t="s">
        <v>3386</v>
      </c>
    </row>
    <row r="16" ht="15" customHeight="1">
      <c r="F16" t="s">
        <v>3387</v>
      </c>
    </row>
    <row r="17" ht="15" customHeight="1">
      <c r="F17" t="s">
        <v>660</v>
      </c>
    </row>
    <row r="18" ht="15" customHeight="1">
      <c r="F18" t="s">
        <v>223</v>
      </c>
    </row>
    <row r="19" ht="15" customHeight="1">
      <c r="F19" t="s">
        <v>3196</v>
      </c>
    </row>
    <row r="20" ht="15" customHeight="1">
      <c r="F20" t="s">
        <v>3414</v>
      </c>
      <c r="G20">
        <f t="shared" si="1" ref="G20:P20">IF(AND(G19&gt;0,G18&gt;0),ROUND(G19/G18,0),"")</f>
      </c>
      <c r="H20">
        <f t="shared" si="1"/>
      </c>
      <c r="I20">
        <f t="shared" si="1"/>
      </c>
      <c r="J20">
        <f t="shared" si="1"/>
      </c>
      <c r="K20">
        <f t="shared" si="1"/>
      </c>
      <c r="L20">
        <f t="shared" si="1"/>
      </c>
      <c r="M20">
        <f t="shared" si="1"/>
      </c>
      <c r="N20">
        <f t="shared" si="1"/>
      </c>
      <c r="O20">
        <f t="shared" si="1"/>
      </c>
      <c r="P20">
        <f t="shared" si="1"/>
      </c>
    </row>
    <row r="21" ht="15" customHeight="1">
      <c r="F21" t="s">
        <v>3415</v>
      </c>
    </row>
    <row r="22" ht="15" customHeight="1">
      <c r="F22" t="s">
        <v>3416</v>
      </c>
      <c r="G22">
        <f t="shared" si="2" ref="G22:P22">IF(AND(G21&gt;0,G19&gt;0),ROUND(G21/G19,2),"")</f>
      </c>
      <c r="H22">
        <f t="shared" si="2"/>
      </c>
      <c r="I22">
        <f t="shared" si="2"/>
      </c>
      <c r="J22">
        <f t="shared" si="2"/>
      </c>
      <c r="K22">
        <f t="shared" si="2"/>
      </c>
      <c r="L22">
        <f t="shared" si="2"/>
      </c>
      <c r="M22">
        <f t="shared" si="2"/>
      </c>
      <c r="N22">
        <f t="shared" si="2"/>
      </c>
      <c r="O22">
        <f t="shared" si="2"/>
      </c>
      <c r="P22">
        <f t="shared" si="2"/>
      </c>
    </row>
    <row r="23" ht="15" customHeight="1">
      <c r="F23" t="s">
        <v>3417</v>
      </c>
      <c r="G23">
        <f t="shared" si="3" ref="G23:P23">IF(AND(G21&gt;0,G18&gt;0),ROUND(G21/G18,0),"")</f>
      </c>
      <c r="H23">
        <f t="shared" si="3"/>
      </c>
      <c r="I23">
        <f t="shared" si="3"/>
      </c>
      <c r="J23">
        <f t="shared" si="3"/>
      </c>
      <c r="K23">
        <f t="shared" si="3"/>
      </c>
      <c r="L23">
        <f t="shared" si="3"/>
      </c>
      <c r="M23">
        <f t="shared" si="3"/>
      </c>
      <c r="N23">
        <f t="shared" si="3"/>
      </c>
      <c r="O23">
        <f t="shared" si="3"/>
      </c>
      <c r="P23">
        <f t="shared" si="3"/>
      </c>
    </row>
    <row r="24" ht="15" customHeight="1">
      <c r="F24" t="s">
        <v>3418</v>
      </c>
    </row>
    <row r="25" ht="15" customHeight="1">
      <c r="F25" t="s">
        <v>3345</v>
      </c>
    </row>
    <row r="26" ht="15" customHeight="1">
      <c r="F26" t="s">
        <v>3419</v>
      </c>
    </row>
    <row r="27" ht="13.5" customHeight="1">
      <c r="G27" t="str">
        <f t="shared" si="4" ref="G27:P27">IF(G3="-",G3,IF(G3,"Complete","Incomplete"))</f>
        <v>-</v>
      </c>
      <c r="H27" t="str">
        <f t="shared" si="4"/>
        <v>-</v>
      </c>
      <c r="I27" t="str">
        <f t="shared" si="4"/>
        <v>-</v>
      </c>
      <c r="J27" t="str">
        <f t="shared" si="4"/>
        <v>-</v>
      </c>
      <c r="K27" t="str">
        <f t="shared" si="4"/>
        <v>-</v>
      </c>
      <c r="L27" t="str">
        <f t="shared" si="4"/>
        <v>-</v>
      </c>
      <c r="M27" t="str">
        <f t="shared" si="4"/>
        <v>-</v>
      </c>
      <c r="N27" t="str">
        <f t="shared" si="4"/>
        <v>-</v>
      </c>
      <c r="O27" t="str">
        <f t="shared" si="4"/>
        <v>-</v>
      </c>
      <c r="P27" t="str">
        <f t="shared" si="4"/>
        <v>-</v>
      </c>
    </row>
    <row r="28" ht="12.75" customHeight="1"/>
    <row r="29" ht="12.75" customHeight="1" hidden="1"/>
    <row r="30" ht="12.75" customHeight="1" hidden="1"/>
    <row r="31" ht="12.75" customHeight="1" hidden="1"/>
    <row r="32" ht="12.75" customHeight="1" hidden="1"/>
    <row r="33" ht="12.75" customHeight="1" hidden="1"/>
    <row r="34" ht="12.75" customHeight="1" hidden="1"/>
    <row r="35" ht="12.75" customHeight="1" hidden="1"/>
    <row r="36" ht="12.75" customHeight="1" hidden="1"/>
    <row r="37" ht="12.75" customHeight="1" hidden="1"/>
    <row r="38" ht="12.75" customHeight="1" hidden="1"/>
    <row r="39" ht="12.75" customHeight="1" hidden="1"/>
    <row r="40" ht="12.75" customHeight="1" hidden="1"/>
    <row r="41" ht="12.75" customHeight="1" hidden="1"/>
    <row r="42" ht="12.75" customHeight="1" hidden="1"/>
    <row r="43" ht="12.75" customHeight="1" hidden="1"/>
    <row r="44" ht="12.75" customHeight="1" hidden="1"/>
    <row r="45" ht="12.75" customHeight="1" hidden="1"/>
    <row r="46" ht="12.75" customHeight="1" hidden="1"/>
    <row r="47" ht="12.75" customHeight="1" hidden="1"/>
    <row r="48" ht="12.75" customHeight="1" hidden="1"/>
  </sheetData>
  <printOptions/>
  <pageMargins left="0.2" right="0.15" top="0.75" bottom="0.75" header="0.3" footer="0.3"/>
  <pageSetup useFirstPageNumber="1" fitToHeight="-1" fitToWidth="1" paperSize="5" firstPageNumber="1" scale="62" pageOrder="downThenOver" orientation="landscape"/>
  <headerFooter>
    <oddHeader>&amp;L&amp;C&amp;R</oddHeader>
    <oddFooter>&amp;L&amp;C&amp;R</oddFooter>
  </headerFooter>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73742A6F-841B-B0F6-3149-8CCED2C471EE}" mc:Ignorable="x14ac xr xr2 xr3">
  <sheetPr>
    <pageSetUpPr fitToPage="1"/>
  </sheetPr>
  <dimension ref="A1:AB108"/>
  <sheetViews>
    <sheetView topLeftCell="A1" workbookViewId="0">
      <selection activeCell="A1" sqref="A1"/>
    </sheetView>
  </sheetViews>
  <sheetFormatPr defaultRowHeight="15" defaultColWidth="9.57421875" customHeight="1"/>
  <cols>
    <col min="1" max="1" width="36.57421875" customWidth="1"/>
    <col min="2" max="2" width="18.57421875" customWidth="1"/>
    <col min="3" max="3" width="5.57421875" customWidth="1"/>
    <col min="4" max="4" width="17.00390625" customWidth="1"/>
    <col min="5" max="5" width="11.00390625" customWidth="1"/>
    <col min="19" max="19" width="15.57421875" customWidth="1"/>
  </cols>
  <sheetData>
    <row r="1" ht="15" customHeight="1">
      <c r="A1" t="s">
        <v>3420</v>
      </c>
      <c r="G1" t="s">
        <v>3421</v>
      </c>
      <c r="J1" t="s">
        <v>188</v>
      </c>
      <c r="O1" t="s">
        <v>3422</v>
      </c>
      <c r="P1" t="s">
        <v>3423</v>
      </c>
      <c r="S1" s="1">
        <f t="shared" si="0" ref="S1:S2">NOW()</f>
        <v>45189.64865584491</v>
      </c>
    </row>
    <row r="2" ht="15" customHeight="1">
      <c r="G2" t="s">
        <v>3424</v>
      </c>
      <c r="J2" t="s">
        <v>363</v>
      </c>
      <c r="O2" t="s">
        <v>3425</v>
      </c>
      <c r="P2" t="s">
        <v>269</v>
      </c>
      <c r="S2" s="1">
        <f t="shared" si="0"/>
        <v>45189.64865584491</v>
      </c>
    </row>
    <row r="3" ht="15" customHeight="1">
      <c r="A3" t="s">
        <v>2420</v>
      </c>
      <c r="B3" t="str">
        <f>PropertyName_DataPageTab</f>
        <v>XXXX</v>
      </c>
      <c r="G3" t="s">
        <v>2114</v>
      </c>
      <c r="J3">
        <f>TotalUnits</f>
        <v>85</v>
      </c>
    </row>
    <row r="4" ht="15" customHeight="1">
      <c r="G4" t="s">
        <v>668</v>
      </c>
      <c r="J4" t="str">
        <f>YearBuilt_DataPageTab</f>
        <v>XXXX</v>
      </c>
      <c r="O4" t="s">
        <v>3426</v>
      </c>
      <c r="P4" t="e">
        <f>ROUNDUP(IF(Term&gt;10,10,Term),0)</f>
        <v>#NAME?</v>
      </c>
    </row>
    <row r="6" ht="15" customHeight="1">
      <c r="D6" t="s">
        <v>3427</v>
      </c>
      <c r="E6" t="s">
        <v>3428</v>
      </c>
      <c r="F6" t="s">
        <v>3429</v>
      </c>
      <c r="G6" t="s">
        <v>3430</v>
      </c>
      <c r="H6" t="s">
        <v>3430</v>
      </c>
      <c r="I6" t="s">
        <v>3430</v>
      </c>
      <c r="J6" t="s">
        <v>3430</v>
      </c>
      <c r="K6" t="s">
        <v>3430</v>
      </c>
      <c r="L6" t="s">
        <v>3430</v>
      </c>
      <c r="M6" t="s">
        <v>3430</v>
      </c>
      <c r="N6" t="s">
        <v>3430</v>
      </c>
      <c r="O6" t="s">
        <v>3430</v>
      </c>
      <c r="P6" t="s">
        <v>3430</v>
      </c>
      <c r="Q6" t="s">
        <v>3430</v>
      </c>
      <c r="R6" t="s">
        <v>3430</v>
      </c>
      <c r="S6" t="e">
        <f>(P4+2)&amp;" YR"</f>
        <v>#NAME?</v>
      </c>
    </row>
    <row r="7" ht="15" customHeight="1">
      <c r="A7" t="s">
        <v>3431</v>
      </c>
      <c r="D7" t="s">
        <v>3432</v>
      </c>
      <c r="E7" t="s">
        <v>3433</v>
      </c>
      <c r="F7" t="s">
        <v>3434</v>
      </c>
      <c r="G7">
        <v>1</v>
      </c>
      <c r="H7">
        <f t="shared" si="1" ref="H7:R7">G7+1</f>
        <v>2</v>
      </c>
      <c r="I7">
        <f t="shared" si="1"/>
        <v>3</v>
      </c>
      <c r="J7">
        <f t="shared" si="1"/>
        <v>4</v>
      </c>
      <c r="K7">
        <f t="shared" si="1"/>
        <v>5</v>
      </c>
      <c r="L7">
        <f t="shared" si="1"/>
        <v>6</v>
      </c>
      <c r="M7">
        <f t="shared" si="1"/>
        <v>7</v>
      </c>
      <c r="N7">
        <f t="shared" si="1"/>
        <v>8</v>
      </c>
      <c r="O7">
        <f t="shared" si="1"/>
        <v>9</v>
      </c>
      <c r="P7">
        <f t="shared" si="1"/>
        <v>10</v>
      </c>
      <c r="Q7">
        <f t="shared" si="1"/>
        <v>11</v>
      </c>
      <c r="R7">
        <f t="shared" si="1"/>
        <v>12</v>
      </c>
      <c r="S7" t="s">
        <v>2999</v>
      </c>
    </row>
    <row r="8" ht="15" customHeight="1">
      <c r="A8" t="s">
        <v>3435</v>
      </c>
      <c r="F8">
        <v>0.03</v>
      </c>
      <c r="G8">
        <v>1</v>
      </c>
      <c r="H8">
        <f t="shared" si="2" ref="H8:R8">G8*(1+$F$8)</f>
        <v>1.03</v>
      </c>
      <c r="I8">
        <f t="shared" si="2"/>
        <v>1.0609</v>
      </c>
      <c r="J8">
        <f t="shared" si="2"/>
        <v>1.092727</v>
      </c>
      <c r="K8">
        <f t="shared" si="2"/>
        <v>1.1255088100000001</v>
      </c>
      <c r="L8">
        <f t="shared" si="2"/>
        <v>1.1592740743</v>
      </c>
      <c r="M8">
        <f t="shared" si="2"/>
        <v>1.1940522965290001</v>
      </c>
      <c r="N8">
        <f t="shared" si="2"/>
        <v>1.2298738654248702</v>
      </c>
      <c r="O8">
        <f t="shared" si="2"/>
        <v>1.2667700813876164</v>
      </c>
      <c r="P8">
        <f t="shared" si="2"/>
        <v>1.304773183829245</v>
      </c>
      <c r="Q8">
        <f t="shared" si="2"/>
        <v>1.3439163793441222</v>
      </c>
      <c r="R8">
        <f t="shared" si="2"/>
        <v>1.384233870724446</v>
      </c>
    </row>
    <row r="9" ht="15" customHeight="1">
      <c r="A9" t="s">
        <v>3436</v>
      </c>
      <c r="G9">
        <v>0.025</v>
      </c>
      <c r="H9">
        <v>0.025</v>
      </c>
      <c r="I9">
        <v>0.025</v>
      </c>
      <c r="J9">
        <v>0.025</v>
      </c>
      <c r="K9">
        <v>0.025</v>
      </c>
      <c r="L9">
        <v>0.025</v>
      </c>
      <c r="M9">
        <v>0.025</v>
      </c>
      <c r="N9">
        <v>0.025</v>
      </c>
      <c r="O9">
        <v>0.025</v>
      </c>
      <c r="P9">
        <v>0.025</v>
      </c>
      <c r="Q9">
        <v>0.025</v>
      </c>
      <c r="R9">
        <v>0.025</v>
      </c>
    </row>
    <row r="11" ht="15" customHeight="1">
      <c r="A11" t="s">
        <v>3437</v>
      </c>
      <c r="D11" t="s">
        <v>3438</v>
      </c>
      <c r="G11">
        <v>0</v>
      </c>
      <c r="H11">
        <v>0</v>
      </c>
      <c r="I11">
        <v>0</v>
      </c>
      <c r="J11">
        <v>0</v>
      </c>
      <c r="K11">
        <v>0</v>
      </c>
      <c r="L11">
        <v>0</v>
      </c>
      <c r="M11">
        <v>0</v>
      </c>
      <c r="N11">
        <v>0</v>
      </c>
      <c r="O11">
        <v>0</v>
      </c>
      <c r="P11">
        <v>0</v>
      </c>
      <c r="Q11">
        <v>0</v>
      </c>
      <c r="R11">
        <v>0</v>
      </c>
      <c r="S11" t="e">
        <f t="shared" si="3" ref="S11:S37">IF(COLUMN(S11)-COLUMN(F11)-2&gt;=$P$4,SUM(G11:INDIRECT(ADDRESS(ROW(F11),COLUMN(F11)+$P$4+2))),SUM(G11:INDIRECT(ADDRESS(ROW(F11),COLUMN(S11)-1))))</f>
        <v>#NAME?</v>
      </c>
    </row>
    <row r="12" ht="15" customHeight="1">
      <c r="A12" t="s">
        <v>3439</v>
      </c>
      <c r="D12" t="s">
        <v>3438</v>
      </c>
      <c r="G12">
        <v>0</v>
      </c>
      <c r="H12">
        <v>0</v>
      </c>
      <c r="I12">
        <v>0</v>
      </c>
      <c r="J12">
        <v>0</v>
      </c>
      <c r="K12">
        <v>0</v>
      </c>
      <c r="L12">
        <v>0</v>
      </c>
      <c r="M12">
        <v>0</v>
      </c>
      <c r="N12">
        <v>0</v>
      </c>
      <c r="O12">
        <v>0</v>
      </c>
      <c r="P12">
        <v>0</v>
      </c>
      <c r="Q12">
        <v>0</v>
      </c>
      <c r="R12">
        <v>0</v>
      </c>
      <c r="S12" t="e">
        <f t="shared" si="3"/>
        <v>#NAME?</v>
      </c>
    </row>
    <row r="13" ht="15" customHeight="1">
      <c r="A13" t="s">
        <v>3440</v>
      </c>
      <c r="D13" t="s">
        <v>3438</v>
      </c>
      <c r="G13">
        <v>0</v>
      </c>
      <c r="H13">
        <v>0</v>
      </c>
      <c r="I13">
        <v>0</v>
      </c>
      <c r="J13">
        <v>0</v>
      </c>
      <c r="K13">
        <v>0</v>
      </c>
      <c r="L13">
        <v>0</v>
      </c>
      <c r="M13">
        <v>0</v>
      </c>
      <c r="N13">
        <v>0</v>
      </c>
      <c r="O13">
        <v>0</v>
      </c>
      <c r="P13">
        <v>0</v>
      </c>
      <c r="Q13">
        <v>0</v>
      </c>
      <c r="R13">
        <v>0</v>
      </c>
      <c r="S13" t="e">
        <f t="shared" si="3"/>
        <v>#NAME?</v>
      </c>
    </row>
    <row r="14" ht="15" customHeight="1">
      <c r="A14" t="s">
        <v>3441</v>
      </c>
      <c r="D14" t="s">
        <v>3438</v>
      </c>
      <c r="G14">
        <v>0</v>
      </c>
      <c r="H14">
        <v>0</v>
      </c>
      <c r="I14">
        <v>0</v>
      </c>
      <c r="J14">
        <v>0</v>
      </c>
      <c r="K14">
        <v>0</v>
      </c>
      <c r="L14">
        <v>0</v>
      </c>
      <c r="M14">
        <v>0</v>
      </c>
      <c r="N14">
        <v>0</v>
      </c>
      <c r="O14">
        <v>0</v>
      </c>
      <c r="P14">
        <v>0</v>
      </c>
      <c r="Q14">
        <v>0</v>
      </c>
      <c r="R14">
        <v>0</v>
      </c>
      <c r="S14" t="e">
        <f t="shared" si="3"/>
        <v>#NAME?</v>
      </c>
    </row>
    <row r="15" ht="15" customHeight="1">
      <c r="A15" t="s">
        <v>3442</v>
      </c>
      <c r="D15" t="s">
        <v>3438</v>
      </c>
      <c r="G15">
        <v>0</v>
      </c>
      <c r="H15">
        <v>0</v>
      </c>
      <c r="I15">
        <v>0</v>
      </c>
      <c r="J15">
        <v>0</v>
      </c>
      <c r="K15">
        <v>0</v>
      </c>
      <c r="L15">
        <v>0</v>
      </c>
      <c r="M15">
        <v>0</v>
      </c>
      <c r="N15">
        <v>0</v>
      </c>
      <c r="O15">
        <v>0</v>
      </c>
      <c r="P15">
        <v>0</v>
      </c>
      <c r="Q15">
        <v>0</v>
      </c>
      <c r="R15">
        <v>0</v>
      </c>
      <c r="S15" t="e">
        <f t="shared" si="3"/>
        <v>#NAME?</v>
      </c>
    </row>
    <row r="16" ht="15" customHeight="1">
      <c r="A16" t="s">
        <v>3443</v>
      </c>
      <c r="D16" t="s">
        <v>3438</v>
      </c>
      <c r="G16">
        <v>0</v>
      </c>
      <c r="H16">
        <v>0</v>
      </c>
      <c r="I16">
        <v>0</v>
      </c>
      <c r="J16">
        <v>0</v>
      </c>
      <c r="K16">
        <v>0</v>
      </c>
      <c r="L16">
        <v>0</v>
      </c>
      <c r="M16">
        <v>0</v>
      </c>
      <c r="N16">
        <v>0</v>
      </c>
      <c r="O16">
        <v>0</v>
      </c>
      <c r="P16">
        <v>0</v>
      </c>
      <c r="Q16">
        <v>0</v>
      </c>
      <c r="R16">
        <v>0</v>
      </c>
      <c r="S16" t="e">
        <f t="shared" si="3"/>
        <v>#NAME?</v>
      </c>
    </row>
    <row r="17" ht="15" customHeight="1">
      <c r="A17" t="s">
        <v>3444</v>
      </c>
      <c r="D17" t="s">
        <v>3438</v>
      </c>
      <c r="G17">
        <v>0</v>
      </c>
      <c r="H17">
        <v>0</v>
      </c>
      <c r="I17">
        <v>0</v>
      </c>
      <c r="J17">
        <v>0</v>
      </c>
      <c r="K17">
        <v>0</v>
      </c>
      <c r="L17">
        <v>0</v>
      </c>
      <c r="M17">
        <v>0</v>
      </c>
      <c r="N17">
        <v>0</v>
      </c>
      <c r="O17">
        <v>0</v>
      </c>
      <c r="P17">
        <v>0</v>
      </c>
      <c r="Q17">
        <v>0</v>
      </c>
      <c r="R17">
        <v>0</v>
      </c>
      <c r="S17" t="e">
        <f t="shared" si="3"/>
        <v>#NAME?</v>
      </c>
    </row>
    <row r="18" ht="15" customHeight="1">
      <c r="A18" t="s">
        <v>3445</v>
      </c>
      <c r="D18" t="s">
        <v>3438</v>
      </c>
      <c r="G18">
        <v>0</v>
      </c>
      <c r="H18">
        <v>0</v>
      </c>
      <c r="I18">
        <v>0</v>
      </c>
      <c r="J18">
        <v>0</v>
      </c>
      <c r="K18">
        <v>0</v>
      </c>
      <c r="L18">
        <v>0</v>
      </c>
      <c r="M18">
        <v>0</v>
      </c>
      <c r="N18">
        <v>0</v>
      </c>
      <c r="O18">
        <v>0</v>
      </c>
      <c r="P18">
        <v>0</v>
      </c>
      <c r="Q18">
        <v>0</v>
      </c>
      <c r="R18">
        <v>0</v>
      </c>
      <c r="S18" t="e">
        <f t="shared" si="3"/>
        <v>#NAME?</v>
      </c>
    </row>
    <row r="19" ht="15" customHeight="1">
      <c r="A19" t="s">
        <v>3446</v>
      </c>
      <c r="D19" t="s">
        <v>3438</v>
      </c>
      <c r="G19">
        <v>0</v>
      </c>
      <c r="H19">
        <v>0</v>
      </c>
      <c r="I19">
        <v>0</v>
      </c>
      <c r="J19">
        <v>0</v>
      </c>
      <c r="K19">
        <v>0</v>
      </c>
      <c r="L19">
        <v>0</v>
      </c>
      <c r="M19">
        <v>0</v>
      </c>
      <c r="N19">
        <v>0</v>
      </c>
      <c r="O19">
        <v>0</v>
      </c>
      <c r="P19">
        <v>0</v>
      </c>
      <c r="Q19">
        <v>0</v>
      </c>
      <c r="R19">
        <v>0</v>
      </c>
      <c r="S19" t="e">
        <f t="shared" si="3"/>
        <v>#NAME?</v>
      </c>
    </row>
    <row r="20" ht="15" customHeight="1">
      <c r="A20" t="s">
        <v>3447</v>
      </c>
      <c r="D20" t="s">
        <v>3438</v>
      </c>
      <c r="G20">
        <v>0</v>
      </c>
      <c r="H20">
        <v>0</v>
      </c>
      <c r="I20">
        <v>0</v>
      </c>
      <c r="J20">
        <v>0</v>
      </c>
      <c r="K20">
        <v>0</v>
      </c>
      <c r="L20">
        <v>0</v>
      </c>
      <c r="M20">
        <v>0</v>
      </c>
      <c r="N20">
        <v>0</v>
      </c>
      <c r="O20">
        <v>0</v>
      </c>
      <c r="P20">
        <v>0</v>
      </c>
      <c r="Q20">
        <v>0</v>
      </c>
      <c r="R20">
        <v>0</v>
      </c>
      <c r="S20" t="e">
        <f t="shared" si="3"/>
        <v>#NAME?</v>
      </c>
    </row>
    <row r="21" ht="15" customHeight="1">
      <c r="A21" t="s">
        <v>3448</v>
      </c>
      <c r="D21" t="s">
        <v>3438</v>
      </c>
      <c r="G21">
        <v>0</v>
      </c>
      <c r="H21">
        <v>0</v>
      </c>
      <c r="I21">
        <v>0</v>
      </c>
      <c r="J21">
        <v>0</v>
      </c>
      <c r="K21">
        <v>0</v>
      </c>
      <c r="L21">
        <v>0</v>
      </c>
      <c r="M21">
        <v>0</v>
      </c>
      <c r="N21">
        <v>0</v>
      </c>
      <c r="O21">
        <v>0</v>
      </c>
      <c r="P21">
        <v>0</v>
      </c>
      <c r="Q21">
        <v>0</v>
      </c>
      <c r="R21">
        <v>0</v>
      </c>
      <c r="S21" t="e">
        <f t="shared" si="3"/>
        <v>#NAME?</v>
      </c>
    </row>
    <row r="22" ht="15" customHeight="1">
      <c r="A22" t="s">
        <v>3449</v>
      </c>
      <c r="D22" t="s">
        <v>3438</v>
      </c>
      <c r="G22">
        <v>0</v>
      </c>
      <c r="H22">
        <v>0</v>
      </c>
      <c r="I22">
        <v>0</v>
      </c>
      <c r="J22">
        <v>0</v>
      </c>
      <c r="K22">
        <v>0</v>
      </c>
      <c r="L22">
        <v>0</v>
      </c>
      <c r="M22">
        <v>0</v>
      </c>
      <c r="N22">
        <v>0</v>
      </c>
      <c r="O22">
        <v>0</v>
      </c>
      <c r="P22">
        <v>0</v>
      </c>
      <c r="Q22">
        <v>0</v>
      </c>
      <c r="R22">
        <v>0</v>
      </c>
      <c r="S22" t="e">
        <f t="shared" si="3"/>
        <v>#NAME?</v>
      </c>
    </row>
    <row r="23" ht="15" customHeight="1">
      <c r="A23" t="s">
        <v>3450</v>
      </c>
      <c r="D23" t="s">
        <v>3438</v>
      </c>
      <c r="G23">
        <v>0</v>
      </c>
      <c r="H23">
        <v>0</v>
      </c>
      <c r="I23">
        <v>0</v>
      </c>
      <c r="J23">
        <v>0</v>
      </c>
      <c r="K23">
        <v>0</v>
      </c>
      <c r="L23">
        <v>0</v>
      </c>
      <c r="M23">
        <v>0</v>
      </c>
      <c r="N23">
        <v>0</v>
      </c>
      <c r="O23">
        <v>0</v>
      </c>
      <c r="P23">
        <v>0</v>
      </c>
      <c r="Q23">
        <v>0</v>
      </c>
      <c r="R23">
        <v>0</v>
      </c>
      <c r="S23" t="e">
        <f t="shared" si="3"/>
        <v>#NAME?</v>
      </c>
    </row>
    <row r="24" ht="15" customHeight="1">
      <c r="A24" t="s">
        <v>3451</v>
      </c>
      <c r="G24">
        <v>0</v>
      </c>
      <c r="H24">
        <v>0</v>
      </c>
      <c r="I24">
        <v>0</v>
      </c>
      <c r="J24">
        <v>0</v>
      </c>
      <c r="K24">
        <v>0</v>
      </c>
      <c r="L24">
        <v>0</v>
      </c>
      <c r="M24">
        <v>0</v>
      </c>
      <c r="N24">
        <v>0</v>
      </c>
      <c r="O24">
        <v>0</v>
      </c>
      <c r="P24">
        <v>0</v>
      </c>
      <c r="Q24">
        <v>0</v>
      </c>
      <c r="R24">
        <v>0</v>
      </c>
      <c r="S24" t="e">
        <f t="shared" si="3"/>
        <v>#NAME?</v>
      </c>
    </row>
    <row r="25" ht="15" customHeight="1">
      <c r="A25" t="s">
        <v>3452</v>
      </c>
      <c r="G25">
        <v>0</v>
      </c>
      <c r="H25">
        <v>0</v>
      </c>
      <c r="I25">
        <v>0</v>
      </c>
      <c r="J25">
        <v>0</v>
      </c>
      <c r="K25">
        <v>0</v>
      </c>
      <c r="L25">
        <v>0</v>
      </c>
      <c r="M25">
        <v>0</v>
      </c>
      <c r="N25">
        <v>0</v>
      </c>
      <c r="O25">
        <v>0</v>
      </c>
      <c r="P25">
        <v>0</v>
      </c>
      <c r="Q25">
        <v>0</v>
      </c>
      <c r="R25">
        <v>0</v>
      </c>
      <c r="S25" t="e">
        <f t="shared" si="3"/>
        <v>#NAME?</v>
      </c>
    </row>
    <row r="26" ht="15" customHeight="1">
      <c r="A26" t="s">
        <v>236</v>
      </c>
      <c r="G26">
        <v>0</v>
      </c>
      <c r="H26">
        <v>0</v>
      </c>
      <c r="I26">
        <v>0</v>
      </c>
      <c r="J26">
        <v>0</v>
      </c>
      <c r="K26">
        <v>0</v>
      </c>
      <c r="L26">
        <v>0</v>
      </c>
      <c r="M26">
        <v>0</v>
      </c>
      <c r="N26">
        <v>0</v>
      </c>
      <c r="O26">
        <v>0</v>
      </c>
      <c r="P26">
        <v>0</v>
      </c>
      <c r="Q26">
        <v>0</v>
      </c>
      <c r="R26">
        <v>0</v>
      </c>
      <c r="S26" t="e">
        <f t="shared" si="3"/>
        <v>#NAME?</v>
      </c>
    </row>
    <row r="27" ht="15" customHeight="1">
      <c r="A27" t="s">
        <v>236</v>
      </c>
      <c r="G27">
        <v>0</v>
      </c>
      <c r="H27">
        <v>0</v>
      </c>
      <c r="I27">
        <v>0</v>
      </c>
      <c r="J27">
        <v>0</v>
      </c>
      <c r="K27">
        <v>0</v>
      </c>
      <c r="L27">
        <v>0</v>
      </c>
      <c r="M27">
        <v>0</v>
      </c>
      <c r="N27">
        <v>0</v>
      </c>
      <c r="O27">
        <v>0</v>
      </c>
      <c r="P27">
        <v>0</v>
      </c>
      <c r="Q27">
        <v>0</v>
      </c>
      <c r="R27">
        <v>0</v>
      </c>
      <c r="S27" t="e">
        <f t="shared" si="3"/>
        <v>#NAME?</v>
      </c>
    </row>
    <row r="28" ht="15" customHeight="1">
      <c r="A28" t="s">
        <v>236</v>
      </c>
      <c r="G28">
        <v>0</v>
      </c>
      <c r="H28">
        <v>0</v>
      </c>
      <c r="I28">
        <v>0</v>
      </c>
      <c r="J28">
        <v>0</v>
      </c>
      <c r="K28">
        <v>0</v>
      </c>
      <c r="L28">
        <v>0</v>
      </c>
      <c r="M28">
        <v>0</v>
      </c>
      <c r="N28">
        <v>0</v>
      </c>
      <c r="O28">
        <v>0</v>
      </c>
      <c r="P28">
        <v>0</v>
      </c>
      <c r="Q28">
        <v>0</v>
      </c>
      <c r="R28">
        <v>0</v>
      </c>
      <c r="S28" t="e">
        <f t="shared" si="3"/>
        <v>#NAME?</v>
      </c>
    </row>
    <row r="29" ht="15" customHeight="1">
      <c r="A29" t="s">
        <v>236</v>
      </c>
      <c r="G29">
        <v>0</v>
      </c>
      <c r="H29">
        <v>0</v>
      </c>
      <c r="I29">
        <v>0</v>
      </c>
      <c r="J29">
        <v>0</v>
      </c>
      <c r="K29">
        <v>0</v>
      </c>
      <c r="L29">
        <v>0</v>
      </c>
      <c r="M29">
        <v>0</v>
      </c>
      <c r="N29">
        <v>0</v>
      </c>
      <c r="O29">
        <v>0</v>
      </c>
      <c r="P29">
        <v>0</v>
      </c>
      <c r="Q29">
        <v>0</v>
      </c>
      <c r="R29">
        <v>0</v>
      </c>
      <c r="S29" t="e">
        <f t="shared" si="3"/>
        <v>#NAME?</v>
      </c>
    </row>
    <row r="30" ht="15" customHeight="1">
      <c r="A30" t="s">
        <v>236</v>
      </c>
      <c r="G30">
        <v>0</v>
      </c>
      <c r="H30">
        <v>0</v>
      </c>
      <c r="I30">
        <v>0</v>
      </c>
      <c r="J30">
        <v>0</v>
      </c>
      <c r="K30">
        <v>0</v>
      </c>
      <c r="L30">
        <v>0</v>
      </c>
      <c r="M30">
        <v>0</v>
      </c>
      <c r="N30">
        <v>0</v>
      </c>
      <c r="O30">
        <v>0</v>
      </c>
      <c r="P30">
        <v>0</v>
      </c>
      <c r="Q30">
        <v>0</v>
      </c>
      <c r="R30">
        <v>0</v>
      </c>
      <c r="S30" t="e">
        <f t="shared" si="3"/>
        <v>#NAME?</v>
      </c>
    </row>
    <row r="31" ht="15" customHeight="1">
      <c r="A31" t="s">
        <v>236</v>
      </c>
      <c r="G31">
        <v>0</v>
      </c>
      <c r="H31">
        <v>0</v>
      </c>
      <c r="I31">
        <v>0</v>
      </c>
      <c r="J31">
        <v>0</v>
      </c>
      <c r="K31">
        <v>0</v>
      </c>
      <c r="L31">
        <v>0</v>
      </c>
      <c r="M31">
        <v>0</v>
      </c>
      <c r="N31">
        <v>0</v>
      </c>
      <c r="O31">
        <v>0</v>
      </c>
      <c r="P31">
        <v>0</v>
      </c>
      <c r="Q31">
        <v>0</v>
      </c>
      <c r="R31">
        <v>0</v>
      </c>
      <c r="S31" t="e">
        <f t="shared" si="3"/>
        <v>#NAME?</v>
      </c>
    </row>
    <row r="32" ht="15" customHeight="1">
      <c r="A32" t="s">
        <v>236</v>
      </c>
      <c r="G32">
        <v>0</v>
      </c>
      <c r="H32">
        <v>0</v>
      </c>
      <c r="I32">
        <v>0</v>
      </c>
      <c r="J32">
        <v>0</v>
      </c>
      <c r="K32">
        <v>0</v>
      </c>
      <c r="L32">
        <v>0</v>
      </c>
      <c r="M32">
        <v>0</v>
      </c>
      <c r="N32">
        <v>0</v>
      </c>
      <c r="O32">
        <v>0</v>
      </c>
      <c r="P32">
        <v>0</v>
      </c>
      <c r="Q32">
        <v>0</v>
      </c>
      <c r="R32">
        <v>0</v>
      </c>
      <c r="S32" t="e">
        <f t="shared" si="3"/>
        <v>#NAME?</v>
      </c>
    </row>
    <row r="33" ht="15" customHeight="1">
      <c r="A33" t="s">
        <v>236</v>
      </c>
      <c r="G33">
        <v>0</v>
      </c>
      <c r="H33">
        <v>0</v>
      </c>
      <c r="I33">
        <v>0</v>
      </c>
      <c r="J33">
        <v>0</v>
      </c>
      <c r="K33">
        <v>0</v>
      </c>
      <c r="L33">
        <v>0</v>
      </c>
      <c r="M33">
        <v>0</v>
      </c>
      <c r="N33">
        <v>0</v>
      </c>
      <c r="O33">
        <v>0</v>
      </c>
      <c r="P33">
        <v>0</v>
      </c>
      <c r="Q33">
        <v>0</v>
      </c>
      <c r="R33">
        <v>0</v>
      </c>
      <c r="S33" t="e">
        <f t="shared" si="3"/>
        <v>#NAME?</v>
      </c>
    </row>
    <row r="34" ht="15" customHeight="1">
      <c r="A34" t="s">
        <v>236</v>
      </c>
      <c r="G34">
        <v>0</v>
      </c>
      <c r="H34">
        <v>0</v>
      </c>
      <c r="I34">
        <v>0</v>
      </c>
      <c r="J34">
        <v>0</v>
      </c>
      <c r="K34">
        <v>0</v>
      </c>
      <c r="L34">
        <v>0</v>
      </c>
      <c r="M34">
        <v>0</v>
      </c>
      <c r="N34">
        <v>0</v>
      </c>
      <c r="O34">
        <v>0</v>
      </c>
      <c r="P34">
        <v>0</v>
      </c>
      <c r="Q34">
        <v>0</v>
      </c>
      <c r="R34">
        <v>0</v>
      </c>
      <c r="S34" t="e">
        <f t="shared" si="3"/>
        <v>#NAME?</v>
      </c>
    </row>
    <row r="35" ht="15" customHeight="1">
      <c r="A35" t="s">
        <v>236</v>
      </c>
      <c r="G35">
        <v>0</v>
      </c>
      <c r="H35">
        <v>0</v>
      </c>
      <c r="I35">
        <v>0</v>
      </c>
      <c r="J35">
        <v>0</v>
      </c>
      <c r="K35">
        <v>0</v>
      </c>
      <c r="L35">
        <v>0</v>
      </c>
      <c r="M35">
        <v>0</v>
      </c>
      <c r="N35">
        <v>0</v>
      </c>
      <c r="O35">
        <v>0</v>
      </c>
      <c r="P35">
        <v>0</v>
      </c>
      <c r="Q35">
        <v>0</v>
      </c>
      <c r="R35">
        <v>0</v>
      </c>
      <c r="S35" t="e">
        <f t="shared" si="3"/>
        <v>#NAME?</v>
      </c>
    </row>
    <row r="36" ht="15" customHeight="1">
      <c r="A36" t="s">
        <v>236</v>
      </c>
      <c r="D36" t="s">
        <v>3438</v>
      </c>
      <c r="G36">
        <v>0</v>
      </c>
      <c r="H36">
        <v>0</v>
      </c>
      <c r="I36">
        <v>0</v>
      </c>
      <c r="J36">
        <v>0</v>
      </c>
      <c r="K36">
        <v>0</v>
      </c>
      <c r="L36">
        <v>0</v>
      </c>
      <c r="M36">
        <v>0</v>
      </c>
      <c r="N36">
        <v>0</v>
      </c>
      <c r="O36">
        <v>0</v>
      </c>
      <c r="P36">
        <v>0</v>
      </c>
      <c r="Q36">
        <v>0</v>
      </c>
      <c r="R36">
        <v>0</v>
      </c>
      <c r="S36" t="e">
        <f t="shared" si="3"/>
        <v>#NAME?</v>
      </c>
    </row>
    <row r="37" ht="15" customHeight="1">
      <c r="A37" t="s">
        <v>236</v>
      </c>
      <c r="D37" t="s">
        <v>3438</v>
      </c>
      <c r="G37">
        <v>0</v>
      </c>
      <c r="H37">
        <v>0</v>
      </c>
      <c r="I37">
        <v>0</v>
      </c>
      <c r="J37">
        <v>0</v>
      </c>
      <c r="K37">
        <v>0</v>
      </c>
      <c r="L37">
        <v>0</v>
      </c>
      <c r="M37">
        <v>0</v>
      </c>
      <c r="N37">
        <v>0</v>
      </c>
      <c r="O37">
        <v>0</v>
      </c>
      <c r="P37">
        <v>0</v>
      </c>
      <c r="Q37">
        <v>0</v>
      </c>
      <c r="R37">
        <v>0</v>
      </c>
      <c r="S37" t="e">
        <f t="shared" si="3"/>
        <v>#NAME?</v>
      </c>
    </row>
    <row r="38" ht="15" customHeight="1">
      <c r="A38" t="s">
        <v>3453</v>
      </c>
    </row>
    <row r="39" ht="15" customHeight="1">
      <c r="G39">
        <f t="shared" si="4" ref="G39:R39">SUM(G11:G37)</f>
        <v>0</v>
      </c>
      <c r="H39">
        <f t="shared" si="4"/>
        <v>0</v>
      </c>
      <c r="I39">
        <f t="shared" si="4"/>
        <v>0</v>
      </c>
      <c r="J39">
        <f t="shared" si="4"/>
        <v>0</v>
      </c>
      <c r="K39">
        <f t="shared" si="4"/>
        <v>0</v>
      </c>
      <c r="L39">
        <f t="shared" si="4"/>
        <v>0</v>
      </c>
      <c r="M39">
        <f t="shared" si="4"/>
        <v>0</v>
      </c>
      <c r="N39">
        <f t="shared" si="4"/>
        <v>0</v>
      </c>
      <c r="O39">
        <f t="shared" si="4"/>
        <v>0</v>
      </c>
      <c r="P39">
        <f t="shared" si="4"/>
        <v>0</v>
      </c>
      <c r="Q39">
        <f t="shared" si="4"/>
        <v>0</v>
      </c>
      <c r="R39">
        <f t="shared" si="4"/>
        <v>0</v>
      </c>
      <c r="S39" t="e">
        <f>SUM(G39:INDIRECT(ADDRESS(ROW(F39),COLUMN(F39)+P4+2)))</f>
        <v>#NAME?</v>
      </c>
    </row>
    <row r="40" ht="15" customHeight="1">
      <c r="G40">
        <f t="shared" si="5" ref="G40:R40">G39*G8</f>
        <v>0</v>
      </c>
      <c r="H40">
        <f t="shared" si="5"/>
        <v>0</v>
      </c>
      <c r="I40">
        <f t="shared" si="5"/>
        <v>0</v>
      </c>
      <c r="J40">
        <f t="shared" si="5"/>
        <v>0</v>
      </c>
      <c r="K40">
        <f t="shared" si="5"/>
        <v>0</v>
      </c>
      <c r="L40">
        <f t="shared" si="5"/>
        <v>0</v>
      </c>
      <c r="M40">
        <f t="shared" si="5"/>
        <v>0</v>
      </c>
      <c r="N40">
        <f t="shared" si="5"/>
        <v>0</v>
      </c>
      <c r="O40">
        <f t="shared" si="5"/>
        <v>0</v>
      </c>
      <c r="P40">
        <f t="shared" si="5"/>
        <v>0</v>
      </c>
      <c r="Q40">
        <f t="shared" si="5"/>
        <v>0</v>
      </c>
      <c r="R40">
        <f t="shared" si="5"/>
        <v>0</v>
      </c>
      <c r="S40" t="e">
        <f>SUM(G40:INDIRECT(ADDRESS(ROW(F40),COLUMN(F40)+P4+2)))</f>
        <v>#NAME?</v>
      </c>
    </row>
    <row r="42" ht="15" customHeight="1">
      <c r="A42" t="s">
        <v>3454</v>
      </c>
      <c r="E42">
        <v>0</v>
      </c>
    </row>
    <row r="44" ht="15" customHeight="1">
      <c r="A44" t="s">
        <v>3455</v>
      </c>
      <c r="D44" t="s">
        <v>3456</v>
      </c>
      <c r="E44">
        <v>0</v>
      </c>
      <c r="G44" t="e">
        <f>MAX(E44,F81)</f>
        <v>#NAME?</v>
      </c>
      <c r="H44" t="e">
        <f t="shared" si="6" ref="H44:R44">G44</f>
        <v>#NAME?</v>
      </c>
      <c r="I44" t="e">
        <f t="shared" si="6"/>
        <v>#NAME?</v>
      </c>
      <c r="J44" t="e">
        <f t="shared" si="6"/>
        <v>#NAME?</v>
      </c>
      <c r="K44" t="e">
        <f t="shared" si="6"/>
        <v>#NAME?</v>
      </c>
      <c r="L44" t="e">
        <f t="shared" si="6"/>
        <v>#NAME?</v>
      </c>
      <c r="M44" t="e">
        <f t="shared" si="6"/>
        <v>#NAME?</v>
      </c>
      <c r="N44" t="e">
        <f t="shared" si="6"/>
        <v>#NAME?</v>
      </c>
      <c r="O44" t="e">
        <f t="shared" si="6"/>
        <v>#NAME?</v>
      </c>
      <c r="P44" t="e">
        <f t="shared" si="6"/>
        <v>#NAME?</v>
      </c>
      <c r="Q44" t="e">
        <f t="shared" si="6"/>
        <v>#NAME?</v>
      </c>
      <c r="R44" t="e">
        <f t="shared" si="6"/>
        <v>#NAME?</v>
      </c>
      <c r="S44" t="e">
        <f>AVERAGE(G44:INDIRECT(ADDRESS(ROW(F44),COLUMN(F44)+P4+2)))</f>
        <v>#NAME?</v>
      </c>
    </row>
    <row r="46" ht="15" customHeight="1">
      <c r="A46" t="s">
        <v>3457</v>
      </c>
      <c r="D46" t="s">
        <v>3458</v>
      </c>
      <c r="E46" t="e">
        <f>G44</f>
        <v>#NAME?</v>
      </c>
      <c r="G46" t="e">
        <f t="shared" si="7" ref="G46:R46">G44*$J$3</f>
        <v>#NAME?</v>
      </c>
      <c r="H46" t="e">
        <f t="shared" si="7"/>
        <v>#NAME?</v>
      </c>
      <c r="I46" t="e">
        <f t="shared" si="7"/>
        <v>#NAME?</v>
      </c>
      <c r="J46" t="e">
        <f t="shared" si="7"/>
        <v>#NAME?</v>
      </c>
      <c r="K46" t="e">
        <f t="shared" si="7"/>
        <v>#NAME?</v>
      </c>
      <c r="L46" t="e">
        <f t="shared" si="7"/>
        <v>#NAME?</v>
      </c>
      <c r="M46" t="e">
        <f t="shared" si="7"/>
        <v>#NAME?</v>
      </c>
      <c r="N46" t="e">
        <f t="shared" si="7"/>
        <v>#NAME?</v>
      </c>
      <c r="O46" t="e">
        <f t="shared" si="7"/>
        <v>#NAME?</v>
      </c>
      <c r="P46" t="e">
        <f t="shared" si="7"/>
        <v>#NAME?</v>
      </c>
      <c r="Q46" t="e">
        <f t="shared" si="7"/>
        <v>#NAME?</v>
      </c>
      <c r="R46" t="e">
        <f t="shared" si="7"/>
        <v>#NAME?</v>
      </c>
      <c r="S46" t="e">
        <f>SUM(G46:INDIRECT(ADDRESS(ROW(F46),COLUMN(F46)+P4+2)))</f>
        <v>#NAME?</v>
      </c>
    </row>
    <row r="48" ht="15" customHeight="1">
      <c r="A48" t="s">
        <v>3459</v>
      </c>
      <c r="D48" t="s">
        <v>3460</v>
      </c>
      <c r="E48" t="e">
        <f>F94</f>
        <v>#NAME?</v>
      </c>
      <c r="G48">
        <v>0</v>
      </c>
      <c r="H48" t="e">
        <f t="shared" si="8" ref="H48:R48">G50*G9</f>
        <v>#NAME?</v>
      </c>
      <c r="I48" t="e">
        <f t="shared" si="8"/>
        <v>#NAME?</v>
      </c>
      <c r="J48" t="e">
        <f t="shared" si="8"/>
        <v>#NAME?</v>
      </c>
      <c r="K48" t="e">
        <f t="shared" si="8"/>
        <v>#NAME?</v>
      </c>
      <c r="L48" t="e">
        <f t="shared" si="8"/>
        <v>#NAME?</v>
      </c>
      <c r="M48" t="e">
        <f t="shared" si="8"/>
        <v>#NAME?</v>
      </c>
      <c r="N48" t="e">
        <f t="shared" si="8"/>
        <v>#NAME?</v>
      </c>
      <c r="O48" t="e">
        <f t="shared" si="8"/>
        <v>#NAME?</v>
      </c>
      <c r="P48" t="e">
        <f t="shared" si="8"/>
        <v>#NAME?</v>
      </c>
      <c r="Q48" t="e">
        <f t="shared" si="8"/>
        <v>#NAME?</v>
      </c>
      <c r="R48" t="e">
        <f t="shared" si="8"/>
        <v>#NAME?</v>
      </c>
    </row>
    <row r="50" ht="15" customHeight="1">
      <c r="A50" t="s">
        <v>3461</v>
      </c>
      <c r="D50" t="s">
        <v>3462</v>
      </c>
      <c r="F50" t="s">
        <v>451</v>
      </c>
      <c r="G50" t="e">
        <f>E42+G46-G40</f>
        <v>#NAME?</v>
      </c>
      <c r="H50" t="e">
        <f t="shared" si="9" ref="H50:R50">G50+H46-H40+H48</f>
        <v>#NAME?</v>
      </c>
      <c r="I50" t="e">
        <f t="shared" si="9"/>
        <v>#NAME?</v>
      </c>
      <c r="J50" t="e">
        <f t="shared" si="9"/>
        <v>#NAME?</v>
      </c>
      <c r="K50" t="e">
        <f t="shared" si="9"/>
        <v>#NAME?</v>
      </c>
      <c r="L50" t="e">
        <f t="shared" si="9"/>
        <v>#NAME?</v>
      </c>
      <c r="M50" t="e">
        <f t="shared" si="9"/>
        <v>#NAME?</v>
      </c>
      <c r="N50" t="e">
        <f t="shared" si="9"/>
        <v>#NAME?</v>
      </c>
      <c r="O50" t="e">
        <f t="shared" si="9"/>
        <v>#NAME?</v>
      </c>
      <c r="P50" t="e">
        <f t="shared" si="9"/>
        <v>#NAME?</v>
      </c>
      <c r="Q50" t="e">
        <f t="shared" si="9"/>
        <v>#NAME?</v>
      </c>
      <c r="R50" t="e">
        <f t="shared" si="9"/>
        <v>#NAME?</v>
      </c>
    </row>
    <row r="52" ht="44.25" customHeight="1">
      <c r="A52" t="s">
        <v>3463</v>
      </c>
      <c r="B52" t="s">
        <v>3464</v>
      </c>
      <c r="D52" t="s">
        <v>3465</v>
      </c>
      <c r="E52" t="s">
        <v>3466</v>
      </c>
      <c r="F52" t="s">
        <v>3467</v>
      </c>
    </row>
    <row r="53" ht="15.75" customHeight="1">
      <c r="A53" t="s">
        <v>3468</v>
      </c>
    </row>
    <row r="54" ht="15" customHeight="1">
      <c r="A54" t="s">
        <v>3469</v>
      </c>
      <c r="C54">
        <f t="shared" si="10" ref="C54:C75">IF(OR(B54="Prior to Rate Lock",B54="Prior to Closing",B54="Completed",ISBLANK(B54)),0,_xlfn.NUMBERVALUE(LEFT(B54,2)))</f>
        <v>0</v>
      </c>
      <c r="D54">
        <v>0</v>
      </c>
      <c r="E54">
        <v>1.25</v>
      </c>
      <c r="F54">
        <f t="shared" si="11" ref="F54:F75">D54*E54</f>
        <v>0</v>
      </c>
    </row>
    <row r="55" ht="15" customHeight="1">
      <c r="A55" t="s">
        <v>3469</v>
      </c>
      <c r="C55">
        <f t="shared" si="10"/>
        <v>0</v>
      </c>
      <c r="D55">
        <v>0</v>
      </c>
      <c r="E55">
        <v>1.25</v>
      </c>
      <c r="F55">
        <f t="shared" si="11"/>
        <v>0</v>
      </c>
    </row>
    <row r="56" ht="15" customHeight="1">
      <c r="A56" t="s">
        <v>3469</v>
      </c>
      <c r="C56">
        <f t="shared" si="10"/>
        <v>0</v>
      </c>
      <c r="D56">
        <v>0</v>
      </c>
      <c r="E56">
        <v>1.25</v>
      </c>
      <c r="F56">
        <f t="shared" si="11"/>
        <v>0</v>
      </c>
    </row>
    <row r="57" ht="15.75" customHeight="1">
      <c r="A57" t="s">
        <v>3469</v>
      </c>
      <c r="C57">
        <f t="shared" si="10"/>
        <v>0</v>
      </c>
      <c r="D57">
        <v>0</v>
      </c>
      <c r="E57">
        <v>1.25</v>
      </c>
      <c r="F57">
        <f t="shared" si="11"/>
        <v>0</v>
      </c>
    </row>
    <row r="58" ht="15.75" customHeight="1">
      <c r="A58" t="s">
        <v>2443</v>
      </c>
      <c r="D58">
        <f t="shared" si="12" ref="D58:F70">SUM(D54:D57)</f>
        <v>0</v>
      </c>
      <c r="E58">
        <f t="shared" si="13" ref="E58:E78">IF(F58=0,0,F58/D58)</f>
        <v>0</v>
      </c>
      <c r="F58">
        <f t="shared" si="12"/>
        <v>0</v>
      </c>
    </row>
    <row r="59" ht="15.75" customHeight="1">
      <c r="A59" t="s">
        <v>3470</v>
      </c>
    </row>
    <row r="60" ht="15" customHeight="1">
      <c r="A60" t="s">
        <v>3469</v>
      </c>
      <c r="C60">
        <f t="shared" si="10"/>
        <v>0</v>
      </c>
      <c r="D60">
        <v>0</v>
      </c>
      <c r="E60">
        <v>1.25</v>
      </c>
      <c r="F60">
        <f t="shared" si="11"/>
        <v>0</v>
      </c>
    </row>
    <row r="61" ht="15" customHeight="1">
      <c r="A61" t="s">
        <v>3469</v>
      </c>
      <c r="C61">
        <f t="shared" si="10"/>
        <v>0</v>
      </c>
      <c r="D61">
        <v>0</v>
      </c>
      <c r="E61">
        <v>1.25</v>
      </c>
      <c r="F61">
        <f t="shared" si="11"/>
        <v>0</v>
      </c>
    </row>
    <row r="62" ht="15" customHeight="1">
      <c r="A62" t="s">
        <v>3469</v>
      </c>
      <c r="C62">
        <f t="shared" si="10"/>
        <v>0</v>
      </c>
      <c r="D62">
        <v>0</v>
      </c>
      <c r="E62">
        <v>1.25</v>
      </c>
      <c r="F62">
        <f t="shared" si="11"/>
        <v>0</v>
      </c>
    </row>
    <row r="63" ht="15.75" customHeight="1">
      <c r="A63" t="s">
        <v>3469</v>
      </c>
      <c r="C63">
        <f t="shared" si="10"/>
        <v>0</v>
      </c>
      <c r="D63">
        <v>0</v>
      </c>
      <c r="E63">
        <v>1.25</v>
      </c>
      <c r="F63">
        <f t="shared" si="11"/>
        <v>0</v>
      </c>
    </row>
    <row r="64" ht="15.75" customHeight="1">
      <c r="A64" t="s">
        <v>2443</v>
      </c>
      <c r="D64">
        <f t="shared" si="12"/>
        <v>0</v>
      </c>
      <c r="E64">
        <f t="shared" si="13"/>
        <v>0</v>
      </c>
      <c r="F64">
        <f t="shared" si="12"/>
        <v>0</v>
      </c>
    </row>
    <row r="65" ht="15.75" customHeight="1">
      <c r="A65" t="s">
        <v>3471</v>
      </c>
    </row>
    <row r="66" ht="15" customHeight="1">
      <c r="A66" t="s">
        <v>3469</v>
      </c>
      <c r="C66">
        <f t="shared" si="10"/>
        <v>0</v>
      </c>
      <c r="D66">
        <v>0</v>
      </c>
      <c r="E66">
        <v>1.25</v>
      </c>
      <c r="F66">
        <f t="shared" si="11"/>
        <v>0</v>
      </c>
    </row>
    <row r="67" ht="15" customHeight="1">
      <c r="A67" t="s">
        <v>3469</v>
      </c>
      <c r="C67">
        <f t="shared" si="10"/>
        <v>0</v>
      </c>
      <c r="D67">
        <v>0</v>
      </c>
      <c r="E67">
        <v>1.25</v>
      </c>
      <c r="F67">
        <f t="shared" si="11"/>
        <v>0</v>
      </c>
    </row>
    <row r="68" ht="15" customHeight="1">
      <c r="A68" t="s">
        <v>3469</v>
      </c>
      <c r="C68">
        <f t="shared" si="10"/>
        <v>0</v>
      </c>
      <c r="D68">
        <v>0</v>
      </c>
      <c r="E68">
        <v>1.25</v>
      </c>
      <c r="F68">
        <f t="shared" si="11"/>
        <v>0</v>
      </c>
    </row>
    <row r="69" ht="15.75" customHeight="1">
      <c r="A69" t="s">
        <v>3469</v>
      </c>
      <c r="C69">
        <f t="shared" si="10"/>
        <v>0</v>
      </c>
      <c r="D69">
        <v>0</v>
      </c>
      <c r="E69">
        <v>1.25</v>
      </c>
      <c r="F69">
        <f t="shared" si="11"/>
        <v>0</v>
      </c>
    </row>
    <row r="70" ht="15.75" customHeight="1">
      <c r="A70" t="s">
        <v>2443</v>
      </c>
      <c r="D70">
        <f t="shared" si="12"/>
        <v>0</v>
      </c>
      <c r="E70">
        <f t="shared" si="13"/>
        <v>0</v>
      </c>
      <c r="F70">
        <f t="shared" si="12"/>
        <v>0</v>
      </c>
    </row>
    <row r="71" ht="15.75" customHeight="1">
      <c r="A71" t="s">
        <v>1358</v>
      </c>
    </row>
    <row r="72" ht="15.75" customHeight="1">
      <c r="A72" t="s">
        <v>3469</v>
      </c>
      <c r="C72">
        <f t="shared" si="10"/>
        <v>0</v>
      </c>
      <c r="D72">
        <v>0</v>
      </c>
      <c r="E72">
        <v>1.25</v>
      </c>
      <c r="F72">
        <f t="shared" si="11"/>
        <v>0</v>
      </c>
    </row>
    <row r="73" ht="15.75" customHeight="1">
      <c r="A73" t="s">
        <v>3472</v>
      </c>
    </row>
    <row r="74" ht="15" customHeight="1">
      <c r="A74" t="s">
        <v>3469</v>
      </c>
      <c r="C74">
        <f t="shared" si="10"/>
        <v>0</v>
      </c>
      <c r="D74">
        <v>0</v>
      </c>
      <c r="E74">
        <v>1</v>
      </c>
      <c r="F74">
        <f t="shared" si="11"/>
        <v>0</v>
      </c>
    </row>
    <row r="75" ht="15.75" customHeight="1">
      <c r="A75" t="s">
        <v>3469</v>
      </c>
      <c r="C75">
        <f t="shared" si="10"/>
        <v>0</v>
      </c>
      <c r="D75">
        <v>0</v>
      </c>
      <c r="E75">
        <v>1</v>
      </c>
      <c r="F75">
        <f t="shared" si="11"/>
        <v>0</v>
      </c>
    </row>
    <row r="76" ht="15.75" customHeight="1">
      <c r="A76" t="s">
        <v>2443</v>
      </c>
      <c r="D76">
        <f t="shared" si="14" ref="D76:F76">SUM(D74:D75)</f>
        <v>0</v>
      </c>
      <c r="E76">
        <f t="shared" si="13"/>
        <v>0</v>
      </c>
      <c r="F76">
        <f t="shared" si="14"/>
        <v>0</v>
      </c>
    </row>
    <row r="77" ht="15.75" customHeight="1"/>
    <row r="78" ht="15.75" customHeight="1">
      <c r="A78" t="s">
        <v>3473</v>
      </c>
      <c r="D78">
        <f t="shared" si="15" ref="D78:F78">D58+D64+D70+D73+D76</f>
        <v>0</v>
      </c>
      <c r="E78">
        <f t="shared" si="13"/>
        <v>0</v>
      </c>
      <c r="F78">
        <f t="shared" si="15"/>
        <v>0</v>
      </c>
    </row>
    <row r="79" ht="15" customHeight="1">
      <c r="D79" t="s">
        <v>3474</v>
      </c>
      <c r="F79" t="s">
        <v>451</v>
      </c>
    </row>
    <row r="81" ht="15" customHeight="1">
      <c r="D81" t="s">
        <v>3475</v>
      </c>
      <c r="F81" t="e">
        <f>G85</f>
        <v>#NAME?</v>
      </c>
    </row>
    <row r="84" ht="15" customHeight="1">
      <c r="G84">
        <f t="shared" si="16" ref="G84:R84">(G8*SUMPRODUCT($G40:INDIRECT(ADDRESS(ROW($G40),6+G7)),1/$G8:INDIRECT(ADDRESS(ROW($G8),6+G7)))-$E42*G8)/(SUM($G8:INDIRECT(ADDRESS(ROW($G8),6+G7)))*$J3)</f>
        <v>0</v>
      </c>
      <c r="H84">
        <f t="shared" si="16"/>
        <v>0</v>
      </c>
      <c r="I84">
        <f t="shared" si="16"/>
        <v>0</v>
      </c>
      <c r="J84">
        <f t="shared" si="16"/>
        <v>0</v>
      </c>
      <c r="K84">
        <f t="shared" si="16"/>
        <v>0</v>
      </c>
      <c r="L84">
        <f t="shared" si="16"/>
        <v>0</v>
      </c>
      <c r="M84">
        <f t="shared" si="16"/>
        <v>0</v>
      </c>
      <c r="N84">
        <f t="shared" si="16"/>
        <v>0</v>
      </c>
      <c r="O84">
        <f t="shared" si="16"/>
        <v>0</v>
      </c>
      <c r="P84">
        <f t="shared" si="16"/>
        <v>0</v>
      </c>
      <c r="Q84">
        <f t="shared" si="16"/>
        <v>0</v>
      </c>
      <c r="R84">
        <f t="shared" si="16"/>
        <v>0</v>
      </c>
    </row>
    <row r="85" ht="15" customHeight="1">
      <c r="F85" t="s">
        <v>3476</v>
      </c>
      <c r="G85" t="e">
        <f>CEILING(MAX(G84,INDIRECT(ADDRESS(ROW(F84),COLUMN(F84)+P4)&amp;":"&amp;ADDRESS(ROW(F84),COLUMN(F84)+P4+2)),INDIRECT(ADDRESS(ROW(H85),COLUMN(H85))&amp;":"&amp;ADDRESS(ROW(H85),COLUMN(H85)+P4-IF(P4&gt;=3,3,0)))),1)</f>
        <v>#NAME?</v>
      </c>
      <c r="H85">
        <f t="shared" si="17" ref="H85:P98">MIN(G84:H84)</f>
        <v>0</v>
      </c>
      <c r="I85">
        <f t="shared" si="17"/>
        <v>0</v>
      </c>
      <c r="J85">
        <f t="shared" si="17"/>
        <v>0</v>
      </c>
      <c r="K85">
        <f t="shared" si="17"/>
        <v>0</v>
      </c>
      <c r="L85">
        <f t="shared" si="17"/>
        <v>0</v>
      </c>
      <c r="M85">
        <f t="shared" si="17"/>
        <v>0</v>
      </c>
      <c r="N85">
        <f t="shared" si="17"/>
        <v>0</v>
      </c>
      <c r="O85">
        <f t="shared" si="17"/>
        <v>0</v>
      </c>
      <c r="P85">
        <f t="shared" si="17"/>
        <v>0</v>
      </c>
    </row>
    <row r="94" ht="15" customHeight="1">
      <c r="D94" t="s">
        <v>3475</v>
      </c>
      <c r="F94" t="e">
        <f>MAX(E44,G98)</f>
        <v>#NAME?</v>
      </c>
    </row>
    <row r="97" ht="15" customHeight="1">
      <c r="G97">
        <f t="shared" si="18" ref="G97:R97">(G8*SUMPRODUCT($G40:INDIRECT(ADDRESS(ROW($G40),6+G7)),1/$G8:INDIRECT(ADDRESS(ROW($G8),6+G7))))/(SUM($G8:INDIRECT(ADDRESS(ROW($G8),6+G7)))*$J3)</f>
        <v>0</v>
      </c>
      <c r="H97">
        <f t="shared" si="18"/>
        <v>0</v>
      </c>
      <c r="I97">
        <f t="shared" si="18"/>
        <v>0</v>
      </c>
      <c r="J97">
        <f t="shared" si="18"/>
        <v>0</v>
      </c>
      <c r="K97">
        <f t="shared" si="18"/>
        <v>0</v>
      </c>
      <c r="L97">
        <f t="shared" si="18"/>
        <v>0</v>
      </c>
      <c r="M97">
        <f t="shared" si="18"/>
        <v>0</v>
      </c>
      <c r="N97">
        <f t="shared" si="18"/>
        <v>0</v>
      </c>
      <c r="O97">
        <f t="shared" si="18"/>
        <v>0</v>
      </c>
      <c r="P97">
        <f t="shared" si="18"/>
        <v>0</v>
      </c>
      <c r="Q97">
        <f t="shared" si="18"/>
        <v>0</v>
      </c>
      <c r="R97">
        <f t="shared" si="18"/>
        <v>0</v>
      </c>
    </row>
    <row r="98" ht="15" customHeight="1">
      <c r="G98" t="e">
        <f>CEILING(MAX(G97,INDIRECT(ADDRESS(ROW(F97),COLUMN(F97)+P4)&amp;":"&amp;ADDRESS(ROW(F97),COLUMN(F97)+P4+2)),INDIRECT(ADDRESS(ROW(H98),COLUMN(H98))&amp;":"&amp;ADDRESS(ROW(H98),COLUMN(H98)+P4-IF(P4&gt;=3,3,0)))),1)</f>
        <v>#NAME?</v>
      </c>
      <c r="H98">
        <f t="shared" si="17"/>
        <v>0</v>
      </c>
      <c r="I98">
        <f t="shared" si="17"/>
        <v>0</v>
      </c>
      <c r="J98">
        <f t="shared" si="17"/>
        <v>0</v>
      </c>
      <c r="K98">
        <f t="shared" si="17"/>
        <v>0</v>
      </c>
      <c r="L98">
        <f t="shared" si="17"/>
        <v>0</v>
      </c>
      <c r="M98">
        <f t="shared" si="17"/>
        <v>0</v>
      </c>
      <c r="N98">
        <f t="shared" si="17"/>
        <v>0</v>
      </c>
      <c r="O98">
        <f t="shared" si="17"/>
        <v>0</v>
      </c>
      <c r="P98">
        <f t="shared" si="17"/>
        <v>0</v>
      </c>
    </row>
    <row r="101" ht="15" customHeight="1">
      <c r="E101" t="s">
        <v>3477</v>
      </c>
    </row>
    <row r="102" ht="15" customHeight="1">
      <c r="E102" t="s">
        <v>3478</v>
      </c>
    </row>
    <row r="103" ht="15" customHeight="1">
      <c r="E103" t="s">
        <v>3479</v>
      </c>
    </row>
    <row r="104" ht="15" customHeight="1">
      <c r="E104" t="s">
        <v>3480</v>
      </c>
    </row>
    <row r="105" ht="15" customHeight="1">
      <c r="E105" t="s">
        <v>3481</v>
      </c>
    </row>
    <row r="106" ht="15" customHeight="1">
      <c r="E106" t="s">
        <v>3482</v>
      </c>
    </row>
    <row r="107" ht="15" customHeight="1">
      <c r="E107" t="s">
        <v>3483</v>
      </c>
    </row>
    <row r="108" ht="15" customHeight="1">
      <c r="E108" t="s">
        <v>3484</v>
      </c>
    </row>
  </sheetData>
  <printOptions horizontalCentered="1"/>
  <pageMargins left="0.25" right="0.25" top="0.25" bottom="0.25" header="0.3" footer="0.3"/>
  <pageSetup useFirstPageNumber="1" fitToHeight="1" fitToWidth="1" paperSize="5" firstPageNumber="1" scale="48" pageOrder="downThenOver" orientation="landscape"/>
  <headerFooter>
    <oddHeader>&amp;L&amp;C&amp;R</oddHeader>
    <oddFooter>&amp;L&amp;C&amp;R</oddFooter>
  </headerFooter>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1348A2C1-74FA-777E-D8D7-6D9581DCE65C}" mc:Ignorable="x14ac xr xr2 xr3">
  <dimension ref="A1:XFC104"/>
  <sheetViews>
    <sheetView topLeftCell="A1" workbookViewId="0">
      <selection activeCell="A1" sqref="A1"/>
    </sheetView>
  </sheetViews>
  <sheetFormatPr defaultRowHeight="12.997499999999997" defaultColWidth="0" customHeight="1"/>
  <cols>
    <col min="1" max="1" width="4.00390625" customWidth="1"/>
    <col min="2" max="28" width="2.28125" customWidth="1"/>
    <col min="29" max="29" width="2.57421875" customWidth="1"/>
    <col min="30" max="55" width="2.28125" customWidth="1"/>
    <col min="56" max="56" width="4.57421875" customWidth="1"/>
    <col min="57" max="98" width="2.28125" hidden="1" customWidth="1"/>
    <col min="99" max="16383" width="9.140625" hidden="1" customWidth="1"/>
  </cols>
  <sheetData>
    <row r="1" ht="33.75" customHeight="1"/>
    <row r="2" ht="12.75" customHeight="1">
      <c r="B2" t="s">
        <v>3485</v>
      </c>
      <c r="BC2" t="str">
        <f>"Version "&amp;"5.1"&amp;" | Last Revised "&amp;FormMonth&amp;"/"&amp;FormYear</f>
        <v>Version 5.1 | Last Revised 11/2020</v>
      </c>
    </row>
    <row r="3" ht="15" customHeight="1">
      <c r="C3" t="s">
        <v>3487</v>
      </c>
      <c r="H3" t="str">
        <f t="shared" si="0" ref="H3:H8">IF(PropertyName_DataPageTab="","",PropertyName_DataPageTab)</f>
        <v>XXXX</v>
      </c>
      <c r="AD3" t="s">
        <v>3488</v>
      </c>
      <c r="AI3" t="str">
        <f>Lender_Name</f>
        <v>Walker &amp; Dunlop, LLC</v>
      </c>
    </row>
    <row r="4" ht="12" customHeight="1">
      <c r="C4" t="s">
        <v>3489</v>
      </c>
    </row>
    <row r="5" ht="12" customHeight="1">
      <c r="C5" t="s">
        <v>3490</v>
      </c>
    </row>
    <row r="6" ht="12" customHeight="1"/>
    <row r="7" ht="12" customHeight="1"/>
    <row r="8" ht="12" customHeight="1">
      <c r="G8" t="s">
        <v>2420</v>
      </c>
      <c r="H8" t="str">
        <f t="shared" si="0"/>
        <v>XXXX</v>
      </c>
      <c r="AL8" t="s">
        <v>3491</v>
      </c>
      <c r="AM8" t="str">
        <f>'Data Page'!E43</f>
        <v>Refinance</v>
      </c>
    </row>
    <row r="9" ht="12" customHeight="1">
      <c r="G9" t="s">
        <v>405</v>
      </c>
      <c r="H9" t="str">
        <f>IF(Property_Type="","",Property_Type)</f>
        <v>Multifamily</v>
      </c>
      <c r="P9" t="s">
        <v>662</v>
      </c>
      <c r="U9" t="str">
        <f>IF(Building_Type="","",Building_Type)</f>
        <v>Select</v>
      </c>
      <c r="AL9" t="s">
        <v>3492</v>
      </c>
      <c r="AM9" t="e">
        <f>IF(ApplicationLoan=0,0.01,ApplicationLoan)</f>
        <v>#NAME?</v>
      </c>
    </row>
    <row r="10" ht="12" customHeight="1">
      <c r="G10" t="s">
        <v>668</v>
      </c>
      <c r="H10">
        <f>IF(YearBuilt_DataPageTab="XXXX",1800,YearBuilt_DataPageTab)</f>
        <v>1800</v>
      </c>
      <c r="T10" t="s">
        <v>3493</v>
      </c>
      <c r="U10">
        <f>IF(NumOfBldg_DataPageTab="",1,NumOfBldg_DataPageTab)</f>
        <v>24</v>
      </c>
      <c r="AL10" t="s">
        <v>3494</v>
      </c>
      <c r="AW10" t="s">
        <v>3495</v>
      </c>
    </row>
    <row r="11" ht="12" customHeight="1"/>
    <row r="12" ht="12" customHeight="1">
      <c r="E12" t="s">
        <v>3496</v>
      </c>
      <c r="L12">
        <v>1</v>
      </c>
      <c r="N12">
        <v>2</v>
      </c>
      <c r="P12">
        <v>3</v>
      </c>
      <c r="R12">
        <v>4</v>
      </c>
      <c r="T12">
        <v>5</v>
      </c>
      <c r="V12">
        <v>6</v>
      </c>
      <c r="X12">
        <v>7</v>
      </c>
      <c r="AL12" t="s">
        <v>3497</v>
      </c>
      <c r="AU12" t="s">
        <v>3498</v>
      </c>
    </row>
    <row r="13" ht="12" customHeight="1">
      <c r="E13" t="s">
        <v>3499</v>
      </c>
      <c r="AL13" t="s">
        <v>3500</v>
      </c>
      <c r="AU13" t="s">
        <v>3501</v>
      </c>
    </row>
    <row r="14" ht="12" customHeight="1">
      <c r="E14" t="s">
        <v>3502</v>
      </c>
    </row>
    <row r="15" ht="12" customHeight="1">
      <c r="AN15" t="s">
        <v>3503</v>
      </c>
      <c r="AO15" t="e">
        <f>IF(Interest_Rate_Type="Fixed",Treasury\Index,SARMLibor)*100</f>
        <v>#NAME?</v>
      </c>
    </row>
    <row r="16" ht="12" customHeight="1">
      <c r="N16" t="s">
        <v>3504</v>
      </c>
      <c r="O16">
        <f>TotalUnits</f>
        <v>85</v>
      </c>
      <c r="AN16" t="s">
        <v>3505</v>
      </c>
      <c r="AO16" t="e">
        <f>IF(Interest_Rate_Type="Fixed",InvestorSpread+GuarantyFee+ServicingFee,SARMInvestorSpread+SARMGuarantyFee+SARMServicingFee)*100</f>
        <v>#NAME?</v>
      </c>
    </row>
    <row r="17" ht="12" customHeight="1">
      <c r="N17" t="s">
        <v>3506</v>
      </c>
      <c r="O17">
        <f>NRA</f>
        <v>84991</v>
      </c>
      <c r="T17" t="s">
        <v>3507</v>
      </c>
      <c r="AN17" t="s">
        <v>3508</v>
      </c>
      <c r="AO17">
        <v>0</v>
      </c>
      <c r="AR17" t="s">
        <v>3509</v>
      </c>
    </row>
    <row r="18" ht="12" customHeight="1">
      <c r="AN18" t="s">
        <v>3510</v>
      </c>
      <c r="AO18" t="e">
        <f>IF(Interest_Rate_Type="Fixed",FloorRate,SARMStressRate)*100</f>
        <v>#NAME?</v>
      </c>
      <c r="AR18" t="s">
        <v>3511</v>
      </c>
    </row>
    <row r="19" ht="12" customHeight="1">
      <c r="J19" t="s">
        <v>3512</v>
      </c>
      <c r="W19" t="s">
        <v>3513</v>
      </c>
      <c r="AN19" t="s">
        <v>3514</v>
      </c>
    </row>
    <row r="20" ht="12" customHeight="1">
      <c r="J20" t="s">
        <v>3515</v>
      </c>
      <c r="W20" t="s">
        <v>3516</v>
      </c>
    </row>
    <row r="21" ht="12" customHeight="1">
      <c r="J21" t="s">
        <v>3517</v>
      </c>
      <c r="W21" t="s">
        <v>3518</v>
      </c>
    </row>
    <row r="22" ht="12" customHeight="1">
      <c r="J22" t="s">
        <v>3519</v>
      </c>
      <c r="W22" t="s">
        <v>3520</v>
      </c>
    </row>
    <row r="23" ht="12" customHeight="1">
      <c r="D23" t="s">
        <v>3521</v>
      </c>
      <c r="AM23" t="s">
        <v>3522</v>
      </c>
      <c r="AN23">
        <f>YEAR(TODAY())</f>
        <v>2023</v>
      </c>
      <c r="AW23" t="s">
        <v>3523</v>
      </c>
      <c r="AX23">
        <f>ROUND((1-SOps_UW_PhyVac_Pcnt)*100,1)</f>
        <v>88</v>
      </c>
      <c r="BA23" t="s">
        <v>3137</v>
      </c>
    </row>
    <row r="24" ht="12" customHeight="1">
      <c r="AM24" t="s">
        <v>2497</v>
      </c>
      <c r="AN24">
        <f>UW_Cap*100</f>
        <v>5</v>
      </c>
      <c r="AQ24" t="s">
        <v>3137</v>
      </c>
      <c r="AW24" t="s">
        <v>3524</v>
      </c>
      <c r="AX24">
        <f>ROUND((1-SOps_UW_Econ_Vac)*100,1)</f>
        <v>85.2</v>
      </c>
      <c r="BA24" t="s">
        <v>3137</v>
      </c>
    </row>
    <row r="25" ht="12" customHeight="1"/>
    <row r="26" ht="12" customHeight="1">
      <c r="C26" t="s">
        <v>3525</v>
      </c>
      <c r="AK26" t="s">
        <v>3526</v>
      </c>
      <c r="AL26">
        <f>IF(UW_Value=0,0.01,UW_Value)</f>
        <v>-34419044.199999996</v>
      </c>
      <c r="AS26" t="s">
        <v>3527</v>
      </c>
      <c r="AW26" s="1">
        <f>IF(ISTEXT(Appraisal_Date),TODAY(),Appraisal_Date)</f>
        <v>45189</v>
      </c>
    </row>
    <row r="27" ht="12" customHeight="1">
      <c r="C27" t="s">
        <v>3528</v>
      </c>
      <c r="AK27" t="s">
        <v>2504</v>
      </c>
      <c r="AL27">
        <f>IF(LTV*100=0,0.01,LTV*100)</f>
        <v>0.01</v>
      </c>
      <c r="AO27" t="s">
        <v>3137</v>
      </c>
      <c r="AV27" t="s">
        <v>3529</v>
      </c>
      <c r="AZ27" t="s">
        <v>3137</v>
      </c>
    </row>
    <row r="28" ht="12" customHeight="1">
      <c r="C28" t="s">
        <v>3530</v>
      </c>
      <c r="N28" t="s">
        <v>3531</v>
      </c>
      <c r="P28" t="s">
        <v>3532</v>
      </c>
      <c r="AL28" t="s">
        <v>3533</v>
      </c>
      <c r="AV28" t="s">
        <v>3534</v>
      </c>
    </row>
    <row r="29" ht="12" customHeight="1"/>
    <row r="30" ht="12" customHeight="1">
      <c r="C30" t="s">
        <v>3535</v>
      </c>
      <c r="U30" t="s">
        <v>3536</v>
      </c>
      <c r="AH30" t="s">
        <v>3537</v>
      </c>
      <c r="AI30">
        <f>IF(SOps_UnderwrittenEGI=0,0.01,SOps_UnderwrittenEGI)</f>
        <v>1109838</v>
      </c>
      <c r="AT30" t="s">
        <v>3538</v>
      </c>
      <c r="AU30">
        <f>IF('Summary OPS'!AU50=0,0.01,'Summary OPS'!AU50)</f>
        <v>2809540.21</v>
      </c>
    </row>
    <row r="31" ht="12" customHeight="1">
      <c r="F31" t="s">
        <v>3539</v>
      </c>
      <c r="AA31" t="s">
        <v>3137</v>
      </c>
      <c r="AH31" t="s">
        <v>3540</v>
      </c>
      <c r="AI31">
        <f>IF(SOps_UnderwrittenNCF=0,0.01,SOps_UnderwrittenNCF)</f>
        <v>-1720952.21</v>
      </c>
      <c r="AT31" t="s">
        <v>3541</v>
      </c>
    </row>
    <row r="32" ht="12" customHeight="1">
      <c r="F32" t="s">
        <v>3542</v>
      </c>
      <c r="AA32" t="s">
        <v>3137</v>
      </c>
    </row>
    <row r="33" ht="12" customHeight="1">
      <c r="F33" t="s">
        <v>3543</v>
      </c>
      <c r="AA33" t="s">
        <v>3137</v>
      </c>
      <c r="AN33" t="s">
        <v>3544</v>
      </c>
      <c r="AO33" t="e">
        <f>IF(Interest_Rate_Type="Fixed",Requested_Floor_UW_DSCR,Variable_Requested_Stress_UW_DSCR)</f>
        <v>#NAME?</v>
      </c>
    </row>
    <row r="34" ht="12" customHeight="1">
      <c r="C34" t="s">
        <v>3545</v>
      </c>
      <c r="X34">
        <f>IF(AND(MAH_UNDR_80="",MAH_UNDR_60="",MAH_UNDR_50=""),"",SUM(MAH_UNDR_80,MAH_UNDR_60,MAH_UNDR_50))</f>
      </c>
      <c r="AA34" t="s">
        <v>3137</v>
      </c>
      <c r="AN34" t="s">
        <v>3546</v>
      </c>
      <c r="AO34" cm="1">
        <f t="array" ref="AO34">_xlfn.IFERROR(IF(Interest_Rate_Type="Fixed",IF(FloorRate&gt;NoteRate,Floor_UW_DSCR,Actual_UW_DSCR),UW_NCF/(SARMStressConstant*LN_AMT)),0.01)</f>
        <v>0.01</v>
      </c>
    </row>
    <row r="35" ht="12" customHeight="1">
      <c r="AN35" t="s">
        <v>3547</v>
      </c>
      <c r="AO35">
        <f>'Data Page'!J56</f>
        <v>0</v>
      </c>
    </row>
    <row r="36" ht="12" customHeight="1">
      <c r="AN36" t="s">
        <v>3548</v>
      </c>
      <c r="AO36" cm="1">
        <f t="array" ref="AO36">_xlfn.IFERROR(IF(Interest_Rate_Type="Fixed",IF(IO_TRM=LN_TRM,IO_UW_DSCR,Actual_UW_DSCR),IF(IO_TRM=LN_TRM,UW_NCF/(SARMStressRate*LN_AMT),UW_NCF/((SARMStressRate*LN_AMT)+(FixedPrinPayment*12)))),0)</f>
        <v>0</v>
      </c>
    </row>
    <row r="37" ht="12" customHeight="1">
      <c r="O37" t="s">
        <v>3549</v>
      </c>
      <c r="P37">
        <v>0</v>
      </c>
      <c r="AN37" t="s">
        <v>3550</v>
      </c>
      <c r="AR37" t="s">
        <v>3551</v>
      </c>
    </row>
    <row r="38" ht="12" customHeight="1"/>
    <row r="39" ht="12" customHeight="1"/>
    <row r="40" ht="12" customHeight="1">
      <c r="C40" t="s">
        <v>3552</v>
      </c>
    </row>
    <row r="41" ht="12" customHeight="1"/>
    <row r="42" ht="12" customHeight="1"/>
    <row r="43" ht="12" customHeight="1"/>
    <row r="44" ht="12" customHeight="1"/>
    <row r="45" ht="12" customHeight="1"/>
    <row r="46" ht="12" customHeight="1"/>
    <row r="47" ht="12" customHeight="1"/>
    <row r="48" ht="12" customHeight="1">
      <c r="C48" t="s">
        <v>217</v>
      </c>
      <c r="S48" t="s">
        <v>509</v>
      </c>
      <c r="AC48" t="s">
        <v>3553</v>
      </c>
      <c r="AS48" t="s">
        <v>509</v>
      </c>
    </row>
    <row r="49" ht="12" customHeight="1"/>
    <row r="50" ht="12" customHeight="1">
      <c r="B50" t="s">
        <v>3554</v>
      </c>
      <c r="Y50" t="s">
        <v>3555</v>
      </c>
      <c r="BC50" t="str">
        <f>"©"&amp;FormYear&amp;" Fannie Mae"</f>
        <v>©2020 Fannie Mae</v>
      </c>
    </row>
    <row r="51" ht="12" customHeight="1">
      <c r="B51" t="s">
        <v>3557</v>
      </c>
    </row>
    <row r="52" ht="12" customHeight="1"/>
    <row r="53" ht="12" customHeight="1" hidden="1"/>
    <row r="54" ht="12" customHeight="1" hidden="1"/>
    <row r="55" ht="12" customHeight="1" hidden="1"/>
    <row r="56" ht="12" customHeight="1" hidden="1"/>
    <row r="57" ht="12" customHeight="1" hidden="1"/>
    <row r="58" ht="12" customHeight="1" hidden="1"/>
    <row r="59" ht="12" customHeight="1" hidden="1"/>
    <row r="60" ht="12" customHeight="1" hidden="1"/>
    <row r="61" ht="12" customHeight="1" hidden="1"/>
    <row r="62" ht="12" customHeight="1" hidden="1"/>
    <row r="63" ht="12" customHeight="1" hidden="1"/>
    <row r="64" ht="12" customHeight="1" hidden="1"/>
    <row r="65" ht="12" customHeight="1" hidden="1"/>
    <row r="66" ht="12" customHeight="1" hidden="1"/>
    <row r="67" ht="12" customHeight="1" hidden="1"/>
    <row r="68" ht="12" customHeight="1" hidden="1"/>
    <row r="69" ht="12" customHeight="1" hidden="1"/>
    <row r="70" ht="12" customHeight="1" hidden="1"/>
    <row r="71" ht="12" customHeight="1" hidden="1"/>
    <row r="72" ht="12" customHeight="1" hidden="1"/>
    <row r="73" ht="12" customHeight="1" hidden="1"/>
    <row r="74" ht="12" customHeight="1" hidden="1"/>
    <row r="75" ht="12" customHeight="1" hidden="1"/>
    <row r="76" ht="12" customHeight="1" hidden="1"/>
    <row r="77" ht="12" customHeight="1" hidden="1"/>
    <row r="78" ht="12" customHeight="1" hidden="1"/>
    <row r="79" ht="12" customHeight="1" hidden="1"/>
    <row r="80" ht="12" customHeight="1" hidden="1"/>
    <row r="81" ht="12" customHeight="1" hidden="1"/>
    <row r="82" ht="12" customHeight="1" hidden="1"/>
    <row r="83" ht="12" customHeight="1" hidden="1"/>
    <row r="84" ht="12" customHeight="1" hidden="1"/>
    <row r="85" ht="12" customHeight="1" hidden="1"/>
    <row r="86" ht="12" customHeight="1" hidden="1"/>
    <row r="87" ht="12" customHeight="1" hidden="1"/>
    <row r="88" ht="12" customHeight="1" hidden="1"/>
    <row r="89" ht="12" customHeight="1" hidden="1"/>
    <row r="90" ht="12" customHeight="1" hidden="1"/>
    <row r="91" ht="12" customHeight="1" hidden="1"/>
    <row r="92" ht="12" customHeight="1" hidden="1"/>
    <row r="93" ht="12" customHeight="1" hidden="1"/>
    <row r="94" ht="12" customHeight="1" hidden="1"/>
    <row r="95" ht="12" customHeight="1" hidden="1"/>
    <row r="96" ht="12" customHeight="1" hidden="1"/>
    <row r="97" ht="12" customHeight="1" hidden="1"/>
    <row r="98" ht="12" customHeight="1" hidden="1"/>
    <row r="99" ht="12" customHeight="1" hidden="1"/>
    <row r="100" ht="12" customHeight="1" hidden="1"/>
    <row r="101" ht="12" customHeight="1" hidden="1"/>
    <row r="102" ht="12" customHeight="1" hidden="1"/>
    <row r="103" ht="12" customHeight="1" hidden="1"/>
    <row r="104" ht="12" customHeight="1" hidden="1"/>
  </sheetData>
  <printOptions horizontalCentered="1"/>
  <pageMargins left="0.5" right="0.5" top="0.75" bottom="0.75" header="0.3" footer="0.3"/>
  <pageSetup paperSize="1" useFirstPageNumber="1" firstPageNumber="1" scale="77" pageOrder="downThenOver" orientation="portrait"/>
  <headerFooter>
    <oddFooter>&amp;L&amp;"Source Sans Pro,Regular"&amp;8© 2020 Fannie Mae. Trademarks of Fannie Mae&amp;"Arial,Regular"&amp;10.&amp;C&amp;"Source Sans Pro,Bold"&amp;8Form 4662&amp;"Arial,Regular"&amp;10 -&amp;"Source Sans Pro,Regular"&amp;8 Febuary 2020&amp;RPage &amp;P of &amp;N</oddFooter>
  </headerFooter>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AE0DED7-7F54-91B5-03F1-81D11D5A5D3E}" mc:Ignorable="x14ac xr xr2 xr3">
  <sheetPr>
    <pageSetUpPr fitToPage="1"/>
  </sheetPr>
  <dimension ref="A1:AL400"/>
  <sheetViews>
    <sheetView topLeftCell="A1" zoomScale="80" workbookViewId="0">
      <selection activeCell="E12" sqref="E12"/>
    </sheetView>
  </sheetViews>
  <sheetFormatPr defaultRowHeight="14.497499999999997" defaultColWidth="9.57421875" customHeight="1"/>
  <cols>
    <col min="1" max="1" width="1.8515625" customWidth="1"/>
    <col min="2" max="2" width="7.57421875" customWidth="1"/>
    <col min="3" max="3" width="1.57421875" customWidth="1"/>
    <col min="4" max="4" width="38.140625" customWidth="1"/>
    <col min="5" max="5" width="20.00390625" customWidth="1"/>
    <col min="6" max="6" width="12.57421875" customWidth="1"/>
    <col min="7" max="7" width="14.57421875" customWidth="1"/>
    <col min="8" max="8" width="2.57421875" customWidth="1"/>
    <col min="9" max="9" width="1.57421875" customWidth="1"/>
    <col min="10" max="10" width="35.7109375" customWidth="1"/>
    <col min="11" max="11" width="17.57421875" customWidth="1"/>
    <col min="12" max="12" width="13.00390625" customWidth="1"/>
    <col min="13" max="13" width="16.57421875" customWidth="1"/>
    <col min="14" max="14" width="1.57421875" customWidth="1"/>
    <col min="15" max="15" width="25.57421875" customWidth="1"/>
    <col min="16" max="16" width="11.00390625" customWidth="1"/>
    <col min="17" max="21" width="5.57421875" customWidth="1"/>
    <col min="22" max="24" width="2.57421875" customWidth="1"/>
    <col min="25" max="25" width="24.57421875" customWidth="1"/>
    <col min="26" max="26" width="15.00390625" customWidth="1"/>
    <col min="27" max="27" width="31.57421875" customWidth="1"/>
    <col min="28" max="28" width="2.57421875" customWidth="1"/>
    <col min="29" max="29" width="31.57421875" customWidth="1"/>
    <col min="30" max="30" width="23.00390625" customWidth="1"/>
    <col min="31" max="32" width="1.57421875" customWidth="1"/>
    <col min="33" max="33" width="18.57421875" customWidth="1"/>
    <col min="34" max="34" width="16.57421875" customWidth="1"/>
    <col min="35" max="35" width="24.57421875" customWidth="1"/>
    <col min="36" max="36" width="21.57421875" customWidth="1"/>
    <col min="37" max="37" width="23.57421875" customWidth="1"/>
    <col min="38" max="38" width="21.57421875" customWidth="1"/>
  </cols>
  <sheetData>
    <row r="1" ht="15" customHeight="1"/>
    <row r="2" ht="27" customHeight="1">
      <c r="B2" t="s">
        <v>3558</v>
      </c>
      <c r="Y2" t="s">
        <v>3559</v>
      </c>
      <c r="AA2" t="e">
        <f>AA38</f>
        <v>#NAME?</v>
      </c>
    </row>
    <row r="3" ht="12.75" customHeight="1"/>
    <row r="4" ht="15.75" customHeight="1">
      <c r="B4" t="s">
        <v>3560</v>
      </c>
      <c r="I4" t="s">
        <v>3561</v>
      </c>
    </row>
    <row r="5" ht="21.75" customHeight="1">
      <c r="B5" t="s">
        <v>2420</v>
      </c>
      <c r="E5" t="str">
        <f>PropertyName_DataPageTab</f>
        <v>XXXX</v>
      </c>
      <c r="I5" t="s">
        <v>3562</v>
      </c>
      <c r="K5">
        <f>10000%+((PremiumPerc_Broker+PremiumPerc_Lender)*100)</f>
        <v>100</v>
      </c>
      <c r="Y5" t="s">
        <v>3563</v>
      </c>
      <c r="AA5" t="e">
        <f>IF(Is_SARM,AD8,AA8)</f>
        <v>#NAME?</v>
      </c>
    </row>
    <row r="6" ht="19.5" customHeight="1">
      <c r="B6" t="s">
        <v>2278</v>
      </c>
      <c r="E6">
        <f>Address_DataPageTab</f>
      </c>
      <c r="I6" t="s">
        <v>3564</v>
      </c>
      <c r="K6" t="s">
        <v>367</v>
      </c>
    </row>
    <row r="7" ht="19.5" customHeight="1">
      <c r="E7" t="str">
        <f>City_DataPageTab&amp;", "&amp;State_DataPageTab&amp;", "&amp;ZipCode_DataPageTab</f>
        <v>City, XX, XXXXX</v>
      </c>
      <c r="I7" t="s">
        <v>3566</v>
      </c>
      <c r="K7">
        <f>IF(Is_SARM,AD14,AD13)</f>
        <v>0</v>
      </c>
      <c r="Y7" t="s">
        <v>3567</v>
      </c>
      <c r="AA7">
        <f>F11</f>
        <v>0</v>
      </c>
    </row>
    <row r="8" ht="19.5" customHeight="1">
      <c r="B8" t="s">
        <v>3568</v>
      </c>
      <c r="E8" t="str">
        <f>County_DataPageTab</f>
        <v>County not found</v>
      </c>
      <c r="Y8" t="s">
        <v>3569</v>
      </c>
      <c r="AA8" t="e">
        <f>NoteRate</f>
        <v>#NAME?</v>
      </c>
      <c r="AC8" t="s">
        <v>3570</v>
      </c>
      <c r="AD8">
        <f>SARMPayRate</f>
        <v>0</v>
      </c>
    </row>
    <row r="9" ht="19.5" customHeight="1">
      <c r="Y9" t="s">
        <v>3571</v>
      </c>
      <c r="AA9" t="e">
        <f t="shared" si="0" ref="AA9:AD11">(PMT(AA8/12,$E$17,-1))*12</f>
        <v>#NAME?</v>
      </c>
      <c r="AC9" t="s">
        <v>3572</v>
      </c>
      <c r="AD9" t="e">
        <f t="shared" si="0"/>
        <v>#NAME?</v>
      </c>
      <c r="AI9" t="s">
        <v>3573</v>
      </c>
      <c r="AK9" t="s">
        <v>3574</v>
      </c>
    </row>
    <row r="10" ht="19.5" customHeight="1">
      <c r="B10" t="s">
        <v>3575</v>
      </c>
      <c r="I10" t="s">
        <v>3576</v>
      </c>
      <c r="Y10" t="s">
        <v>3577</v>
      </c>
      <c r="AA10" t="e">
        <f>FloorRate</f>
        <v>#NAME?</v>
      </c>
      <c r="AC10" t="s">
        <v>3578</v>
      </c>
      <c r="AD10">
        <f>SARMStressRate</f>
        <v>0</v>
      </c>
      <c r="AI10" t="s">
        <v>3579</v>
      </c>
      <c r="AJ10" t="e">
        <f>'Data Page'!AB14</f>
        <v>#NAME?</v>
      </c>
      <c r="AK10" t="s">
        <v>3580</v>
      </c>
      <c r="AL10" t="s">
        <v>174</v>
      </c>
    </row>
    <row r="11" ht="19.5" customHeight="1">
      <c r="B11" t="s">
        <v>3581</v>
      </c>
      <c r="E11" t="e">
        <f>AA2</f>
        <v>#NAME?</v>
      </c>
      <c r="F11">
        <f>DataPage_MaxApprovedLoanAmount</f>
        <v>0</v>
      </c>
      <c r="I11" t="s">
        <v>3582</v>
      </c>
      <c r="K11" t="s">
        <v>3583</v>
      </c>
      <c r="Y11" t="s">
        <v>3584</v>
      </c>
      <c r="AA11" t="e">
        <f t="shared" si="0"/>
        <v>#NAME?</v>
      </c>
      <c r="AC11" t="s">
        <v>3585</v>
      </c>
      <c r="AD11" t="e">
        <f t="shared" si="0"/>
        <v>#NAME?</v>
      </c>
    </row>
    <row r="12" ht="19.5" customHeight="1">
      <c r="B12" t="s">
        <v>3586</v>
      </c>
      <c r="E12" t="s">
        <v>384</v>
      </c>
      <c r="I12" t="s">
        <v>3587</v>
      </c>
      <c r="K12" t="s">
        <v>3583</v>
      </c>
      <c r="AI12" t="s">
        <v>3588</v>
      </c>
      <c r="AJ12" t="e">
        <f>'Data Page'!AB9</f>
        <v>#NAME?</v>
      </c>
      <c r="AK12" t="s">
        <v>3589</v>
      </c>
      <c r="AL12" t="s">
        <v>174</v>
      </c>
    </row>
    <row r="13" ht="19.5" customHeight="1">
      <c r="B13" t="s">
        <v>3590</v>
      </c>
      <c r="E13" t="s">
        <v>3591</v>
      </c>
      <c r="I13" t="s">
        <v>392</v>
      </c>
      <c r="K13" t="s">
        <v>393</v>
      </c>
      <c r="Y13" t="str">
        <f>IF('SBL Quotes'!AN32="Supplemental","Remaining UW NCF","Underwritten NCF")</f>
        <v>Underwritten NCF</v>
      </c>
      <c r="AA13">
        <f>SOps_UnderwrittenNCF</f>
        <v>-1720952.21</v>
      </c>
      <c r="AC13" t="s">
        <v>3592</v>
      </c>
      <c r="AD13">
        <f>'Data Page'!E70</f>
        <v>0</v>
      </c>
    </row>
    <row r="14" ht="19.5" customHeight="1">
      <c r="B14" t="s">
        <v>3593</v>
      </c>
      <c r="E14" t="e">
        <f>Term*12</f>
        <v>#NAME?</v>
      </c>
      <c r="I14" t="s">
        <v>3594</v>
      </c>
      <c r="K14">
        <v>0.05</v>
      </c>
      <c r="L14">
        <v>0.05</v>
      </c>
      <c r="AC14" t="s">
        <v>3595</v>
      </c>
      <c r="AD14" t="s">
        <v>174</v>
      </c>
    </row>
    <row r="15" ht="19.5" customHeight="1">
      <c r="B15" t="s">
        <v>3596</v>
      </c>
      <c r="E15" t="s">
        <v>188</v>
      </c>
      <c r="I15" t="s">
        <v>3597</v>
      </c>
      <c r="K15" t="s">
        <v>3598</v>
      </c>
    </row>
    <row r="16" ht="19.5" customHeight="1">
      <c r="B16" t="s">
        <v>3599</v>
      </c>
      <c r="E16" t="e">
        <f>(InterestOnly*12)</f>
        <v>#NAME?</v>
      </c>
      <c r="I16" t="s">
        <v>3600</v>
      </c>
      <c r="K16">
        <v>1</v>
      </c>
      <c r="Y16" t="s">
        <v>3601</v>
      </c>
      <c r="AA16" t="e">
        <f>Requested_Actual_UW_DSCR</f>
        <v>#NAME?</v>
      </c>
      <c r="AC16" t="s">
        <v>3602</v>
      </c>
      <c r="AD16" t="s">
        <v>174</v>
      </c>
    </row>
    <row r="17" ht="19.5" customHeight="1">
      <c r="B17" t="s">
        <v>3603</v>
      </c>
      <c r="E17" t="e">
        <f>(Amort*12)</f>
        <v>#NAME?</v>
      </c>
      <c r="F17" t="e">
        <f>IF(E16=E14,"Full IO:  No Amort","")</f>
        <v>#NAME?</v>
      </c>
      <c r="I17" t="s">
        <v>3604</v>
      </c>
      <c r="K17">
        <v>1</v>
      </c>
    </row>
    <row r="18" ht="19.5" customHeight="1">
      <c r="B18" t="s">
        <v>3605</v>
      </c>
      <c r="E18" t="str">
        <f>Interest_Calc</f>
        <v>Actual/360</v>
      </c>
      <c r="I18" t="s">
        <v>3606</v>
      </c>
      <c r="K18" t="s">
        <v>269</v>
      </c>
      <c r="Y18" t="s">
        <v>3607</v>
      </c>
      <c r="AA18" t="e">
        <f>Requested_Floor_UW_DSCR</f>
        <v>#NAME?</v>
      </c>
      <c r="AC18" t="s">
        <v>3608</v>
      </c>
      <c r="AD18" t="s">
        <v>174</v>
      </c>
    </row>
    <row r="19" ht="19.5" customHeight="1">
      <c r="B19" t="s">
        <v>3609</v>
      </c>
      <c r="E19">
        <v>0</v>
      </c>
      <c r="I19" t="s">
        <v>2307</v>
      </c>
      <c r="K19" t="e">
        <f>L19*E11</f>
        <v>#NAME?</v>
      </c>
      <c r="L19">
        <v>0.02</v>
      </c>
      <c r="M19" t="s">
        <v>3610</v>
      </c>
    </row>
    <row r="20" ht="19.5" customHeight="1">
      <c r="AI20" t="s">
        <v>1353</v>
      </c>
      <c r="AK20" t="s">
        <v>983</v>
      </c>
    </row>
    <row r="21" ht="19.5" customHeight="1">
      <c r="B21" t="s">
        <v>176</v>
      </c>
      <c r="I21" t="s">
        <v>3576</v>
      </c>
      <c r="Y21" t="str">
        <f>IF(Interest_Rate_Type="Fixed","Note Rate","Pay Rate (Variable)")</f>
        <v>Note Rate</v>
      </c>
      <c r="Z21" t="s">
        <v>3611</v>
      </c>
      <c r="AA21" t="s">
        <v>572</v>
      </c>
      <c r="AG21" t="s">
        <v>3612</v>
      </c>
      <c r="AH21" t="s">
        <v>760</v>
      </c>
      <c r="AI21" t="s">
        <v>3613</v>
      </c>
      <c r="AJ21" t="s">
        <v>3614</v>
      </c>
      <c r="AK21" t="s">
        <v>3615</v>
      </c>
      <c r="AL21" t="s">
        <v>3616</v>
      </c>
    </row>
    <row r="22" ht="19.5" customHeight="1">
      <c r="B22" t="s">
        <v>405</v>
      </c>
      <c r="E22" t="s">
        <v>3617</v>
      </c>
      <c r="I22" t="s">
        <v>3618</v>
      </c>
      <c r="K22" t="e">
        <f>Requested_Tier</f>
        <v>#NAME?</v>
      </c>
      <c r="L22" t="s">
        <v>269</v>
      </c>
    </row>
    <row r="23" ht="19.5" customHeight="1">
      <c r="B23" t="s">
        <v>3619</v>
      </c>
      <c r="E23" t="s">
        <v>188</v>
      </c>
      <c r="I23" t="s">
        <v>3620</v>
      </c>
      <c r="K23" t="e">
        <f>IF(Is_Fixed,GuarantyFee,SARMGuarantyFee)</f>
        <v>#NAME?</v>
      </c>
      <c r="Y23" t="e">
        <f t="shared" si="1" ref="Y23:Y37">Y24+0.0001</f>
        <v>#NAME?</v>
      </c>
      <c r="Z23" t="e">
        <f t="shared" si="2" ref="Z23:Z53">(PMT(Y23/12,$E$17,-1))*12</f>
        <v>#NAME?</v>
      </c>
      <c r="AA23" t="e">
        <f t="shared" si="3" ref="AA23:AA53">MIN(AG23:AL23)</f>
        <v>#NAME?</v>
      </c>
      <c r="AG23">
        <f>TradeSheet_MaxApprovedLoanAmount</f>
        <v>0</v>
      </c>
      <c r="AH23">
        <f>UW_Value*Requested_LTV</f>
        <v>-25814283.15</v>
      </c>
      <c r="AI23" t="e">
        <f t="shared" si="5" ref="AI23:AI53">IF(Is_SARM,ROUNDDOWN(IF($E$13="First",$AA$13/$AA$9/$AA$16,$AJ$10/$AA$9),-3),ROUNDDOWN(IF($E$13="First",$AA$13/Z23/$AA$16,$AJ$10/Z23),-3))</f>
        <v>#NAME?</v>
      </c>
      <c r="AJ23" t="e">
        <f>IF(OR($K$22=3,$K$22=4),"N/A",ROUNDDOWN(IF($E$13="First",$AA$13/$AA$11/$AA$18,$AJ$12/$AA$11),-3))</f>
        <v>#NAME?</v>
      </c>
      <c r="AK23" t="str">
        <f t="shared" si="6" ref="AK23:AK53">IF(Is_SARM,ROUNDDOWN(IF($E$13="First",$AA$13/Z23/$AD$16,$AL$10/Z23),-3),"N/A")</f>
        <v>N/A</v>
      </c>
      <c r="AL23" t="str">
        <f>IF(Is_SARM,ROUNDDOWN(IF($E$13="First",$AA$13/$AD$11/$AD$18,$AL$12/$AD$11),-3),"N/A")</f>
        <v>N/A</v>
      </c>
    </row>
    <row r="24" ht="19.5" customHeight="1">
      <c r="B24" t="s">
        <v>3621</v>
      </c>
      <c r="E24" t="s">
        <v>388</v>
      </c>
      <c r="I24" t="s">
        <v>3622</v>
      </c>
      <c r="K24" t="e">
        <f>IF(Is_Fixed,ServicingFee,SARMServicingFee)</f>
        <v>#NAME?</v>
      </c>
      <c r="Y24" t="e">
        <f t="shared" si="1"/>
        <v>#NAME?</v>
      </c>
      <c r="Z24" t="e">
        <f t="shared" si="2"/>
        <v>#NAME?</v>
      </c>
      <c r="AA24" t="e">
        <f t="shared" si="3"/>
        <v>#NAME?</v>
      </c>
      <c r="AG24">
        <f t="shared" si="4" ref="AG24:AH53">AG$23</f>
        <v>0</v>
      </c>
      <c r="AH24">
        <f t="shared" si="4"/>
        <v>-25814283.15</v>
      </c>
      <c r="AI24" t="e">
        <f t="shared" si="5"/>
        <v>#NAME?</v>
      </c>
      <c r="AJ24" t="e">
        <f t="shared" si="7" ref="AJ24:AJ53">$AJ$23</f>
        <v>#NAME?</v>
      </c>
      <c r="AK24" t="str">
        <f t="shared" si="6"/>
        <v>N/A</v>
      </c>
      <c r="AL24" t="str">
        <f t="shared" si="8" ref="AL24:AL53">$AL$23</f>
        <v>N/A</v>
      </c>
    </row>
    <row r="25" ht="19.5" customHeight="1">
      <c r="B25" t="s">
        <v>3623</v>
      </c>
      <c r="E25">
        <f>TotalUnits</f>
        <v>85</v>
      </c>
      <c r="F25">
        <v>1</v>
      </c>
      <c r="I25" t="s">
        <v>3624</v>
      </c>
      <c r="K25" t="e">
        <f>+K23+K24</f>
        <v>#NAME?</v>
      </c>
      <c r="Y25" t="e">
        <f t="shared" si="1"/>
        <v>#NAME?</v>
      </c>
      <c r="Z25" t="e">
        <f t="shared" si="2"/>
        <v>#NAME?</v>
      </c>
      <c r="AA25" t="e">
        <f t="shared" si="3"/>
        <v>#NAME?</v>
      </c>
      <c r="AG25">
        <f t="shared" si="4"/>
        <v>0</v>
      </c>
      <c r="AH25">
        <f t="shared" si="4"/>
        <v>-25814283.15</v>
      </c>
      <c r="AI25" t="e">
        <f t="shared" si="5"/>
        <v>#NAME?</v>
      </c>
      <c r="AJ25" t="e">
        <f t="shared" si="7"/>
        <v>#NAME?</v>
      </c>
      <c r="AK25" t="str">
        <f t="shared" si="6"/>
        <v>N/A</v>
      </c>
      <c r="AL25" t="str">
        <f t="shared" si="8"/>
        <v>N/A</v>
      </c>
    </row>
    <row r="26" ht="19.5" customHeight="1">
      <c r="B26" t="s">
        <v>2955</v>
      </c>
      <c r="E26" cm="1">
        <f t="array" ref="E26">_xlfn.LET(_xlpm.is_near_stabilized_property,B174="Yes",_xlpm.rent_roll_physical_occupancy,'Rent Roll'!D137,IF(_xlpm.is_near_stabilized_property,1-Sops_UW_PhyVac_Perc,_xlpm.rent_roll_physical_occupancy))</f>
        <v>0.9504950495049505</v>
      </c>
      <c r="I26" t="s">
        <v>3625</v>
      </c>
      <c r="K26">
        <f>SOps_UnderwrittenNCF</f>
        <v>-1720952.21</v>
      </c>
      <c r="Y26" t="e">
        <f t="shared" si="1"/>
        <v>#NAME?</v>
      </c>
      <c r="Z26" t="e">
        <f t="shared" si="2"/>
        <v>#NAME?</v>
      </c>
      <c r="AA26" t="e">
        <f t="shared" si="3"/>
        <v>#NAME?</v>
      </c>
      <c r="AG26">
        <f t="shared" si="4"/>
        <v>0</v>
      </c>
      <c r="AH26">
        <f t="shared" si="4"/>
        <v>-25814283.15</v>
      </c>
      <c r="AI26" t="e">
        <f t="shared" si="5"/>
        <v>#NAME?</v>
      </c>
      <c r="AJ26" t="e">
        <f t="shared" si="7"/>
        <v>#NAME?</v>
      </c>
      <c r="AK26" t="str">
        <f t="shared" si="6"/>
        <v>N/A</v>
      </c>
      <c r="AL26" t="str">
        <f t="shared" si="8"/>
        <v>N/A</v>
      </c>
    </row>
    <row r="27" ht="19.5" customHeight="1">
      <c r="B27" t="s">
        <v>3626</v>
      </c>
      <c r="E27" t="str">
        <f>YearBuilt_DataPageTab</f>
        <v>XXXX</v>
      </c>
      <c r="F27" t="s">
        <v>188</v>
      </c>
      <c r="I27" t="s">
        <v>3627</v>
      </c>
      <c r="K27" cm="1" t="e">
        <f t="array" ref="K27">IF(Is_Fixed,Tier_Min_Actual_UW_DSCR,Variable_Min_Pay_UW_DSCR)</f>
        <v>#NAME?</v>
      </c>
      <c r="Y27" t="e">
        <f t="shared" si="1"/>
        <v>#NAME?</v>
      </c>
      <c r="Z27" t="e">
        <f t="shared" si="2"/>
        <v>#NAME?</v>
      </c>
      <c r="AA27" t="e">
        <f t="shared" si="3"/>
        <v>#NAME?</v>
      </c>
      <c r="AG27">
        <f t="shared" si="4"/>
        <v>0</v>
      </c>
      <c r="AH27">
        <f t="shared" si="4"/>
        <v>-25814283.15</v>
      </c>
      <c r="AI27" t="e">
        <f t="shared" si="5"/>
        <v>#NAME?</v>
      </c>
      <c r="AJ27" t="e">
        <f t="shared" si="7"/>
        <v>#NAME?</v>
      </c>
      <c r="AK27" t="str">
        <f t="shared" si="6"/>
        <v>N/A</v>
      </c>
      <c r="AL27" t="str">
        <f t="shared" si="8"/>
        <v>N/A</v>
      </c>
    </row>
    <row r="28" ht="19.5" customHeight="1">
      <c r="B28" t="s">
        <v>3628</v>
      </c>
      <c r="E28" t="s">
        <v>864</v>
      </c>
      <c r="I28" t="s">
        <v>3629</v>
      </c>
      <c r="K28">
        <f>IF(Interest_Rate_Type="Fixed",Actual_UW_DSCR,"Manual Entry")</f>
        <v>0</v>
      </c>
      <c r="L28" t="e">
        <f>IF(InterestOnly&gt;0,IF(Interest_Rate_Type="Fixed",IO_UW_DSCR,"Manual Entry"),"N/A")</f>
        <v>#NAME?</v>
      </c>
      <c r="Y28" t="e">
        <f t="shared" si="1"/>
        <v>#NAME?</v>
      </c>
      <c r="Z28" t="e">
        <f t="shared" si="2"/>
        <v>#NAME?</v>
      </c>
      <c r="AA28" t="e">
        <f t="shared" si="3"/>
        <v>#NAME?</v>
      </c>
      <c r="AG28">
        <f t="shared" si="4"/>
        <v>0</v>
      </c>
      <c r="AH28">
        <f t="shared" si="4"/>
        <v>-25814283.15</v>
      </c>
      <c r="AI28" t="e">
        <f t="shared" si="5"/>
        <v>#NAME?</v>
      </c>
      <c r="AJ28" t="e">
        <f t="shared" si="7"/>
        <v>#NAME?</v>
      </c>
      <c r="AK28" t="str">
        <f t="shared" si="6"/>
        <v>N/A</v>
      </c>
      <c r="AL28" t="str">
        <f t="shared" si="8"/>
        <v>N/A</v>
      </c>
    </row>
    <row r="29" ht="19.5" customHeight="1">
      <c r="B29" t="s">
        <v>3630</v>
      </c>
      <c r="E29" t="s">
        <v>174</v>
      </c>
      <c r="I29" t="s">
        <v>3631</v>
      </c>
      <c r="K29">
        <f>UW_Value</f>
        <v>-34419044.199999996</v>
      </c>
      <c r="Y29" t="e">
        <f t="shared" si="1"/>
        <v>#NAME?</v>
      </c>
      <c r="Z29" t="e">
        <f t="shared" si="2"/>
        <v>#NAME?</v>
      </c>
      <c r="AA29" t="e">
        <f t="shared" si="3"/>
        <v>#NAME?</v>
      </c>
      <c r="AG29">
        <f t="shared" si="4"/>
        <v>0</v>
      </c>
      <c r="AH29">
        <f t="shared" si="4"/>
        <v>-25814283.15</v>
      </c>
      <c r="AI29" t="e">
        <f t="shared" si="5"/>
        <v>#NAME?</v>
      </c>
      <c r="AJ29" t="e">
        <f t="shared" si="7"/>
        <v>#NAME?</v>
      </c>
      <c r="AK29" t="str">
        <f t="shared" si="6"/>
        <v>N/A</v>
      </c>
      <c r="AL29" t="str">
        <f t="shared" si="8"/>
        <v>N/A</v>
      </c>
    </row>
    <row r="30" ht="19.5" customHeight="1">
      <c r="B30" t="s">
        <v>3632</v>
      </c>
      <c r="E30" t="s">
        <v>2186</v>
      </c>
      <c r="I30" t="s">
        <v>3633</v>
      </c>
      <c r="K30" t="s">
        <v>3634</v>
      </c>
      <c r="Y30" t="e">
        <f t="shared" si="1"/>
        <v>#NAME?</v>
      </c>
      <c r="Z30" t="e">
        <f t="shared" si="2"/>
        <v>#NAME?</v>
      </c>
      <c r="AA30" t="e">
        <f t="shared" si="3"/>
        <v>#NAME?</v>
      </c>
      <c r="AG30">
        <f t="shared" si="4"/>
        <v>0</v>
      </c>
      <c r="AH30">
        <f t="shared" si="4"/>
        <v>-25814283.15</v>
      </c>
      <c r="AI30" t="e">
        <f t="shared" si="5"/>
        <v>#NAME?</v>
      </c>
      <c r="AJ30" t="e">
        <f t="shared" si="7"/>
        <v>#NAME?</v>
      </c>
      <c r="AK30" t="str">
        <f t="shared" si="6"/>
        <v>N/A</v>
      </c>
      <c r="AL30" t="str">
        <f t="shared" si="8"/>
        <v>N/A</v>
      </c>
    </row>
    <row r="31" ht="19.5" customHeight="1">
      <c r="B31" t="s">
        <v>3512</v>
      </c>
      <c r="E31" t="s">
        <v>451</v>
      </c>
      <c r="I31" t="s">
        <v>2141</v>
      </c>
      <c r="K31">
        <f>Requested_LTV</f>
        <v>0.75</v>
      </c>
      <c r="Y31" t="e">
        <f t="shared" si="1"/>
        <v>#NAME?</v>
      </c>
      <c r="Z31" t="e">
        <f t="shared" si="2"/>
        <v>#NAME?</v>
      </c>
      <c r="AA31" t="e">
        <f t="shared" si="3"/>
        <v>#NAME?</v>
      </c>
      <c r="AG31">
        <f t="shared" si="4"/>
        <v>0</v>
      </c>
      <c r="AH31">
        <f t="shared" si="4"/>
        <v>-25814283.15</v>
      </c>
      <c r="AI31" t="e">
        <f t="shared" si="5"/>
        <v>#NAME?</v>
      </c>
      <c r="AJ31" t="e">
        <f t="shared" si="7"/>
        <v>#NAME?</v>
      </c>
      <c r="AK31" t="str">
        <f t="shared" si="6"/>
        <v>N/A</v>
      </c>
      <c r="AL31" t="str">
        <f t="shared" si="8"/>
        <v>N/A</v>
      </c>
    </row>
    <row r="32" ht="19.5" customHeight="1">
      <c r="B32" t="s">
        <v>3525</v>
      </c>
      <c r="E32" t="s">
        <v>174</v>
      </c>
      <c r="I32" t="s">
        <v>3635</v>
      </c>
      <c r="K32">
        <f>LTV</f>
        <v>0</v>
      </c>
      <c r="Y32" t="e">
        <f t="shared" si="1"/>
        <v>#NAME?</v>
      </c>
      <c r="Z32" t="e">
        <f t="shared" si="2"/>
        <v>#NAME?</v>
      </c>
      <c r="AA32" t="e">
        <f t="shared" si="3"/>
        <v>#NAME?</v>
      </c>
      <c r="AG32">
        <f t="shared" si="4"/>
        <v>0</v>
      </c>
      <c r="AH32">
        <f t="shared" si="4"/>
        <v>-25814283.15</v>
      </c>
      <c r="AI32" t="e">
        <f t="shared" si="5"/>
        <v>#NAME?</v>
      </c>
      <c r="AJ32" t="e">
        <f t="shared" si="7"/>
        <v>#NAME?</v>
      </c>
      <c r="AK32" t="str">
        <f t="shared" si="6"/>
        <v>N/A</v>
      </c>
      <c r="AL32" t="str">
        <f t="shared" si="8"/>
        <v>N/A</v>
      </c>
    </row>
    <row r="33" ht="19.5" customHeight="1">
      <c r="I33" t="s">
        <v>3636</v>
      </c>
      <c r="K33">
        <v>0</v>
      </c>
      <c r="Y33" t="e">
        <f t="shared" si="1"/>
        <v>#NAME?</v>
      </c>
      <c r="Z33" t="e">
        <f t="shared" si="2"/>
        <v>#NAME?</v>
      </c>
      <c r="AA33" t="e">
        <f t="shared" si="3"/>
        <v>#NAME?</v>
      </c>
      <c r="AG33">
        <f t="shared" si="4"/>
        <v>0</v>
      </c>
      <c r="AH33">
        <f t="shared" si="4"/>
        <v>-25814283.15</v>
      </c>
      <c r="AI33" t="e">
        <f t="shared" si="5"/>
        <v>#NAME?</v>
      </c>
      <c r="AJ33" t="e">
        <f t="shared" si="7"/>
        <v>#NAME?</v>
      </c>
      <c r="AK33" t="str">
        <f t="shared" si="6"/>
        <v>N/A</v>
      </c>
      <c r="AL33" t="str">
        <f t="shared" si="8"/>
        <v>N/A</v>
      </c>
    </row>
    <row r="34" ht="19.5" customHeight="1">
      <c r="B34" t="s">
        <v>3637</v>
      </c>
      <c r="E34" t="s">
        <v>3638</v>
      </c>
      <c r="G34" t="s">
        <v>3639</v>
      </c>
      <c r="I34" t="s">
        <v>3640</v>
      </c>
      <c r="K34">
        <v>0</v>
      </c>
      <c r="L34" t="s">
        <v>188</v>
      </c>
      <c r="Y34" t="e">
        <f t="shared" si="1"/>
        <v>#NAME?</v>
      </c>
      <c r="Z34" t="e">
        <f t="shared" si="2"/>
        <v>#NAME?</v>
      </c>
      <c r="AA34" t="e">
        <f t="shared" si="3"/>
        <v>#NAME?</v>
      </c>
      <c r="AG34">
        <f t="shared" si="4"/>
        <v>0</v>
      </c>
      <c r="AH34">
        <f t="shared" si="4"/>
        <v>-25814283.15</v>
      </c>
      <c r="AI34" t="e">
        <f t="shared" si="5"/>
        <v>#NAME?</v>
      </c>
      <c r="AJ34" t="e">
        <f t="shared" si="7"/>
        <v>#NAME?</v>
      </c>
      <c r="AK34" t="str">
        <f t="shared" si="6"/>
        <v>N/A</v>
      </c>
      <c r="AL34" t="str">
        <f t="shared" si="8"/>
        <v>N/A</v>
      </c>
    </row>
    <row r="35" ht="19.5" customHeight="1">
      <c r="B35" t="s">
        <v>3641</v>
      </c>
      <c r="E35">
        <v>0</v>
      </c>
      <c r="G35">
        <f>DataPage_PcntOfUnits_LTE_50PcntOfAMI</f>
        <v>0</v>
      </c>
      <c r="I35" t="s">
        <v>3642</v>
      </c>
      <c r="K35">
        <v>0</v>
      </c>
      <c r="L35">
        <v>0</v>
      </c>
      <c r="Y35" t="e">
        <f t="shared" si="1"/>
        <v>#NAME?</v>
      </c>
      <c r="Z35" t="e">
        <f t="shared" si="2"/>
        <v>#NAME?</v>
      </c>
      <c r="AA35" t="e">
        <f t="shared" si="3"/>
        <v>#NAME?</v>
      </c>
      <c r="AG35">
        <f t="shared" si="4"/>
        <v>0</v>
      </c>
      <c r="AH35">
        <f t="shared" si="4"/>
        <v>-25814283.15</v>
      </c>
      <c r="AI35" t="e">
        <f t="shared" si="5"/>
        <v>#NAME?</v>
      </c>
      <c r="AJ35" t="e">
        <f t="shared" si="7"/>
        <v>#NAME?</v>
      </c>
      <c r="AK35" t="str">
        <f t="shared" si="6"/>
        <v>N/A</v>
      </c>
      <c r="AL35" t="str">
        <f t="shared" si="8"/>
        <v>N/A</v>
      </c>
    </row>
    <row r="36" ht="19.5" customHeight="1">
      <c r="B36" t="s">
        <v>3643</v>
      </c>
      <c r="E36">
        <v>0</v>
      </c>
      <c r="G36">
        <f>DataPage_PcntOfUnits_LTE_60PcntOfAMI-DataPage_PcntOfUnits_LTE_50PcntOfAMI</f>
        <v>0</v>
      </c>
      <c r="Y36" t="e">
        <f t="shared" si="1"/>
        <v>#NAME?</v>
      </c>
      <c r="Z36" t="e">
        <f t="shared" si="2"/>
        <v>#NAME?</v>
      </c>
      <c r="AA36" t="e">
        <f t="shared" si="3"/>
        <v>#NAME?</v>
      </c>
      <c r="AG36">
        <f t="shared" si="4"/>
        <v>0</v>
      </c>
      <c r="AH36">
        <f t="shared" si="4"/>
        <v>-25814283.15</v>
      </c>
      <c r="AI36" t="e">
        <f t="shared" si="5"/>
        <v>#NAME?</v>
      </c>
      <c r="AJ36" t="e">
        <f t="shared" si="7"/>
        <v>#NAME?</v>
      </c>
      <c r="AK36" t="str">
        <f t="shared" si="6"/>
        <v>N/A</v>
      </c>
      <c r="AL36" t="str">
        <f t="shared" si="8"/>
        <v>N/A</v>
      </c>
    </row>
    <row r="37" ht="19.5" customHeight="1">
      <c r="B37" t="s">
        <v>3644</v>
      </c>
      <c r="E37">
        <v>0</v>
      </c>
      <c r="G37">
        <f>DataPage_PcntOfUnits_LTE_80PcntOfAMI-DataPage_PcntOfUnits_LTE_60PcntOfAMI</f>
        <v>0</v>
      </c>
      <c r="Y37" t="e">
        <f t="shared" si="1"/>
        <v>#NAME?</v>
      </c>
      <c r="Z37" t="e">
        <f t="shared" si="2"/>
        <v>#NAME?</v>
      </c>
      <c r="AA37" t="e">
        <f t="shared" si="3"/>
        <v>#NAME?</v>
      </c>
      <c r="AG37">
        <f t="shared" si="4"/>
        <v>0</v>
      </c>
      <c r="AH37">
        <f t="shared" si="4"/>
        <v>-25814283.15</v>
      </c>
      <c r="AI37" t="e">
        <f t="shared" si="5"/>
        <v>#NAME?</v>
      </c>
      <c r="AJ37" t="e">
        <f t="shared" si="7"/>
        <v>#NAME?</v>
      </c>
      <c r="AK37" t="str">
        <f t="shared" si="6"/>
        <v>N/A</v>
      </c>
      <c r="AL37" t="str">
        <f t="shared" si="8"/>
        <v>N/A</v>
      </c>
    </row>
    <row r="38" ht="19.5" customHeight="1">
      <c r="B38" t="s">
        <v>3645</v>
      </c>
      <c r="E38">
        <v>0</v>
      </c>
      <c r="G38">
        <f>DataPage_PcntOfUnits_LTE_100PcntOfAMI-DataPage_PcntOfUnits_LTE_80PcntOfAMI</f>
        <v>0</v>
      </c>
      <c r="Y38" t="e">
        <f>AA5</f>
        <v>#NAME?</v>
      </c>
      <c r="Z38" t="e">
        <f t="shared" si="2"/>
        <v>#NAME?</v>
      </c>
      <c r="AA38" t="e">
        <f t="shared" si="3"/>
        <v>#NAME?</v>
      </c>
      <c r="AG38">
        <f t="shared" si="4"/>
        <v>0</v>
      </c>
      <c r="AH38">
        <f t="shared" si="4"/>
        <v>-25814283.15</v>
      </c>
      <c r="AI38" t="e">
        <f t="shared" si="5"/>
        <v>#NAME?</v>
      </c>
      <c r="AJ38" t="e">
        <f t="shared" si="7"/>
        <v>#NAME?</v>
      </c>
      <c r="AK38" t="str">
        <f t="shared" si="6"/>
        <v>N/A</v>
      </c>
      <c r="AL38" t="str">
        <f t="shared" si="8"/>
        <v>N/A</v>
      </c>
    </row>
    <row r="39" ht="19.5" customHeight="1">
      <c r="B39" t="s">
        <v>3646</v>
      </c>
      <c r="E39">
        <v>0</v>
      </c>
      <c r="G39">
        <f>DataPage_PcntOfUnits_LTE_120PcntOfAMI-DataPage_PcntOfUnits_LTE_100PcntOfAMI</f>
        <v>0</v>
      </c>
      <c r="Y39" t="e">
        <f t="shared" si="9" ref="Y39:Y53">Y38-0.0001</f>
        <v>#NAME?</v>
      </c>
      <c r="Z39" t="e">
        <f t="shared" si="2"/>
        <v>#NAME?</v>
      </c>
      <c r="AA39" t="e">
        <f t="shared" si="3"/>
        <v>#NAME?</v>
      </c>
      <c r="AG39">
        <f t="shared" si="4"/>
        <v>0</v>
      </c>
      <c r="AH39">
        <f t="shared" si="4"/>
        <v>-25814283.15</v>
      </c>
      <c r="AI39" t="e">
        <f t="shared" si="5"/>
        <v>#NAME?</v>
      </c>
      <c r="AJ39" t="e">
        <f t="shared" si="7"/>
        <v>#NAME?</v>
      </c>
      <c r="AK39" t="str">
        <f t="shared" si="6"/>
        <v>N/A</v>
      </c>
      <c r="AL39" t="str">
        <f t="shared" si="8"/>
        <v>N/A</v>
      </c>
    </row>
    <row r="40" ht="19.5" customHeight="1">
      <c r="B40" t="s">
        <v>3647</v>
      </c>
      <c r="E40">
        <v>0</v>
      </c>
      <c r="G40">
        <f>100%-DataPage_PcntOfUnits_LTE_120PcntOfAMI</f>
        <v>1</v>
      </c>
      <c r="H40" t="s">
        <v>3648</v>
      </c>
      <c r="Y40" t="e">
        <f t="shared" si="9"/>
        <v>#NAME?</v>
      </c>
      <c r="Z40" t="e">
        <f t="shared" si="2"/>
        <v>#NAME?</v>
      </c>
      <c r="AA40" t="e">
        <f t="shared" si="3"/>
        <v>#NAME?</v>
      </c>
      <c r="AG40">
        <f t="shared" si="4"/>
        <v>0</v>
      </c>
      <c r="AH40">
        <f t="shared" si="4"/>
        <v>-25814283.15</v>
      </c>
      <c r="AI40" t="e">
        <f t="shared" si="5"/>
        <v>#NAME?</v>
      </c>
      <c r="AJ40" t="e">
        <f t="shared" si="7"/>
        <v>#NAME?</v>
      </c>
      <c r="AK40" t="str">
        <f t="shared" si="6"/>
        <v>N/A</v>
      </c>
      <c r="AL40" t="str">
        <f t="shared" si="8"/>
        <v>N/A</v>
      </c>
    </row>
    <row r="41" ht="19.5" customHeight="1">
      <c r="Y41" t="e">
        <f t="shared" si="9"/>
        <v>#NAME?</v>
      </c>
      <c r="Z41" t="e">
        <f t="shared" si="2"/>
        <v>#NAME?</v>
      </c>
      <c r="AA41" t="e">
        <f t="shared" si="3"/>
        <v>#NAME?</v>
      </c>
      <c r="AG41">
        <f t="shared" si="4"/>
        <v>0</v>
      </c>
      <c r="AH41">
        <f t="shared" si="4"/>
        <v>-25814283.15</v>
      </c>
      <c r="AI41" t="e">
        <f t="shared" si="5"/>
        <v>#NAME?</v>
      </c>
      <c r="AJ41" t="e">
        <f t="shared" si="7"/>
        <v>#NAME?</v>
      </c>
      <c r="AK41" t="str">
        <f t="shared" si="6"/>
        <v>N/A</v>
      </c>
      <c r="AL41" t="str">
        <f t="shared" si="8"/>
        <v>N/A</v>
      </c>
    </row>
    <row r="42" ht="19.5" customHeight="1">
      <c r="B42" t="s">
        <v>3649</v>
      </c>
      <c r="Y42" t="e">
        <f t="shared" si="9"/>
        <v>#NAME?</v>
      </c>
      <c r="Z42" t="e">
        <f t="shared" si="2"/>
        <v>#NAME?</v>
      </c>
      <c r="AA42" t="e">
        <f t="shared" si="3"/>
        <v>#NAME?</v>
      </c>
      <c r="AG42">
        <f t="shared" si="4"/>
        <v>0</v>
      </c>
      <c r="AH42">
        <f t="shared" si="4"/>
        <v>-25814283.15</v>
      </c>
      <c r="AI42" t="e">
        <f t="shared" si="5"/>
        <v>#NAME?</v>
      </c>
      <c r="AJ42" t="e">
        <f t="shared" si="7"/>
        <v>#NAME?</v>
      </c>
      <c r="AK42" t="str">
        <f t="shared" si="6"/>
        <v>N/A</v>
      </c>
      <c r="AL42" t="str">
        <f t="shared" si="8"/>
        <v>N/A</v>
      </c>
    </row>
    <row r="43" ht="19.5" customHeight="1">
      <c r="B43" t="s">
        <v>3650</v>
      </c>
      <c r="E43" t="str">
        <f>IF(Is_Fixed,"N/A",E12)</f>
        <v>N/A</v>
      </c>
      <c r="I43" t="s">
        <v>3651</v>
      </c>
      <c r="K43" t="str">
        <f>IF(Is_ARM,6%,"N/A")</f>
        <v>N/A</v>
      </c>
      <c r="Y43" t="e">
        <f t="shared" si="9"/>
        <v>#NAME?</v>
      </c>
      <c r="Z43" t="e">
        <f t="shared" si="2"/>
        <v>#NAME?</v>
      </c>
      <c r="AA43" t="e">
        <f t="shared" si="3"/>
        <v>#NAME?</v>
      </c>
      <c r="AG43">
        <f t="shared" si="4"/>
        <v>0</v>
      </c>
      <c r="AH43">
        <f t="shared" si="4"/>
        <v>-25814283.15</v>
      </c>
      <c r="AI43" t="e">
        <f t="shared" si="5"/>
        <v>#NAME?</v>
      </c>
      <c r="AJ43" t="e">
        <f t="shared" si="7"/>
        <v>#NAME?</v>
      </c>
      <c r="AK43" t="str">
        <f t="shared" si="6"/>
        <v>N/A</v>
      </c>
      <c r="AL43" t="str">
        <f t="shared" si="8"/>
        <v>N/A</v>
      </c>
    </row>
    <row r="44" ht="19.5" customHeight="1">
      <c r="B44" t="s">
        <v>3652</v>
      </c>
      <c r="E44" t="str">
        <f>IF(Is_ARM,"Yes","No")</f>
        <v>No</v>
      </c>
      <c r="I44" t="s">
        <v>3653</v>
      </c>
      <c r="K44">
        <v>0</v>
      </c>
      <c r="Y44" t="e">
        <f t="shared" si="9"/>
        <v>#NAME?</v>
      </c>
      <c r="Z44" t="e">
        <f t="shared" si="2"/>
        <v>#NAME?</v>
      </c>
      <c r="AA44" t="e">
        <f t="shared" si="3"/>
        <v>#NAME?</v>
      </c>
      <c r="AG44">
        <f t="shared" si="4"/>
        <v>0</v>
      </c>
      <c r="AH44">
        <f t="shared" si="4"/>
        <v>-25814283.15</v>
      </c>
      <c r="AI44" t="e">
        <f t="shared" si="5"/>
        <v>#NAME?</v>
      </c>
      <c r="AJ44" t="e">
        <f t="shared" si="7"/>
        <v>#NAME?</v>
      </c>
      <c r="AK44" t="str">
        <f t="shared" si="6"/>
        <v>N/A</v>
      </c>
      <c r="AL44" t="str">
        <f t="shared" si="8"/>
        <v>N/A</v>
      </c>
    </row>
    <row r="45" ht="19.5" customHeight="1">
      <c r="B45" t="s">
        <v>3654</v>
      </c>
      <c r="E45" t="str">
        <f>IF(Is_Fixed,"N/A",12)</f>
        <v>N/A</v>
      </c>
      <c r="I45" t="s">
        <v>3655</v>
      </c>
      <c r="K45" t="str">
        <f>IF(Is_ARM,1%,"N/A")</f>
        <v>N/A</v>
      </c>
      <c r="Y45" t="e">
        <f t="shared" si="9"/>
        <v>#NAME?</v>
      </c>
      <c r="Z45" t="e">
        <f t="shared" si="2"/>
        <v>#NAME?</v>
      </c>
      <c r="AA45" t="e">
        <f t="shared" si="3"/>
        <v>#NAME?</v>
      </c>
      <c r="AG45">
        <f t="shared" si="4"/>
        <v>0</v>
      </c>
      <c r="AH45">
        <f t="shared" si="4"/>
        <v>-25814283.15</v>
      </c>
      <c r="AI45" t="e">
        <f t="shared" si="5"/>
        <v>#NAME?</v>
      </c>
      <c r="AJ45" t="e">
        <f t="shared" si="7"/>
        <v>#NAME?</v>
      </c>
      <c r="AK45" t="str">
        <f t="shared" si="6"/>
        <v>N/A</v>
      </c>
      <c r="AL45" t="str">
        <f t="shared" si="8"/>
        <v>N/A</v>
      </c>
    </row>
    <row r="46" ht="19.5" customHeight="1">
      <c r="B46" t="s">
        <v>3656</v>
      </c>
      <c r="E46" cm="1" t="str">
        <f t="array" ref="E46">_xlfn.IFS(Is_Fixed,"N/A",Is_SARM,1,TRUE,15)</f>
        <v>N/A</v>
      </c>
      <c r="I46" t="s">
        <v>3657</v>
      </c>
      <c r="K46" t="str">
        <f>IF(Is_Fixed,"N/A",FixedPrinPayment)</f>
        <v>N/A</v>
      </c>
      <c r="Y46" t="e">
        <f t="shared" si="9"/>
        <v>#NAME?</v>
      </c>
      <c r="Z46" t="e">
        <f t="shared" si="2"/>
        <v>#NAME?</v>
      </c>
      <c r="AA46" t="e">
        <f t="shared" si="3"/>
        <v>#NAME?</v>
      </c>
      <c r="AG46">
        <f t="shared" si="4"/>
        <v>0</v>
      </c>
      <c r="AH46">
        <f t="shared" si="4"/>
        <v>-25814283.15</v>
      </c>
      <c r="AI46" t="e">
        <f t="shared" si="5"/>
        <v>#NAME?</v>
      </c>
      <c r="AJ46" t="e">
        <f t="shared" si="7"/>
        <v>#NAME?</v>
      </c>
      <c r="AK46" t="str">
        <f t="shared" si="6"/>
        <v>N/A</v>
      </c>
      <c r="AL46" t="str">
        <f t="shared" si="8"/>
        <v>N/A</v>
      </c>
    </row>
    <row r="47" ht="19.5" customHeight="1">
      <c r="B47" t="s">
        <v>3658</v>
      </c>
      <c r="E47" t="str">
        <f>IF(Is_Fixed,"N/A",1)</f>
        <v>N/A</v>
      </c>
      <c r="I47" t="s">
        <v>3659</v>
      </c>
      <c r="K47" t="str">
        <f>IF(Is_Fixed,"N/A",0.41%)</f>
        <v>N/A</v>
      </c>
      <c r="Y47" t="e">
        <f t="shared" si="9"/>
        <v>#NAME?</v>
      </c>
      <c r="Z47" t="e">
        <f t="shared" si="2"/>
        <v>#NAME?</v>
      </c>
      <c r="AA47" t="e">
        <f t="shared" si="3"/>
        <v>#NAME?</v>
      </c>
      <c r="AG47">
        <f t="shared" si="4"/>
        <v>0</v>
      </c>
      <c r="AH47">
        <f t="shared" si="4"/>
        <v>-25814283.15</v>
      </c>
      <c r="AI47" t="e">
        <f t="shared" si="5"/>
        <v>#NAME?</v>
      </c>
      <c r="AJ47" t="e">
        <f t="shared" si="7"/>
        <v>#NAME?</v>
      </c>
      <c r="AK47" t="str">
        <f t="shared" si="6"/>
        <v>N/A</v>
      </c>
      <c r="AL47" t="str">
        <f t="shared" si="8"/>
        <v>N/A</v>
      </c>
    </row>
    <row r="48" ht="19.5" customHeight="1">
      <c r="Y48" t="e">
        <f t="shared" si="9"/>
        <v>#NAME?</v>
      </c>
      <c r="Z48" t="e">
        <f t="shared" si="2"/>
        <v>#NAME?</v>
      </c>
      <c r="AA48" t="e">
        <f t="shared" si="3"/>
        <v>#NAME?</v>
      </c>
      <c r="AG48">
        <f t="shared" si="4"/>
        <v>0</v>
      </c>
      <c r="AH48">
        <f t="shared" si="4"/>
        <v>-25814283.15</v>
      </c>
      <c r="AI48" t="e">
        <f t="shared" si="5"/>
        <v>#NAME?</v>
      </c>
      <c r="AJ48" t="e">
        <f t="shared" si="7"/>
        <v>#NAME?</v>
      </c>
      <c r="AK48" t="str">
        <f t="shared" si="6"/>
        <v>N/A</v>
      </c>
      <c r="AL48" t="str">
        <f t="shared" si="8"/>
        <v>N/A</v>
      </c>
    </row>
    <row r="49" ht="19.5" customHeight="1">
      <c r="B49" t="s">
        <v>3660</v>
      </c>
      <c r="E49" t="s">
        <v>864</v>
      </c>
      <c r="Y49" t="e">
        <f t="shared" si="9"/>
        <v>#NAME?</v>
      </c>
      <c r="Z49" t="e">
        <f t="shared" si="2"/>
        <v>#NAME?</v>
      </c>
      <c r="AA49" t="e">
        <f t="shared" si="3"/>
        <v>#NAME?</v>
      </c>
      <c r="AG49">
        <f t="shared" si="4"/>
        <v>0</v>
      </c>
      <c r="AH49">
        <f t="shared" si="4"/>
        <v>-25814283.15</v>
      </c>
      <c r="AI49" t="e">
        <f t="shared" si="5"/>
        <v>#NAME?</v>
      </c>
      <c r="AJ49" t="e">
        <f t="shared" si="7"/>
        <v>#NAME?</v>
      </c>
      <c r="AK49" t="str">
        <f t="shared" si="6"/>
        <v>N/A</v>
      </c>
      <c r="AL49" t="str">
        <f t="shared" si="8"/>
        <v>N/A</v>
      </c>
    </row>
    <row r="50" ht="19.5" customHeight="1">
      <c r="B50" t="str">
        <f>IF(Q99&gt;0,"Please list Security Disclosures"," ")</f>
        <v> </v>
      </c>
      <c r="Y50" t="e">
        <f t="shared" si="9"/>
        <v>#NAME?</v>
      </c>
      <c r="Z50" t="e">
        <f t="shared" si="2"/>
        <v>#NAME?</v>
      </c>
      <c r="AA50" t="e">
        <f t="shared" si="3"/>
        <v>#NAME?</v>
      </c>
      <c r="AG50">
        <f t="shared" si="4"/>
        <v>0</v>
      </c>
      <c r="AH50">
        <f t="shared" si="4"/>
        <v>-25814283.15</v>
      </c>
      <c r="AI50" t="e">
        <f t="shared" si="5"/>
        <v>#NAME?</v>
      </c>
      <c r="AJ50" t="e">
        <f t="shared" si="7"/>
        <v>#NAME?</v>
      </c>
      <c r="AK50" t="str">
        <f t="shared" si="6"/>
        <v>N/A</v>
      </c>
      <c r="AL50" t="str">
        <f t="shared" si="8"/>
        <v>N/A</v>
      </c>
    </row>
    <row r="51" ht="19.5" customHeight="1">
      <c r="Y51" t="e">
        <f t="shared" si="9"/>
        <v>#NAME?</v>
      </c>
      <c r="Z51" t="e">
        <f t="shared" si="2"/>
        <v>#NAME?</v>
      </c>
      <c r="AA51" t="e">
        <f t="shared" si="3"/>
        <v>#NAME?</v>
      </c>
      <c r="AG51">
        <f t="shared" si="4"/>
        <v>0</v>
      </c>
      <c r="AH51">
        <f t="shared" si="4"/>
        <v>-25814283.15</v>
      </c>
      <c r="AI51" t="e">
        <f t="shared" si="5"/>
        <v>#NAME?</v>
      </c>
      <c r="AJ51" t="e">
        <f t="shared" si="7"/>
        <v>#NAME?</v>
      </c>
      <c r="AK51" t="str">
        <f t="shared" si="6"/>
        <v>N/A</v>
      </c>
      <c r="AL51" t="str">
        <f t="shared" si="8"/>
        <v>N/A</v>
      </c>
    </row>
    <row r="52" ht="19.5" customHeight="1">
      <c r="Y52" t="e">
        <f t="shared" si="9"/>
        <v>#NAME?</v>
      </c>
      <c r="Z52" t="e">
        <f t="shared" si="2"/>
        <v>#NAME?</v>
      </c>
      <c r="AA52" t="e">
        <f t="shared" si="3"/>
        <v>#NAME?</v>
      </c>
      <c r="AG52">
        <f t="shared" si="4"/>
        <v>0</v>
      </c>
      <c r="AH52">
        <f t="shared" si="4"/>
        <v>-25814283.15</v>
      </c>
      <c r="AI52" t="e">
        <f t="shared" si="5"/>
        <v>#NAME?</v>
      </c>
      <c r="AJ52" t="e">
        <f t="shared" si="7"/>
        <v>#NAME?</v>
      </c>
      <c r="AK52" t="str">
        <f t="shared" si="6"/>
        <v>N/A</v>
      </c>
      <c r="AL52" t="str">
        <f t="shared" si="8"/>
        <v>N/A</v>
      </c>
    </row>
    <row r="53" ht="19.5" customHeight="1">
      <c r="Y53" t="e">
        <f t="shared" si="9"/>
        <v>#NAME?</v>
      </c>
      <c r="Z53" t="e">
        <f t="shared" si="2"/>
        <v>#NAME?</v>
      </c>
      <c r="AA53" t="e">
        <f t="shared" si="3"/>
        <v>#NAME?</v>
      </c>
      <c r="AG53">
        <f t="shared" si="4"/>
        <v>0</v>
      </c>
      <c r="AH53">
        <f t="shared" si="4"/>
        <v>-25814283.15</v>
      </c>
      <c r="AI53" t="e">
        <f t="shared" si="5"/>
        <v>#NAME?</v>
      </c>
      <c r="AJ53" t="e">
        <f t="shared" si="7"/>
        <v>#NAME?</v>
      </c>
      <c r="AK53" t="str">
        <f t="shared" si="6"/>
        <v>N/A</v>
      </c>
      <c r="AL53" t="str">
        <f t="shared" si="8"/>
        <v>N/A</v>
      </c>
    </row>
    <row r="54" ht="19.5" customHeight="1"/>
    <row r="55" ht="19.5" customHeight="1">
      <c r="B55" t="s">
        <v>1873</v>
      </c>
      <c r="E55" t="s">
        <v>864</v>
      </c>
    </row>
    <row r="56" ht="19.5" customHeight="1">
      <c r="B56" t="str">
        <f>+IF(K15="Yes","Please list Affordable details"," ")</f>
        <v> </v>
      </c>
    </row>
    <row r="57" ht="19.5" customHeight="1">
      <c r="B57" t="str">
        <f>IF(Is_SARM,"Please list SARM details"," ")</f>
        <v> </v>
      </c>
    </row>
    <row r="58" ht="19.5" customHeight="1"/>
    <row r="59" ht="19.5" customHeight="1"/>
    <row r="60" ht="19.5" customHeight="1">
      <c r="B60" t="s">
        <v>3661</v>
      </c>
    </row>
    <row r="61" ht="19.5" customHeight="1">
      <c r="B61" t="s">
        <v>3662</v>
      </c>
      <c r="J61" t="s">
        <v>3663</v>
      </c>
    </row>
    <row r="62" ht="19.5" customHeight="1">
      <c r="B62" t="s">
        <v>3664</v>
      </c>
      <c r="E62" t="s">
        <v>451</v>
      </c>
      <c r="G62" t="s">
        <v>451</v>
      </c>
    </row>
    <row r="63" ht="19.5" customHeight="1"/>
    <row r="64" ht="19.5" customHeight="1">
      <c r="B64" t="s">
        <v>3665</v>
      </c>
      <c r="J64" t="s">
        <v>3666</v>
      </c>
    </row>
    <row r="65" ht="19.5" customHeight="1"/>
    <row r="66" ht="19.5" customHeight="1">
      <c r="B66" t="s">
        <v>3667</v>
      </c>
    </row>
    <row r="67" ht="19.5" customHeight="1">
      <c r="B67" t="s">
        <v>3503</v>
      </c>
      <c r="J67" t="s">
        <v>3668</v>
      </c>
    </row>
    <row r="68" ht="19.5" customHeight="1"/>
    <row r="69" ht="19.5" customHeight="1">
      <c r="B69" t="s">
        <v>3669</v>
      </c>
      <c r="J69" t="s">
        <v>3670</v>
      </c>
    </row>
    <row r="70" ht="19.5" customHeight="1"/>
    <row r="71" ht="19.5" customHeight="1">
      <c r="B71" t="s">
        <v>3671</v>
      </c>
      <c r="J71" t="s">
        <v>3672</v>
      </c>
    </row>
    <row r="72" ht="19.5" customHeight="1"/>
    <row r="73" ht="19.5" customHeight="1">
      <c r="B73" t="s">
        <v>3673</v>
      </c>
      <c r="J73" t="s">
        <v>3674</v>
      </c>
    </row>
    <row r="74" ht="19.5" customHeight="1"/>
    <row r="75" ht="34.5" customHeight="1">
      <c r="B75" t="s">
        <v>3675</v>
      </c>
    </row>
    <row r="76" ht="19.5" customHeight="1">
      <c r="E76" t="s">
        <v>3676</v>
      </c>
      <c r="K76" t="s">
        <v>509</v>
      </c>
      <c r="M76" t="s">
        <v>3677</v>
      </c>
    </row>
    <row r="77" ht="15.75" customHeight="1"/>
    <row r="78" ht="24.75" customHeight="1"/>
    <row r="79" ht="4.5" customHeight="1"/>
    <row r="80" ht="17.25" customHeight="1"/>
    <row r="81" ht="15.75" customHeight="1"/>
    <row r="82" ht="17.25" customHeight="1">
      <c r="B82" t="s">
        <v>3678</v>
      </c>
    </row>
    <row r="83" ht="15.75" customHeight="1">
      <c r="B83" t="s">
        <v>3679</v>
      </c>
      <c r="J83" t="s">
        <v>3680</v>
      </c>
    </row>
    <row r="84" ht="15.75" customHeight="1">
      <c r="B84" t="s">
        <v>3681</v>
      </c>
      <c r="J84" t="s">
        <v>3682</v>
      </c>
    </row>
    <row r="85" ht="15.75" customHeight="1">
      <c r="B85" t="s">
        <v>3683</v>
      </c>
      <c r="J85" t="s">
        <v>3684</v>
      </c>
    </row>
    <row r="86" ht="15.75" customHeight="1">
      <c r="B86" t="s">
        <v>3685</v>
      </c>
      <c r="J86" t="s">
        <v>3686</v>
      </c>
    </row>
    <row r="87" ht="15.75" customHeight="1">
      <c r="B87" t="s">
        <v>3687</v>
      </c>
      <c r="J87" t="s">
        <v>3688</v>
      </c>
    </row>
    <row r="88" ht="15.75" customHeight="1">
      <c r="B88" t="s">
        <v>3689</v>
      </c>
    </row>
    <row r="89" ht="15.75" customHeight="1">
      <c r="B89" t="s">
        <v>3690</v>
      </c>
      <c r="J89" t="s">
        <v>3691</v>
      </c>
    </row>
    <row r="90" ht="15.75" customHeight="1">
      <c r="B90" t="s">
        <v>3692</v>
      </c>
      <c r="J90" t="s">
        <v>3693</v>
      </c>
    </row>
    <row r="91" ht="15" customHeight="1">
      <c r="Q91">
        <f>SUM(Q92:Q192)</f>
        <v>0</v>
      </c>
    </row>
    <row r="92" ht="15" customHeight="1"/>
    <row r="93" ht="21" customHeight="1">
      <c r="B93" t="s">
        <v>3694</v>
      </c>
    </row>
    <row r="94" ht="5.25" customHeight="1"/>
    <row r="95" ht="78.75" customHeight="1">
      <c r="B95" t="s">
        <v>451</v>
      </c>
      <c r="D95" t="s">
        <v>3695</v>
      </c>
      <c r="Q95">
        <f t="shared" si="10" ref="Q95:Q190">+IF(B95="Yes",1,0)</f>
        <v>0</v>
      </c>
    </row>
    <row r="96" ht="5.25" customHeight="1"/>
    <row r="97" ht="110.25" customHeight="1">
      <c r="B97" t="s">
        <v>451</v>
      </c>
      <c r="D97" t="s">
        <v>3696</v>
      </c>
      <c r="Q97">
        <f t="shared" si="10"/>
        <v>0</v>
      </c>
    </row>
    <row r="98" ht="5.25" customHeight="1"/>
    <row r="99" ht="70.5" customHeight="1">
      <c r="B99" t="s">
        <v>451</v>
      </c>
      <c r="D99" t="s">
        <v>3697</v>
      </c>
      <c r="Q99">
        <f t="shared" si="10"/>
        <v>0</v>
      </c>
    </row>
    <row r="100" ht="13.5" customHeight="1">
      <c r="D100" s="2" t="s">
        <v>3698</v>
      </c>
    </row>
    <row r="101" ht="45.75" customHeight="1" hidden="1">
      <c r="Q101">
        <f t="shared" si="10"/>
        <v>0</v>
      </c>
    </row>
    <row r="102" ht="5.25" customHeight="1" hidden="1"/>
    <row r="103" ht="45.75" customHeight="1" hidden="1">
      <c r="Q103">
        <f t="shared" si="10"/>
        <v>0</v>
      </c>
    </row>
    <row r="104" ht="5.25" customHeight="1" hidden="1"/>
    <row r="105" ht="45.75" customHeight="1" hidden="1">
      <c r="Q105">
        <f t="shared" si="10"/>
        <v>0</v>
      </c>
    </row>
    <row r="106" ht="5.25" customHeight="1" hidden="1"/>
    <row r="107" ht="45.75" customHeight="1" hidden="1">
      <c r="Q107">
        <f t="shared" si="10"/>
        <v>0</v>
      </c>
    </row>
    <row r="108" ht="5.25" customHeight="1" hidden="1"/>
    <row r="109" ht="45.75" customHeight="1" hidden="1">
      <c r="Q109">
        <f t="shared" si="10"/>
        <v>0</v>
      </c>
    </row>
    <row r="110" ht="5.25" customHeight="1"/>
    <row r="111" ht="42.75" customHeight="1">
      <c r="B111" t="s">
        <v>451</v>
      </c>
      <c r="D111" t="s">
        <v>3699</v>
      </c>
      <c r="Q111">
        <f t="shared" si="10"/>
        <v>0</v>
      </c>
    </row>
    <row r="112" ht="18.75" customHeight="1" hidden="1"/>
    <row r="113" ht="5.25" customHeight="1"/>
    <row r="114" ht="67.5" customHeight="1">
      <c r="B114" t="s">
        <v>451</v>
      </c>
      <c r="D114" t="s">
        <v>3700</v>
      </c>
      <c r="Q114">
        <f t="shared" si="10"/>
        <v>0</v>
      </c>
    </row>
    <row r="115" ht="5.25" customHeight="1"/>
    <row r="116" ht="114.75" customHeight="1">
      <c r="B116" t="s">
        <v>451</v>
      </c>
      <c r="D116" t="s">
        <v>3701</v>
      </c>
      <c r="Q116">
        <f t="shared" si="10"/>
        <v>0</v>
      </c>
    </row>
    <row r="117" ht="5.25" customHeight="1"/>
    <row r="118" ht="21" customHeight="1">
      <c r="B118" t="s">
        <v>3702</v>
      </c>
    </row>
    <row r="119" ht="5.25" customHeight="1"/>
    <row r="120" ht="45.75" customHeight="1">
      <c r="B120" t="s">
        <v>451</v>
      </c>
      <c r="D120" t="s">
        <v>3703</v>
      </c>
      <c r="Q120">
        <f t="shared" si="10"/>
        <v>0</v>
      </c>
    </row>
    <row r="121" ht="5.25" customHeight="1"/>
    <row r="122" ht="45.75" customHeight="1">
      <c r="B122" t="s">
        <v>451</v>
      </c>
      <c r="D122" t="s">
        <v>3704</v>
      </c>
      <c r="Q122">
        <f t="shared" si="10"/>
        <v>0</v>
      </c>
    </row>
    <row r="123" ht="5.25" customHeight="1"/>
    <row r="124" ht="21" customHeight="1">
      <c r="B124" t="s">
        <v>3705</v>
      </c>
    </row>
    <row r="125" ht="6" customHeight="1"/>
    <row r="126" ht="81" customHeight="1">
      <c r="B126" t="s">
        <v>451</v>
      </c>
      <c r="D126" t="s">
        <v>3706</v>
      </c>
      <c r="Q126">
        <f t="shared" si="10"/>
        <v>0</v>
      </c>
    </row>
    <row r="127" ht="6" customHeight="1"/>
    <row r="128" ht="17.25" customHeight="1">
      <c r="B128" t="s">
        <v>451</v>
      </c>
      <c r="D128" t="s">
        <v>3707</v>
      </c>
      <c r="Q128">
        <f t="shared" si="10"/>
        <v>0</v>
      </c>
    </row>
    <row r="129" ht="15" customHeight="1" hidden="1"/>
    <row r="130" ht="6" customHeight="1"/>
    <row r="131" ht="17.25" customHeight="1">
      <c r="B131" t="s">
        <v>451</v>
      </c>
      <c r="D131" t="s">
        <v>3708</v>
      </c>
      <c r="Q131">
        <f t="shared" si="10"/>
        <v>0</v>
      </c>
    </row>
    <row r="132" ht="6" customHeight="1"/>
    <row r="133" ht="83.25" customHeight="1">
      <c r="B133" t="s">
        <v>451</v>
      </c>
      <c r="D133" t="s">
        <v>3709</v>
      </c>
      <c r="Q133">
        <f t="shared" si="10"/>
        <v>0</v>
      </c>
    </row>
    <row r="134" ht="6" customHeight="1"/>
    <row r="135" ht="114" customHeight="1">
      <c r="B135" t="s">
        <v>451</v>
      </c>
      <c r="D135" t="s">
        <v>3710</v>
      </c>
      <c r="Q135">
        <f t="shared" si="10"/>
        <v>0</v>
      </c>
    </row>
    <row r="136" ht="15" customHeight="1" hidden="1"/>
    <row r="137" ht="6" customHeight="1"/>
    <row r="138" ht="52.5" customHeight="1">
      <c r="B138" t="s">
        <v>451</v>
      </c>
      <c r="D138" t="s">
        <v>3711</v>
      </c>
      <c r="Q138">
        <f t="shared" si="10"/>
        <v>0</v>
      </c>
    </row>
    <row r="139" ht="6" customHeight="1"/>
    <row r="140" ht="37.5" customHeight="1">
      <c r="B140" t="s">
        <v>451</v>
      </c>
      <c r="D140" t="s">
        <v>3712</v>
      </c>
      <c r="Q140">
        <f t="shared" si="10"/>
        <v>0</v>
      </c>
    </row>
    <row r="141" ht="6" customHeight="1"/>
    <row r="142" ht="68.25" customHeight="1">
      <c r="B142" t="s">
        <v>451</v>
      </c>
      <c r="D142" t="s">
        <v>3713</v>
      </c>
      <c r="Q142">
        <f t="shared" si="10"/>
        <v>0</v>
      </c>
    </row>
    <row r="143" ht="6" customHeight="1"/>
    <row r="144" ht="39" customHeight="1">
      <c r="B144" t="s">
        <v>451</v>
      </c>
      <c r="D144" t="s">
        <v>3714</v>
      </c>
      <c r="Q144">
        <f t="shared" si="10"/>
        <v>0</v>
      </c>
    </row>
    <row r="145" ht="6" customHeight="1"/>
    <row r="146" ht="24" customHeight="1">
      <c r="B146" t="s">
        <v>451</v>
      </c>
      <c r="D146" t="s">
        <v>3715</v>
      </c>
      <c r="Q146">
        <f t="shared" si="10"/>
        <v>0</v>
      </c>
    </row>
    <row r="147" ht="6" customHeight="1"/>
    <row r="148" ht="39" customHeight="1">
      <c r="B148" t="s">
        <v>451</v>
      </c>
      <c r="D148" t="s">
        <v>3716</v>
      </c>
      <c r="Q148">
        <f t="shared" si="10"/>
        <v>0</v>
      </c>
    </row>
    <row r="149" ht="6" customHeight="1"/>
    <row r="150" ht="37.5" customHeight="1">
      <c r="B150" t="s">
        <v>451</v>
      </c>
      <c r="D150" t="s">
        <v>3717</v>
      </c>
      <c r="Q150">
        <f t="shared" si="10"/>
        <v>0</v>
      </c>
    </row>
    <row r="151" ht="6" customHeight="1"/>
    <row r="152" ht="37.5" customHeight="1">
      <c r="B152" t="s">
        <v>451</v>
      </c>
      <c r="D152" t="s">
        <v>3718</v>
      </c>
      <c r="Q152">
        <f t="shared" si="10"/>
        <v>0</v>
      </c>
    </row>
    <row r="153" ht="6" customHeight="1"/>
    <row r="154" ht="125.25" customHeight="1">
      <c r="B154" t="s">
        <v>451</v>
      </c>
      <c r="D154" t="s">
        <v>3719</v>
      </c>
      <c r="Q154">
        <f t="shared" si="10"/>
        <v>0</v>
      </c>
    </row>
    <row r="155" ht="6" customHeight="1"/>
    <row r="156" ht="92.25" customHeight="1">
      <c r="B156" t="s">
        <v>451</v>
      </c>
      <c r="D156" t="s">
        <v>3720</v>
      </c>
      <c r="Q156">
        <f t="shared" si="10"/>
        <v>0</v>
      </c>
    </row>
    <row r="157" ht="6" customHeight="1"/>
    <row r="158" ht="21" customHeight="1">
      <c r="B158" t="s">
        <v>3721</v>
      </c>
    </row>
    <row r="159" ht="5.25" customHeight="1"/>
    <row r="160" ht="139.5" customHeight="1">
      <c r="B160" t="s">
        <v>451</v>
      </c>
      <c r="D160" t="s">
        <v>3722</v>
      </c>
      <c r="Q160">
        <f t="shared" si="10"/>
        <v>0</v>
      </c>
    </row>
    <row r="161" ht="5.25" customHeight="1"/>
    <row r="162" ht="141.75" customHeight="1">
      <c r="B162" t="s">
        <v>451</v>
      </c>
      <c r="D162" t="s">
        <v>3723</v>
      </c>
      <c r="Q162">
        <f t="shared" si="10"/>
        <v>0</v>
      </c>
    </row>
    <row r="163" ht="5.25" customHeight="1"/>
    <row r="164" ht="50.25" customHeight="1">
      <c r="B164" t="s">
        <v>451</v>
      </c>
      <c r="D164" t="s">
        <v>3724</v>
      </c>
      <c r="Q164">
        <f t="shared" si="10"/>
        <v>0</v>
      </c>
    </row>
    <row r="165" ht="5.25" customHeight="1"/>
    <row r="166" ht="36" customHeight="1">
      <c r="B166" t="s">
        <v>451</v>
      </c>
      <c r="D166" t="s">
        <v>3725</v>
      </c>
      <c r="Q166">
        <f t="shared" si="10"/>
        <v>0</v>
      </c>
    </row>
    <row r="167" ht="5.25" customHeight="1"/>
    <row r="168" ht="32.25" customHeight="1">
      <c r="B168" t="s">
        <v>451</v>
      </c>
      <c r="D168" t="s">
        <v>3726</v>
      </c>
      <c r="Q168">
        <f t="shared" si="10"/>
        <v>0</v>
      </c>
    </row>
    <row r="169" ht="5.25" customHeight="1"/>
    <row r="170" ht="36.75" customHeight="1">
      <c r="B170" t="s">
        <v>451</v>
      </c>
      <c r="D170" t="s">
        <v>3727</v>
      </c>
      <c r="Q170">
        <f t="shared" si="10"/>
        <v>0</v>
      </c>
    </row>
    <row r="171" ht="5.25" customHeight="1"/>
    <row r="172" ht="20.25" customHeight="1">
      <c r="B172" t="s">
        <v>451</v>
      </c>
      <c r="D172" t="s">
        <v>3728</v>
      </c>
      <c r="Q172">
        <f t="shared" si="10"/>
        <v>0</v>
      </c>
    </row>
    <row r="173" ht="5.25" customHeight="1"/>
    <row r="174" ht="62.25" customHeight="1">
      <c r="B174" t="s">
        <v>451</v>
      </c>
      <c r="D174" t="s">
        <v>3729</v>
      </c>
      <c r="Q174">
        <f t="shared" si="10"/>
        <v>0</v>
      </c>
    </row>
    <row r="175" ht="5.25" customHeight="1"/>
    <row r="176" ht="61.5" customHeight="1">
      <c r="B176" t="s">
        <v>451</v>
      </c>
      <c r="D176" t="s">
        <v>3730</v>
      </c>
      <c r="Q176">
        <f t="shared" si="10"/>
        <v>0</v>
      </c>
    </row>
    <row r="177" ht="5.25" customHeight="1"/>
    <row r="178" ht="20.25" customHeight="1">
      <c r="B178" t="s">
        <v>451</v>
      </c>
      <c r="D178" t="s">
        <v>3731</v>
      </c>
      <c r="Q178">
        <f t="shared" si="10"/>
        <v>0</v>
      </c>
    </row>
    <row r="179" ht="5.25" customHeight="1"/>
    <row r="180" ht="168.75" customHeight="1">
      <c r="B180" t="s">
        <v>451</v>
      </c>
      <c r="D180" t="s">
        <v>3732</v>
      </c>
      <c r="Q180">
        <f t="shared" si="10"/>
        <v>0</v>
      </c>
    </row>
    <row r="181" ht="5.25" customHeight="1"/>
    <row r="182" ht="36" customHeight="1">
      <c r="B182" t="s">
        <v>451</v>
      </c>
      <c r="D182" t="s">
        <v>3733</v>
      </c>
      <c r="Q182">
        <f t="shared" si="10"/>
        <v>0</v>
      </c>
    </row>
    <row r="183" ht="5.25" customHeight="1"/>
    <row r="184" ht="21" customHeight="1">
      <c r="B184" t="s">
        <v>3734</v>
      </c>
    </row>
    <row r="185" ht="5.25" customHeight="1"/>
    <row r="186" ht="167.25" customHeight="1">
      <c r="B186" t="s">
        <v>451</v>
      </c>
      <c r="D186" t="s">
        <v>3735</v>
      </c>
      <c r="Q186">
        <f t="shared" si="10"/>
        <v>0</v>
      </c>
    </row>
    <row r="187" ht="5.25" customHeight="1" hidden="1"/>
    <row r="188" ht="140.25" customHeight="1" hidden="1">
      <c r="B188" t="s">
        <v>451</v>
      </c>
      <c r="Q188">
        <f t="shared" si="10"/>
        <v>0</v>
      </c>
    </row>
    <row r="189" ht="5.25" customHeight="1" hidden="1"/>
    <row r="190" ht="30" customHeight="1" hidden="1">
      <c r="B190" t="s">
        <v>451</v>
      </c>
      <c r="Q190">
        <f t="shared" si="10"/>
        <v>0</v>
      </c>
    </row>
    <row r="191" ht="5.25" customHeight="1" hidden="1"/>
    <row r="192" ht="35.25" customHeight="1"/>
    <row r="193" ht="15" customHeight="1"/>
    <row r="194" ht="15" customHeight="1">
      <c r="B194" t="s">
        <v>3736</v>
      </c>
    </row>
    <row r="195" ht="15" customHeight="1"/>
    <row r="196" ht="15" customHeight="1">
      <c r="B196" t="s">
        <v>3586</v>
      </c>
    </row>
    <row r="197" ht="15" customHeight="1">
      <c r="B197" t="s">
        <v>384</v>
      </c>
      <c r="E197" t="s">
        <v>3737</v>
      </c>
      <c r="F197" t="b">
        <f>E12="Fixed"</f>
        <v>1</v>
      </c>
    </row>
    <row r="198" ht="15" customHeight="1">
      <c r="B198" t="s">
        <v>3738</v>
      </c>
      <c r="E198" t="s">
        <v>3739</v>
      </c>
      <c r="F198" t="b">
        <f>E12="SARM Loan"</f>
        <v>0</v>
      </c>
    </row>
    <row r="199" ht="15" customHeight="1">
      <c r="B199" t="s">
        <v>3740</v>
      </c>
      <c r="E199" t="s">
        <v>3741</v>
      </c>
      <c r="F199" t="b">
        <f>AND(E12&lt;&gt;"Fixed",E12&lt;&gt;"Other",E12&lt;&gt;"Hybrid ARM Loan")</f>
        <v>0</v>
      </c>
    </row>
    <row r="200" ht="15" customHeight="1">
      <c r="B200" t="s">
        <v>3742</v>
      </c>
    </row>
    <row r="201" ht="15" customHeight="1">
      <c r="B201" t="s">
        <v>3743</v>
      </c>
    </row>
    <row r="202" ht="15" customHeight="1">
      <c r="B202" t="s">
        <v>3744</v>
      </c>
    </row>
    <row r="203" ht="15" customHeight="1">
      <c r="B203" t="s">
        <v>236</v>
      </c>
    </row>
    <row r="204" ht="15" customHeight="1"/>
    <row r="205" ht="15" customHeight="1">
      <c r="B205" t="s">
        <v>3590</v>
      </c>
    </row>
    <row r="206" ht="15" customHeight="1">
      <c r="B206" t="s">
        <v>3591</v>
      </c>
    </row>
    <row r="207" ht="15" customHeight="1">
      <c r="B207" t="s">
        <v>3745</v>
      </c>
    </row>
    <row r="208" ht="15" customHeight="1">
      <c r="B208" t="s">
        <v>3746</v>
      </c>
    </row>
    <row r="209" ht="15" customHeight="1">
      <c r="B209" t="s">
        <v>3747</v>
      </c>
    </row>
    <row r="210" ht="15" customHeight="1">
      <c r="B210" t="s">
        <v>3748</v>
      </c>
    </row>
    <row r="211" ht="15" customHeight="1"/>
    <row r="212" ht="15" customHeight="1">
      <c r="B212" t="s">
        <v>3749</v>
      </c>
    </row>
    <row r="213" ht="15" customHeight="1">
      <c r="B213" t="s">
        <v>395</v>
      </c>
    </row>
    <row r="214" ht="15" customHeight="1">
      <c r="B214" t="s">
        <v>3750</v>
      </c>
    </row>
    <row r="215" ht="15" customHeight="1">
      <c r="B215" t="s">
        <v>3751</v>
      </c>
    </row>
    <row r="216" ht="15" customHeight="1">
      <c r="B216" t="s">
        <v>3752</v>
      </c>
    </row>
    <row r="217" ht="15" customHeight="1">
      <c r="B217" t="s">
        <v>3753</v>
      </c>
    </row>
    <row r="218" ht="15" customHeight="1">
      <c r="B218" t="s">
        <v>3754</v>
      </c>
    </row>
    <row r="219" ht="15" customHeight="1">
      <c r="B219" t="s">
        <v>3755</v>
      </c>
    </row>
    <row r="220" ht="15" customHeight="1">
      <c r="B220" t="s">
        <v>3756</v>
      </c>
    </row>
    <row r="221" ht="15" customHeight="1"/>
    <row r="222" ht="15" customHeight="1">
      <c r="B222" t="s">
        <v>3605</v>
      </c>
    </row>
    <row r="223" ht="15" customHeight="1">
      <c r="B223" t="s">
        <v>293</v>
      </c>
    </row>
    <row r="224" ht="15" customHeight="1">
      <c r="B224" t="s">
        <v>294</v>
      </c>
    </row>
    <row r="225" ht="15" customHeight="1"/>
    <row r="226" ht="15" customHeight="1">
      <c r="B226" t="s">
        <v>3757</v>
      </c>
    </row>
    <row r="227" ht="15" customHeight="1">
      <c r="B227">
        <v>2</v>
      </c>
    </row>
    <row r="228" ht="15" customHeight="1">
      <c r="B228">
        <v>3</v>
      </c>
    </row>
    <row r="229" ht="15" customHeight="1">
      <c r="B229">
        <v>4</v>
      </c>
    </row>
    <row r="230" ht="15" customHeight="1"/>
    <row r="231" ht="15" customHeight="1">
      <c r="B231" t="s">
        <v>3758</v>
      </c>
    </row>
    <row r="232" ht="15" customHeight="1">
      <c r="B232" t="s">
        <v>269</v>
      </c>
    </row>
    <row r="233" ht="15" customHeight="1">
      <c r="B233" t="s">
        <v>451</v>
      </c>
    </row>
    <row r="234" ht="15" customHeight="1"/>
    <row r="235" ht="15" customHeight="1">
      <c r="B235" t="s">
        <v>3759</v>
      </c>
    </row>
    <row r="236" ht="15" customHeight="1">
      <c r="B236" t="s">
        <v>393</v>
      </c>
    </row>
    <row r="237" ht="15" customHeight="1">
      <c r="B237" t="s">
        <v>3760</v>
      </c>
    </row>
    <row r="238" ht="15" customHeight="1">
      <c r="B238" t="s">
        <v>3761</v>
      </c>
    </row>
    <row r="239" ht="15" customHeight="1">
      <c r="B239" t="s">
        <v>3762</v>
      </c>
    </row>
    <row r="240" ht="15" customHeight="1">
      <c r="B240" t="s">
        <v>3763</v>
      </c>
    </row>
    <row r="241" ht="15" customHeight="1">
      <c r="B241" t="s">
        <v>3764</v>
      </c>
    </row>
    <row r="242" ht="15" customHeight="1">
      <c r="B242" t="s">
        <v>3765</v>
      </c>
    </row>
    <row r="243" ht="15" customHeight="1"/>
    <row r="244" ht="15" customHeight="1">
      <c r="B244" t="s">
        <v>405</v>
      </c>
    </row>
    <row r="245" ht="15" customHeight="1">
      <c r="B245" t="s">
        <v>202</v>
      </c>
    </row>
    <row r="246" ht="15" customHeight="1">
      <c r="B246" t="s">
        <v>3766</v>
      </c>
    </row>
    <row r="247" ht="15" customHeight="1">
      <c r="B247" t="s">
        <v>3767</v>
      </c>
    </row>
    <row r="248" ht="15" customHeight="1">
      <c r="B248" t="s">
        <v>3768</v>
      </c>
    </row>
    <row r="249" ht="15" customHeight="1">
      <c r="B249" t="s">
        <v>3769</v>
      </c>
    </row>
    <row r="250" ht="15" customHeight="1">
      <c r="B250" t="s">
        <v>3770</v>
      </c>
    </row>
    <row r="251" ht="15" customHeight="1">
      <c r="B251" t="s">
        <v>236</v>
      </c>
    </row>
    <row r="252" ht="15" customHeight="1"/>
    <row r="253" ht="15" customHeight="1">
      <c r="B253" t="s">
        <v>3621</v>
      </c>
    </row>
    <row r="254" ht="15" customHeight="1">
      <c r="B254" t="s">
        <v>388</v>
      </c>
    </row>
    <row r="255" ht="15" customHeight="1">
      <c r="B255" t="s">
        <v>3771</v>
      </c>
    </row>
    <row r="256" ht="15" customHeight="1">
      <c r="B256" t="s">
        <v>3772</v>
      </c>
    </row>
    <row r="257" ht="15" customHeight="1">
      <c r="B257" t="s">
        <v>2392</v>
      </c>
    </row>
    <row r="258" ht="15" customHeight="1"/>
    <row r="259" ht="15" customHeight="1">
      <c r="B259" t="s">
        <v>662</v>
      </c>
    </row>
    <row r="260" ht="15" customHeight="1">
      <c r="B260" t="s">
        <v>3773</v>
      </c>
    </row>
    <row r="261" ht="15" customHeight="1">
      <c r="B261" t="s">
        <v>3774</v>
      </c>
    </row>
    <row r="262" ht="15" customHeight="1">
      <c r="B262" t="s">
        <v>3775</v>
      </c>
    </row>
    <row r="263" ht="15" customHeight="1">
      <c r="B263" t="s">
        <v>3776</v>
      </c>
    </row>
    <row r="264" ht="15" customHeight="1">
      <c r="B264" t="s">
        <v>236</v>
      </c>
    </row>
    <row r="265" ht="15" customHeight="1"/>
    <row r="266" ht="15" customHeight="1">
      <c r="B266" t="s">
        <v>3777</v>
      </c>
    </row>
    <row r="267" ht="15" customHeight="1">
      <c r="B267" t="s">
        <v>269</v>
      </c>
    </row>
    <row r="268" ht="15" customHeight="1">
      <c r="B268" t="s">
        <v>451</v>
      </c>
    </row>
    <row r="269" ht="15" customHeight="1"/>
    <row r="270" ht="15" customHeight="1">
      <c r="B270" t="s">
        <v>3778</v>
      </c>
    </row>
    <row r="271" ht="15" customHeight="1">
      <c r="B271" t="s">
        <v>174</v>
      </c>
    </row>
    <row r="272" ht="15" customHeight="1">
      <c r="B272" t="s">
        <v>3779</v>
      </c>
    </row>
    <row r="273" ht="15" customHeight="1">
      <c r="B273" t="s">
        <v>3780</v>
      </c>
    </row>
    <row r="274" ht="15" customHeight="1">
      <c r="B274" t="s">
        <v>3781</v>
      </c>
    </row>
    <row r="275" ht="15" customHeight="1">
      <c r="B275" t="s">
        <v>3782</v>
      </c>
    </row>
    <row r="276" ht="15" customHeight="1">
      <c r="B276" t="s">
        <v>3783</v>
      </c>
    </row>
    <row r="277" ht="15" customHeight="1">
      <c r="B277" t="s">
        <v>3784</v>
      </c>
    </row>
    <row r="278" ht="15" customHeight="1">
      <c r="B278" t="s">
        <v>3785</v>
      </c>
    </row>
    <row r="279" ht="15" customHeight="1">
      <c r="B279" t="s">
        <v>3786</v>
      </c>
    </row>
    <row r="280" ht="15" customHeight="1"/>
    <row r="281" ht="15" customHeight="1">
      <c r="B281" t="s">
        <v>3787</v>
      </c>
    </row>
    <row r="282" ht="15" customHeight="1">
      <c r="B282" t="s">
        <v>3788</v>
      </c>
    </row>
    <row r="283" ht="15" customHeight="1">
      <c r="B283" t="s">
        <v>3789</v>
      </c>
    </row>
    <row r="284" ht="15" customHeight="1"/>
    <row r="285" ht="15" customHeight="1">
      <c r="B285" t="s">
        <v>3790</v>
      </c>
    </row>
    <row r="286" ht="15" customHeight="1">
      <c r="B286" t="s">
        <v>269</v>
      </c>
    </row>
    <row r="287" ht="15" customHeight="1">
      <c r="B287" t="s">
        <v>451</v>
      </c>
    </row>
    <row r="288" ht="15" customHeight="1"/>
    <row r="289" ht="15" customHeight="1">
      <c r="B289" t="s">
        <v>2307</v>
      </c>
    </row>
    <row r="290" ht="15" customHeight="1">
      <c r="B290" t="s">
        <v>3791</v>
      </c>
    </row>
    <row r="291" ht="15" customHeight="1">
      <c r="B291" t="s">
        <v>3610</v>
      </c>
    </row>
    <row r="292" ht="15" customHeight="1"/>
    <row r="293" ht="15" customHeight="1">
      <c r="B293" t="s">
        <v>3792</v>
      </c>
    </row>
    <row r="294" ht="15" customHeight="1">
      <c r="B294" t="s">
        <v>269</v>
      </c>
    </row>
    <row r="295" ht="15" customHeight="1">
      <c r="B295" t="s">
        <v>451</v>
      </c>
    </row>
    <row r="296" ht="15" customHeight="1"/>
    <row r="297" ht="15" customHeight="1">
      <c r="B297" t="s">
        <v>3793</v>
      </c>
    </row>
    <row r="298" ht="15" customHeight="1">
      <c r="B298" t="s">
        <v>393</v>
      </c>
    </row>
    <row r="299" ht="15" customHeight="1">
      <c r="B299" t="s">
        <v>3794</v>
      </c>
    </row>
    <row r="300" ht="15" customHeight="1"/>
    <row r="301" ht="15" customHeight="1">
      <c r="B301" t="s">
        <v>3795</v>
      </c>
    </row>
    <row r="302" ht="15" customHeight="1">
      <c r="B302" t="s">
        <v>269</v>
      </c>
    </row>
    <row r="303" ht="15" customHeight="1">
      <c r="B303" t="s">
        <v>451</v>
      </c>
    </row>
    <row r="304" ht="15" customHeight="1"/>
    <row r="305" ht="15" customHeight="1">
      <c r="B305" t="s">
        <v>3796</v>
      </c>
    </row>
    <row r="306" ht="15" customHeight="1">
      <c r="B306" t="s">
        <v>269</v>
      </c>
    </row>
    <row r="307" ht="15" customHeight="1">
      <c r="B307" t="s">
        <v>451</v>
      </c>
    </row>
    <row r="308" ht="15" customHeight="1"/>
    <row r="309" ht="15" customHeight="1">
      <c r="B309" t="s">
        <v>3797</v>
      </c>
    </row>
    <row r="310" ht="15" customHeight="1">
      <c r="B310" t="s">
        <v>174</v>
      </c>
    </row>
    <row r="311" ht="15" customHeight="1">
      <c r="B311" t="s">
        <v>3472</v>
      </c>
    </row>
    <row r="312" ht="15" customHeight="1">
      <c r="B312" t="s">
        <v>3798</v>
      </c>
    </row>
    <row r="313" ht="15" customHeight="1"/>
    <row r="314" ht="15" customHeight="1">
      <c r="B314" t="s">
        <v>3799</v>
      </c>
    </row>
    <row r="315" ht="15" customHeight="1">
      <c r="B315" t="s">
        <v>3800</v>
      </c>
    </row>
    <row r="316" ht="15" customHeight="1"/>
    <row r="317" ht="15" customHeight="1"/>
    <row r="318" ht="15" customHeight="1">
      <c r="B318" t="s">
        <v>2389</v>
      </c>
    </row>
    <row r="319" ht="15" customHeight="1">
      <c r="B319" t="s">
        <v>3801</v>
      </c>
    </row>
    <row r="320" ht="15" customHeight="1">
      <c r="B320" t="s">
        <v>3802</v>
      </c>
    </row>
    <row r="321" ht="15" customHeight="1">
      <c r="B321" t="s">
        <v>3803</v>
      </c>
    </row>
    <row r="322" ht="15" customHeight="1">
      <c r="B322" t="s">
        <v>3804</v>
      </c>
    </row>
    <row r="323" ht="15" customHeight="1">
      <c r="B323" t="s">
        <v>3805</v>
      </c>
    </row>
    <row r="324" ht="15" customHeight="1"/>
    <row r="325" ht="15" customHeight="1">
      <c r="B325" t="s">
        <v>392</v>
      </c>
    </row>
    <row r="326" ht="15" customHeight="1">
      <c r="B326" t="s">
        <v>393</v>
      </c>
    </row>
    <row r="327" ht="15" customHeight="1">
      <c r="B327" t="s">
        <v>3806</v>
      </c>
    </row>
    <row r="328" ht="15" customHeight="1">
      <c r="B328" t="s">
        <v>3807</v>
      </c>
    </row>
    <row r="329" ht="15" customHeight="1"/>
    <row r="330" ht="15" customHeight="1"/>
    <row r="331" ht="15" customHeight="1">
      <c r="B331" t="s">
        <v>3808</v>
      </c>
    </row>
    <row r="332" ht="15" customHeight="1"/>
    <row r="333" ht="15" customHeight="1">
      <c r="B333" t="s">
        <v>3809</v>
      </c>
      <c r="E333" t="s">
        <v>3810</v>
      </c>
    </row>
    <row r="334" ht="15" customHeight="1">
      <c r="B334" t="s">
        <v>3811</v>
      </c>
      <c r="E334" t="s">
        <v>3812</v>
      </c>
    </row>
    <row r="335" ht="15" customHeight="1">
      <c r="B335" t="s">
        <v>3813</v>
      </c>
      <c r="E335" t="s">
        <v>3814</v>
      </c>
    </row>
    <row r="336" ht="15" customHeight="1">
      <c r="B336" t="s">
        <v>3815</v>
      </c>
      <c r="E336" t="s">
        <v>3816</v>
      </c>
    </row>
    <row r="337" ht="15" customHeight="1">
      <c r="B337" t="s">
        <v>3817</v>
      </c>
      <c r="E337" t="s">
        <v>3818</v>
      </c>
    </row>
    <row r="338" ht="15" customHeight="1">
      <c r="B338" t="s">
        <v>3819</v>
      </c>
      <c r="E338" t="s">
        <v>3820</v>
      </c>
    </row>
    <row r="339" ht="15" customHeight="1">
      <c r="B339" t="s">
        <v>3821</v>
      </c>
      <c r="E339" t="s">
        <v>3822</v>
      </c>
    </row>
    <row r="340" ht="15" customHeight="1">
      <c r="B340" t="s">
        <v>3823</v>
      </c>
      <c r="E340" t="s">
        <v>3824</v>
      </c>
    </row>
    <row r="341" ht="15" customHeight="1">
      <c r="B341" t="s">
        <v>3825</v>
      </c>
      <c r="E341" t="s">
        <v>3826</v>
      </c>
    </row>
    <row r="342" ht="15" customHeight="1">
      <c r="B342" t="s">
        <v>3827</v>
      </c>
      <c r="E342" t="s">
        <v>3828</v>
      </c>
    </row>
    <row r="343" ht="15" customHeight="1">
      <c r="B343" t="s">
        <v>3829</v>
      </c>
      <c r="E343" t="s">
        <v>3830</v>
      </c>
    </row>
    <row r="344" ht="15" customHeight="1">
      <c r="B344" t="s">
        <v>3831</v>
      </c>
      <c r="E344" t="s">
        <v>3832</v>
      </c>
    </row>
    <row r="345" ht="15" customHeight="1">
      <c r="B345" t="s">
        <v>3833</v>
      </c>
      <c r="E345" t="s">
        <v>3834</v>
      </c>
    </row>
    <row r="346" ht="15" customHeight="1">
      <c r="B346" t="s">
        <v>3835</v>
      </c>
      <c r="E346" t="s">
        <v>3836</v>
      </c>
    </row>
    <row r="347" ht="15" customHeight="1">
      <c r="B347" t="s">
        <v>3837</v>
      </c>
      <c r="E347" t="s">
        <v>3838</v>
      </c>
    </row>
    <row r="348" ht="15" customHeight="1">
      <c r="B348" t="s">
        <v>3839</v>
      </c>
      <c r="E348" t="s">
        <v>3840</v>
      </c>
    </row>
    <row r="349" ht="15" customHeight="1">
      <c r="B349" t="s">
        <v>3841</v>
      </c>
      <c r="E349" t="s">
        <v>3842</v>
      </c>
    </row>
    <row r="350" ht="15" customHeight="1">
      <c r="B350" t="s">
        <v>3843</v>
      </c>
      <c r="E350" t="s">
        <v>3844</v>
      </c>
    </row>
    <row r="351" ht="15" customHeight="1">
      <c r="B351" t="s">
        <v>3845</v>
      </c>
      <c r="E351" t="s">
        <v>3846</v>
      </c>
    </row>
    <row r="352" ht="15" customHeight="1">
      <c r="B352" t="s">
        <v>3847</v>
      </c>
      <c r="E352" t="s">
        <v>3848</v>
      </c>
    </row>
    <row r="353" ht="15" customHeight="1">
      <c r="B353" t="s">
        <v>3849</v>
      </c>
      <c r="E353" t="s">
        <v>3850</v>
      </c>
    </row>
    <row r="354" ht="15" customHeight="1">
      <c r="B354" t="s">
        <v>3851</v>
      </c>
      <c r="E354" t="s">
        <v>3852</v>
      </c>
    </row>
    <row r="355" ht="15" customHeight="1">
      <c r="B355" t="s">
        <v>3853</v>
      </c>
      <c r="E355" t="s">
        <v>3854</v>
      </c>
    </row>
    <row r="356" ht="15" customHeight="1">
      <c r="B356" t="s">
        <v>3855</v>
      </c>
      <c r="E356" t="s">
        <v>3856</v>
      </c>
    </row>
    <row r="357" ht="15" customHeight="1">
      <c r="B357" t="s">
        <v>3857</v>
      </c>
      <c r="E357" t="s">
        <v>3858</v>
      </c>
    </row>
    <row r="358" ht="15" customHeight="1">
      <c r="B358" t="s">
        <v>3859</v>
      </c>
      <c r="E358" t="s">
        <v>3860</v>
      </c>
    </row>
    <row r="359" ht="15" customHeight="1">
      <c r="B359" t="s">
        <v>3861</v>
      </c>
      <c r="E359" t="s">
        <v>3862</v>
      </c>
    </row>
    <row r="360" ht="15" customHeight="1">
      <c r="B360" t="s">
        <v>3863</v>
      </c>
      <c r="E360" t="s">
        <v>3864</v>
      </c>
    </row>
    <row r="361" ht="15" customHeight="1">
      <c r="B361" t="s">
        <v>3865</v>
      </c>
      <c r="E361" t="s">
        <v>3866</v>
      </c>
    </row>
    <row r="362" ht="15" customHeight="1">
      <c r="B362" t="s">
        <v>3867</v>
      </c>
      <c r="E362" t="s">
        <v>3868</v>
      </c>
    </row>
    <row r="363" ht="15" customHeight="1">
      <c r="B363" t="s">
        <v>3869</v>
      </c>
      <c r="E363" t="s">
        <v>3870</v>
      </c>
    </row>
    <row r="364" ht="15" customHeight="1">
      <c r="B364" t="s">
        <v>3871</v>
      </c>
      <c r="E364" t="s">
        <v>3872</v>
      </c>
    </row>
    <row r="365" ht="15" customHeight="1">
      <c r="B365" t="s">
        <v>3873</v>
      </c>
      <c r="E365" t="s">
        <v>3874</v>
      </c>
    </row>
    <row r="366" ht="15" customHeight="1"/>
    <row r="367" ht="15" customHeight="1">
      <c r="B367" t="s">
        <v>3875</v>
      </c>
      <c r="E367" t="s">
        <v>3876</v>
      </c>
    </row>
    <row r="368" ht="15" customHeight="1">
      <c r="B368" t="s">
        <v>3877</v>
      </c>
      <c r="E368" t="s">
        <v>3878</v>
      </c>
    </row>
    <row r="369" ht="15" customHeight="1">
      <c r="B369" t="s">
        <v>3879</v>
      </c>
      <c r="E369" t="s">
        <v>3880</v>
      </c>
    </row>
    <row r="370" ht="15" customHeight="1">
      <c r="B370" t="s">
        <v>3881</v>
      </c>
      <c r="E370" t="s">
        <v>3882</v>
      </c>
    </row>
    <row r="371" ht="15" customHeight="1">
      <c r="B371" t="s">
        <v>3883</v>
      </c>
      <c r="E371" t="s">
        <v>3884</v>
      </c>
    </row>
    <row r="372" ht="15" customHeight="1">
      <c r="B372" t="s">
        <v>3885</v>
      </c>
      <c r="E372" t="s">
        <v>3886</v>
      </c>
    </row>
    <row r="373" ht="15" customHeight="1">
      <c r="B373" t="s">
        <v>3887</v>
      </c>
      <c r="E373" t="s">
        <v>3888</v>
      </c>
    </row>
    <row r="374" ht="15" customHeight="1"/>
    <row r="375" ht="15" customHeight="1">
      <c r="B375" t="s">
        <v>901</v>
      </c>
      <c r="E375" t="s">
        <v>3889</v>
      </c>
    </row>
    <row r="376" ht="15" customHeight="1">
      <c r="B376" t="s">
        <v>3890</v>
      </c>
      <c r="E376" t="s">
        <v>3891</v>
      </c>
    </row>
    <row r="377" ht="15" customHeight="1">
      <c r="B377" t="s">
        <v>3892</v>
      </c>
      <c r="E377" t="s">
        <v>3889</v>
      </c>
    </row>
    <row r="378" ht="15" customHeight="1">
      <c r="B378" t="s">
        <v>3893</v>
      </c>
      <c r="E378" t="s">
        <v>3894</v>
      </c>
    </row>
    <row r="379" ht="15" customHeight="1">
      <c r="B379" t="s">
        <v>3895</v>
      </c>
      <c r="E379" t="s">
        <v>3896</v>
      </c>
    </row>
    <row r="380" ht="15" customHeight="1">
      <c r="B380" t="s">
        <v>3897</v>
      </c>
      <c r="E380" t="s">
        <v>3898</v>
      </c>
    </row>
    <row r="381" ht="15" customHeight="1">
      <c r="B381" t="s">
        <v>3899</v>
      </c>
      <c r="E381" t="s">
        <v>3900</v>
      </c>
    </row>
    <row r="382" ht="15" customHeight="1">
      <c r="B382" t="s">
        <v>236</v>
      </c>
      <c r="E382" t="s">
        <v>236</v>
      </c>
    </row>
    <row r="383" ht="15" customHeight="1"/>
    <row r="384" ht="15" customHeight="1">
      <c r="B384" t="s">
        <v>3901</v>
      </c>
    </row>
    <row r="385" ht="15" customHeight="1">
      <c r="B385" t="s">
        <v>3634</v>
      </c>
    </row>
    <row r="386" ht="15" customHeight="1">
      <c r="B386" t="s">
        <v>3902</v>
      </c>
    </row>
    <row r="387" ht="15" customHeight="1"/>
    <row r="388" ht="15" customHeight="1">
      <c r="B388" t="s">
        <v>3903</v>
      </c>
    </row>
    <row r="389" ht="15" customHeight="1">
      <c r="B389" t="s">
        <v>864</v>
      </c>
    </row>
    <row r="390" ht="15" customHeight="1">
      <c r="B390" t="s">
        <v>3904</v>
      </c>
    </row>
    <row r="391" ht="15" customHeight="1">
      <c r="B391" t="s">
        <v>3905</v>
      </c>
    </row>
    <row r="392" ht="15" customHeight="1">
      <c r="B392" t="s">
        <v>3906</v>
      </c>
    </row>
    <row r="393" ht="15" customHeight="1">
      <c r="B393" t="s">
        <v>3907</v>
      </c>
    </row>
    <row r="394" ht="15" customHeight="1"/>
    <row r="395" ht="15" customHeight="1"/>
    <row r="396" ht="15" customHeight="1"/>
    <row r="397" ht="15" customHeight="1"/>
    <row r="398" ht="15" customHeight="1"/>
    <row r="399" ht="15" customHeight="1"/>
    <row r="400" ht="15" customHeight="1"/>
  </sheetData>
  <hyperlinks>
    <hyperlink ref="D100" r:id="rId1" display="     Job Aid: Data Guidance for Cross-Defaulted and Cross-Collateralized Mortgage Loans"/>
  </hyperlinks>
  <printOptions horizontalCentered="1"/>
  <pageMargins left="0.25" right="0.25" top="0.25" bottom="0.25" header="0.3" footer="0.3"/>
  <pageSetup useFirstPageNumber="1" fitToHeight="1" fitToWidth="1" paperSize="1" firstPageNumber="1" scale="57" pageOrder="downThenOver" orientation="portrait"/>
  <headerFooter>
    <oddHeader>&amp;L&amp;C&amp;R</oddHeader>
    <oddFooter>&amp;L&amp;C&amp;R</oddFooter>
  </headerFooter>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F9F8FEA-60D2-D8F8-6057-BBAA43098AEC}" mc:Ignorable="x14ac xr xr2 xr3">
  <dimension ref="A1:Y30"/>
  <sheetViews>
    <sheetView topLeftCell="A1" workbookViewId="0">
      <selection activeCell="A1" sqref="A1"/>
    </sheetView>
  </sheetViews>
  <sheetFormatPr defaultRowHeight="15" defaultColWidth="8.8515625" customHeight="1"/>
  <cols>
    <col min="1" max="1" width="24.28125" customWidth="1"/>
    <col min="2" max="2" width="10.57421875" customWidth="1"/>
    <col min="3" max="3" width="10.7109375" customWidth="1"/>
    <col min="23" max="23" width="23.140625" customWidth="1"/>
    <col min="24" max="24" width="12.00390625" customWidth="1"/>
  </cols>
  <sheetData>
    <row r="1" ht="15" customHeight="1">
      <c r="A1" t="s">
        <v>3908</v>
      </c>
      <c r="B1">
        <v>0</v>
      </c>
    </row>
    <row r="2" ht="15.75" customHeight="1">
      <c r="A2" t="s">
        <v>3909</v>
      </c>
      <c r="B2">
        <v>0</v>
      </c>
    </row>
    <row r="3" ht="35.25" customHeight="1">
      <c r="A3" t="s">
        <v>3910</v>
      </c>
      <c r="B3">
        <v>0</v>
      </c>
      <c r="L3" t="s">
        <v>3911</v>
      </c>
      <c r="W3" t="s">
        <v>3912</v>
      </c>
    </row>
    <row r="4" ht="15" customHeight="1">
      <c r="W4" t="s">
        <v>3913</v>
      </c>
      <c r="X4">
        <v>1</v>
      </c>
    </row>
    <row r="5" ht="17.25" customHeight="1">
      <c r="D5" t="s">
        <v>384</v>
      </c>
      <c r="E5" t="s">
        <v>3914</v>
      </c>
      <c r="F5" t="s">
        <v>3915</v>
      </c>
      <c r="J5" t="s">
        <v>384</v>
      </c>
      <c r="L5" t="s">
        <v>3914</v>
      </c>
      <c r="N5" t="s">
        <v>3915</v>
      </c>
      <c r="W5" t="s">
        <v>3916</v>
      </c>
      <c r="X5">
        <v>0</v>
      </c>
    </row>
    <row r="6" ht="15" customHeight="1">
      <c r="A6" t="s">
        <v>3917</v>
      </c>
      <c r="B6" t="s">
        <v>293</v>
      </c>
      <c r="C6" t="s">
        <v>413</v>
      </c>
      <c r="D6">
        <f>_xlfn.IFERROR(SOps_UnderwrittenNCF/(IF('SBL Quotes'!AN32="Supplemental",FirstDebtService_IfSupp+SecondDebtService_IfSupp+ThirdDebtService_IfSupp)+AmortizingDebtService),0)</f>
        <v>0</v>
      </c>
      <c r="E6" t="e">
        <f>SOps_UnderwrittenNCF/(IF('SBL Quotes'!AN32="Supplemental",FirstDebtService_IfSupp+SecondDebtService_IfSupp+ThirdDebtService_IfSupp)+(LoanAmount*SARMPayConstant))</f>
        <v>#NAME?</v>
      </c>
      <c r="F6" t="e">
        <f>SOps_UnderwrittenNCF/(IF('SBL Quotes'!AN32="Supplemental",FirstDebtService_IfSupp+SecondDebtService_IfSupp+ThirdDebtService_IfSupp)+(LoanAmount*SARMPayRate*365/360)+(FixedPrinPayment*12))</f>
        <v>#NAME?</v>
      </c>
      <c r="H6" t="str">
        <f t="shared" si="0" ref="H6:H24">A6</f>
        <v>UW NCF DSCR</v>
      </c>
      <c r="J6" t="e">
        <f>IF(AND(Interest_Rate_Type="Fixed",Interest_Calc="Actual/360"),IF(InterestOnly=Term,'C&amp;D Data Inputs'!D8,IF(InterestOnly=0,'C&amp;D Data Inputs'!D6,'C&amp;D Data Inputs'!D7)),IF(AND(Interest_Rate_Type="Fixed",Interest_Calc="30/360"),IF(InterestOnly=Term,'C&amp;D Data Inputs'!D11,IF(InterestOnly=0,'C&amp;D Data Inputs'!D9,'C&amp;D Data Inputs'!D10))))</f>
        <v>#NAME?</v>
      </c>
      <c r="L6" t="b">
        <f>IF(AND(Interest_Rate_Type="Variable: ARM 7-6",Interest_Calc="Actual/360"),IF(InterestOnly=Term,'C&amp;D Data Inputs'!E8,IF(InterestOnly=0,'C&amp;D Data Inputs'!E6,'C&amp;D Data Inputs'!E7)),IF(AND(Interest_Rate_Type="Variable: ARM 7-6",Interest_Calc="30/360"),IF(InterestOnly=Term,'C&amp;D Data Inputs'!E11,IF(InterestOnly=0,'C&amp;D Data Inputs'!E9,'C&amp;D Data Inputs'!E10))))</f>
        <v>0</v>
      </c>
      <c r="N6" t="b">
        <f>IF(AND(Interest_Rate_Type="Variable: SARM",Interest_Calc="Actual/360"),IF(InterestOnly=Term,'C&amp;D Data Inputs'!F8,IF(InterestOnly=0,'C&amp;D Data Inputs'!F6,'C&amp;D Data Inputs'!F7)),IF(AND(Interest_Rate_Type="Variable: SARM",Interest_Calc="30/360"),IF(InterestOnly=Term,'C&amp;D Data Inputs'!F11,IF(InterestOnly=0,'C&amp;D Data Inputs'!F9,'C&amp;D Data Inputs'!F10))))</f>
        <v>0</v>
      </c>
      <c r="Q6" t="str">
        <f t="shared" si="1" ref="Q6:Q24">A6</f>
        <v>UW NCF DSCR</v>
      </c>
      <c r="S6" t="e">
        <f t="shared" si="2" ref="S6:S24">IF(Interest_Rate_Type="Fixed",J6,IF(Interest_Rate_Type="Variable: ARM 7-6",L6,IF(Interest_Rate_Type="Variable: SARM",N6)))</f>
        <v>#NAME?</v>
      </c>
      <c r="W6" t="s">
        <v>3918</v>
      </c>
      <c r="X6">
        <v>0</v>
      </c>
    </row>
    <row r="7" ht="15" customHeight="1">
      <c r="C7" t="s">
        <v>3919</v>
      </c>
      <c r="D7" t="e">
        <f>SOps_UnderwrittenNCF/(IF('SBL Quotes'!AN32="Supplemental",FirstDebtService_IfSupp+SecondDebtService_IfSupp+ThirdDebtService_IfSupp)+AmortizingDebtService)</f>
        <v>#NAME?</v>
      </c>
      <c r="E7" t="e">
        <f>SOps_UnderwrittenNCF/(IF('SBL Quotes'!AN32="Supplemental",FirstDebtService_IfSupp+SecondDebtService_IfSupp+ThirdDebtService_IfSupp)+(LoanAmount*SARMPayConstant))</f>
        <v>#NAME?</v>
      </c>
      <c r="F7" t="e">
        <f>SOps_UnderwrittenNCF/(IF('SBL Quotes'!AN32="Supplemental",FirstDebtService_IfSupp+SecondDebtService_IfSupp+ThirdDebtService_IfSupp)+(LoanAmount*SARMPayRate*365/360)+(FixedPrinPayment*12))</f>
        <v>#NAME?</v>
      </c>
      <c r="W7" t="s">
        <v>3920</v>
      </c>
      <c r="X7">
        <v>0</v>
      </c>
    </row>
    <row r="8" ht="15.75" customHeight="1">
      <c r="C8" t="s">
        <v>3921</v>
      </c>
      <c r="D8" t="e">
        <f>SOps_UnderwrittenNCF/(IF('SBL Quotes'!AN32="Supplemental",FirstDebtService_IfSupp+SecondDebtService_IfSupp+ThirdDebtService_IfSupp)+(LoanAmount*(NoteRate*365/360)))</f>
        <v>#NAME?</v>
      </c>
      <c r="E8" t="e">
        <f>SOps_UnderwrittenNCF/(IF('SBL Quotes'!AN32="Supplemental",FirstDebtService_IfSupp+SecondDebtService_IfSupp+ThirdDebtService_IfSupp)+(LoanAmount*SARMPayRate*365/360))</f>
        <v>#NAME?</v>
      </c>
      <c r="F8" t="e">
        <f>SOps_UnderwrittenNCF/(IF('SBL Quotes'!AN32="Supplemental",FirstDebtService_IfSupp+SecondDebtService_IfSupp+ThirdDebtService_IfSupp)+(LoanAmount*SARMPayRate*365/360))</f>
        <v>#NAME?</v>
      </c>
      <c r="W8" t="s">
        <v>3922</v>
      </c>
      <c r="X8">
        <v>0</v>
      </c>
    </row>
    <row r="9" ht="15" customHeight="1">
      <c r="B9" t="s">
        <v>294</v>
      </c>
      <c r="C9" t="s">
        <v>413</v>
      </c>
      <c r="D9" t="e">
        <f>SOps_UnderwrittenNCF/(IF('SBL Quotes'!AN32="Supplemental",FirstDebtService_IfSupp+SecondDebtService_IfSupp+ThirdDebtService_IfSupp)+AmortizingDebtService)</f>
        <v>#NAME?</v>
      </c>
      <c r="E9" t="e">
        <f>SOps_UnderwrittenNCF/(IF('SBL Quotes'!AN32="Supplemental",FirstDebtService_IfSupp+SecondDebtService_IfSupp+ThirdDebtService_IfSupp)+(LoanAmount*SARMPayConstant))</f>
        <v>#NAME?</v>
      </c>
      <c r="F9" t="e">
        <f>SOps_UnderwrittenNCF/(IF('SBL Quotes'!AN32="Supplemental",FirstDebtService_IfSupp+SecondDebtService_IfSupp+ThirdDebtService_IfSupp)+(LoanAmount*SARMPayRate)+(FixedPrinPayment*12))</f>
        <v>#NAME?</v>
      </c>
      <c r="W9" t="s">
        <v>3923</v>
      </c>
      <c r="X9">
        <v>0</v>
      </c>
    </row>
    <row r="10" ht="15" customHeight="1">
      <c r="C10" t="s">
        <v>3919</v>
      </c>
      <c r="D10" t="e">
        <f>SOps_UnderwrittenNCF/(IF('SBL Quotes'!AN32="Supplemental",FirstDebtService_IfSupp+SecondDebtService_IfSupp+ThirdDebtService_IfSupp)+AmortizingDebtService)</f>
        <v>#NAME?</v>
      </c>
      <c r="E10" t="e">
        <f>SOps_UnderwrittenNCF/(IF('SBL Quotes'!AN32="Supplemental",FirstDebtService_IfSupp+SecondDebtService_IfSupp+ThirdDebtService_IfSupp)+(LoanAmount*SARMPayConstant))</f>
        <v>#NAME?</v>
      </c>
      <c r="F10" t="e">
        <f>SOps_UnderwrittenNCF/(IF('SBL Quotes'!AN32="Supplemental",FirstDebtService_IfSupp+SecondDebtService_IfSupp+ThirdDebtService_IfSupp)+(LoanAmount*SARMPayRate)+(FixedPrinPayment*12))</f>
        <v>#NAME?</v>
      </c>
      <c r="W10" t="s">
        <v>3924</v>
      </c>
      <c r="X10">
        <v>0</v>
      </c>
    </row>
    <row r="11" ht="15.75" customHeight="1">
      <c r="C11" t="s">
        <v>3921</v>
      </c>
      <c r="D11" t="e">
        <f>SOps_UnderwrittenNCF/(IF('SBL Quotes'!AN32="Supplemental",FirstDebtService_IfSupp+SecondDebtService_IfSupp+ThirdDebtService_IfSupp)+(LoanAmount*NoteRate))</f>
        <v>#NAME?</v>
      </c>
      <c r="E11" t="e">
        <f>SOps_UnderwrittenNCF/(IF('SBL Quotes'!AN32="Supplemental",FirstDebtService_IfSupp+SecondDebtService_IfSupp+ThirdDebtService_IfSupp)+(LoanAmount*SARMPayRate))</f>
        <v>#NAME?</v>
      </c>
      <c r="F11" t="e">
        <f>SOps_UnderwrittenNCF/(IF('SBL Quotes'!AN32="Supplemental",FirstDebtService_IfSupp+SecondDebtService_IfSupp+ThirdDebtService_IfSupp)+(LoanAmount*SARMPayRate))</f>
        <v>#NAME?</v>
      </c>
      <c r="W11" t="s">
        <v>3925</v>
      </c>
      <c r="X11">
        <v>0</v>
      </c>
    </row>
    <row r="12" ht="15" customHeight="1">
      <c r="A12" t="s">
        <v>3926</v>
      </c>
      <c r="B12" t="s">
        <v>293</v>
      </c>
      <c r="C12" t="s">
        <v>413</v>
      </c>
      <c r="D12" t="s">
        <v>174</v>
      </c>
      <c r="E12" t="s">
        <v>174</v>
      </c>
      <c r="F12" t="s">
        <v>174</v>
      </c>
      <c r="H12" t="str">
        <f t="shared" si="0"/>
        <v>UW NCF DSCR IO</v>
      </c>
      <c r="J12" t="e">
        <f>IF(AND(Interest_Rate_Type="Fixed",Interest_Calc="Actual/360"),IF(InterestOnly=Term,'C&amp;D Data Inputs'!D14,IF(InterestOnly=0,'C&amp;D Data Inputs'!D12,'C&amp;D Data Inputs'!D13)),IF(AND(Interest_Rate_Type="Fixed",Interest_Calc="30/360"),IF(InterestOnly=Term,'C&amp;D Data Inputs'!D17,IF(InterestOnly=0,'C&amp;D Data Inputs'!D15,'C&amp;D Data Inputs'!D16))))</f>
        <v>#NAME?</v>
      </c>
      <c r="L12" t="b">
        <f>IF(AND(Interest_Rate_Type="Variable: ARM 7-6",Interest_Calc="Actual/360"),IF(InterestOnly=Term,'C&amp;D Data Inputs'!E14,IF(InterestOnly=0,'C&amp;D Data Inputs'!E12,'C&amp;D Data Inputs'!E13)),IF(AND(Interest_Rate_Type="Variable: ARM 7-6",Interest_Calc="30/360"),IF(InterestOnly=Term,'C&amp;D Data Inputs'!E17,IF(InterestOnly=0,'C&amp;D Data Inputs'!E15,'C&amp;D Data Inputs'!E16))))</f>
        <v>0</v>
      </c>
      <c r="N12" t="b">
        <f>IF(AND(Interest_Rate_Type="Variable: SARM",Interest_Calc="Actual/360"),IF(InterestOnly=Term,'C&amp;D Data Inputs'!F14,IF(InterestOnly=0,'C&amp;D Data Inputs'!F12,'C&amp;D Data Inputs'!F13)),IF(AND(Interest_Rate_Type="Variable: SARM",Interest_Calc="30/360"),IF(InterestOnly=Term,'C&amp;D Data Inputs'!F17,IF(InterestOnly=0,'C&amp;D Data Inputs'!F15,'C&amp;D Data Inputs'!F16))))</f>
        <v>0</v>
      </c>
      <c r="Q12" t="str">
        <f t="shared" si="1"/>
        <v>UW NCF DSCR IO</v>
      </c>
      <c r="S12" t="e">
        <f t="shared" si="2"/>
        <v>#NAME?</v>
      </c>
      <c r="W12" t="s">
        <v>3927</v>
      </c>
      <c r="X12">
        <v>0</v>
      </c>
    </row>
    <row r="13" ht="15" customHeight="1">
      <c r="C13" t="s">
        <v>3919</v>
      </c>
      <c r="D13" t="e">
        <f>SOps_UnderwrittenNCF/(IF('SBL Quotes'!AN32="Supplemental",FirstDebtService_IfSupp+SecondDebtService_IfSupp+ThirdDebtService_IfSupp)+(LoanAmount*(NoteRate*365/360)))</f>
        <v>#NAME?</v>
      </c>
      <c r="E13" t="e">
        <f>SOps_UnderwrittenNCF/(IF('SBL Quotes'!AN32="Supplemental",FirstDebtService_IfSupp+SecondDebtService_IfSupp+ThirdDebtService_IfSupp)+(LoanAmount*SARMPayRate*365/360))</f>
        <v>#NAME?</v>
      </c>
      <c r="F13" t="e">
        <f>SOps_UnderwrittenNCF/(IF('SBL Quotes'!AN32="Supplemental",FirstDebtService_IfSupp+SecondDebtService_IfSupp+ThirdDebtService_IfSupp)+(LoanAmount*SARMPayRate*365/360))</f>
        <v>#NAME?</v>
      </c>
      <c r="W13" t="s">
        <v>3928</v>
      </c>
      <c r="X13">
        <v>0</v>
      </c>
    </row>
    <row r="14" ht="15.75" customHeight="1">
      <c r="C14" t="s">
        <v>3921</v>
      </c>
      <c r="D14" t="e">
        <f>SOps_UnderwrittenNCF/(IF('SBL Quotes'!AN32="Supplemental",FirstDebtService_IfSupp+SecondDebtService_IfSupp+ThirdDebtService_IfSupp)+(LoanAmount*(NoteRate*365/360)))</f>
        <v>#NAME?</v>
      </c>
      <c r="E14" t="e">
        <f>SOps_UnderwrittenNCF/(IF('SBL Quotes'!AN32="Supplemental",FirstDebtService_IfSupp+SecondDebtService_IfSupp+ThirdDebtService_IfSupp)+(LoanAmount*SARMPayRate*365/360))</f>
        <v>#NAME?</v>
      </c>
      <c r="F14" t="e">
        <f>SOps_UnderwrittenNCF/(IF('SBL Quotes'!AN32="Supplemental",FirstDebtService_IfSupp+SecondDebtService_IfSupp+ThirdDebtService_IfSupp)+(LoanAmount*SARMPayRate*365/360))</f>
        <v>#NAME?</v>
      </c>
    </row>
    <row r="15" ht="15" customHeight="1">
      <c r="B15" t="s">
        <v>294</v>
      </c>
      <c r="C15" t="s">
        <v>413</v>
      </c>
      <c r="D15" t="s">
        <v>174</v>
      </c>
      <c r="E15" t="s">
        <v>174</v>
      </c>
      <c r="F15" t="s">
        <v>174</v>
      </c>
    </row>
    <row r="16" ht="15" customHeight="1">
      <c r="C16" t="s">
        <v>3919</v>
      </c>
      <c r="D16" t="e">
        <f>SOps_UnderwrittenNCF/(IF('SBL Quotes'!AN32="Supplemental",FirstDebtService_IfSupp+SecondDebtService_IfSupp+ThirdDebtService_IfSupp)+(LoanAmount*NoteRate))</f>
        <v>#NAME?</v>
      </c>
      <c r="E16" t="e">
        <f>SOps_UnderwrittenNCF/(IF('SBL Quotes'!AN32="Supplemental",FirstDebtService_IfSupp+SecondDebtService_IfSupp+ThirdDebtService_IfSupp)+(LoanAmount*SARMPayRate))</f>
        <v>#NAME?</v>
      </c>
      <c r="F16" t="e">
        <f>SOps_UnderwrittenNCF/(IF('SBL Quotes'!AN32="Supplemental",FirstDebtService_IfSupp+SecondDebtService_IfSupp+ThirdDebtService_IfSupp)+(LoanAmount*SARMPayRate))</f>
        <v>#NAME?</v>
      </c>
    </row>
    <row r="17" ht="15.75" customHeight="1">
      <c r="C17" t="s">
        <v>3921</v>
      </c>
      <c r="D17" t="e">
        <f>SOps_UnderwrittenNCF/(IF('SBL Quotes'!AN32="Supplemental",FirstDebtService_IfSupp+SecondDebtService_IfSupp+ThirdDebtService_IfSupp)+(LoanAmount*NoteRate))</f>
        <v>#NAME?</v>
      </c>
      <c r="E17" t="e">
        <f>SOps_UnderwrittenNCF/(IF('SBL Quotes'!AN32="Supplemental",FirstDebtService_IfSupp+SecondDebtService_IfSupp+ThirdDebtService_IfSupp)+(LoanAmount*SARMPayRate))</f>
        <v>#NAME?</v>
      </c>
      <c r="F17" t="e">
        <f>SOps_UnderwrittenNCF/(IF('SBL Quotes'!AN32="Supplemental",FirstDebtService_IfSupp+SecondDebtService_IfSupp+ThirdDebtService_IfSupp)+(LoanAmount*SARMPayRate))</f>
        <v>#NAME?</v>
      </c>
    </row>
    <row r="18" ht="15" customHeight="1">
      <c r="A18" t="s">
        <v>3929</v>
      </c>
      <c r="B18" t="s">
        <v>293</v>
      </c>
      <c r="C18" t="s">
        <v>413</v>
      </c>
      <c r="D18" t="e">
        <f>SOps_UnderwrittenNCF/(IF('SBL Quotes'!AN32="Supplemental",FirstDebtService_IfSupp+SecondDebtService_IfSupp+ThirdDebtService_IfSupp)+(AmortizingDebtService+SUM(B1+B2)))</f>
        <v>#NAME?</v>
      </c>
      <c r="E18" t="e">
        <f>SOps_UnderwrittenNCF/(IF('SBL Quotes'!AN32="Supplemental",FirstDebtService_IfSupp+SecondDebtService_IfSupp+ThirdDebtService_IfSupp)+(LoanAmount*SARMPayConstant)+SUM(B1:B2))</f>
        <v>#NAME?</v>
      </c>
      <c r="F18" t="e">
        <f>SOps_UnderwrittenNCF/(IF('SBL Quotes'!AN32="Supplemental",FirstDebtService_IfSupp+SecondDebtService_IfSupp+ThirdDebtService_IfSupp)+(LoanAmount*SARMPayRate*365/360)+(FixedPrinPayment*12)+SUM(B1:B2))</f>
        <v>#NAME?</v>
      </c>
      <c r="H18" t="str">
        <f t="shared" si="0"/>
        <v>UW NCF DSCR ALL IN</v>
      </c>
      <c r="J18" t="e">
        <f>IF(AND(Interest_Rate_Type="Fixed",Interest_Calc="Actual/360"),IF(InterestOnly=Term,'C&amp;D Data Inputs'!D20,IF(InterestOnly=0,'C&amp;D Data Inputs'!D18,'C&amp;D Data Inputs'!D19)),IF(AND(Interest_Rate_Type="Fixed",Interest_Calc="30/360"),IF(InterestOnly=Term,'C&amp;D Data Inputs'!D23,IF(InterestOnly=0,'C&amp;D Data Inputs'!D21,'C&amp;D Data Inputs'!D22))))</f>
        <v>#NAME?</v>
      </c>
      <c r="L18" t="b">
        <f>IF(AND(Interest_Rate_Type="Variable: ARM 7-6",Interest_Calc="Actual/360"),IF(InterestOnly=Term,'C&amp;D Data Inputs'!E20,IF(InterestOnly=0,'C&amp;D Data Inputs'!E18,'C&amp;D Data Inputs'!E19)),IF(AND(Interest_Rate_Type="Variable: ARM 7-6",Interest_Calc="30/360"),IF(InterestOnly=Term,'C&amp;D Data Inputs'!E23,IF(InterestOnly=0,'C&amp;D Data Inputs'!E21,'C&amp;D Data Inputs'!E22))))</f>
        <v>0</v>
      </c>
      <c r="N18" t="b">
        <f>IF(AND(Interest_Rate_Type="Variable: SARM",Interest_Calc="Actual/360"),IF(InterestOnly=Term,'C&amp;D Data Inputs'!F20,IF(InterestOnly=0,'C&amp;D Data Inputs'!F18,'C&amp;D Data Inputs'!F19)),IF(AND(Interest_Rate_Type="Variable: SARM",Interest_Calc="30/360"),IF(InterestOnly=Term,'C&amp;D Data Inputs'!F23,IF(InterestOnly=0,'C&amp;D Data Inputs'!F21,'C&amp;D Data Inputs'!F22))))</f>
        <v>0</v>
      </c>
      <c r="Q18" t="str">
        <f t="shared" si="1"/>
        <v>UW NCF DSCR ALL IN</v>
      </c>
      <c r="S18" t="e">
        <f t="shared" si="2"/>
        <v>#NAME?</v>
      </c>
    </row>
    <row r="19" ht="15" customHeight="1">
      <c r="C19" t="s">
        <v>3919</v>
      </c>
      <c r="D19" t="e">
        <f>SOps_UnderwrittenNCF/(IF('SBL Quotes'!AN32="Supplemental",FirstDebtService_IfSupp+SecondDebtService_IfSupp+ThirdDebtService_IfSupp)+(LoanAmount*NoteConstant)+SUM(B1:B2))</f>
        <v>#NAME?</v>
      </c>
      <c r="E19" t="e">
        <f>SOps_UnderwrittenNCF/(IF('SBL Quotes'!AN32="Supplemental",FirstDebtService_IfSupp+SecondDebtService_IfSupp+ThirdDebtService_IfSupp)+(LoanAmount*SARMPayConstant)+SUM(B1:B2))</f>
        <v>#NAME?</v>
      </c>
      <c r="F19" t="e">
        <f>SOps_UnderwrittenNCF/(IF('SBL Quotes'!AN32="Supplemental",FirstDebtService_IfSupp+SecondDebtService_IfSupp+ThirdDebtService_IfSupp)+(LoanAmount*SARMPayRate*365/360)+(FixedPrinPayment*12)+SUM(B1:B2))</f>
        <v>#NAME?</v>
      </c>
    </row>
    <row r="20" ht="15.75" customHeight="1">
      <c r="C20" t="s">
        <v>3921</v>
      </c>
      <c r="D20" t="e">
        <f>SOps_UnderwrittenNCF/(IF('SBL Quotes'!AN32="Supplemental",FirstDebtService_IfSupp+SecondDebtService_IfSupp+ThirdDebtService_IfSupp)+(LoanAmount*(NoteConstant*365/360))+SUM(B1:B2))</f>
        <v>#NAME?</v>
      </c>
      <c r="E20" t="e">
        <f>SOps_UnderwrittenNCF/(IF('SBL Quotes'!AN32="Supplemental",FirstDebtService_IfSupp+SecondDebtService_IfSupp+ThirdDebtService_IfSupp)+(LoanAmount*SARMPayRate*365/360)+SUM(B1:B2))</f>
        <v>#NAME?</v>
      </c>
      <c r="F20" t="e">
        <f>SOps_UnderwrittenNCF/(IF('SBL Quotes'!AN32="Supplemental",FirstDebtService_IfSupp+SecondDebtService_IfSupp+ThirdDebtService_IfSupp)+(LoanAmount*SARMPayRate*365/360)+SUM(B1:B2))</f>
        <v>#NAME?</v>
      </c>
    </row>
    <row r="21" ht="15" customHeight="1">
      <c r="B21" t="s">
        <v>294</v>
      </c>
      <c r="C21" t="s">
        <v>413</v>
      </c>
      <c r="D21" t="e">
        <f>SOps_UnderwrittenNCF/(IF('SBL Quotes'!AN32="Supplemental",FirstDebtService_IfSupp+SecondDebtService_IfSupp+ThirdDebtService_IfSupp)+(AmortizingDebtService+SUM(B1+B2)))</f>
        <v>#NAME?</v>
      </c>
      <c r="E21" t="e">
        <f>SOps_UnderwrittenNCF/(IF('SBL Quotes'!AN32="Supplemental",FirstDebtService_IfSupp+SecondDebtService_IfSupp+ThirdDebtService_IfSupp)+(LoanAmount*SARMPayConstant)+SUM(B1:B2))</f>
        <v>#NAME?</v>
      </c>
      <c r="F21" t="e">
        <f>SOps_UnderwrittenNCF/(IF('SBL Quotes'!AN32="Supplemental",FirstDebtService_IfSupp+SecondDebtService_IfSupp+ThirdDebtService_IfSupp)+(LoanAmount*SARMPayRate)+(FixedPrinPayment*12)+SUM(B1:B2))</f>
        <v>#NAME?</v>
      </c>
    </row>
    <row r="22" ht="15" customHeight="1">
      <c r="C22" t="s">
        <v>3919</v>
      </c>
      <c r="D22" t="e">
        <f>SOps_UnderwrittenNCF/(IF('SBL Quotes'!AN32="Supplemental",FirstDebtService_IfSupp+SecondDebtService_IfSupp+ThirdDebtService_IfSupp)+(LoanAmount*NoteConstant)+SUM(B1:B2))</f>
        <v>#NAME?</v>
      </c>
      <c r="E22" t="e">
        <f>SOps_UnderwrittenNCF/(IF('SBL Quotes'!AN32="Supplemental",FirstDebtService_IfSupp+SecondDebtService_IfSupp+ThirdDebtService_IfSupp)+(LoanAmount*SARMPayConstant)+SUM(B1:B2))</f>
        <v>#NAME?</v>
      </c>
      <c r="F22" t="e">
        <f>SOps_UnderwrittenNCF/(IF('SBL Quotes'!AN32="Supplemental",FirstDebtService_IfSupp+SecondDebtService_IfSupp+ThirdDebtService_IfSupp)+(LoanAmount*SARMPayRate)+(FixedPrinPayment*12)+SUM(B1:B2))</f>
        <v>#NAME?</v>
      </c>
    </row>
    <row r="23" ht="15.75" customHeight="1">
      <c r="C23" t="s">
        <v>3921</v>
      </c>
      <c r="D23" t="e">
        <f>SOps_UnderwrittenNCF/(IF('SBL Quotes'!AN32="Supplemental",FirstDebtService_IfSupp+SecondDebtService_IfSupp+ThirdDebtService_IfSupp)+(LoanAmount*NoteConstant)+SUM(B1:B2))</f>
        <v>#NAME?</v>
      </c>
      <c r="E23" t="e">
        <f>SOps_UnderwrittenNCF/(IF('SBL Quotes'!AN32="Supplemental",FirstDebtService_IfSupp+SecondDebtService_IfSupp+ThirdDebtService_IfSupp)+(LoanAmount*SARMPayRate)+SUM(B1:B2))</f>
        <v>#NAME?</v>
      </c>
      <c r="F23" t="e">
        <f>SOps_UnderwrittenNCF/(IF('SBL Quotes'!AN32="Supplemental",FirstDebtService_IfSupp+SecondDebtService_IfSupp+ThirdDebtService_IfSupp)+(LoanAmount*SARMPayRate)+SUM(B1:B2))</f>
        <v>#NAME?</v>
      </c>
    </row>
    <row r="24" ht="15" customHeight="1">
      <c r="A24" t="s">
        <v>3930</v>
      </c>
      <c r="B24" t="s">
        <v>293</v>
      </c>
      <c r="C24" t="s">
        <v>413</v>
      </c>
      <c r="E24" t="e">
        <f>SOps_UnderwrittenNCF/(IF('SBL Quotes'!AN32="Supplemental",FirstDebtService_IfSupp+SecondDebtService_IfSupp+ThirdDebtService_IfSupp)+(LoanAmount*SARMStressConstant))</f>
        <v>#NAME?</v>
      </c>
      <c r="F24" t="e">
        <f>SOps_UnderwrittenNCF/(IF('SBL Quotes'!AN32="Supplemental",FirstDebtService_IfSupp+SecondDebtService_IfSupp+ThirdDebtService_IfSupp)+(LoanAmount*((B3+SARMInvestorSpread+SARMGuarantyFee+SARMServicingFee)*365/360))+(FixedPrinPayment*12))</f>
        <v>#NAME?</v>
      </c>
      <c r="H24" t="str">
        <f t="shared" si="0"/>
        <v>UW NCF DSCR at Cap</v>
      </c>
      <c r="J24" t="e">
        <f>IF(AND(Interest_Rate_Type="Fixed",Interest_Calc="Actual/360"),IF(InterestOnly=Term,'C&amp;D Data Inputs'!D26,IF(InterestOnly=0,'C&amp;D Data Inputs'!D24,'C&amp;D Data Inputs'!D25)),IF(AND(Interest_Rate_Type="Fixed",Interest_Calc="30/360"),IF(InterestOnly=Term,'C&amp;D Data Inputs'!D29,IF(InterestOnly=0,'C&amp;D Data Inputs'!D27,'C&amp;D Data Inputs'!D28))))</f>
        <v>#NAME?</v>
      </c>
      <c r="L24" t="b">
        <f>IF(AND(Interest_Rate_Type="Variable: ARM 7-6",Interest_Calc="Actual/360"),IF(InterestOnly=Term,'C&amp;D Data Inputs'!E26,IF(InterestOnly=0,'C&amp;D Data Inputs'!E24,'C&amp;D Data Inputs'!E25)),IF(AND(Interest_Rate_Type="Variable: ARM 7-6",Interest_Calc="30/360"),IF(InterestOnly=Term,'C&amp;D Data Inputs'!E29,IF(InterestOnly=0,'C&amp;D Data Inputs'!E27,'C&amp;D Data Inputs'!E28))))</f>
        <v>0</v>
      </c>
      <c r="N24" t="b">
        <f>IF(AND(Interest_Rate_Type="Variable: SARM",Interest_Calc="Actual/360"),IF(InterestOnly=Term,'C&amp;D Data Inputs'!F26,IF(InterestOnly=0,'C&amp;D Data Inputs'!F24,'C&amp;D Data Inputs'!F25)),IF(AND(Interest_Rate_Type="Variable: SARM",Interest_Calc="30/360"),IF(InterestOnly=Term,'C&amp;D Data Inputs'!F29,IF(InterestOnly=0,'C&amp;D Data Inputs'!F27,'C&amp;D Data Inputs'!F28))))</f>
        <v>0</v>
      </c>
      <c r="Q24" t="str">
        <f t="shared" si="1"/>
        <v>UW NCF DSCR at Cap</v>
      </c>
      <c r="S24" t="e">
        <f t="shared" si="2"/>
        <v>#NAME?</v>
      </c>
    </row>
    <row r="25" ht="15" customHeight="1">
      <c r="C25" t="s">
        <v>3919</v>
      </c>
      <c r="E25" t="e">
        <f>SOps_UnderwrittenNCF/(IF('SBL Quotes'!AN32="Supplemental",FirstDebtService_IfSupp+SecondDebtService_IfSupp+ThirdDebtService_IfSupp)+(LoanAmount*SARMStressConstant))</f>
        <v>#NAME?</v>
      </c>
      <c r="F25" t="e">
        <f>SOps_UnderwrittenNCF/(IF('SBL Quotes'!AN32="Supplemental",FirstDebtService_IfSupp+SecondDebtService_IfSupp+ThirdDebtService_IfSupp)+(LoanAmount*((B3+SARMInvestorSpread+SARMGuarantyFee+SARMServicingFee)*365/360)))</f>
        <v>#NAME?</v>
      </c>
    </row>
    <row r="26" ht="15.75" customHeight="1">
      <c r="C26" t="s">
        <v>3921</v>
      </c>
      <c r="E26" t="e">
        <f>SOps_UnderwrittenNCF/(IF('SBL Quotes'!AN32="Supplemental",FirstDebtService_IfSupp+SecondDebtService_IfSupp+ThirdDebtService_IfSupp)+(LoanAmount*SARMStressRate*365/360))</f>
        <v>#NAME?</v>
      </c>
      <c r="F26" t="e">
        <f>SOps_UnderwrittenNCF/(IF('SBL Quotes'!AN32="Supplemental",FirstDebtService_IfSupp+SecondDebtService_IfSupp+ThirdDebtService_IfSupp)+(LoanAmount*((B3+SARMInvestorSpread+SARMGuarantyFee+SARMServicingFee)*365/360)))</f>
        <v>#NAME?</v>
      </c>
    </row>
    <row r="27" ht="15" customHeight="1">
      <c r="B27" t="s">
        <v>294</v>
      </c>
      <c r="C27" t="s">
        <v>413</v>
      </c>
      <c r="E27" t="e">
        <f>SOps_UnderwrittenNCF/(IF('SBL Quotes'!AN32="Supplemental",FirstDebtService_IfSupp+SecondDebtService_IfSupp+ThirdDebtService_IfSupp)+(LoanAmount*SARMStressConstant))</f>
        <v>#NAME?</v>
      </c>
      <c r="F27" t="e">
        <f>SOps_UnderwrittenNCF/(IF('SBL Quotes'!AN32="Supplemental",FirstDebtService_IfSupp+SecondDebtService_IfSupp+ThirdDebtService_IfSupp)+(LoanAmount*(B3+SARMInvestorSpread+SARMGuarantyFee+SARMServicingFee))+(FixedPrinPayment*12))</f>
        <v>#NAME?</v>
      </c>
    </row>
    <row r="28" ht="15" customHeight="1">
      <c r="C28" t="s">
        <v>3919</v>
      </c>
      <c r="E28" t="e">
        <f>SOps_UnderwrittenNCF/(IF('SBL Quotes'!AN32="Supplemental",FirstDebtService_IfSupp+SecondDebtService_IfSupp+ThirdDebtService_IfSupp)+(LoanAmount*SARMStressConstant))</f>
        <v>#NAME?</v>
      </c>
      <c r="F28" t="e">
        <f>SOps_UnderwrittenNCF/(IF('SBL Quotes'!AN32="Supplemental",FirstDebtService_IfSupp+SecondDebtService_IfSupp+ThirdDebtService_IfSupp)+(LoanAmount*(B3+SARMInvestorSpread+SARMGuarantyFee+SARMServicingFee)))</f>
        <v>#NAME?</v>
      </c>
    </row>
    <row r="29" ht="15.75" customHeight="1">
      <c r="C29" t="s">
        <v>3921</v>
      </c>
      <c r="E29" t="e">
        <f>SOps_UnderwrittenNCF/(IF('SBL Quotes'!AN32="Supplemental",FirstDebtService_IfSupp+SecondDebtService_IfSupp+ThirdDebtService_IfSupp)+(LoanAmount*SARMStressRate))</f>
        <v>#NAME?</v>
      </c>
      <c r="F29" t="e">
        <f>SOps_UnderwrittenNCF/(IF('SBL Quotes'!AN32="Supplemental",FirstDebtService_IfSupp+SecondDebtService_IfSupp+ThirdDebtService_IfSupp)+(LoanAmount*(B3+SARMInvestorSpread+SARMGuarantyFee+SARMServicingFee)))</f>
        <v>#NAME?</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1A7AE75D-295C-F33B-9CB2-9850AA216EF7}" mc:Ignorable="x14ac xr xr2 xr3">
  <dimension ref="A1:AC77"/>
  <sheetViews>
    <sheetView topLeftCell="A1" workbookViewId="0">
      <selection activeCell="A1" sqref="A1"/>
    </sheetView>
  </sheetViews>
  <sheetFormatPr defaultRowHeight="14.002500000000003" defaultColWidth="9.140625" customHeight="1"/>
  <cols>
    <col min="1" max="1" width="7.57421875" customWidth="1"/>
    <col min="2" max="2" width="20.57421875" customWidth="1"/>
    <col min="3" max="3" width="55.7109375" customWidth="1"/>
    <col min="4" max="4" width="17.28125" customWidth="1"/>
    <col min="5" max="5" width="19.00390625" customWidth="1"/>
    <col min="6" max="6" width="9.00390625" customWidth="1"/>
    <col min="7" max="7" width="10.140625" customWidth="1"/>
    <col min="8" max="8" width="39.57421875" customWidth="1"/>
    <col min="9" max="9" width="8.8515625" customWidth="1"/>
    <col min="10" max="10" width="14.140625" customWidth="1"/>
    <col min="11" max="11" width="35.57421875" customWidth="1"/>
    <col min="12" max="12" width="136.57421875" customWidth="1"/>
    <col min="13" max="13" width="33.57421875" customWidth="1"/>
    <col min="14" max="14" width="15.57421875" customWidth="1"/>
    <col min="15" max="15" width="7.00390625" customWidth="1"/>
    <col min="16" max="16" width="6.28125" customWidth="1"/>
    <col min="17" max="17" width="24.57421875" customWidth="1"/>
    <col min="18" max="18" width="64.140625" customWidth="1"/>
    <col min="19" max="19" width="11.8515625" customWidth="1"/>
    <col min="20" max="20" width="5.8515625" customWidth="1"/>
    <col min="23" max="23" width="5.8515625" customWidth="1"/>
  </cols>
  <sheetData>
    <row r="1" ht="34.5" customHeight="1">
      <c r="A1" t="s">
        <v>3931</v>
      </c>
      <c r="B1" t="s">
        <v>3932</v>
      </c>
      <c r="C1" t="s">
        <v>3933</v>
      </c>
      <c r="D1" t="s">
        <v>3934</v>
      </c>
      <c r="E1" t="s">
        <v>3935</v>
      </c>
      <c r="F1" t="s">
        <v>3936</v>
      </c>
      <c r="G1" t="s">
        <v>3937</v>
      </c>
      <c r="H1" t="s">
        <v>3938</v>
      </c>
      <c r="I1" t="s">
        <v>3939</v>
      </c>
      <c r="J1" t="s">
        <v>3940</v>
      </c>
      <c r="K1" t="s">
        <v>3941</v>
      </c>
      <c r="L1" t="s">
        <v>3942</v>
      </c>
      <c r="M1" t="s">
        <v>3943</v>
      </c>
      <c r="N1" t="s">
        <v>3944</v>
      </c>
      <c r="O1" t="s">
        <v>3945</v>
      </c>
      <c r="P1" t="s">
        <v>3946</v>
      </c>
      <c r="Q1" t="s">
        <v>3947</v>
      </c>
      <c r="R1" t="s">
        <v>3948</v>
      </c>
      <c r="S1" t="s">
        <v>3949</v>
      </c>
    </row>
    <row r="2" ht="14.25" customHeight="1">
      <c r="A2">
        <v>1</v>
      </c>
      <c r="B2" t="s">
        <v>3950</v>
      </c>
      <c r="C2" t="s">
        <v>504</v>
      </c>
      <c r="D2" t="s">
        <v>3951</v>
      </c>
      <c r="E2" t="str">
        <f t="shared" si="0" ref="E2:E77">GetA1</f>
        <v>'Form 4662'!$H$3</v>
      </c>
      <c r="F2" t="str">
        <f t="shared" si="1" ref="F2:F77">GetR1C1</f>
        <v>R3C8</v>
      </c>
      <c r="G2" t="s">
        <v>3954</v>
      </c>
      <c r="H2" t="s">
        <v>3954</v>
      </c>
      <c r="I2" t="b">
        <v>0</v>
      </c>
      <c r="J2">
        <v>0</v>
      </c>
      <c r="K2" t="s">
        <v>571</v>
      </c>
      <c r="M2" t="str">
        <f>DL_NM</f>
        <v>XXXX</v>
      </c>
      <c r="Q2">
        <f t="shared" si="2" ref="Q2:Q77">IF(OR($N2="",$O2="",$P2=""),"","="&amp;ADDRESS($P2,COLUMN(INDIRECT($O2&amp;":"&amp;$O2)),1,TRUE,$N2))</f>
      </c>
    </row>
    <row r="3" ht="14.25" customHeight="1">
      <c r="A3">
        <v>2</v>
      </c>
      <c r="B3" t="s">
        <v>3950</v>
      </c>
      <c r="C3" t="s">
        <v>3955</v>
      </c>
      <c r="D3" t="s">
        <v>3956</v>
      </c>
      <c r="E3" t="str">
        <f t="shared" si="0"/>
        <v>'Form 4662'!$O$4</v>
      </c>
      <c r="F3" t="str">
        <f t="shared" si="1"/>
        <v>R4C15</v>
      </c>
      <c r="G3" t="s">
        <v>3959</v>
      </c>
      <c r="H3" t="s">
        <v>3960</v>
      </c>
      <c r="I3" t="b">
        <v>1</v>
      </c>
      <c r="J3">
        <v>7</v>
      </c>
      <c r="K3" t="s">
        <v>3961</v>
      </c>
      <c r="L3" t="s">
        <v>3962</v>
      </c>
      <c r="M3">
        <f>CMT_NBR</f>
        <v>0</v>
      </c>
      <c r="Q3">
        <f t="shared" si="2"/>
      </c>
    </row>
    <row r="4" ht="14.25" customHeight="1">
      <c r="A4">
        <v>4</v>
      </c>
      <c r="B4" t="s">
        <v>3950</v>
      </c>
      <c r="C4" t="s">
        <v>3963</v>
      </c>
      <c r="D4" t="s">
        <v>3964</v>
      </c>
      <c r="E4" t="str">
        <f t="shared" si="0"/>
        <v>'Form 4662'!$O$5</v>
      </c>
      <c r="F4" t="str">
        <f t="shared" si="1"/>
        <v>R5C15</v>
      </c>
      <c r="G4" t="s">
        <v>3954</v>
      </c>
      <c r="H4" t="s">
        <v>3954</v>
      </c>
      <c r="I4" t="b">
        <v>1</v>
      </c>
      <c r="J4">
        <v>6</v>
      </c>
      <c r="K4" t="s">
        <v>3967</v>
      </c>
      <c r="L4" t="s">
        <v>3968</v>
      </c>
      <c r="M4">
        <f>PL_NBR</f>
        <v>0</v>
      </c>
      <c r="Q4">
        <f t="shared" si="2"/>
      </c>
    </row>
    <row r="5" ht="14.25" customHeight="1">
      <c r="A5">
        <v>12</v>
      </c>
      <c r="B5" t="s">
        <v>1870</v>
      </c>
      <c r="C5" t="s">
        <v>185</v>
      </c>
      <c r="D5" t="s">
        <v>3969</v>
      </c>
      <c r="E5" t="str">
        <f t="shared" si="0"/>
        <v>'Form 4662'!$AI$3</v>
      </c>
      <c r="F5" t="str">
        <f t="shared" si="1"/>
        <v>R3C35</v>
      </c>
      <c r="G5" t="s">
        <v>3954</v>
      </c>
      <c r="H5" t="s">
        <v>3954</v>
      </c>
      <c r="I5" t="b">
        <v>0</v>
      </c>
      <c r="J5">
        <v>0</v>
      </c>
      <c r="K5" t="s">
        <v>571</v>
      </c>
      <c r="M5" t="str">
        <f>LNDR_NM</f>
        <v>Walker &amp; Dunlop, LLC</v>
      </c>
      <c r="Q5">
        <f t="shared" si="2"/>
      </c>
    </row>
    <row r="6" ht="14.25" customHeight="1">
      <c r="A6">
        <v>24</v>
      </c>
      <c r="B6" t="s">
        <v>2003</v>
      </c>
      <c r="C6" t="s">
        <v>265</v>
      </c>
      <c r="D6" t="s">
        <v>3972</v>
      </c>
      <c r="E6" t="str">
        <f t="shared" si="0"/>
        <v>'Form 4662'!$H$8</v>
      </c>
      <c r="F6" t="str">
        <f t="shared" si="1"/>
        <v>R8C8</v>
      </c>
      <c r="G6" t="s">
        <v>3954</v>
      </c>
      <c r="H6" t="s">
        <v>3954</v>
      </c>
      <c r="I6" t="b">
        <v>0</v>
      </c>
      <c r="J6">
        <v>0</v>
      </c>
      <c r="K6" t="s">
        <v>571</v>
      </c>
      <c r="M6" t="str">
        <f>PROP_NM</f>
        <v>XXXX</v>
      </c>
      <c r="Q6">
        <f t="shared" si="2"/>
      </c>
    </row>
    <row r="7" ht="14.25" customHeight="1">
      <c r="A7">
        <v>31</v>
      </c>
      <c r="B7" t="s">
        <v>2003</v>
      </c>
      <c r="C7" t="s">
        <v>201</v>
      </c>
      <c r="D7" t="s">
        <v>3975</v>
      </c>
      <c r="E7" t="str">
        <f t="shared" si="0"/>
        <v>'Form 4662'!$H$9</v>
      </c>
      <c r="F7" t="str">
        <f t="shared" si="1"/>
        <v>R9C8</v>
      </c>
      <c r="G7" t="s">
        <v>3954</v>
      </c>
      <c r="H7" t="s">
        <v>3954</v>
      </c>
      <c r="I7" t="b">
        <v>1</v>
      </c>
      <c r="J7">
        <v>3</v>
      </c>
      <c r="K7" t="s">
        <v>3978</v>
      </c>
      <c r="L7" t="s">
        <v>3979</v>
      </c>
      <c r="M7" t="str">
        <f>PROP_TYP</f>
        <v>Multifamily</v>
      </c>
      <c r="Q7">
        <f t="shared" si="2"/>
      </c>
    </row>
    <row r="8" ht="14.25" customHeight="1">
      <c r="A8">
        <v>32</v>
      </c>
      <c r="B8" t="s">
        <v>2003</v>
      </c>
      <c r="C8" t="s">
        <v>208</v>
      </c>
      <c r="D8" t="s">
        <v>3980</v>
      </c>
      <c r="E8" t="str">
        <f t="shared" si="0"/>
        <v>'Form 4662'!$U$9</v>
      </c>
      <c r="F8" t="str">
        <f t="shared" si="1"/>
        <v>R9C21</v>
      </c>
      <c r="G8" t="s">
        <v>3954</v>
      </c>
      <c r="H8" t="s">
        <v>3954</v>
      </c>
      <c r="I8" t="b">
        <v>1</v>
      </c>
      <c r="J8">
        <v>3</v>
      </c>
      <c r="K8" t="s">
        <v>3978</v>
      </c>
      <c r="L8" t="s">
        <v>3983</v>
      </c>
      <c r="M8" t="str">
        <f>BLDG_TYP</f>
        <v>Select</v>
      </c>
      <c r="Q8">
        <f t="shared" si="2"/>
      </c>
    </row>
    <row r="9" ht="14.25" customHeight="1">
      <c r="A9">
        <v>33</v>
      </c>
      <c r="B9" t="s">
        <v>2003</v>
      </c>
      <c r="C9" t="s">
        <v>3984</v>
      </c>
      <c r="D9" t="s">
        <v>3985</v>
      </c>
      <c r="E9" t="str">
        <f t="shared" si="0"/>
        <v>'Form 4662'!$U$10</v>
      </c>
      <c r="F9" t="str">
        <f t="shared" si="1"/>
        <v>R10C21</v>
      </c>
      <c r="G9" t="s">
        <v>3959</v>
      </c>
      <c r="H9" t="s">
        <v>3954</v>
      </c>
      <c r="I9" t="b">
        <v>1</v>
      </c>
      <c r="J9">
        <v>1</v>
      </c>
      <c r="K9" t="s">
        <v>3988</v>
      </c>
      <c r="L9" t="s">
        <v>3989</v>
      </c>
      <c r="M9">
        <f>BLDG_CNT</f>
        <v>24</v>
      </c>
      <c r="Q9">
        <f t="shared" si="2"/>
      </c>
    </row>
    <row r="10" ht="14.25" customHeight="1">
      <c r="A10">
        <v>34</v>
      </c>
      <c r="B10" t="s">
        <v>2003</v>
      </c>
      <c r="C10" t="s">
        <v>3990</v>
      </c>
      <c r="D10" t="s">
        <v>3991</v>
      </c>
      <c r="E10" t="str">
        <f t="shared" si="0"/>
        <v>'Form 4662'!$O$17</v>
      </c>
      <c r="F10" t="str">
        <f t="shared" si="1"/>
        <v>R17C15</v>
      </c>
      <c r="G10" t="s">
        <v>3959</v>
      </c>
      <c r="H10" t="s">
        <v>3960</v>
      </c>
      <c r="I10" t="b">
        <v>1</v>
      </c>
      <c r="J10">
        <v>1</v>
      </c>
      <c r="K10" t="s">
        <v>3988</v>
      </c>
      <c r="L10" t="s">
        <v>3989</v>
      </c>
      <c r="M10">
        <f>RES_AREA</f>
        <v>84991</v>
      </c>
      <c r="Q10">
        <f t="shared" si="2"/>
      </c>
    </row>
    <row r="11" ht="14.25" customHeight="1">
      <c r="A11">
        <v>35</v>
      </c>
      <c r="B11" t="s">
        <v>2003</v>
      </c>
      <c r="C11" t="s">
        <v>3994</v>
      </c>
      <c r="D11" t="s">
        <v>3995</v>
      </c>
      <c r="E11" t="str">
        <f t="shared" si="0"/>
        <v>'Form 4662'!$O$16</v>
      </c>
      <c r="F11" t="str">
        <f t="shared" si="1"/>
        <v>R16C15</v>
      </c>
      <c r="G11" t="s">
        <v>3959</v>
      </c>
      <c r="H11" t="s">
        <v>3960</v>
      </c>
      <c r="I11" t="b">
        <v>1</v>
      </c>
      <c r="J11">
        <v>1</v>
      </c>
      <c r="K11" t="s">
        <v>3988</v>
      </c>
      <c r="L11" t="s">
        <v>3998</v>
      </c>
      <c r="M11">
        <f>RES_UNTS</f>
        <v>85</v>
      </c>
      <c r="Q11">
        <f t="shared" si="2"/>
      </c>
    </row>
    <row r="12" ht="14.25" customHeight="1">
      <c r="A12">
        <v>36</v>
      </c>
      <c r="B12" t="s">
        <v>2003</v>
      </c>
      <c r="C12" t="s">
        <v>3520</v>
      </c>
      <c r="D12" t="s">
        <v>3999</v>
      </c>
      <c r="E12" t="str">
        <f t="shared" si="0"/>
        <v>'Form 4662'!$X$22</v>
      </c>
      <c r="F12" t="str">
        <f t="shared" si="1"/>
        <v>R22C24</v>
      </c>
      <c r="G12" t="s">
        <v>4002</v>
      </c>
      <c r="H12" t="s">
        <v>3954</v>
      </c>
      <c r="I12" t="b">
        <v>1</v>
      </c>
      <c r="J12">
        <v>3</v>
      </c>
      <c r="K12" t="s">
        <v>3978</v>
      </c>
      <c r="L12" t="s">
        <v>4003</v>
      </c>
      <c r="M12">
        <f>UTIL_INCL</f>
        <v>0</v>
      </c>
      <c r="Q12">
        <f t="shared" si="2"/>
      </c>
    </row>
    <row r="13" ht="14.25" customHeight="1">
      <c r="A13">
        <v>37</v>
      </c>
      <c r="B13" t="s">
        <v>2003</v>
      </c>
      <c r="C13" t="s">
        <v>660</v>
      </c>
      <c r="D13" t="s">
        <v>4004</v>
      </c>
      <c r="E13" t="str">
        <f t="shared" si="0"/>
        <v>'Form 4662'!$H$10</v>
      </c>
      <c r="F13" t="str">
        <f t="shared" si="1"/>
        <v>R10C8</v>
      </c>
      <c r="G13" t="s">
        <v>3959</v>
      </c>
      <c r="H13" t="s">
        <v>3954</v>
      </c>
      <c r="I13" t="b">
        <v>1</v>
      </c>
      <c r="J13">
        <v>1</v>
      </c>
      <c r="K13" t="s">
        <v>3988</v>
      </c>
      <c r="L13" t="s">
        <v>4007</v>
      </c>
      <c r="M13">
        <f>YR_BLT</f>
        <v>1800</v>
      </c>
      <c r="Q13">
        <f t="shared" si="2"/>
      </c>
    </row>
    <row r="14" ht="14.25" customHeight="1">
      <c r="A14">
        <v>38</v>
      </c>
      <c r="B14" t="s">
        <v>2003</v>
      </c>
      <c r="C14" t="s">
        <v>4008</v>
      </c>
      <c r="D14" t="s">
        <v>4009</v>
      </c>
      <c r="E14" t="str">
        <f t="shared" si="0"/>
        <v>'Form 4662'!$L$13</v>
      </c>
      <c r="F14" t="str">
        <f t="shared" si="1"/>
        <v>R13C12</v>
      </c>
      <c r="G14" t="s">
        <v>3959</v>
      </c>
      <c r="H14" t="s">
        <v>3954</v>
      </c>
      <c r="I14" t="b">
        <v>1</v>
      </c>
      <c r="J14">
        <v>1</v>
      </c>
      <c r="K14" t="s">
        <v>3988</v>
      </c>
      <c r="L14" t="s">
        <v>4007</v>
      </c>
      <c r="M14">
        <f>PHS1_YR</f>
        <v>0</v>
      </c>
      <c r="Q14">
        <f t="shared" si="2"/>
      </c>
    </row>
    <row r="15" ht="14.25" customHeight="1">
      <c r="A15">
        <v>39</v>
      </c>
      <c r="B15" t="s">
        <v>2003</v>
      </c>
      <c r="C15" t="s">
        <v>4012</v>
      </c>
      <c r="D15" t="s">
        <v>4013</v>
      </c>
      <c r="E15" t="str">
        <f t="shared" si="0"/>
        <v>'Form 4662'!$L$14</v>
      </c>
      <c r="F15" t="str">
        <f t="shared" si="1"/>
        <v>R14C12</v>
      </c>
      <c r="G15" t="s">
        <v>3959</v>
      </c>
      <c r="H15" t="s">
        <v>3960</v>
      </c>
      <c r="I15" t="b">
        <v>1</v>
      </c>
      <c r="J15">
        <v>1</v>
      </c>
      <c r="K15" t="s">
        <v>3988</v>
      </c>
      <c r="L15" t="s">
        <v>3989</v>
      </c>
      <c r="M15">
        <f>PHS1_UNTS</f>
        <v>0</v>
      </c>
      <c r="Q15">
        <f t="shared" si="2"/>
      </c>
    </row>
    <row r="16" ht="14.25" customHeight="1">
      <c r="A16">
        <v>40</v>
      </c>
      <c r="B16" t="s">
        <v>2003</v>
      </c>
      <c r="C16" t="s">
        <v>4016</v>
      </c>
      <c r="D16" t="s">
        <v>4017</v>
      </c>
      <c r="E16" t="str">
        <f t="shared" si="0"/>
        <v>'Form 4662'!$N$13</v>
      </c>
      <c r="F16" t="str">
        <f t="shared" si="1"/>
        <v>R13C14</v>
      </c>
      <c r="G16" t="s">
        <v>3959</v>
      </c>
      <c r="H16" t="s">
        <v>3954</v>
      </c>
      <c r="I16" t="b">
        <v>1</v>
      </c>
      <c r="J16">
        <v>1</v>
      </c>
      <c r="K16" t="s">
        <v>3988</v>
      </c>
      <c r="L16" t="s">
        <v>4007</v>
      </c>
      <c r="M16">
        <f>PHS2_YR</f>
        <v>0</v>
      </c>
      <c r="Q16">
        <f t="shared" si="2"/>
      </c>
    </row>
    <row r="17" ht="14.25" customHeight="1">
      <c r="A17">
        <v>41</v>
      </c>
      <c r="B17" t="s">
        <v>2003</v>
      </c>
      <c r="C17" t="s">
        <v>4020</v>
      </c>
      <c r="D17" t="s">
        <v>4021</v>
      </c>
      <c r="E17" t="str">
        <f t="shared" si="0"/>
        <v>'Form 4662'!$N$14</v>
      </c>
      <c r="F17" t="str">
        <f t="shared" si="1"/>
        <v>R14C14</v>
      </c>
      <c r="G17" t="s">
        <v>3959</v>
      </c>
      <c r="H17" t="s">
        <v>3954</v>
      </c>
      <c r="I17" t="b">
        <v>1</v>
      </c>
      <c r="J17">
        <v>1</v>
      </c>
      <c r="K17" t="s">
        <v>3988</v>
      </c>
      <c r="L17" t="s">
        <v>3989</v>
      </c>
      <c r="M17">
        <f>PHS2_UNTS</f>
        <v>0</v>
      </c>
      <c r="Q17">
        <f t="shared" si="2"/>
      </c>
    </row>
    <row r="18" ht="14.25" customHeight="1">
      <c r="A18">
        <v>42</v>
      </c>
      <c r="B18" t="s">
        <v>2003</v>
      </c>
      <c r="C18" t="s">
        <v>4024</v>
      </c>
      <c r="D18" t="s">
        <v>4025</v>
      </c>
      <c r="E18" t="str">
        <f t="shared" si="0"/>
        <v>'Form 4662'!$P$13</v>
      </c>
      <c r="F18" t="str">
        <f t="shared" si="1"/>
        <v>R13C16</v>
      </c>
      <c r="G18" t="s">
        <v>3959</v>
      </c>
      <c r="H18" t="s">
        <v>3954</v>
      </c>
      <c r="I18" t="b">
        <v>1</v>
      </c>
      <c r="J18">
        <v>1</v>
      </c>
      <c r="K18" t="s">
        <v>3988</v>
      </c>
      <c r="L18" t="s">
        <v>4007</v>
      </c>
      <c r="M18">
        <f>PHS3_YR</f>
        <v>0</v>
      </c>
      <c r="Q18">
        <f t="shared" si="2"/>
      </c>
    </row>
    <row r="19" ht="14.25" customHeight="1">
      <c r="A19">
        <v>43</v>
      </c>
      <c r="B19" t="s">
        <v>2003</v>
      </c>
      <c r="C19" t="s">
        <v>4028</v>
      </c>
      <c r="D19" t="s">
        <v>4029</v>
      </c>
      <c r="E19" t="str">
        <f t="shared" si="0"/>
        <v>'Form 4662'!$P$14</v>
      </c>
      <c r="F19" t="str">
        <f t="shared" si="1"/>
        <v>R14C16</v>
      </c>
      <c r="G19" t="s">
        <v>3959</v>
      </c>
      <c r="H19" t="s">
        <v>3954</v>
      </c>
      <c r="I19" t="b">
        <v>1</v>
      </c>
      <c r="J19">
        <v>1</v>
      </c>
      <c r="K19" t="s">
        <v>3988</v>
      </c>
      <c r="L19" t="s">
        <v>3989</v>
      </c>
      <c r="M19">
        <f>PHS3_UNTS</f>
        <v>0</v>
      </c>
      <c r="Q19">
        <f t="shared" si="2"/>
      </c>
    </row>
    <row r="20" ht="14.25" customHeight="1">
      <c r="A20">
        <v>44</v>
      </c>
      <c r="B20" t="s">
        <v>2003</v>
      </c>
      <c r="C20" t="s">
        <v>4032</v>
      </c>
      <c r="D20" t="s">
        <v>4033</v>
      </c>
      <c r="E20" t="str">
        <f t="shared" si="0"/>
        <v>'Form 4662'!$R$13</v>
      </c>
      <c r="F20" t="str">
        <f t="shared" si="1"/>
        <v>R13C18</v>
      </c>
      <c r="G20" t="s">
        <v>3959</v>
      </c>
      <c r="H20" t="s">
        <v>3954</v>
      </c>
      <c r="I20" t="b">
        <v>1</v>
      </c>
      <c r="J20">
        <v>1</v>
      </c>
      <c r="K20" t="s">
        <v>3988</v>
      </c>
      <c r="L20" t="s">
        <v>4007</v>
      </c>
      <c r="M20">
        <f>PHS4_YR</f>
        <v>0</v>
      </c>
      <c r="Q20">
        <f t="shared" si="2"/>
      </c>
    </row>
    <row r="21" ht="14.25" customHeight="1">
      <c r="A21">
        <v>45</v>
      </c>
      <c r="B21" t="s">
        <v>2003</v>
      </c>
      <c r="C21" t="s">
        <v>4036</v>
      </c>
      <c r="D21" t="s">
        <v>4037</v>
      </c>
      <c r="E21" t="str">
        <f t="shared" si="0"/>
        <v>'Form 4662'!$R$14</v>
      </c>
      <c r="F21" t="str">
        <f t="shared" si="1"/>
        <v>R14C18</v>
      </c>
      <c r="G21" t="s">
        <v>3959</v>
      </c>
      <c r="H21" t="s">
        <v>3954</v>
      </c>
      <c r="I21" t="b">
        <v>1</v>
      </c>
      <c r="J21">
        <v>1</v>
      </c>
      <c r="K21" t="s">
        <v>3988</v>
      </c>
      <c r="L21" t="s">
        <v>3989</v>
      </c>
      <c r="M21">
        <f>PHS4_UNTS</f>
        <v>0</v>
      </c>
      <c r="Q21">
        <f t="shared" si="2"/>
      </c>
    </row>
    <row r="22" ht="14.25" customHeight="1">
      <c r="A22">
        <v>46</v>
      </c>
      <c r="B22" t="s">
        <v>2003</v>
      </c>
      <c r="C22" t="s">
        <v>4040</v>
      </c>
      <c r="D22" t="s">
        <v>4041</v>
      </c>
      <c r="E22" t="str">
        <f t="shared" si="0"/>
        <v>'Form 4662'!$T$13</v>
      </c>
      <c r="F22" t="str">
        <f t="shared" si="1"/>
        <v>R13C20</v>
      </c>
      <c r="G22" t="s">
        <v>3959</v>
      </c>
      <c r="H22" t="s">
        <v>3954</v>
      </c>
      <c r="I22" t="b">
        <v>1</v>
      </c>
      <c r="J22">
        <v>1</v>
      </c>
      <c r="K22" t="s">
        <v>3988</v>
      </c>
      <c r="L22" t="s">
        <v>4007</v>
      </c>
      <c r="M22">
        <f>PHS5_YR</f>
        <v>0</v>
      </c>
      <c r="Q22">
        <f t="shared" si="2"/>
      </c>
    </row>
    <row r="23" ht="14.25" customHeight="1">
      <c r="A23">
        <v>47</v>
      </c>
      <c r="B23" t="s">
        <v>2003</v>
      </c>
      <c r="C23" t="s">
        <v>4044</v>
      </c>
      <c r="D23" t="s">
        <v>4045</v>
      </c>
      <c r="E23" t="str">
        <f t="shared" si="0"/>
        <v>'Form 4662'!$T$14</v>
      </c>
      <c r="F23" t="str">
        <f t="shared" si="1"/>
        <v>R14C20</v>
      </c>
      <c r="G23" t="s">
        <v>3959</v>
      </c>
      <c r="H23" t="s">
        <v>3954</v>
      </c>
      <c r="I23" t="b">
        <v>1</v>
      </c>
      <c r="J23">
        <v>1</v>
      </c>
      <c r="K23" t="s">
        <v>3988</v>
      </c>
      <c r="L23" t="s">
        <v>3989</v>
      </c>
      <c r="M23">
        <f>PHS5_UNTS</f>
        <v>0</v>
      </c>
      <c r="Q23">
        <f t="shared" si="2"/>
      </c>
    </row>
    <row r="24" ht="14.25" customHeight="1">
      <c r="A24">
        <v>48</v>
      </c>
      <c r="B24" t="s">
        <v>2003</v>
      </c>
      <c r="C24" t="s">
        <v>4048</v>
      </c>
      <c r="D24" t="s">
        <v>4049</v>
      </c>
      <c r="E24" t="str">
        <f t="shared" si="0"/>
        <v>'Form 4662'!$V$13</v>
      </c>
      <c r="F24" t="str">
        <f t="shared" si="1"/>
        <v>R13C22</v>
      </c>
      <c r="G24" t="s">
        <v>3959</v>
      </c>
      <c r="H24" t="s">
        <v>3954</v>
      </c>
      <c r="I24" t="b">
        <v>1</v>
      </c>
      <c r="J24">
        <v>1</v>
      </c>
      <c r="K24" t="s">
        <v>3988</v>
      </c>
      <c r="L24" t="s">
        <v>4007</v>
      </c>
      <c r="M24">
        <f>PHS6_YR</f>
        <v>0</v>
      </c>
      <c r="Q24">
        <f t="shared" si="2"/>
      </c>
    </row>
    <row r="25" ht="14.25" customHeight="1">
      <c r="A25">
        <v>49</v>
      </c>
      <c r="B25" t="s">
        <v>2003</v>
      </c>
      <c r="C25" t="s">
        <v>4052</v>
      </c>
      <c r="D25" t="s">
        <v>4053</v>
      </c>
      <c r="E25" t="str">
        <f t="shared" si="0"/>
        <v>'Form 4662'!$V$14</v>
      </c>
      <c r="F25" t="str">
        <f t="shared" si="1"/>
        <v>R14C22</v>
      </c>
      <c r="G25" t="s">
        <v>3959</v>
      </c>
      <c r="H25" t="s">
        <v>3954</v>
      </c>
      <c r="I25" t="b">
        <v>1</v>
      </c>
      <c r="J25">
        <v>1</v>
      </c>
      <c r="K25" t="s">
        <v>3988</v>
      </c>
      <c r="L25" t="s">
        <v>3989</v>
      </c>
      <c r="M25">
        <f>PHS6_UNTS</f>
        <v>0</v>
      </c>
      <c r="Q25">
        <f t="shared" si="2"/>
      </c>
    </row>
    <row r="26" ht="14.25" customHeight="1">
      <c r="A26">
        <v>50</v>
      </c>
      <c r="B26" t="s">
        <v>2003</v>
      </c>
      <c r="C26" t="s">
        <v>4056</v>
      </c>
      <c r="D26" t="s">
        <v>4057</v>
      </c>
      <c r="E26" t="str">
        <f t="shared" si="0"/>
        <v>'Form 4662'!$X$13</v>
      </c>
      <c r="F26" t="str">
        <f t="shared" si="1"/>
        <v>R13C24</v>
      </c>
      <c r="G26" t="s">
        <v>3959</v>
      </c>
      <c r="H26" t="s">
        <v>3954</v>
      </c>
      <c r="I26" t="b">
        <v>1</v>
      </c>
      <c r="J26">
        <v>1</v>
      </c>
      <c r="K26" t="s">
        <v>3988</v>
      </c>
      <c r="L26" t="s">
        <v>4007</v>
      </c>
      <c r="M26">
        <f>PHS7_YR</f>
        <v>0</v>
      </c>
      <c r="Q26">
        <f t="shared" si="2"/>
      </c>
    </row>
    <row r="27" ht="14.25" customHeight="1">
      <c r="A27">
        <v>51</v>
      </c>
      <c r="B27" t="s">
        <v>2003</v>
      </c>
      <c r="C27" t="s">
        <v>4060</v>
      </c>
      <c r="D27" t="s">
        <v>4061</v>
      </c>
      <c r="E27" t="str">
        <f t="shared" si="0"/>
        <v>'Form 4662'!$X$14</v>
      </c>
      <c r="F27" t="str">
        <f t="shared" si="1"/>
        <v>R14C24</v>
      </c>
      <c r="G27" t="s">
        <v>3959</v>
      </c>
      <c r="H27" t="s">
        <v>3954</v>
      </c>
      <c r="I27" t="b">
        <v>1</v>
      </c>
      <c r="J27">
        <v>1</v>
      </c>
      <c r="K27" t="s">
        <v>3988</v>
      </c>
      <c r="L27" t="s">
        <v>3989</v>
      </c>
      <c r="M27">
        <f>PHS7_UNTS</f>
        <v>0</v>
      </c>
      <c r="Q27">
        <f t="shared" si="2"/>
      </c>
    </row>
    <row r="28" ht="14.25" customHeight="1">
      <c r="A28">
        <v>56</v>
      </c>
      <c r="B28" t="s">
        <v>4064</v>
      </c>
      <c r="C28" t="s">
        <v>4065</v>
      </c>
      <c r="D28" t="s">
        <v>4066</v>
      </c>
      <c r="E28" t="str">
        <f t="shared" si="0"/>
        <v>'Form 4662'!$AM$8</v>
      </c>
      <c r="F28" t="str">
        <f t="shared" si="1"/>
        <v>R8C39</v>
      </c>
      <c r="G28" t="s">
        <v>3954</v>
      </c>
      <c r="H28" t="s">
        <v>3954</v>
      </c>
      <c r="I28" t="b">
        <v>1</v>
      </c>
      <c r="J28">
        <v>3</v>
      </c>
      <c r="K28" t="s">
        <v>3978</v>
      </c>
      <c r="L28" t="s">
        <v>4069</v>
      </c>
      <c r="M28" t="str">
        <f>LN_PRPS</f>
        <v>Refinance</v>
      </c>
      <c r="Q28">
        <f t="shared" si="2"/>
      </c>
    </row>
    <row r="29" ht="14.25" customHeight="1">
      <c r="A29">
        <v>57</v>
      </c>
      <c r="B29" t="s">
        <v>4064</v>
      </c>
      <c r="C29" t="s">
        <v>462</v>
      </c>
      <c r="D29" t="s">
        <v>4070</v>
      </c>
      <c r="E29" t="str">
        <f t="shared" si="0"/>
        <v>'Form 4662'!$AM$9</v>
      </c>
      <c r="F29" t="str">
        <f t="shared" si="1"/>
        <v>R9C39</v>
      </c>
      <c r="G29" t="s">
        <v>4073</v>
      </c>
      <c r="H29" t="s">
        <v>4074</v>
      </c>
      <c r="I29" t="b">
        <v>1</v>
      </c>
      <c r="J29">
        <v>2</v>
      </c>
      <c r="K29" t="s">
        <v>4075</v>
      </c>
      <c r="L29" t="s">
        <v>4076</v>
      </c>
      <c r="M29" t="e">
        <f>APP_LN_AMT</f>
        <v>#NAME?</v>
      </c>
      <c r="Q29">
        <f t="shared" si="2"/>
      </c>
    </row>
    <row r="30" ht="14.25" customHeight="1">
      <c r="A30">
        <v>64</v>
      </c>
      <c r="B30" t="s">
        <v>4064</v>
      </c>
      <c r="C30" t="s">
        <v>445</v>
      </c>
      <c r="D30" t="s">
        <v>4077</v>
      </c>
      <c r="E30" t="str">
        <f t="shared" si="0"/>
        <v>'Form 4662'!$AM$12</v>
      </c>
      <c r="F30" t="str">
        <f t="shared" si="1"/>
        <v>R12C39</v>
      </c>
      <c r="G30" t="s">
        <v>3959</v>
      </c>
      <c r="H30" t="s">
        <v>3954</v>
      </c>
      <c r="I30" t="b">
        <v>1</v>
      </c>
      <c r="J30">
        <v>3</v>
      </c>
      <c r="K30" t="s">
        <v>3978</v>
      </c>
      <c r="L30" t="s">
        <v>4080</v>
      </c>
      <c r="M30">
        <f>TIER</f>
        <v>0</v>
      </c>
      <c r="Q30">
        <f t="shared" si="2"/>
      </c>
    </row>
    <row r="31" ht="14.25" customHeight="1">
      <c r="A31">
        <v>65</v>
      </c>
      <c r="B31" t="s">
        <v>4064</v>
      </c>
      <c r="C31" t="s">
        <v>3500</v>
      </c>
      <c r="D31" t="s">
        <v>4081</v>
      </c>
      <c r="E31" t="str">
        <f t="shared" si="0"/>
        <v>'Form 4662'!$AM$13</v>
      </c>
      <c r="F31" t="str">
        <f t="shared" si="1"/>
        <v>R13C39</v>
      </c>
      <c r="G31" t="s">
        <v>4002</v>
      </c>
      <c r="H31" t="s">
        <v>3954</v>
      </c>
      <c r="I31" t="b">
        <v>1</v>
      </c>
      <c r="J31">
        <v>3</v>
      </c>
      <c r="K31" t="s">
        <v>3978</v>
      </c>
      <c r="L31" t="s">
        <v>4003</v>
      </c>
      <c r="M31">
        <f>TIER_DRP</f>
        <v>0</v>
      </c>
      <c r="Q31">
        <f t="shared" si="2"/>
      </c>
    </row>
    <row r="32" ht="14.25" customHeight="1">
      <c r="A32">
        <v>68</v>
      </c>
      <c r="B32" t="s">
        <v>4064</v>
      </c>
      <c r="C32" t="s">
        <v>4084</v>
      </c>
      <c r="D32" t="s">
        <v>4085</v>
      </c>
      <c r="E32" t="str">
        <f t="shared" si="0"/>
        <v>'Form 4662'!$AV$12</v>
      </c>
      <c r="F32" t="str">
        <f t="shared" si="1"/>
        <v>R12C48</v>
      </c>
      <c r="G32" t="s">
        <v>3959</v>
      </c>
      <c r="H32" t="s">
        <v>3954</v>
      </c>
      <c r="I32" t="b">
        <v>1</v>
      </c>
      <c r="J32">
        <v>1</v>
      </c>
      <c r="K32" t="s">
        <v>3988</v>
      </c>
      <c r="L32" t="s">
        <v>3989</v>
      </c>
      <c r="M32">
        <f>LCK_TRM</f>
        <v>0</v>
      </c>
      <c r="Q32">
        <f t="shared" si="2"/>
      </c>
    </row>
    <row r="33" ht="14.25" customHeight="1">
      <c r="A33">
        <v>69</v>
      </c>
      <c r="B33" t="s">
        <v>4064</v>
      </c>
      <c r="C33" t="s">
        <v>4088</v>
      </c>
      <c r="D33" t="s">
        <v>4089</v>
      </c>
      <c r="E33" t="str">
        <f t="shared" si="0"/>
        <v>'Form 4662'!$AV$13</v>
      </c>
      <c r="F33" t="str">
        <f t="shared" si="1"/>
        <v>R13C48</v>
      </c>
      <c r="G33" t="s">
        <v>509</v>
      </c>
      <c r="H33" t="s">
        <v>4092</v>
      </c>
      <c r="I33" t="b">
        <v>0</v>
      </c>
      <c r="J33">
        <v>0</v>
      </c>
      <c r="K33" t="s">
        <v>571</v>
      </c>
      <c r="M33" s="3">
        <f>LCK_EXP_DT</f>
        <v>0</v>
      </c>
      <c r="Q33">
        <f t="shared" si="2"/>
      </c>
    </row>
    <row r="34" ht="14.25" customHeight="1">
      <c r="A34">
        <v>70</v>
      </c>
      <c r="B34" t="s">
        <v>4064</v>
      </c>
      <c r="C34" t="s">
        <v>1363</v>
      </c>
      <c r="D34" t="s">
        <v>4093</v>
      </c>
      <c r="E34" t="str">
        <f t="shared" si="0"/>
        <v>'Form 4662'!$AO$15</v>
      </c>
      <c r="F34" t="str">
        <f t="shared" si="1"/>
        <v>R15C41</v>
      </c>
      <c r="G34" t="s">
        <v>3959</v>
      </c>
      <c r="H34" t="s">
        <v>4096</v>
      </c>
      <c r="I34" t="b">
        <v>1</v>
      </c>
      <c r="J34">
        <v>2</v>
      </c>
      <c r="K34" t="s">
        <v>4075</v>
      </c>
      <c r="L34" t="s">
        <v>4097</v>
      </c>
      <c r="M34" t="e">
        <f>TRSY_RT</f>
        <v>#NAME?</v>
      </c>
      <c r="Q34">
        <f t="shared" si="2"/>
      </c>
    </row>
    <row r="35" ht="14.25" customHeight="1">
      <c r="A35">
        <v>71</v>
      </c>
      <c r="B35" t="s">
        <v>4064</v>
      </c>
      <c r="C35" t="s">
        <v>4098</v>
      </c>
      <c r="D35" t="s">
        <v>4099</v>
      </c>
      <c r="E35" t="str">
        <f t="shared" si="0"/>
        <v>'Form 4662'!$AO$16</v>
      </c>
      <c r="F35" t="str">
        <f t="shared" si="1"/>
        <v>R16C41</v>
      </c>
      <c r="G35" t="s">
        <v>3959</v>
      </c>
      <c r="H35" t="s">
        <v>4096</v>
      </c>
      <c r="I35" t="b">
        <v>1</v>
      </c>
      <c r="J35">
        <v>2</v>
      </c>
      <c r="K35" t="s">
        <v>4075</v>
      </c>
      <c r="L35" t="s">
        <v>4097</v>
      </c>
      <c r="M35" t="e">
        <f>GRS_SPRD</f>
        <v>#NAME?</v>
      </c>
      <c r="Q35">
        <f t="shared" si="2"/>
      </c>
    </row>
    <row r="36" ht="14.25" customHeight="1">
      <c r="A36">
        <v>75</v>
      </c>
      <c r="B36" t="s">
        <v>4064</v>
      </c>
      <c r="C36" t="s">
        <v>4102</v>
      </c>
      <c r="D36" t="s">
        <v>4103</v>
      </c>
      <c r="E36" t="str">
        <f t="shared" si="0"/>
        <v>'Form 4662'!$AO$18</v>
      </c>
      <c r="F36" t="str">
        <f t="shared" si="1"/>
        <v>R18C41</v>
      </c>
      <c r="G36" t="s">
        <v>3959</v>
      </c>
      <c r="H36" t="s">
        <v>4096</v>
      </c>
      <c r="I36" t="b">
        <v>1</v>
      </c>
      <c r="J36">
        <v>2</v>
      </c>
      <c r="K36" t="s">
        <v>4075</v>
      </c>
      <c r="L36" t="s">
        <v>4097</v>
      </c>
      <c r="M36" t="e">
        <f>UW_FLR_RT</f>
        <v>#NAME?</v>
      </c>
      <c r="Q36">
        <f t="shared" si="2"/>
      </c>
    </row>
    <row r="37" ht="14.25" customHeight="1">
      <c r="A37">
        <v>76</v>
      </c>
      <c r="B37" t="s">
        <v>4064</v>
      </c>
      <c r="C37" t="s">
        <v>4106</v>
      </c>
      <c r="D37" t="s">
        <v>4107</v>
      </c>
      <c r="E37" t="str">
        <f t="shared" si="0"/>
        <v>'Form 4662'!$AO$19</v>
      </c>
      <c r="F37" t="str">
        <f t="shared" si="1"/>
        <v>R19C41</v>
      </c>
      <c r="G37" t="s">
        <v>3959</v>
      </c>
      <c r="H37" t="s">
        <v>4096</v>
      </c>
      <c r="I37" t="b">
        <v>0</v>
      </c>
      <c r="J37">
        <v>0</v>
      </c>
      <c r="K37" t="s">
        <v>571</v>
      </c>
      <c r="M37">
        <f>UW_RT</f>
        <v>0</v>
      </c>
      <c r="Q37">
        <f t="shared" si="2"/>
      </c>
    </row>
    <row r="38" ht="14.25" customHeight="1">
      <c r="A38">
        <v>79</v>
      </c>
      <c r="B38" t="s">
        <v>1059</v>
      </c>
      <c r="C38" t="s">
        <v>3125</v>
      </c>
      <c r="D38" t="s">
        <v>4110</v>
      </c>
      <c r="E38" t="str">
        <f t="shared" si="0"/>
        <v>'Form 4662'!$AI$31</v>
      </c>
      <c r="F38" t="str">
        <f t="shared" si="1"/>
        <v>R31C35</v>
      </c>
      <c r="G38" t="s">
        <v>4073</v>
      </c>
      <c r="H38" t="s">
        <v>4074</v>
      </c>
      <c r="I38" t="b">
        <v>1</v>
      </c>
      <c r="J38">
        <v>2</v>
      </c>
      <c r="K38" t="s">
        <v>4075</v>
      </c>
      <c r="L38" t="s">
        <v>4076</v>
      </c>
      <c r="M38">
        <f>UW_NCF</f>
        <v>-1720952.21</v>
      </c>
      <c r="Q38">
        <f t="shared" si="2"/>
      </c>
    </row>
    <row r="39" ht="14.25" customHeight="1">
      <c r="A39">
        <v>80</v>
      </c>
      <c r="B39" t="s">
        <v>1059</v>
      </c>
      <c r="C39" t="s">
        <v>4113</v>
      </c>
      <c r="D39" t="s">
        <v>4114</v>
      </c>
      <c r="E39" t="str">
        <f t="shared" si="0"/>
        <v>'Form 4662'!$AU$31</v>
      </c>
      <c r="F39" t="str">
        <f t="shared" si="1"/>
        <v>R31C47</v>
      </c>
      <c r="G39" t="s">
        <v>4073</v>
      </c>
      <c r="H39" t="s">
        <v>4074</v>
      </c>
      <c r="I39" t="b">
        <v>1</v>
      </c>
      <c r="J39">
        <v>2</v>
      </c>
      <c r="K39" t="s">
        <v>4075</v>
      </c>
      <c r="L39" t="s">
        <v>4117</v>
      </c>
      <c r="M39">
        <f>COOP_NCF</f>
        <v>0</v>
      </c>
      <c r="Q39">
        <f t="shared" si="2"/>
      </c>
    </row>
    <row r="40" ht="14.25" customHeight="1">
      <c r="A40">
        <v>82</v>
      </c>
      <c r="B40" t="s">
        <v>1059</v>
      </c>
      <c r="C40" t="s">
        <v>4118</v>
      </c>
      <c r="D40" t="s">
        <v>4119</v>
      </c>
      <c r="E40" t="str">
        <f t="shared" si="0"/>
        <v>'Form 4662'!$AI$30</v>
      </c>
      <c r="F40" t="str">
        <f t="shared" si="1"/>
        <v>R30C35</v>
      </c>
      <c r="G40" t="s">
        <v>4073</v>
      </c>
      <c r="H40" t="s">
        <v>4074</v>
      </c>
      <c r="I40" t="b">
        <v>1</v>
      </c>
      <c r="J40">
        <v>2</v>
      </c>
      <c r="K40" t="s">
        <v>4075</v>
      </c>
      <c r="L40" t="s">
        <v>4076</v>
      </c>
      <c r="M40">
        <f>UW_EGI</f>
        <v>1109838</v>
      </c>
      <c r="Q40">
        <f t="shared" si="2"/>
      </c>
    </row>
    <row r="41" ht="14.25" customHeight="1">
      <c r="A41">
        <v>84</v>
      </c>
      <c r="B41" t="s">
        <v>1059</v>
      </c>
      <c r="C41" t="s">
        <v>4122</v>
      </c>
      <c r="D41" t="s">
        <v>4123</v>
      </c>
      <c r="E41" t="str">
        <f t="shared" si="0"/>
        <v>'Form 4662'!$AU$30</v>
      </c>
      <c r="F41" t="str">
        <f t="shared" si="1"/>
        <v>R30C47</v>
      </c>
      <c r="G41" t="s">
        <v>4073</v>
      </c>
      <c r="H41" t="s">
        <v>4074</v>
      </c>
      <c r="I41" t="b">
        <v>1</v>
      </c>
      <c r="J41">
        <v>2</v>
      </c>
      <c r="K41" t="s">
        <v>4075</v>
      </c>
      <c r="L41" t="s">
        <v>4076</v>
      </c>
      <c r="M41">
        <f>UW_TOE</f>
        <v>2809540.21</v>
      </c>
      <c r="Q41">
        <f t="shared" si="2"/>
      </c>
    </row>
    <row r="42" ht="14.25" customHeight="1">
      <c r="A42">
        <v>88</v>
      </c>
      <c r="B42" t="s">
        <v>1059</v>
      </c>
      <c r="C42" t="s">
        <v>4126</v>
      </c>
      <c r="D42" t="s">
        <v>4127</v>
      </c>
      <c r="E42" t="str">
        <f t="shared" si="0"/>
        <v>'Form 4662'!$AX$23</v>
      </c>
      <c r="F42" t="str">
        <f t="shared" si="1"/>
        <v>R23C50</v>
      </c>
      <c r="G42" t="s">
        <v>3959</v>
      </c>
      <c r="H42" t="s">
        <v>4130</v>
      </c>
      <c r="I42" t="b">
        <v>1</v>
      </c>
      <c r="J42">
        <v>2</v>
      </c>
      <c r="K42" t="s">
        <v>4075</v>
      </c>
      <c r="L42" t="s">
        <v>4131</v>
      </c>
      <c r="M42">
        <f>UW_PHYS_OCC</f>
        <v>88</v>
      </c>
      <c r="Q42">
        <f t="shared" si="2"/>
      </c>
    </row>
    <row r="43" ht="14.25" customHeight="1">
      <c r="A43">
        <v>89</v>
      </c>
      <c r="B43" t="s">
        <v>1059</v>
      </c>
      <c r="C43" t="s">
        <v>4132</v>
      </c>
      <c r="D43" t="s">
        <v>4133</v>
      </c>
      <c r="E43" t="str">
        <f t="shared" si="0"/>
        <v>'Form 4662'!$AX$24</v>
      </c>
      <c r="F43" t="str">
        <f t="shared" si="1"/>
        <v>R24C50</v>
      </c>
      <c r="G43" t="s">
        <v>3959</v>
      </c>
      <c r="H43" t="s">
        <v>4130</v>
      </c>
      <c r="I43" t="b">
        <v>1</v>
      </c>
      <c r="J43">
        <v>2</v>
      </c>
      <c r="K43" t="s">
        <v>4075</v>
      </c>
      <c r="L43" t="s">
        <v>4131</v>
      </c>
      <c r="M43">
        <f>UW_ECON_OCC</f>
        <v>85.2</v>
      </c>
      <c r="Q43">
        <f t="shared" si="2"/>
      </c>
    </row>
    <row r="44" ht="14.25" customHeight="1">
      <c r="A44">
        <v>90</v>
      </c>
      <c r="B44" t="s">
        <v>1059</v>
      </c>
      <c r="C44" t="s">
        <v>4136</v>
      </c>
      <c r="D44" t="s">
        <v>4137</v>
      </c>
      <c r="E44" t="str">
        <f t="shared" si="0"/>
        <v>'Form 4662'!$AO$33</v>
      </c>
      <c r="F44" t="str">
        <f t="shared" si="1"/>
        <v>R33C41</v>
      </c>
      <c r="G44" t="s">
        <v>3959</v>
      </c>
      <c r="H44" t="s">
        <v>4140</v>
      </c>
      <c r="I44" t="b">
        <v>1</v>
      </c>
      <c r="J44">
        <v>2</v>
      </c>
      <c r="K44" t="s">
        <v>4075</v>
      </c>
      <c r="L44" t="s">
        <v>4141</v>
      </c>
      <c r="M44" t="e">
        <f>MIN_HRDL_DSCR</f>
        <v>#NAME?</v>
      </c>
      <c r="Q44">
        <f t="shared" si="2"/>
      </c>
    </row>
    <row r="45" ht="14.25" customHeight="1">
      <c r="A45">
        <v>91</v>
      </c>
      <c r="B45" t="s">
        <v>1059</v>
      </c>
      <c r="C45" t="s">
        <v>1373</v>
      </c>
      <c r="D45" t="s">
        <v>4142</v>
      </c>
      <c r="E45" t="str">
        <f t="shared" si="0"/>
        <v>'Form 4662'!$AO$35</v>
      </c>
      <c r="F45" t="str">
        <f t="shared" si="1"/>
        <v>R35C41</v>
      </c>
      <c r="G45" t="s">
        <v>3959</v>
      </c>
      <c r="H45" t="s">
        <v>4140</v>
      </c>
      <c r="I45" t="b">
        <v>1</v>
      </c>
      <c r="J45">
        <v>2</v>
      </c>
      <c r="K45" t="s">
        <v>4075</v>
      </c>
      <c r="L45" t="s">
        <v>4145</v>
      </c>
      <c r="M45">
        <f>ACTL_DSCR</f>
        <v>0</v>
      </c>
      <c r="Q45">
        <f t="shared" si="2"/>
      </c>
    </row>
    <row r="46" ht="14.25" customHeight="1">
      <c r="A46">
        <v>92</v>
      </c>
      <c r="B46" t="s">
        <v>1059</v>
      </c>
      <c r="C46" t="s">
        <v>4146</v>
      </c>
      <c r="D46" t="s">
        <v>4147</v>
      </c>
      <c r="E46" t="str">
        <f t="shared" si="0"/>
        <v>'Form 4662'!$AO$36</v>
      </c>
      <c r="F46" t="str">
        <f t="shared" si="1"/>
        <v>R36C41</v>
      </c>
      <c r="G46" t="s">
        <v>3959</v>
      </c>
      <c r="H46" t="s">
        <v>4140</v>
      </c>
      <c r="I46" t="b">
        <v>1</v>
      </c>
      <c r="J46">
        <v>2</v>
      </c>
      <c r="K46" t="s">
        <v>4075</v>
      </c>
      <c r="L46" t="s">
        <v>4145</v>
      </c>
      <c r="M46">
        <f>MAX_PMT_DSCR</f>
        <v>0</v>
      </c>
      <c r="Q46">
        <f t="shared" si="2"/>
      </c>
    </row>
    <row r="47" ht="14.25" customHeight="1">
      <c r="A47">
        <v>93</v>
      </c>
      <c r="B47" t="s">
        <v>1059</v>
      </c>
      <c r="C47" t="s">
        <v>4150</v>
      </c>
      <c r="D47" t="s">
        <v>4151</v>
      </c>
      <c r="E47" t="str">
        <f t="shared" si="0"/>
        <v>'Form 4662'!$AO$34</v>
      </c>
      <c r="F47" t="str">
        <f t="shared" si="1"/>
        <v>R34C41</v>
      </c>
      <c r="G47" t="s">
        <v>3959</v>
      </c>
      <c r="H47" t="s">
        <v>4140</v>
      </c>
      <c r="I47" t="b">
        <v>1</v>
      </c>
      <c r="J47">
        <v>2</v>
      </c>
      <c r="K47" t="s">
        <v>4075</v>
      </c>
      <c r="L47" t="s">
        <v>4145</v>
      </c>
      <c r="M47">
        <f>UW_DSCR</f>
        <v>0.01</v>
      </c>
      <c r="Q47">
        <f t="shared" si="2"/>
      </c>
    </row>
    <row r="48" ht="14.25" customHeight="1">
      <c r="A48">
        <v>95</v>
      </c>
      <c r="B48" t="s">
        <v>1059</v>
      </c>
      <c r="C48" t="s">
        <v>4154</v>
      </c>
      <c r="D48" t="s">
        <v>4155</v>
      </c>
      <c r="E48" t="str">
        <f t="shared" si="0"/>
        <v>'Form 4662'!$AO$37</v>
      </c>
      <c r="F48" t="str">
        <f t="shared" si="1"/>
        <v>R37C41</v>
      </c>
      <c r="G48" t="s">
        <v>3959</v>
      </c>
      <c r="H48" t="s">
        <v>4140</v>
      </c>
      <c r="I48" t="b">
        <v>1</v>
      </c>
      <c r="J48">
        <v>2</v>
      </c>
      <c r="K48" t="s">
        <v>4075</v>
      </c>
      <c r="L48" t="s">
        <v>4141</v>
      </c>
      <c r="M48">
        <f>MEZZ_DSCR</f>
        <v>0</v>
      </c>
      <c r="Q48">
        <f t="shared" si="2"/>
      </c>
    </row>
    <row r="49" ht="14.25" customHeight="1">
      <c r="A49">
        <v>96</v>
      </c>
      <c r="B49" t="s">
        <v>1059</v>
      </c>
      <c r="C49" t="s">
        <v>4158</v>
      </c>
      <c r="D49" t="s">
        <v>4159</v>
      </c>
      <c r="E49" t="str">
        <f t="shared" si="0"/>
        <v>'Form 4662'!$AN$24</v>
      </c>
      <c r="F49" t="str">
        <f t="shared" si="1"/>
        <v>R24C40</v>
      </c>
      <c r="G49" t="s">
        <v>3959</v>
      </c>
      <c r="H49" t="s">
        <v>4096</v>
      </c>
      <c r="I49" t="b">
        <v>1</v>
      </c>
      <c r="J49">
        <v>2</v>
      </c>
      <c r="K49" t="s">
        <v>4075</v>
      </c>
      <c r="L49" t="s">
        <v>4076</v>
      </c>
      <c r="M49">
        <f>UW_CAP_RT</f>
        <v>5</v>
      </c>
      <c r="Q49">
        <f t="shared" si="2"/>
      </c>
    </row>
    <row r="50" ht="14.25" customHeight="1">
      <c r="A50">
        <v>101</v>
      </c>
      <c r="B50" t="s">
        <v>1059</v>
      </c>
      <c r="C50" t="s">
        <v>4162</v>
      </c>
      <c r="D50" t="s">
        <v>4163</v>
      </c>
      <c r="E50" t="str">
        <f t="shared" si="0"/>
        <v>'Form 4662'!$AL$26</v>
      </c>
      <c r="F50" t="str">
        <f t="shared" si="1"/>
        <v>R26C38</v>
      </c>
      <c r="G50" t="s">
        <v>4073</v>
      </c>
      <c r="H50" t="s">
        <v>4074</v>
      </c>
      <c r="I50" t="b">
        <v>1</v>
      </c>
      <c r="J50">
        <v>2</v>
      </c>
      <c r="K50" t="s">
        <v>4075</v>
      </c>
      <c r="L50" t="s">
        <v>4076</v>
      </c>
      <c r="M50">
        <f>UW_PROP_VAL</f>
        <v>-34419044.199999996</v>
      </c>
      <c r="Q50">
        <f t="shared" si="2"/>
      </c>
    </row>
    <row r="51" ht="14.25" customHeight="1">
      <c r="A51">
        <v>103</v>
      </c>
      <c r="B51" t="s">
        <v>1059</v>
      </c>
      <c r="C51" t="s">
        <v>449</v>
      </c>
      <c r="D51" t="s">
        <v>4166</v>
      </c>
      <c r="E51" t="str">
        <f t="shared" si="0"/>
        <v>'Form 4662'!$AL$27</v>
      </c>
      <c r="F51" t="str">
        <f t="shared" si="1"/>
        <v>R27C38</v>
      </c>
      <c r="G51" t="s">
        <v>3959</v>
      </c>
      <c r="H51" t="s">
        <v>4130</v>
      </c>
      <c r="I51" t="b">
        <v>1</v>
      </c>
      <c r="J51">
        <v>2</v>
      </c>
      <c r="K51" t="s">
        <v>4075</v>
      </c>
      <c r="L51" t="s">
        <v>4169</v>
      </c>
      <c r="M51">
        <f>UW_LTV</f>
        <v>0.01</v>
      </c>
      <c r="Q51">
        <f t="shared" si="2"/>
      </c>
    </row>
    <row r="52" ht="14.25" customHeight="1">
      <c r="A52">
        <v>126</v>
      </c>
      <c r="B52" t="s">
        <v>4170</v>
      </c>
      <c r="C52" t="s">
        <v>4171</v>
      </c>
      <c r="D52" t="s">
        <v>4172</v>
      </c>
      <c r="E52" t="str">
        <f t="shared" si="0"/>
        <v>'Form 4662'!$X$34</v>
      </c>
      <c r="F52" t="str">
        <f t="shared" si="1"/>
        <v>R34C24</v>
      </c>
      <c r="G52" t="s">
        <v>3959</v>
      </c>
      <c r="H52" t="s">
        <v>4140</v>
      </c>
      <c r="I52" t="b">
        <v>1</v>
      </c>
      <c r="J52">
        <v>2</v>
      </c>
      <c r="K52" t="s">
        <v>4075</v>
      </c>
      <c r="L52" t="s">
        <v>4131</v>
      </c>
      <c r="M52">
        <f>MAH_UNTS</f>
      </c>
      <c r="Q52">
        <f t="shared" si="2"/>
      </c>
      <c r="R52" t="s">
        <v>4175</v>
      </c>
      <c r="S52" t="s">
        <v>4176</v>
      </c>
    </row>
    <row r="53" ht="14.25" customHeight="1">
      <c r="A53">
        <v>127</v>
      </c>
      <c r="B53" t="s">
        <v>4170</v>
      </c>
      <c r="C53" t="s">
        <v>3778</v>
      </c>
      <c r="D53" t="s">
        <v>4177</v>
      </c>
      <c r="E53" t="str">
        <f t="shared" si="0"/>
        <v>'Form 4662'!$L$26</v>
      </c>
      <c r="F53" t="str">
        <f t="shared" si="1"/>
        <v>R26C12</v>
      </c>
      <c r="G53" t="s">
        <v>3954</v>
      </c>
      <c r="H53" t="s">
        <v>3954</v>
      </c>
      <c r="I53" t="b">
        <v>1</v>
      </c>
      <c r="J53">
        <v>3</v>
      </c>
      <c r="K53" t="s">
        <v>3978</v>
      </c>
      <c r="L53" t="s">
        <v>4180</v>
      </c>
      <c r="M53">
        <f>MAH_TYP</f>
        <v>0</v>
      </c>
      <c r="Q53">
        <f t="shared" si="2"/>
      </c>
    </row>
    <row r="54" ht="14.25" customHeight="1">
      <c r="A54">
        <v>128</v>
      </c>
      <c r="B54" t="s">
        <v>4170</v>
      </c>
      <c r="C54" t="s">
        <v>4181</v>
      </c>
      <c r="D54" t="s">
        <v>4182</v>
      </c>
      <c r="E54" t="str">
        <f t="shared" si="0"/>
        <v>'Form 4662'!$J$27</v>
      </c>
      <c r="F54" t="str">
        <f t="shared" si="1"/>
        <v>R27C10</v>
      </c>
      <c r="G54" t="s">
        <v>3954</v>
      </c>
      <c r="H54" t="s">
        <v>3954</v>
      </c>
      <c r="I54" t="b">
        <v>0</v>
      </c>
      <c r="J54">
        <v>0</v>
      </c>
      <c r="K54" t="s">
        <v>571</v>
      </c>
      <c r="M54">
        <f>OTR_MAH_TYP</f>
        <v>0</v>
      </c>
      <c r="Q54">
        <f t="shared" si="2"/>
      </c>
    </row>
    <row r="55" ht="14.25" customHeight="1">
      <c r="A55">
        <v>129</v>
      </c>
      <c r="B55" t="s">
        <v>4170</v>
      </c>
      <c r="C55" t="s">
        <v>4185</v>
      </c>
      <c r="D55" t="s">
        <v>4186</v>
      </c>
      <c r="E55" t="str">
        <f t="shared" si="0"/>
        <v>'Form 4662'!$X$31</v>
      </c>
      <c r="F55" t="str">
        <f t="shared" si="1"/>
        <v>R31C24</v>
      </c>
      <c r="G55" t="s">
        <v>3959</v>
      </c>
      <c r="H55" t="s">
        <v>4130</v>
      </c>
      <c r="I55" t="b">
        <v>1</v>
      </c>
      <c r="J55">
        <v>2</v>
      </c>
      <c r="K55" t="s">
        <v>4075</v>
      </c>
      <c r="L55" t="s">
        <v>4131</v>
      </c>
      <c r="M55">
        <f>MAH_UNDR_80</f>
        <v>0</v>
      </c>
      <c r="Q55">
        <f t="shared" si="2"/>
      </c>
    </row>
    <row r="56" ht="14.25" customHeight="1">
      <c r="A56">
        <v>130</v>
      </c>
      <c r="B56" t="s">
        <v>4170</v>
      </c>
      <c r="C56" t="s">
        <v>4189</v>
      </c>
      <c r="D56" t="s">
        <v>4190</v>
      </c>
      <c r="E56" t="str">
        <f t="shared" si="0"/>
        <v>'Form 4662'!$X$32</v>
      </c>
      <c r="F56" t="str">
        <f t="shared" si="1"/>
        <v>R32C24</v>
      </c>
      <c r="G56" t="s">
        <v>3959</v>
      </c>
      <c r="H56" t="s">
        <v>4130</v>
      </c>
      <c r="I56" t="b">
        <v>1</v>
      </c>
      <c r="J56">
        <v>2</v>
      </c>
      <c r="K56" t="s">
        <v>4075</v>
      </c>
      <c r="L56" t="s">
        <v>4131</v>
      </c>
      <c r="M56">
        <f>MAH_UNDR_60</f>
        <v>0</v>
      </c>
      <c r="Q56">
        <f t="shared" si="2"/>
      </c>
    </row>
    <row r="57" ht="14.25" customHeight="1">
      <c r="A57">
        <v>131</v>
      </c>
      <c r="B57" t="s">
        <v>4170</v>
      </c>
      <c r="C57" t="s">
        <v>4193</v>
      </c>
      <c r="D57" t="s">
        <v>4194</v>
      </c>
      <c r="E57" t="str">
        <f t="shared" si="0"/>
        <v>'Form 4662'!$X$33</v>
      </c>
      <c r="F57" t="str">
        <f t="shared" si="1"/>
        <v>R33C24</v>
      </c>
      <c r="G57" t="s">
        <v>3959</v>
      </c>
      <c r="H57" t="s">
        <v>4130</v>
      </c>
      <c r="I57" t="b">
        <v>1</v>
      </c>
      <c r="J57">
        <v>2</v>
      </c>
      <c r="K57" t="s">
        <v>4075</v>
      </c>
      <c r="L57" t="s">
        <v>4131</v>
      </c>
      <c r="M57">
        <f>MAH_UNDR_50</f>
        <v>0</v>
      </c>
      <c r="Q57">
        <f t="shared" si="2"/>
      </c>
    </row>
    <row r="58" ht="14.25" customHeight="1">
      <c r="A58">
        <v>132</v>
      </c>
      <c r="B58" t="s">
        <v>4197</v>
      </c>
      <c r="C58" t="s">
        <v>4198</v>
      </c>
      <c r="D58" t="s">
        <v>4199</v>
      </c>
      <c r="E58" t="str">
        <f t="shared" si="0"/>
        <v>'Form 4662'!$P$37</v>
      </c>
      <c r="F58" t="str">
        <f t="shared" si="1"/>
        <v>R37C16</v>
      </c>
      <c r="G58" t="s">
        <v>4073</v>
      </c>
      <c r="H58" t="s">
        <v>4074</v>
      </c>
      <c r="I58" t="b">
        <v>1</v>
      </c>
      <c r="J58">
        <v>2</v>
      </c>
      <c r="K58" t="s">
        <v>4075</v>
      </c>
      <c r="L58" t="s">
        <v>4117</v>
      </c>
      <c r="M58">
        <f>RPR_TOT</f>
        <v>0</v>
      </c>
      <c r="Q58">
        <f t="shared" si="2"/>
      </c>
    </row>
    <row r="59" ht="14.25" customHeight="1">
      <c r="A59">
        <v>140</v>
      </c>
      <c r="B59" t="s">
        <v>2003</v>
      </c>
      <c r="C59" t="s">
        <v>3517</v>
      </c>
      <c r="D59" t="s">
        <v>4202</v>
      </c>
      <c r="E59" t="str">
        <f t="shared" si="0"/>
        <v>'Form 4662'!$K$21</v>
      </c>
      <c r="F59" t="str">
        <f t="shared" si="1"/>
        <v>R21C11</v>
      </c>
      <c r="G59" t="s">
        <v>4002</v>
      </c>
      <c r="H59" t="s">
        <v>3954</v>
      </c>
      <c r="I59" t="b">
        <v>1</v>
      </c>
      <c r="J59">
        <v>3</v>
      </c>
      <c r="K59" t="s">
        <v>3978</v>
      </c>
      <c r="L59" t="s">
        <v>4003</v>
      </c>
      <c r="M59">
        <f>SZ_ZN</f>
        <v>0</v>
      </c>
      <c r="Q59">
        <f t="shared" si="2"/>
      </c>
    </row>
    <row r="60" ht="14.25" customHeight="1">
      <c r="A60">
        <v>141</v>
      </c>
      <c r="B60" t="s">
        <v>2003</v>
      </c>
      <c r="C60" t="s">
        <v>4205</v>
      </c>
      <c r="D60" t="s">
        <v>4206</v>
      </c>
      <c r="E60" t="str">
        <f t="shared" si="0"/>
        <v>'Form 4662'!$K$20</v>
      </c>
      <c r="F60" t="str">
        <f t="shared" si="1"/>
        <v>R20C11</v>
      </c>
      <c r="G60" t="s">
        <v>4002</v>
      </c>
      <c r="H60" t="s">
        <v>3954</v>
      </c>
      <c r="I60" t="b">
        <v>1</v>
      </c>
      <c r="J60">
        <v>3</v>
      </c>
      <c r="K60" t="s">
        <v>3978</v>
      </c>
      <c r="L60" t="s">
        <v>4003</v>
      </c>
      <c r="M60">
        <f>TRSM_INS</f>
        <v>0</v>
      </c>
      <c r="Q60">
        <f t="shared" si="2"/>
      </c>
    </row>
    <row r="61" ht="14.25" customHeight="1">
      <c r="A61">
        <v>142</v>
      </c>
      <c r="B61" t="s">
        <v>2003</v>
      </c>
      <c r="C61" t="s">
        <v>3513</v>
      </c>
      <c r="D61" t="s">
        <v>4209</v>
      </c>
      <c r="E61" t="str">
        <f t="shared" si="0"/>
        <v>'Form 4662'!$X$19</v>
      </c>
      <c r="F61" t="str">
        <f t="shared" si="1"/>
        <v>R19C24</v>
      </c>
      <c r="G61" t="s">
        <v>4002</v>
      </c>
      <c r="H61" t="s">
        <v>3954</v>
      </c>
      <c r="I61" t="b">
        <v>1</v>
      </c>
      <c r="J61">
        <v>3</v>
      </c>
      <c r="K61" t="s">
        <v>3978</v>
      </c>
      <c r="L61" t="s">
        <v>4003</v>
      </c>
      <c r="M61">
        <f>TX_ESCRW</f>
        <v>0</v>
      </c>
      <c r="Q61">
        <f t="shared" si="2"/>
      </c>
    </row>
    <row r="62" ht="14.25" customHeight="1">
      <c r="A62">
        <v>143</v>
      </c>
      <c r="B62" t="s">
        <v>2003</v>
      </c>
      <c r="C62" t="s">
        <v>3516</v>
      </c>
      <c r="D62" t="s">
        <v>4212</v>
      </c>
      <c r="E62" t="str">
        <f t="shared" si="0"/>
        <v>'Form 4662'!$X$20</v>
      </c>
      <c r="F62" t="str">
        <f t="shared" si="1"/>
        <v>R20C24</v>
      </c>
      <c r="G62" t="s">
        <v>4002</v>
      </c>
      <c r="H62" t="s">
        <v>3954</v>
      </c>
      <c r="I62" t="b">
        <v>1</v>
      </c>
      <c r="J62">
        <v>3</v>
      </c>
      <c r="K62" t="s">
        <v>3978</v>
      </c>
      <c r="L62" t="s">
        <v>4003</v>
      </c>
      <c r="M62">
        <f>INS_ESCRW</f>
        <v>0</v>
      </c>
      <c r="Q62">
        <f t="shared" si="2"/>
      </c>
    </row>
    <row r="63" ht="14.25" customHeight="1">
      <c r="A63">
        <v>144</v>
      </c>
      <c r="B63" t="s">
        <v>2003</v>
      </c>
      <c r="C63" t="s">
        <v>3518</v>
      </c>
      <c r="D63" t="s">
        <v>4215</v>
      </c>
      <c r="E63" t="str">
        <f t="shared" si="0"/>
        <v>'Form 4662'!$X$21</v>
      </c>
      <c r="F63" t="str">
        <f t="shared" si="1"/>
        <v>R21C24</v>
      </c>
      <c r="G63" t="s">
        <v>4002</v>
      </c>
      <c r="H63" t="s">
        <v>3954</v>
      </c>
      <c r="I63" t="b">
        <v>1</v>
      </c>
      <c r="J63">
        <v>3</v>
      </c>
      <c r="K63" t="s">
        <v>3978</v>
      </c>
      <c r="L63" t="s">
        <v>4003</v>
      </c>
      <c r="M63">
        <f>OTR_ESCRW</f>
        <v>0</v>
      </c>
      <c r="Q63">
        <f t="shared" si="2"/>
      </c>
    </row>
    <row r="64" ht="14.25" customHeight="1">
      <c r="A64">
        <v>161</v>
      </c>
      <c r="B64" t="s">
        <v>4218</v>
      </c>
      <c r="C64" t="s">
        <v>4219</v>
      </c>
      <c r="D64" t="s">
        <v>4220</v>
      </c>
      <c r="E64" t="str">
        <f t="shared" si="0"/>
        <v>'Form 4662'!$C$41</v>
      </c>
      <c r="F64" t="str">
        <f t="shared" si="1"/>
        <v>R41C3</v>
      </c>
      <c r="G64" t="s">
        <v>3954</v>
      </c>
      <c r="H64" t="s">
        <v>3954</v>
      </c>
      <c r="I64" t="b">
        <v>0</v>
      </c>
      <c r="J64">
        <v>0</v>
      </c>
      <c r="K64" t="s">
        <v>571</v>
      </c>
      <c r="M64">
        <f>LNDR_CMTS</f>
        <v>0</v>
      </c>
      <c r="Q64">
        <f t="shared" si="2"/>
      </c>
    </row>
    <row r="65" ht="14.25" customHeight="1">
      <c r="A65">
        <v>162</v>
      </c>
      <c r="B65" t="s">
        <v>4223</v>
      </c>
      <c r="C65" t="s">
        <v>4224</v>
      </c>
      <c r="D65" t="s">
        <v>4225</v>
      </c>
      <c r="E65" t="str">
        <f t="shared" si="0"/>
        <v>'Form 4662'!$C$47</v>
      </c>
      <c r="F65" t="str">
        <f t="shared" si="1"/>
        <v>R47C3</v>
      </c>
      <c r="G65" t="s">
        <v>3954</v>
      </c>
      <c r="H65" t="s">
        <v>3954</v>
      </c>
      <c r="I65" t="b">
        <v>0</v>
      </c>
      <c r="J65">
        <v>0</v>
      </c>
      <c r="K65" t="s">
        <v>571</v>
      </c>
      <c r="M65">
        <f>UW_SIGN</f>
        <v>0</v>
      </c>
      <c r="Q65">
        <f t="shared" si="2"/>
      </c>
    </row>
    <row r="66" ht="14.25" customHeight="1">
      <c r="A66">
        <v>163</v>
      </c>
      <c r="B66" t="s">
        <v>4223</v>
      </c>
      <c r="C66" t="s">
        <v>4228</v>
      </c>
      <c r="D66" t="s">
        <v>4229</v>
      </c>
      <c r="E66" t="str">
        <f t="shared" si="0"/>
        <v>'Form 4662'!$S$47</v>
      </c>
      <c r="F66" t="str">
        <f t="shared" si="1"/>
        <v>R47C19</v>
      </c>
      <c r="G66" t="s">
        <v>509</v>
      </c>
      <c r="H66" t="s">
        <v>4092</v>
      </c>
      <c r="I66" t="b">
        <v>1</v>
      </c>
      <c r="J66">
        <v>4</v>
      </c>
      <c r="K66" t="s">
        <v>4232</v>
      </c>
      <c r="L66" t="s">
        <v>4233</v>
      </c>
      <c r="M66" s="3">
        <f>UW_SIGN_DT</f>
        <v>0</v>
      </c>
      <c r="Q66">
        <f t="shared" si="2"/>
      </c>
    </row>
    <row r="67" ht="14.25" customHeight="1">
      <c r="A67">
        <v>164</v>
      </c>
      <c r="B67" t="s">
        <v>4223</v>
      </c>
      <c r="C67" t="s">
        <v>4234</v>
      </c>
      <c r="D67" t="s">
        <v>4235</v>
      </c>
      <c r="E67" t="str">
        <f t="shared" si="0"/>
        <v>'Form 4662'!$AC$47</v>
      </c>
      <c r="F67" t="str">
        <f t="shared" si="1"/>
        <v>R47C29</v>
      </c>
      <c r="G67" t="s">
        <v>3954</v>
      </c>
      <c r="H67" t="s">
        <v>3954</v>
      </c>
      <c r="I67" t="b">
        <v>0</v>
      </c>
      <c r="J67">
        <v>0</v>
      </c>
      <c r="K67" t="s">
        <v>571</v>
      </c>
      <c r="M67">
        <f>CUW_SIGN</f>
        <v>0</v>
      </c>
      <c r="Q67">
        <f t="shared" si="2"/>
      </c>
    </row>
    <row r="68" ht="14.25" customHeight="1">
      <c r="A68">
        <v>165</v>
      </c>
      <c r="B68" t="s">
        <v>4223</v>
      </c>
      <c r="C68" t="s">
        <v>4238</v>
      </c>
      <c r="D68" t="s">
        <v>4239</v>
      </c>
      <c r="E68" t="str">
        <f t="shared" si="0"/>
        <v>'Form 4662'!$AS$47</v>
      </c>
      <c r="F68" t="str">
        <f t="shared" si="1"/>
        <v>R47C45</v>
      </c>
      <c r="G68" t="s">
        <v>509</v>
      </c>
      <c r="H68" t="s">
        <v>4092</v>
      </c>
      <c r="I68" t="b">
        <v>1</v>
      </c>
      <c r="J68">
        <v>4</v>
      </c>
      <c r="K68" t="s">
        <v>4232</v>
      </c>
      <c r="L68" t="s">
        <v>4233</v>
      </c>
      <c r="M68" s="3">
        <f>CUW_SIGN_DT</f>
        <v>0</v>
      </c>
      <c r="Q68">
        <f t="shared" si="2"/>
      </c>
    </row>
    <row r="69" ht="14.25" customHeight="1">
      <c r="A69">
        <v>166</v>
      </c>
      <c r="B69" t="s">
        <v>4170</v>
      </c>
      <c r="C69" t="s">
        <v>4242</v>
      </c>
      <c r="D69" t="s">
        <v>4243</v>
      </c>
      <c r="E69" t="str">
        <f t="shared" si="0"/>
        <v>'Form 4662'!$K$28</v>
      </c>
      <c r="F69" t="str">
        <f t="shared" si="1"/>
        <v>R28C11</v>
      </c>
      <c r="G69" t="s">
        <v>3959</v>
      </c>
      <c r="H69" t="s">
        <v>3960</v>
      </c>
      <c r="I69" t="b">
        <v>1</v>
      </c>
      <c r="J69">
        <v>1</v>
      </c>
      <c r="K69" t="s">
        <v>3988</v>
      </c>
      <c r="L69" t="s">
        <v>3989</v>
      </c>
      <c r="M69">
        <f>HAP_REM_TRM</f>
        <v>0</v>
      </c>
      <c r="Q69">
        <f t="shared" si="2"/>
      </c>
    </row>
    <row r="70" ht="14.25" customHeight="1">
      <c r="A70">
        <v>167</v>
      </c>
      <c r="B70" t="s">
        <v>2003</v>
      </c>
      <c r="C70" t="s">
        <v>3512</v>
      </c>
      <c r="D70" t="s">
        <v>4246</v>
      </c>
      <c r="E70" t="str">
        <f t="shared" si="0"/>
        <v>'Form 4662'!$K$19</v>
      </c>
      <c r="F70" t="str">
        <f t="shared" si="1"/>
        <v>R19C11</v>
      </c>
      <c r="G70" t="s">
        <v>4002</v>
      </c>
      <c r="H70" t="s">
        <v>3954</v>
      </c>
      <c r="I70" t="b">
        <v>1</v>
      </c>
      <c r="J70">
        <v>3</v>
      </c>
      <c r="K70" t="s">
        <v>3978</v>
      </c>
      <c r="L70" t="s">
        <v>4003</v>
      </c>
      <c r="M70">
        <f>AGE_RESTR</f>
        <v>0</v>
      </c>
      <c r="Q70">
        <f t="shared" si="2"/>
      </c>
    </row>
    <row r="71" ht="14.25" customHeight="1">
      <c r="A71">
        <v>168</v>
      </c>
      <c r="B71" t="s">
        <v>1059</v>
      </c>
      <c r="C71" t="s">
        <v>4249</v>
      </c>
      <c r="D71" t="s">
        <v>4250</v>
      </c>
      <c r="E71" t="str">
        <f t="shared" si="0"/>
        <v>'Form 4662'!$AW$27</v>
      </c>
      <c r="F71" t="str">
        <f t="shared" si="1"/>
        <v>R27C49</v>
      </c>
      <c r="G71" t="s">
        <v>3959</v>
      </c>
      <c r="H71" t="s">
        <v>4130</v>
      </c>
      <c r="I71" t="b">
        <v>1</v>
      </c>
      <c r="J71">
        <v>2</v>
      </c>
      <c r="K71" t="s">
        <v>4075</v>
      </c>
      <c r="L71" t="s">
        <v>4169</v>
      </c>
      <c r="M71">
        <f>UW_CLTV</f>
        <v>0</v>
      </c>
      <c r="Q71">
        <f t="shared" si="2"/>
      </c>
    </row>
    <row r="72" ht="14.25" customHeight="1">
      <c r="A72">
        <v>169</v>
      </c>
      <c r="B72" t="s">
        <v>1059</v>
      </c>
      <c r="C72" t="s">
        <v>4253</v>
      </c>
      <c r="D72" t="s">
        <v>4254</v>
      </c>
      <c r="E72" t="str">
        <f t="shared" si="0"/>
        <v>'Form 4662'!$AN$23</v>
      </c>
      <c r="F72" t="str">
        <f t="shared" si="1"/>
        <v>R23C40</v>
      </c>
      <c r="G72" t="s">
        <v>3959</v>
      </c>
      <c r="H72" t="s">
        <v>3960</v>
      </c>
      <c r="I72" t="b">
        <v>1</v>
      </c>
      <c r="J72">
        <v>1</v>
      </c>
      <c r="K72" t="s">
        <v>3988</v>
      </c>
      <c r="L72" t="s">
        <v>4257</v>
      </c>
      <c r="M72">
        <f>OP_STMT_FY</f>
        <v>2023</v>
      </c>
      <c r="Q72">
        <f t="shared" si="2"/>
      </c>
    </row>
    <row r="73" ht="14.25" customHeight="1">
      <c r="A73">
        <v>172</v>
      </c>
      <c r="B73" t="s">
        <v>2003</v>
      </c>
      <c r="C73" t="s">
        <v>4258</v>
      </c>
      <c r="D73" t="s">
        <v>4259</v>
      </c>
      <c r="E73" t="str">
        <f t="shared" si="0"/>
        <v>'Form 4662'!$K$22</v>
      </c>
      <c r="F73" t="str">
        <f t="shared" si="1"/>
        <v>R22C11</v>
      </c>
      <c r="G73" t="s">
        <v>4002</v>
      </c>
      <c r="H73" t="s">
        <v>3954</v>
      </c>
      <c r="I73" t="b">
        <v>1</v>
      </c>
      <c r="J73">
        <v>3</v>
      </c>
      <c r="K73" t="s">
        <v>3978</v>
      </c>
      <c r="L73" t="s">
        <v>4003</v>
      </c>
      <c r="M73">
        <f>SZ_RSK</f>
        <v>0</v>
      </c>
      <c r="Q73">
        <f t="shared" si="2"/>
      </c>
    </row>
    <row r="74" ht="14.25" customHeight="1">
      <c r="A74">
        <v>173</v>
      </c>
      <c r="B74" t="s">
        <v>1059</v>
      </c>
      <c r="C74" t="s">
        <v>4262</v>
      </c>
      <c r="D74" t="s">
        <v>4263</v>
      </c>
      <c r="E74" t="str">
        <f t="shared" si="0"/>
        <v>'Form 4662'!$AW$26</v>
      </c>
      <c r="F74" t="str">
        <f t="shared" si="1"/>
        <v>R26C49</v>
      </c>
      <c r="G74" t="s">
        <v>509</v>
      </c>
      <c r="H74" t="s">
        <v>4092</v>
      </c>
      <c r="I74" t="b">
        <v>1</v>
      </c>
      <c r="J74">
        <v>4</v>
      </c>
      <c r="K74" t="s">
        <v>4232</v>
      </c>
      <c r="L74" t="s">
        <v>4233</v>
      </c>
      <c r="M74" s="1">
        <f>UW_PROP_VAL_DT</f>
        <v>45189</v>
      </c>
      <c r="Q74">
        <f t="shared" si="2"/>
      </c>
    </row>
    <row r="75" ht="14.25" customHeight="1">
      <c r="A75">
        <v>174</v>
      </c>
      <c r="B75" t="s">
        <v>4064</v>
      </c>
      <c r="C75" t="s">
        <v>4266</v>
      </c>
      <c r="D75" t="s">
        <v>4267</v>
      </c>
      <c r="E75" t="str">
        <f t="shared" si="0"/>
        <v>'Form 4662'!$AM$10</v>
      </c>
      <c r="F75" t="str">
        <f t="shared" si="1"/>
        <v>R10C39</v>
      </c>
      <c r="G75" t="s">
        <v>4073</v>
      </c>
      <c r="H75" t="s">
        <v>4074</v>
      </c>
      <c r="I75" t="b">
        <v>1</v>
      </c>
      <c r="J75">
        <v>2</v>
      </c>
      <c r="K75" t="s">
        <v>4075</v>
      </c>
      <c r="L75" t="s">
        <v>4117</v>
      </c>
      <c r="M75">
        <f>MEZZ_LN_ACQ_UPB</f>
        <v>0</v>
      </c>
      <c r="Q75">
        <f t="shared" si="2"/>
      </c>
    </row>
    <row r="76" ht="14.25" customHeight="1">
      <c r="A76">
        <v>175</v>
      </c>
      <c r="B76" t="s">
        <v>4064</v>
      </c>
      <c r="C76" t="s">
        <v>4270</v>
      </c>
      <c r="D76" t="s">
        <v>4271</v>
      </c>
      <c r="E76" t="str">
        <f t="shared" si="0"/>
        <v>'Form 4662'!$AX$10</v>
      </c>
      <c r="F76" t="str">
        <f t="shared" si="1"/>
        <v>R10C50</v>
      </c>
      <c r="G76" t="s">
        <v>4073</v>
      </c>
      <c r="H76" t="s">
        <v>4074</v>
      </c>
      <c r="I76" t="b">
        <v>1</v>
      </c>
      <c r="J76">
        <v>2</v>
      </c>
      <c r="K76" t="s">
        <v>4075</v>
      </c>
      <c r="L76" t="s">
        <v>4117</v>
      </c>
      <c r="M76">
        <f>MEZZ_LN_MO_PMT</f>
        <v>0</v>
      </c>
      <c r="Q76">
        <f t="shared" si="2"/>
      </c>
    </row>
    <row r="77" ht="14.25" customHeight="1">
      <c r="A77">
        <v>180</v>
      </c>
      <c r="B77" t="s">
        <v>4064</v>
      </c>
      <c r="C77" t="s">
        <v>4274</v>
      </c>
      <c r="D77" t="s">
        <v>4275</v>
      </c>
      <c r="E77" t="str">
        <f t="shared" si="0"/>
        <v>'Form 4662'!$AO$17</v>
      </c>
      <c r="F77" t="str">
        <f t="shared" si="1"/>
        <v>R17C41</v>
      </c>
      <c r="G77" t="s">
        <v>3959</v>
      </c>
      <c r="H77" t="s">
        <v>4096</v>
      </c>
      <c r="I77" t="b">
        <v>1</v>
      </c>
      <c r="J77">
        <v>2</v>
      </c>
      <c r="K77" t="s">
        <v>4075</v>
      </c>
      <c r="L77" t="s">
        <v>4097</v>
      </c>
      <c r="M77">
        <f>CAP_COST_FCTR</f>
        <v>0</v>
      </c>
      <c r="Q77">
        <f t="shared" si="2"/>
      </c>
    </row>
  </sheetData>
  <printOptions horizontalCentered="1"/>
  <pageMargins left="0.5" right="0.5" top="0.75" bottom="0.75" header="0.3" footer="0.3"/>
  <pageSetup paperSize="1" useFirstPageNumber="1" firstPageNumber="1" pageOrder="downThenOver" orientation="portrait"/>
  <headerFooter>
    <oddFooter>&amp;L&amp;"Source Sans Pro,Regular"&amp;8© 2020 Fannie Mae. Trademarks of Fannie Mae&amp;"Arial,Regular"&amp;10.&amp;C&amp;"Source Sans Pro,Bold"&amp;8Form 4662&amp;"Arial,Regular"&amp;10 -&amp;"Source Sans Pro,Regular"&amp;8 Febuary 2020&amp;RPage &amp;P of &amp;N</oddFooter>
  </headerFooter>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A3F8321-0AB1-E4AF-3497-545522D851D9}" mc:Ignorable="x14ac xr xr2 xr3">
  <dimension ref="A1:BX2"/>
  <sheetViews>
    <sheetView topLeftCell="A1" workbookViewId="0">
      <selection activeCell="A1" sqref="A1"/>
    </sheetView>
  </sheetViews>
  <sheetFormatPr defaultRowHeight="12.997499999999997" defaultColWidth="9.140625" customHeight="1"/>
  <cols>
    <col min="1" max="1" width="6.57421875" customWidth="1"/>
    <col min="2" max="2" width="8.57421875" customWidth="1"/>
    <col min="3" max="3" width="6.7109375" customWidth="1"/>
    <col min="4" max="4" width="8.57421875" customWidth="1"/>
    <col min="5" max="6" width="8.8515625" customWidth="1"/>
    <col min="7" max="7" width="8.57421875" customWidth="1"/>
    <col min="8" max="8" width="8.8515625" customWidth="1"/>
    <col min="9" max="11" width="8.57421875" customWidth="1"/>
    <col min="12" max="12" width="6.28125" customWidth="1"/>
    <col min="13" max="13" width="7.7109375" customWidth="1"/>
    <col min="14" max="14" width="9.8515625" customWidth="1"/>
    <col min="15" max="15" width="7.7109375" customWidth="1"/>
    <col min="16" max="16" width="9.8515625" customWidth="1"/>
    <col min="17" max="17" width="7.7109375" customWidth="1"/>
    <col min="18" max="18" width="9.8515625" customWidth="1"/>
    <col min="19" max="19" width="7.7109375" customWidth="1"/>
    <col min="20" max="20" width="9.8515625" customWidth="1"/>
    <col min="21" max="21" width="7.7109375" customWidth="1"/>
    <col min="22" max="22" width="9.8515625" customWidth="1"/>
    <col min="23" max="23" width="7.7109375" customWidth="1"/>
    <col min="24" max="24" width="9.8515625" customWidth="1"/>
    <col min="25" max="25" width="7.7109375" customWidth="1"/>
    <col min="26" max="26" width="9.8515625" customWidth="1"/>
    <col min="27" max="28" width="7.57421875" customWidth="1"/>
    <col min="29" max="29" width="4.28125" customWidth="1"/>
    <col min="30" max="30" width="8.28125" customWidth="1"/>
    <col min="31" max="31" width="8.00390625" customWidth="1"/>
    <col min="32" max="32" width="10.28125" customWidth="1"/>
    <col min="33" max="33" width="7.28125" customWidth="1"/>
    <col min="34" max="34" width="8.8515625" customWidth="1"/>
    <col min="35" max="35" width="10.00390625" customWidth="1"/>
    <col min="36" max="36" width="6.57421875" customWidth="1"/>
    <col min="37" max="37" width="7.7109375" customWidth="1"/>
    <col min="38" max="38" width="9.57421875" customWidth="1"/>
    <col min="39" max="39" width="7.28125" customWidth="1"/>
    <col min="40" max="40" width="7.7109375" customWidth="1"/>
    <col min="41" max="41" width="12.7109375" customWidth="1"/>
    <col min="42" max="42" width="13.28125" customWidth="1"/>
    <col min="43" max="43" width="14.140625" customWidth="1"/>
    <col min="44" max="44" width="9.57421875" customWidth="1"/>
    <col min="45" max="45" width="13.8515625" customWidth="1"/>
    <col min="46" max="46" width="8.7109375" customWidth="1"/>
    <col min="47" max="47" width="10.00390625" customWidth="1"/>
    <col min="48" max="48" width="10.57421875" customWidth="1"/>
    <col min="49" max="49" width="12.57421875" customWidth="1"/>
    <col min="50" max="50" width="7.28125" customWidth="1"/>
    <col min="51" max="51" width="9.57421875" customWidth="1"/>
    <col min="52" max="52" width="8.28125" customWidth="1"/>
    <col min="53" max="53" width="12.28125" customWidth="1"/>
    <col min="54" max="56" width="12.8515625" customWidth="1"/>
    <col min="57" max="57" width="7.8515625" customWidth="1"/>
    <col min="58" max="58" width="5.57421875" customWidth="1"/>
    <col min="59" max="59" width="8.7109375" customWidth="1"/>
    <col min="61" max="61" width="9.8515625" customWidth="1"/>
    <col min="62" max="62" width="10.57421875" customWidth="1"/>
    <col min="63" max="63" width="10.140625" customWidth="1"/>
    <col min="64" max="64" width="8.57421875" customWidth="1"/>
    <col min="65" max="65" width="11.28125" customWidth="1"/>
    <col min="66" max="66" width="9.57421875" customWidth="1"/>
    <col min="67" max="67" width="12.28125" customWidth="1"/>
    <col min="68" max="68" width="12.7109375" customWidth="1"/>
    <col min="69" max="69" width="9.57421875" customWidth="1"/>
    <col min="70" max="70" width="8.28125" customWidth="1"/>
    <col min="71" max="71" width="10.8515625" customWidth="1"/>
    <col min="72" max="72" width="6.57421875" customWidth="1"/>
    <col min="73" max="73" width="15.57421875" customWidth="1"/>
    <col min="74" max="74" width="16.140625" customWidth="1"/>
    <col min="75" max="75" width="16.00390625" customWidth="1"/>
    <col min="76" max="76" width="13.57421875" customWidth="1"/>
  </cols>
  <sheetData>
    <row r="1" ht="12.75" customHeight="1">
      <c r="A1" t="s">
        <v>3951</v>
      </c>
      <c r="B1" t="s">
        <v>3956</v>
      </c>
      <c r="C1" t="s">
        <v>3964</v>
      </c>
      <c r="D1" t="s">
        <v>3969</v>
      </c>
      <c r="E1" t="s">
        <v>3972</v>
      </c>
      <c r="F1" t="s">
        <v>3975</v>
      </c>
      <c r="G1" t="s">
        <v>3980</v>
      </c>
      <c r="H1" t="s">
        <v>3985</v>
      </c>
      <c r="I1" t="s">
        <v>3991</v>
      </c>
      <c r="J1" t="s">
        <v>3995</v>
      </c>
      <c r="K1" t="s">
        <v>3999</v>
      </c>
      <c r="L1" t="s">
        <v>4004</v>
      </c>
      <c r="M1" t="s">
        <v>4009</v>
      </c>
      <c r="N1" t="s">
        <v>4013</v>
      </c>
      <c r="O1" t="s">
        <v>4017</v>
      </c>
      <c r="P1" t="s">
        <v>4021</v>
      </c>
      <c r="Q1" t="s">
        <v>4025</v>
      </c>
      <c r="R1" t="s">
        <v>4029</v>
      </c>
      <c r="S1" t="s">
        <v>4033</v>
      </c>
      <c r="T1" t="s">
        <v>4037</v>
      </c>
      <c r="U1" t="s">
        <v>4041</v>
      </c>
      <c r="V1" t="s">
        <v>4045</v>
      </c>
      <c r="W1" t="s">
        <v>4049</v>
      </c>
      <c r="X1" t="s">
        <v>4053</v>
      </c>
      <c r="Y1" t="s">
        <v>4057</v>
      </c>
      <c r="Z1" t="s">
        <v>4061</v>
      </c>
      <c r="AA1" t="s">
        <v>4066</v>
      </c>
      <c r="AB1" t="s">
        <v>4070</v>
      </c>
      <c r="AC1" t="s">
        <v>4077</v>
      </c>
      <c r="AD1" t="s">
        <v>4081</v>
      </c>
      <c r="AE1" t="s">
        <v>4085</v>
      </c>
      <c r="AF1" t="s">
        <v>4089</v>
      </c>
      <c r="AG1" t="s">
        <v>4093</v>
      </c>
      <c r="AH1" t="s">
        <v>4099</v>
      </c>
      <c r="AI1" t="s">
        <v>4103</v>
      </c>
      <c r="AJ1" t="s">
        <v>4107</v>
      </c>
      <c r="AK1" t="s">
        <v>4110</v>
      </c>
      <c r="AL1" t="s">
        <v>4114</v>
      </c>
      <c r="AM1" t="s">
        <v>4119</v>
      </c>
      <c r="AN1" t="s">
        <v>4123</v>
      </c>
      <c r="AO1" t="s">
        <v>4127</v>
      </c>
      <c r="AP1" t="s">
        <v>4133</v>
      </c>
      <c r="AQ1" t="s">
        <v>4137</v>
      </c>
      <c r="AR1" t="s">
        <v>4142</v>
      </c>
      <c r="AS1" t="s">
        <v>4147</v>
      </c>
      <c r="AT1" t="s">
        <v>4151</v>
      </c>
      <c r="AU1" t="s">
        <v>4155</v>
      </c>
      <c r="AV1" t="s">
        <v>4159</v>
      </c>
      <c r="AW1" t="s">
        <v>4163</v>
      </c>
      <c r="AX1" t="s">
        <v>4166</v>
      </c>
      <c r="AY1" t="s">
        <v>4172</v>
      </c>
      <c r="AZ1" t="s">
        <v>4177</v>
      </c>
      <c r="BA1" t="s">
        <v>4182</v>
      </c>
      <c r="BB1" t="s">
        <v>4186</v>
      </c>
      <c r="BC1" t="s">
        <v>4190</v>
      </c>
      <c r="BD1" t="s">
        <v>4194</v>
      </c>
      <c r="BE1" t="s">
        <v>4199</v>
      </c>
      <c r="BF1" t="s">
        <v>4202</v>
      </c>
      <c r="BG1" t="s">
        <v>4206</v>
      </c>
      <c r="BH1" t="s">
        <v>4209</v>
      </c>
      <c r="BI1" t="s">
        <v>4212</v>
      </c>
      <c r="BJ1" t="s">
        <v>4215</v>
      </c>
      <c r="BK1" t="s">
        <v>4220</v>
      </c>
      <c r="BL1" t="s">
        <v>4225</v>
      </c>
      <c r="BM1" t="s">
        <v>4229</v>
      </c>
      <c r="BN1" t="s">
        <v>4235</v>
      </c>
      <c r="BO1" t="s">
        <v>4239</v>
      </c>
      <c r="BP1" t="s">
        <v>4243</v>
      </c>
      <c r="BQ1" t="s">
        <v>4246</v>
      </c>
      <c r="BR1" t="s">
        <v>4250</v>
      </c>
      <c r="BS1" t="s">
        <v>4254</v>
      </c>
      <c r="BT1" t="s">
        <v>4259</v>
      </c>
      <c r="BU1" t="s">
        <v>4263</v>
      </c>
      <c r="BV1" t="s">
        <v>4267</v>
      </c>
      <c r="BW1" t="s">
        <v>4271</v>
      </c>
      <c r="BX1" t="s">
        <v>4275</v>
      </c>
    </row>
    <row r="2" ht="12.75" customHeight="1">
      <c r="A2" t="str">
        <f>DL_NM</f>
        <v>XXXX</v>
      </c>
      <c r="B2">
        <f>CMT_NBR</f>
        <v>0</v>
      </c>
      <c r="C2">
        <f>PL_NBR</f>
        <v>0</v>
      </c>
      <c r="D2" t="str">
        <f>LNDR_NM</f>
        <v>Walker &amp; Dunlop, LLC</v>
      </c>
      <c r="E2" t="str">
        <f>PROP_NM</f>
        <v>XXXX</v>
      </c>
      <c r="F2" t="str">
        <f>PROP_TYP</f>
        <v>Multifamily</v>
      </c>
      <c r="G2" t="str">
        <f>BLDG_TYP</f>
        <v>Select</v>
      </c>
      <c r="H2">
        <f>BLDG_CNT</f>
        <v>24</v>
      </c>
      <c r="I2">
        <f>RES_AREA</f>
        <v>84991</v>
      </c>
      <c r="J2">
        <f>RES_UNTS</f>
        <v>85</v>
      </c>
      <c r="K2">
        <f>UTIL_INCL</f>
        <v>0</v>
      </c>
      <c r="L2">
        <f>YR_BLT</f>
        <v>1800</v>
      </c>
      <c r="M2">
        <f>PHS1_YR</f>
        <v>0</v>
      </c>
      <c r="N2">
        <f>PHS1_UNTS</f>
        <v>0</v>
      </c>
      <c r="O2">
        <f>PHS2_YR</f>
        <v>0</v>
      </c>
      <c r="P2">
        <f>PHS2_UNTS</f>
        <v>0</v>
      </c>
      <c r="Q2">
        <f>PHS3_YR</f>
        <v>0</v>
      </c>
      <c r="R2">
        <f>PHS3_UNTS</f>
        <v>0</v>
      </c>
      <c r="S2">
        <f>PHS4_YR</f>
        <v>0</v>
      </c>
      <c r="T2">
        <f>PHS4_UNTS</f>
        <v>0</v>
      </c>
      <c r="U2">
        <f>PHS5_YR</f>
        <v>0</v>
      </c>
      <c r="V2">
        <f>PHS5_UNTS</f>
        <v>0</v>
      </c>
      <c r="W2">
        <f>PHS6_YR</f>
        <v>0</v>
      </c>
      <c r="X2">
        <f>PHS6_UNTS</f>
        <v>0</v>
      </c>
      <c r="Y2">
        <f>PHS7_YR</f>
        <v>0</v>
      </c>
      <c r="Z2">
        <f>PHS7_UNTS</f>
        <v>0</v>
      </c>
      <c r="AA2" t="str">
        <f>LN_PRPS</f>
        <v>Refinance</v>
      </c>
      <c r="AB2" t="e">
        <f>APP_LN_AMT</f>
        <v>#NAME?</v>
      </c>
      <c r="AC2">
        <f>TIER</f>
        <v>0</v>
      </c>
      <c r="AD2">
        <f>TIER_DRP</f>
        <v>0</v>
      </c>
      <c r="AE2">
        <f>LCK_TRM</f>
        <v>0</v>
      </c>
      <c r="AF2" s="3">
        <f>LCK_EXP_DT</f>
        <v>0</v>
      </c>
      <c r="AG2" t="e">
        <f>TRSY_RT</f>
        <v>#NAME?</v>
      </c>
      <c r="AH2" t="e">
        <f>GRS_SPRD</f>
        <v>#NAME?</v>
      </c>
      <c r="AI2" t="e">
        <f>UW_FLR_RT</f>
        <v>#NAME?</v>
      </c>
      <c r="AJ2">
        <f>UW_RT</f>
        <v>0</v>
      </c>
      <c r="AK2">
        <f>UW_NCF</f>
        <v>-1720952.21</v>
      </c>
      <c r="AL2">
        <f>COOP_NCF</f>
        <v>0</v>
      </c>
      <c r="AM2">
        <f>UW_EGI</f>
        <v>1109838</v>
      </c>
      <c r="AN2">
        <f>UW_TOE</f>
        <v>2809540.21</v>
      </c>
      <c r="AO2">
        <f>UW_PHYS_OCC</f>
        <v>88</v>
      </c>
      <c r="AP2">
        <f>UW_ECON_OCC</f>
        <v>85.2</v>
      </c>
      <c r="AQ2" t="e">
        <f>MIN_HRDL_DSCR</f>
        <v>#NAME?</v>
      </c>
      <c r="AR2">
        <f>ACTL_DSCR</f>
        <v>0</v>
      </c>
      <c r="AS2">
        <f>MAX_PMT_DSCR</f>
        <v>0</v>
      </c>
      <c r="AT2">
        <f>UW_DSCR</f>
        <v>0.01</v>
      </c>
      <c r="AU2">
        <f>MEZZ_DSCR</f>
        <v>0</v>
      </c>
      <c r="AV2">
        <f>UW_CAP_RT</f>
        <v>5</v>
      </c>
      <c r="AW2">
        <f>UW_PROP_VAL</f>
        <v>-34419044.199999996</v>
      </c>
      <c r="AX2">
        <f>UW_LTV</f>
        <v>0.01</v>
      </c>
      <c r="AY2">
        <f>MAH_UNTS</f>
      </c>
      <c r="AZ2">
        <f>MAH_TYP</f>
        <v>0</v>
      </c>
      <c r="BA2">
        <f>OTR_MAH_TYP</f>
        <v>0</v>
      </c>
      <c r="BB2">
        <f>MAH_UNDR_80</f>
        <v>0</v>
      </c>
      <c r="BC2">
        <f>MAH_UNDR_60</f>
        <v>0</v>
      </c>
      <c r="BD2">
        <f>MAH_UNDR_50</f>
        <v>0</v>
      </c>
      <c r="BE2">
        <f>RPR_TOT</f>
        <v>0</v>
      </c>
      <c r="BF2">
        <f>SZ_ZN</f>
        <v>0</v>
      </c>
      <c r="BG2">
        <f>TRSM_INS</f>
        <v>0</v>
      </c>
      <c r="BH2">
        <f>TX_ESCRW</f>
        <v>0</v>
      </c>
      <c r="BI2">
        <f>INS_ESCRW</f>
        <v>0</v>
      </c>
      <c r="BJ2">
        <f>OTR_ESCRW</f>
        <v>0</v>
      </c>
      <c r="BK2">
        <f>LNDR_CMTS</f>
        <v>0</v>
      </c>
      <c r="BL2">
        <f>UW_SIGN</f>
        <v>0</v>
      </c>
      <c r="BM2" s="3">
        <f>UW_SIGN_DT</f>
        <v>0</v>
      </c>
      <c r="BN2">
        <f>CUW_SIGN</f>
        <v>0</v>
      </c>
      <c r="BO2" s="3">
        <f>CUW_SIGN_DT</f>
        <v>0</v>
      </c>
      <c r="BP2">
        <f>HAP_REM_TRM</f>
        <v>0</v>
      </c>
      <c r="BQ2">
        <f>AGE_RESTR</f>
        <v>0</v>
      </c>
      <c r="BR2">
        <f>UW_CLTV</f>
        <v>0</v>
      </c>
      <c r="BS2">
        <f>OP_STMT_FY</f>
        <v>2023</v>
      </c>
      <c r="BT2">
        <f>SZ_RSK</f>
        <v>0</v>
      </c>
      <c r="BU2" s="1">
        <f>UW_PROP_VAL_DT</f>
        <v>45189</v>
      </c>
      <c r="BV2">
        <f>MEZZ_LN_ACQ_UPB</f>
        <v>0</v>
      </c>
      <c r="BW2">
        <f>MEZZ_LN_MO_PMT</f>
        <v>0</v>
      </c>
      <c r="BX2">
        <f>CAP_COST_FCTR</f>
        <v>0</v>
      </c>
    </row>
  </sheetData>
  <printOptions horizontalCentered="1"/>
  <pageMargins left="0.5" right="0.5" top="0.75" bottom="0.75" header="0.3" footer="0.3"/>
  <pageSetup paperSize="1" useFirstPageNumber="1" firstPageNumber="1" pageOrder="downThenOver" orientation="portrait"/>
  <headerFooter>
    <oddFooter>&amp;L&amp;"Source Sans Pro,Regular"&amp;8© 2020 Fannie Mae. Trademarks of Fannie Mae&amp;"Arial,Regular"&amp;10.&amp;C&amp;"Source Sans Pro,Bold"&amp;8Form 4662&amp;"Arial,Regular"&amp;10 -&amp;"Source Sans Pro,Regular"&amp;8 Febuary 2020&amp;RPage &amp;P of &amp;N</oddFooter>
  </headerFooter>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0E55431-46C9-7A0E-8D49-03344107467C}" mc:Ignorable="x14ac xr xr2 xr3">
  <dimension ref="A1:ES43"/>
  <sheetViews>
    <sheetView topLeftCell="A1" zoomScale="90" workbookViewId="0">
      <selection activeCell="A3" sqref="A3"/>
    </sheetView>
  </sheetViews>
  <sheetFormatPr defaultRowHeight="14.497499999999997" defaultColWidth="11.57421875" customHeight="1"/>
  <cols>
    <col min="1" max="1" width="9.57421875" customWidth="1"/>
    <col min="2" max="2" width="29.57421875" customWidth="1"/>
    <col min="3" max="3" width="19.00390625" customWidth="1"/>
    <col min="7" max="7" width="9.57421875" customWidth="1"/>
    <col min="8" max="8" width="13.00390625" customWidth="1"/>
    <col min="9" max="11" width="12.57421875" customWidth="1"/>
    <col min="12" max="12" width="7.00390625" customWidth="1"/>
    <col min="13" max="13" width="11.00390625" customWidth="1"/>
    <col min="14" max="14" width="12.57421875" customWidth="1"/>
    <col min="15" max="15" width="16.57421875" customWidth="1"/>
    <col min="16" max="16" width="8.57421875" customWidth="1"/>
    <col min="18" max="18" width="12.57421875" customWidth="1"/>
    <col min="19" max="19" width="16.57421875" customWidth="1"/>
    <col min="20" max="21" width="13.57421875" customWidth="1"/>
    <col min="23" max="35" width="16.57421875" customWidth="1"/>
    <col min="36" max="38" width="17.57421875" customWidth="1"/>
    <col min="39" max="40" width="17.00390625" customWidth="1"/>
    <col min="41" max="41" width="17.57421875" customWidth="1"/>
    <col min="42" max="48" width="17.00390625" customWidth="1"/>
    <col min="49" max="49" width="17.57421875" customWidth="1"/>
    <col min="50" max="56" width="17.00390625" customWidth="1"/>
    <col min="57" max="57" width="15.57421875" customWidth="1"/>
    <col min="58" max="58" width="16.57421875" customWidth="1"/>
    <col min="59" max="61" width="14.57421875" customWidth="1"/>
    <col min="62" max="62" width="16.57421875" customWidth="1"/>
    <col min="63" max="63" width="14.57421875" customWidth="1"/>
    <col min="64" max="64" width="16.57421875" customWidth="1"/>
    <col min="65" max="65" width="14.57421875" customWidth="1"/>
    <col min="69" max="71" width="12.57421875" customWidth="1"/>
    <col min="72" max="72" width="13.00390625" customWidth="1"/>
    <col min="75" max="75" width="13.57421875" customWidth="1"/>
    <col min="85" max="85" width="13.57421875" customWidth="1"/>
    <col min="86" max="86" width="19.57421875" customWidth="1"/>
    <col min="88" max="88" width="13.57421875" customWidth="1"/>
    <col min="89" max="89" width="38.57421875" customWidth="1"/>
    <col min="90" max="90" width="15.00390625" customWidth="1"/>
    <col min="91" max="91" width="26.57421875" customWidth="1"/>
    <col min="92" max="92" width="15.57421875" customWidth="1"/>
    <col min="93" max="93" width="18.57421875" customWidth="1"/>
    <col min="96" max="96" width="24.57421875" customWidth="1"/>
    <col min="97" max="97" width="13.7109375" customWidth="1"/>
    <col min="99" max="99" width="14.00390625" customWidth="1"/>
    <col min="101" max="101" width="13.8515625" customWidth="1"/>
    <col min="104" max="104" width="28.57421875" customWidth="1"/>
    <col min="107" max="107" width="22.00390625" customWidth="1"/>
    <col min="108" max="108" width="28.57421875" customWidth="1"/>
    <col min="109" max="111" width="18.57421875" customWidth="1"/>
    <col min="119" max="119" width="15.57421875" customWidth="1"/>
    <col min="120" max="120" width="26.57421875" customWidth="1"/>
    <col min="122" max="122" width="16.57421875" customWidth="1"/>
    <col min="126" max="126" width="18.00390625" customWidth="1"/>
    <col min="129" max="129" width="17.57421875" customWidth="1"/>
    <col min="131" max="131" width="24.57421875" customWidth="1"/>
    <col min="132" max="132" width="23.57421875" customWidth="1"/>
    <col min="133" max="133" width="18.00390625" customWidth="1"/>
    <col min="136" max="136" width="19.57421875" customWidth="1"/>
    <col min="138" max="138" width="19.57421875" customWidth="1"/>
  </cols>
  <sheetData>
    <row r="1" ht="98.25" customHeight="1">
      <c r="A1" t="s">
        <v>4278</v>
      </c>
      <c r="B1" t="s">
        <v>4279</v>
      </c>
      <c r="C1" t="s">
        <v>265</v>
      </c>
      <c r="D1" t="s">
        <v>4280</v>
      </c>
      <c r="E1" t="s">
        <v>4281</v>
      </c>
      <c r="F1" t="s">
        <v>4282</v>
      </c>
      <c r="G1" t="s">
        <v>4283</v>
      </c>
      <c r="H1" t="s">
        <v>4284</v>
      </c>
      <c r="I1" t="s">
        <v>4285</v>
      </c>
      <c r="J1" t="s">
        <v>4286</v>
      </c>
      <c r="K1" t="s">
        <v>279</v>
      </c>
      <c r="L1" t="s">
        <v>289</v>
      </c>
      <c r="M1" t="s">
        <v>4287</v>
      </c>
      <c r="N1" t="s">
        <v>283</v>
      </c>
      <c r="O1" t="s">
        <v>4288</v>
      </c>
      <c r="P1" t="s">
        <v>4289</v>
      </c>
      <c r="Q1" t="s">
        <v>4290</v>
      </c>
      <c r="R1" t="s">
        <v>4291</v>
      </c>
      <c r="S1" t="s">
        <v>4292</v>
      </c>
      <c r="T1" t="s">
        <v>4293</v>
      </c>
      <c r="U1" t="s">
        <v>4294</v>
      </c>
      <c r="V1" t="s">
        <v>4295</v>
      </c>
      <c r="W1" t="s">
        <v>4296</v>
      </c>
      <c r="X1" t="s">
        <v>1884</v>
      </c>
      <c r="Y1" t="s">
        <v>1885</v>
      </c>
      <c r="Z1" t="s">
        <v>1886</v>
      </c>
      <c r="AA1" t="s">
        <v>4297</v>
      </c>
      <c r="AB1" t="s">
        <v>4298</v>
      </c>
      <c r="AC1" t="s">
        <v>4299</v>
      </c>
      <c r="AD1" t="s">
        <v>4300</v>
      </c>
      <c r="AE1" t="s">
        <v>1110</v>
      </c>
      <c r="AF1" t="s">
        <v>4301</v>
      </c>
      <c r="AG1" t="s">
        <v>4302</v>
      </c>
      <c r="AH1" t="s">
        <v>4303</v>
      </c>
      <c r="AI1" t="s">
        <v>4304</v>
      </c>
      <c r="AJ1" t="s">
        <v>4305</v>
      </c>
      <c r="AK1" t="s">
        <v>4306</v>
      </c>
      <c r="AL1" t="s">
        <v>4307</v>
      </c>
      <c r="AM1" t="s">
        <v>4308</v>
      </c>
      <c r="AN1" t="s">
        <v>1920</v>
      </c>
      <c r="AO1" t="s">
        <v>2451</v>
      </c>
      <c r="AP1" t="s">
        <v>1929</v>
      </c>
      <c r="AQ1" t="s">
        <v>4309</v>
      </c>
      <c r="AR1" t="s">
        <v>4310</v>
      </c>
      <c r="AS1" t="s">
        <v>1417</v>
      </c>
      <c r="AT1" t="s">
        <v>1419</v>
      </c>
      <c r="AU1" t="s">
        <v>2458</v>
      </c>
      <c r="AV1" t="s">
        <v>1492</v>
      </c>
      <c r="AW1" t="s">
        <v>1800</v>
      </c>
      <c r="AX1" t="s">
        <v>1939</v>
      </c>
      <c r="AY1" t="s">
        <v>2463</v>
      </c>
      <c r="AZ1" t="s">
        <v>1912</v>
      </c>
      <c r="BA1" t="s">
        <v>1930</v>
      </c>
      <c r="BB1" t="s">
        <v>4311</v>
      </c>
      <c r="BC1" t="s">
        <v>4312</v>
      </c>
      <c r="BD1" t="s">
        <v>4313</v>
      </c>
      <c r="BE1" t="s">
        <v>4314</v>
      </c>
      <c r="BF1" t="s">
        <v>4315</v>
      </c>
      <c r="BG1" t="s">
        <v>4316</v>
      </c>
      <c r="BH1" t="s">
        <v>4317</v>
      </c>
      <c r="BI1" t="s">
        <v>4318</v>
      </c>
      <c r="BJ1" t="s">
        <v>4319</v>
      </c>
      <c r="BK1" t="s">
        <v>4320</v>
      </c>
      <c r="BL1" t="s">
        <v>4321</v>
      </c>
      <c r="BM1" t="s">
        <v>4322</v>
      </c>
      <c r="BN1" t="s">
        <v>4323</v>
      </c>
      <c r="BO1" t="s">
        <v>4324</v>
      </c>
      <c r="BP1" t="s">
        <v>4325</v>
      </c>
      <c r="BQ1" t="s">
        <v>4326</v>
      </c>
      <c r="BR1" t="s">
        <v>4327</v>
      </c>
      <c r="BS1" t="s">
        <v>4328</v>
      </c>
      <c r="BT1" t="s">
        <v>4329</v>
      </c>
      <c r="BU1" t="s">
        <v>4330</v>
      </c>
      <c r="BV1" t="s">
        <v>4331</v>
      </c>
      <c r="BW1" t="s">
        <v>4332</v>
      </c>
      <c r="BX1" t="s">
        <v>4333</v>
      </c>
      <c r="BY1" t="s">
        <v>4334</v>
      </c>
      <c r="BZ1" t="s">
        <v>4335</v>
      </c>
      <c r="CA1" t="s">
        <v>4336</v>
      </c>
      <c r="CB1" t="s">
        <v>4337</v>
      </c>
      <c r="CC1" t="s">
        <v>4338</v>
      </c>
      <c r="CD1" t="s">
        <v>4339</v>
      </c>
      <c r="CE1" t="s">
        <v>4340</v>
      </c>
      <c r="CF1" t="s">
        <v>4341</v>
      </c>
      <c r="CG1" t="s">
        <v>4342</v>
      </c>
      <c r="CH1" t="s">
        <v>4343</v>
      </c>
      <c r="CI1" t="s">
        <v>4218</v>
      </c>
      <c r="CJ1" t="s">
        <v>201</v>
      </c>
      <c r="CK1" t="s">
        <v>208</v>
      </c>
      <c r="CL1" t="s">
        <v>4344</v>
      </c>
      <c r="CM1" t="s">
        <v>4345</v>
      </c>
      <c r="CN1" t="s">
        <v>4346</v>
      </c>
      <c r="CO1" t="s">
        <v>4347</v>
      </c>
      <c r="CP1" t="s">
        <v>4348</v>
      </c>
      <c r="CQ1" t="s">
        <v>4349</v>
      </c>
      <c r="CR1" t="s">
        <v>4350</v>
      </c>
      <c r="CS1" t="s">
        <v>4351</v>
      </c>
      <c r="CT1" t="s">
        <v>4352</v>
      </c>
      <c r="CU1" t="s">
        <v>4353</v>
      </c>
      <c r="CV1" t="s">
        <v>4354</v>
      </c>
      <c r="CW1" t="s">
        <v>4355</v>
      </c>
      <c r="CX1" t="s">
        <v>4356</v>
      </c>
      <c r="CY1" t="s">
        <v>4357</v>
      </c>
      <c r="CZ1" t="s">
        <v>4358</v>
      </c>
      <c r="DA1" t="s">
        <v>4359</v>
      </c>
      <c r="DB1" t="s">
        <v>4360</v>
      </c>
      <c r="DC1" t="s">
        <v>4361</v>
      </c>
      <c r="DD1" t="s">
        <v>4362</v>
      </c>
      <c r="DE1" t="s">
        <v>4363</v>
      </c>
      <c r="DF1" t="s">
        <v>4364</v>
      </c>
      <c r="DG1" t="s">
        <v>4365</v>
      </c>
      <c r="DH1" t="s">
        <v>4366</v>
      </c>
      <c r="DI1" t="s">
        <v>4367</v>
      </c>
      <c r="DJ1" t="s">
        <v>4368</v>
      </c>
      <c r="DK1" t="s">
        <v>3778</v>
      </c>
      <c r="DL1" t="s">
        <v>4369</v>
      </c>
      <c r="DM1" t="s">
        <v>4370</v>
      </c>
      <c r="DN1" t="s">
        <v>4371</v>
      </c>
      <c r="DO1" t="s">
        <v>4372</v>
      </c>
      <c r="DP1" t="s">
        <v>4373</v>
      </c>
      <c r="DQ1" t="s">
        <v>4374</v>
      </c>
      <c r="DR1" t="s">
        <v>4375</v>
      </c>
      <c r="DS1" t="s">
        <v>4376</v>
      </c>
      <c r="DT1" t="s">
        <v>4377</v>
      </c>
      <c r="DU1" t="s">
        <v>4378</v>
      </c>
      <c r="DV1" t="s">
        <v>4379</v>
      </c>
      <c r="DW1" t="s">
        <v>4380</v>
      </c>
      <c r="DX1" t="s">
        <v>4381</v>
      </c>
      <c r="DY1" t="s">
        <v>4382</v>
      </c>
      <c r="DZ1" t="s">
        <v>4383</v>
      </c>
      <c r="EA1" t="s">
        <v>4384</v>
      </c>
      <c r="EB1" t="s">
        <v>4385</v>
      </c>
      <c r="EC1" t="s">
        <v>4386</v>
      </c>
      <c r="ED1" t="s">
        <v>4387</v>
      </c>
      <c r="EE1" t="s">
        <v>4388</v>
      </c>
      <c r="EF1" t="s">
        <v>4389</v>
      </c>
      <c r="EG1" t="s">
        <v>4390</v>
      </c>
      <c r="EH1" t="s">
        <v>4391</v>
      </c>
      <c r="EI1" t="s">
        <v>4392</v>
      </c>
      <c r="EJ1" t="s">
        <v>4393</v>
      </c>
      <c r="EK1" t="s">
        <v>4394</v>
      </c>
      <c r="EL1" t="s">
        <v>4395</v>
      </c>
      <c r="EM1" t="s">
        <v>4396</v>
      </c>
      <c r="EN1" t="s">
        <v>4397</v>
      </c>
      <c r="EO1" t="s">
        <v>4398</v>
      </c>
      <c r="EP1" t="s">
        <v>4399</v>
      </c>
      <c r="EQ1" t="s">
        <v>4400</v>
      </c>
      <c r="ER1" t="s">
        <v>4401</v>
      </c>
      <c r="ES1" t="s">
        <v>4402</v>
      </c>
    </row>
    <row r="2" ht="14.25" customHeight="1">
      <c r="A2">
        <v>1</v>
      </c>
      <c r="B2">
        <v>6767</v>
      </c>
      <c r="D2" t="s">
        <v>4403</v>
      </c>
      <c r="G2">
        <f>NumOfBldg_DataPageTab</f>
        <v>24</v>
      </c>
      <c r="O2" t="str">
        <f>Management_Company</f>
        <v>XXXX</v>
      </c>
      <c r="P2" t="s">
        <v>4404</v>
      </c>
      <c r="Q2">
        <f>PHS1_YR</f>
        <v>0</v>
      </c>
      <c r="R2">
        <f>PHS1_UNTS</f>
        <v>0</v>
      </c>
      <c r="S2">
        <f>UW_Value</f>
        <v>-34419044.199999996</v>
      </c>
      <c r="T2">
        <f>ROUND(UW_Cap*100,2)</f>
        <v>5</v>
      </c>
      <c r="U2" t="str">
        <f>Appraisal_Date</f>
        <v>XX/XX/XX</v>
      </c>
      <c r="V2">
        <f>OP_STMT_FY</f>
        <v>2023</v>
      </c>
      <c r="W2">
        <f>ROUND(SOps_UnderwrittenGPR,2)</f>
        <v>1556580</v>
      </c>
      <c r="X2">
        <f>ROUND(-'Summary OPS'!AU10,2)</f>
        <v>186172</v>
      </c>
      <c r="Y2">
        <f>ROUND(-'Summary OPS'!AU11,2)</f>
        <v>44520</v>
      </c>
      <c r="Z2">
        <f>ROUND(-'Summary OPS'!AU12,2)</f>
        <v>0</v>
      </c>
      <c r="AA2">
        <f>IF('Data Page'!AM2="Seniors",ROUND('Summary OPS'!AU22,2),"")</f>
      </c>
      <c r="AB2">
        <f>IF('Data Page'!AM2="Seniors",ROUND('Summary OPS'!AU23,2),"")</f>
      </c>
      <c r="AC2">
        <f>IF('Data Page'!AM2="Seniors",ROUND('Summary OPS'!AU24,2),"")</f>
      </c>
      <c r="AD2">
        <f>IF('Data Page'!AM2="Seniors",ROUND('Summary OPS'!AU25,2),"")</f>
      </c>
      <c r="AE2">
        <f>ROUND('Summary OPS'!AU17,2)</f>
        <v>0</v>
      </c>
      <c r="AF2">
        <f>ROUND('Summary OPS'!AU15,2)</f>
        <v>29692</v>
      </c>
      <c r="AG2">
        <f>ROUND('Summary OPS'!AU16,2)</f>
        <v>0</v>
      </c>
      <c r="AH2">
        <f>ROUND('Summary OPS'!AU19+'Summary OPS'!AU20+'Summary OPS'!AU21,2)</f>
        <v>-245742</v>
      </c>
      <c r="AI2">
        <f>ROUND(SOps_UnderwrittenNRI,2)</f>
        <v>1325888</v>
      </c>
      <c r="AJ2">
        <f>ROUND(T1_Annualized_NRI,2)</f>
        <v>4823412</v>
      </c>
      <c r="AK2">
        <f>ROUND(T3_Annualized_NRI,2)</f>
        <v>4904876</v>
      </c>
      <c r="AL2">
        <f>ROUND(T6_Annualized_NRI,2)</f>
        <v>4908984</v>
      </c>
      <c r="AM2">
        <f>ROUND(T12_Annualized_NRI,2)</f>
        <v>4807132</v>
      </c>
      <c r="AN2">
        <f>ROUND('Summary OPS'!AU35,2)</f>
        <v>38844.33</v>
      </c>
      <c r="AO2">
        <f>ROUND('Summary OPS'!AU36,2)</f>
        <v>224926.25</v>
      </c>
      <c r="AP2">
        <f>ROUND('Summary OPS'!AU37,2)</f>
        <v>51112.72</v>
      </c>
      <c r="AQ2">
        <f>IF('Data Page'!AM2="Seniors",ROUND('Summary OPS'!AU39,2),"")</f>
      </c>
      <c r="AR2">
        <f>ROUND('Summary OPS'!AU41,2)</f>
        <v>492493.47</v>
      </c>
      <c r="AS2">
        <f>ROUND('Summary OPS'!AU42,2)</f>
        <v>183091.77</v>
      </c>
      <c r="AT2">
        <f>ROUND('Summary OPS'!AU43,2)</f>
        <v>117599.22</v>
      </c>
      <c r="AU2">
        <f>ROUND('Summary OPS'!AU44,2)</f>
        <v>395766.17</v>
      </c>
      <c r="AV2">
        <f>ROUND('Summary OPS'!AU45,2)</f>
        <v>250385.79</v>
      </c>
      <c r="AW2">
        <f>ROUND('Summary OPS'!AU46,2)</f>
        <v>1036382.91</v>
      </c>
      <c r="AX2">
        <f>ROUND('Summary OPS'!AU51,2)</f>
        <v>21250</v>
      </c>
      <c r="AY2">
        <f>ROUND('Summary OPS'!AU48,2)</f>
        <v>0</v>
      </c>
      <c r="AZ2">
        <f>ROUND('Summary OPS'!AU47,2)</f>
        <v>0</v>
      </c>
      <c r="BA2">
        <f>ROUND('Summary OPS'!AU38,2)</f>
        <v>18937.58</v>
      </c>
      <c r="BB2">
        <f>IF('Data Page'!AM2="Seniors",ROUND('Summary OPS'!AU40,2),"")</f>
      </c>
      <c r="BD2" t="e">
        <f>Initial_Deposit</f>
        <v>#NAME?</v>
      </c>
      <c r="BE2" t="e">
        <f>Reserves_Waived</f>
        <v>#NAME?</v>
      </c>
      <c r="BF2" t="str">
        <f>_xlfn.IFERROR(IF(AND(LEN('Engineering schedule'!B54&amp;'Engineering schedule'!B55&amp;'Engineering schedule'!B56&amp;'Engineering schedule'!B57&amp;'Engineering schedule'!B60&amp;'Engineering schedule'!B61&amp;'Engineering schedule'!B62&amp;'Engineering schedule'!B63&amp;'Engineering schedule'!B66&amp;'Engineering schedule'!B67&amp;'Engineering schedule'!B68&amp;'Engineering schedule'!B69&amp;'Engineering schedule'!B72&amp;'Engineering schedule'!B74&amp;'Engineering schedule'!B75)&gt;0,Immediates_Waived="No"),"Yes","No"),"No")</f>
        <v>No</v>
      </c>
      <c r="BG2">
        <f>RPR_TOT</f>
        <v>0</v>
      </c>
      <c r="BH2" t="e">
        <f>IF(Immediates_Waived="No",Immediates_Escrowed,0)</f>
        <v>#NAME?</v>
      </c>
      <c r="BI2" s="1">
        <f>'Data Page'!K24+MAX('Engineering schedule'!C54:C57,'Engineering schedule'!C60:C63,'Engineering schedule'!C66:C69,'Engineering schedule'!C72,'Engineering schedule'!C74:C75)</f>
        <v>45261</v>
      </c>
      <c r="BJ2">
        <f>TX_ESCRW</f>
        <v>0</v>
      </c>
      <c r="CK2" t="str">
        <f>BLDG_TYP</f>
        <v>Select</v>
      </c>
      <c r="CS2">
        <f>UW_PHYS_OCC</f>
        <v>88</v>
      </c>
      <c r="CU2">
        <f>UW_ECON_OCC</f>
        <v>85.2</v>
      </c>
      <c r="CV2" s="3">
        <f>'Rent Roll'!C15</f>
        <v>0</v>
      </c>
      <c r="CX2">
        <f>RES_AREA</f>
        <v>84991</v>
      </c>
      <c r="CY2">
        <f>'Data Page'!J12</f>
        <v>0</v>
      </c>
      <c r="CZ2">
        <f>GBA</f>
        <v>0</v>
      </c>
      <c r="DC2">
        <f>SZ_ZN</f>
        <v>0</v>
      </c>
      <c r="DD2">
        <f>TRSM_INS</f>
        <v>0</v>
      </c>
      <c r="DP2">
        <f>IF(MAH_UNTS="","",MAH_UNTS)</f>
      </c>
      <c r="DS2">
        <f>IF(MAH_UNDR_80="","",MAH_UNDR_80)</f>
      </c>
      <c r="DT2">
        <f>IF(MAH_UNDR_60="","",MAH_UNDR_60)</f>
      </c>
      <c r="DU2">
        <f>IF(MAH_UNDR_50="","",MAH_UNDR_50)</f>
      </c>
      <c r="EB2" t="s">
        <v>4405</v>
      </c>
      <c r="EC2" t="s">
        <v>4406</v>
      </c>
    </row>
    <row r="3" ht="14.25" customHeight="1">
      <c r="A3">
        <f t="shared" si="0" ref="A3:A8">IF(P3="","",1)</f>
      </c>
      <c r="P3">
        <f>IF(PHS2_YR="","",2)</f>
      </c>
      <c r="Q3">
        <f>IF(PHS2_YR="","",PHS2_YR)</f>
      </c>
      <c r="R3">
        <f>IF(PHS2_UNTS="","",PHS2_UNTS)</f>
      </c>
    </row>
    <row r="4" ht="14.25" customHeight="1">
      <c r="A4">
        <f t="shared" si="0"/>
      </c>
      <c r="P4">
        <f>IF(PHS3_YR="","",3)</f>
      </c>
      <c r="Q4">
        <f>IF(PHS3_YR="","",PHS3_YR)</f>
      </c>
      <c r="R4">
        <f>IF(PHS3_UNTS="","",PHS3_UNTS)</f>
      </c>
    </row>
    <row r="5" ht="14.25" customHeight="1">
      <c r="A5">
        <f t="shared" si="0"/>
      </c>
      <c r="P5">
        <f>IF(PHS4_YR="","",4)</f>
      </c>
      <c r="Q5">
        <f>IF(PHS4_YR="","",PHS4_YR)</f>
      </c>
      <c r="R5">
        <f>IF(PHS4_UNTS="","",PHS4_UNTS)</f>
      </c>
    </row>
    <row r="6" ht="14.25" customHeight="1">
      <c r="A6">
        <f t="shared" si="0"/>
      </c>
      <c r="P6">
        <f>IF(PHS5_YR="","",5)</f>
      </c>
      <c r="Q6">
        <f>IF(PHS5_YR="","",PHS5_YR)</f>
      </c>
      <c r="R6">
        <f>IF(PHS5_UNTS="","",PHS5_UNTS)</f>
      </c>
    </row>
    <row r="7" ht="14.25" customHeight="1">
      <c r="A7">
        <f t="shared" si="0"/>
      </c>
      <c r="P7">
        <f>IF(PHS6_YR="","",6)</f>
      </c>
      <c r="Q7">
        <f>IF(PHS6_YR="","",PHS6_YR)</f>
      </c>
      <c r="R7">
        <f>IF(PHS6_UNTS="","",PHS6_UNTS)</f>
      </c>
    </row>
    <row r="8" ht="14.25" customHeight="1">
      <c r="A8">
        <f t="shared" si="0"/>
      </c>
      <c r="P8">
        <f>IF(PHS7_YR="","",7)</f>
      </c>
      <c r="Q8">
        <f>IF(PHS7_YR="","",PHS7_YR)</f>
      </c>
      <c r="R8">
        <f>IF(PHS7_UNTS="","",PHS7_UNTS)</f>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sheetData>
  <printOptions/>
  <pageMargins left="0.75" right="0.75" top="1" bottom="1" header="0.5" footer="0.5"/>
  <pageSetup paperSize="1" useFirstPageNumber="1" firstPageNumber="1" pageOrder="downThenOver" orientation="landscape"/>
  <headerFooter>
    <oddFooter>&amp;L&amp;CConfidential - Internal Distribution&amp;R</oddFooter>
  </headerFooter>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3F516F8B-95AB-252B-327C-319781BBCCF7}" mc:Ignorable="x14ac xr xr2 xr3">
  <dimension ref="A1:AJ34"/>
  <sheetViews>
    <sheetView topLeftCell="A1" zoomScale="90" workbookViewId="0">
      <selection activeCell="A2" sqref="A2"/>
    </sheetView>
  </sheetViews>
  <sheetFormatPr defaultRowHeight="14.497499999999997" defaultColWidth="8.8515625" customHeight="1"/>
  <cols>
    <col min="1" max="1" width="25.57421875" customWidth="1"/>
    <col min="2" max="2" width="10.00390625" customWidth="1"/>
    <col min="3" max="3" width="21.57421875" customWidth="1"/>
    <col min="4" max="4" width="9.57421875" customWidth="1"/>
    <col min="5" max="5" width="12.00390625" customWidth="1"/>
    <col min="6" max="6" width="17.00390625" customWidth="1"/>
    <col min="7" max="7" width="18.57421875" customWidth="1"/>
    <col min="8" max="8" width="21.57421875" customWidth="1"/>
    <col min="9" max="9" width="17.57421875" customWidth="1"/>
    <col min="10" max="10" width="14.57421875" customWidth="1"/>
    <col min="11" max="11" width="28.00390625" customWidth="1"/>
    <col min="12" max="12" width="15.00390625" customWidth="1"/>
    <col min="13" max="13" width="24.57421875" customWidth="1"/>
    <col min="14" max="15" width="12.57421875" customWidth="1"/>
    <col min="16" max="16" width="14.00390625" customWidth="1"/>
    <col min="17" max="17" width="24.140625" customWidth="1"/>
    <col min="18" max="19" width="13.57421875" customWidth="1"/>
    <col min="20" max="20" width="15.57421875" customWidth="1"/>
    <col min="21" max="21" width="78.140625" customWidth="1"/>
    <col min="22" max="23" width="14.57421875" customWidth="1"/>
    <col min="24" max="29" width="10.57421875" customWidth="1"/>
    <col min="30" max="31" width="18.57421875" customWidth="1"/>
    <col min="32" max="32" width="9.57421875" customWidth="1"/>
    <col min="33" max="33" width="17.00390625" customWidth="1"/>
    <col min="34" max="34" width="14.57421875" customWidth="1"/>
    <col min="35" max="35" width="20.57421875" customWidth="1"/>
    <col min="36" max="36" width="19.57421875" customWidth="1"/>
  </cols>
  <sheetData>
    <row r="1" ht="72.75" customHeight="1">
      <c r="A1" t="s">
        <v>4407</v>
      </c>
      <c r="B1" t="s">
        <v>4408</v>
      </c>
      <c r="C1" t="s">
        <v>4409</v>
      </c>
      <c r="D1" t="s">
        <v>4410</v>
      </c>
      <c r="E1" t="s">
        <v>4411</v>
      </c>
      <c r="F1" t="s">
        <v>4412</v>
      </c>
      <c r="G1" t="s">
        <v>4413</v>
      </c>
      <c r="H1" t="s">
        <v>4414</v>
      </c>
      <c r="I1" t="s">
        <v>4415</v>
      </c>
      <c r="J1" t="s">
        <v>4416</v>
      </c>
      <c r="K1" t="s">
        <v>4417</v>
      </c>
      <c r="L1" t="s">
        <v>1969</v>
      </c>
      <c r="M1" t="s">
        <v>4284</v>
      </c>
      <c r="N1" t="s">
        <v>4285</v>
      </c>
      <c r="O1" t="s">
        <v>279</v>
      </c>
      <c r="P1" t="s">
        <v>289</v>
      </c>
      <c r="Q1" t="s">
        <v>4418</v>
      </c>
      <c r="R1" t="s">
        <v>4419</v>
      </c>
      <c r="S1" t="s">
        <v>4420</v>
      </c>
      <c r="T1" t="s">
        <v>4421</v>
      </c>
      <c r="U1" t="s">
        <v>4422</v>
      </c>
      <c r="V1" t="s">
        <v>4423</v>
      </c>
      <c r="W1" t="s">
        <v>4424</v>
      </c>
      <c r="X1" t="s">
        <v>4425</v>
      </c>
      <c r="Y1" t="s">
        <v>4426</v>
      </c>
      <c r="Z1" t="s">
        <v>4427</v>
      </c>
      <c r="AA1" t="s">
        <v>4428</v>
      </c>
      <c r="AB1" t="s">
        <v>4429</v>
      </c>
      <c r="AC1" t="s">
        <v>4430</v>
      </c>
      <c r="AD1" t="s">
        <v>4431</v>
      </c>
      <c r="AE1" t="s">
        <v>4432</v>
      </c>
      <c r="AF1" t="s">
        <v>4433</v>
      </c>
      <c r="AG1" t="s">
        <v>4434</v>
      </c>
      <c r="AH1" t="s">
        <v>4435</v>
      </c>
      <c r="AI1" t="s">
        <v>4436</v>
      </c>
      <c r="AJ1" t="s">
        <v>4437</v>
      </c>
    </row>
    <row r="2" ht="12" customHeight="1">
      <c r="A2">
        <f>IF(OR('Bor-KP-Prin'!$B$6="XXXX",ISBLANK('Bor-KP-Prin'!$B$6)),"",'Bor-KP-Prin'!$B$6)</f>
      </c>
      <c r="C2">
        <f>IF($A2="","",'Bor-KP-Prin'!$B$47)</f>
      </c>
      <c r="D2">
        <f t="shared" si="0" ref="D2:J34">IF($A2="","","No")</f>
      </c>
      <c r="E2">
        <f t="shared" si="1" ref="E2:E11">IF($A2="","","Yes")</f>
      </c>
      <c r="F2">
        <f t="shared" si="0"/>
      </c>
      <c r="G2">
        <f t="shared" si="0"/>
      </c>
      <c r="H2">
        <f>IF($A2="","",IF('Bor-KP-Prin'!$B$46="Yes","Yes","No"))</f>
      </c>
      <c r="I2">
        <f>IF($A2="","",IF('Bor-KP-Prin'!$B$45="Yes","No","Yes"))</f>
      </c>
      <c r="J2">
        <f t="shared" si="0"/>
      </c>
      <c r="K2">
        <f t="shared" si="2" ref="K2:K11">IF($A2="","",IF(Requested_Tier=2,"Non-Recourse with carve outs",""))</f>
      </c>
      <c r="M2">
        <f>IF('Bor-KP-Prin'!$B$6="XXXX","",'Bor-KP-Prin'!$B$50)</f>
      </c>
      <c r="O2">
        <f>IF('Bor-KP-Prin'!$B$6="XXXX","",'Bor-KP-Prin'!$B$51)</f>
      </c>
      <c r="P2">
        <f>IF('Bor-KP-Prin'!$B$6="XXXX","",'Bor-KP-Prin'!$B$52)</f>
      </c>
      <c r="Q2">
        <f>IF('Bor-KP-Prin'!$B$6="XXXX","",'Bor-KP-Prin'!$B$53)</f>
      </c>
    </row>
    <row r="3" ht="12" customHeight="1">
      <c r="A3">
        <f>IF(OR('Bor-KP-Prin'!$C$6="XXXX",ISBLANK('Bor-KP-Prin'!$C$6)),"",'Bor-KP-Prin'!$C$6)</f>
      </c>
      <c r="C3">
        <f>IF($A3="","",'Bor-KP-Prin'!$C$47)</f>
      </c>
      <c r="D3">
        <f t="shared" si="0"/>
      </c>
      <c r="E3">
        <f t="shared" si="1"/>
      </c>
      <c r="F3">
        <f t="shared" si="0"/>
      </c>
      <c r="G3">
        <f t="shared" si="0"/>
      </c>
      <c r="H3">
        <f>IF($A3="","",IF('Bor-KP-Prin'!$C$46="Yes","Yes","No"))</f>
      </c>
      <c r="I3">
        <f>IF($A3="","",IF('Bor-KP-Prin'!$C$45="Yes","No","Yes"))</f>
      </c>
      <c r="J3">
        <f t="shared" si="0"/>
      </c>
      <c r="K3">
        <f t="shared" si="2"/>
      </c>
      <c r="M3">
        <f>IF('Bor-KP-Prin'!$C$6="XXXX","",'Bor-KP-Prin'!$C$50)</f>
      </c>
      <c r="O3">
        <f>IF('Bor-KP-Prin'!$C$6="XXXX","",'Bor-KP-Prin'!$C$51)</f>
      </c>
      <c r="P3">
        <f>IF('Bor-KP-Prin'!$C$6="XXXX","",'Bor-KP-Prin'!$C$52)</f>
      </c>
      <c r="Q3">
        <f>IF('Bor-KP-Prin'!$C$6="XXXX","",'Bor-KP-Prin'!$C$53)</f>
      </c>
    </row>
    <row r="4" ht="12" customHeight="1">
      <c r="A4">
        <f>IF(OR('Bor-KP-Prin'!$D$6="XXXX",ISBLANK('Bor-KP-Prin'!$D$6)),"",'Bor-KP-Prin'!$D$6)</f>
      </c>
      <c r="C4">
        <f>IF($A4="","",'Bor-KP-Prin'!$D$47)</f>
      </c>
      <c r="D4">
        <f t="shared" si="0"/>
      </c>
      <c r="E4">
        <f t="shared" si="1"/>
      </c>
      <c r="F4">
        <f t="shared" si="0"/>
      </c>
      <c r="G4">
        <f t="shared" si="0"/>
      </c>
      <c r="H4">
        <f>IF($A4="","",IF('Bor-KP-Prin'!$D$46="Yes","Yes","No"))</f>
      </c>
      <c r="I4">
        <f>IF($A4="","",IF('Bor-KP-Prin'!$D$45="Yes","No","Yes"))</f>
      </c>
      <c r="J4">
        <f t="shared" si="0"/>
      </c>
      <c r="K4">
        <f t="shared" si="2"/>
      </c>
      <c r="M4">
        <f>IF('Bor-KP-Prin'!$D$6="XXXX","",'Bor-KP-Prin'!$D$50)</f>
      </c>
      <c r="O4">
        <f>IF('Bor-KP-Prin'!$D$6="XXXX","",'Bor-KP-Prin'!$D$51)</f>
      </c>
      <c r="P4">
        <f>IF('Bor-KP-Prin'!$D$6="XXXX","",'Bor-KP-Prin'!$D$52)</f>
      </c>
      <c r="Q4">
        <f>IF('Bor-KP-Prin'!$D$6="XXXX","",'Bor-KP-Prin'!$D$53)</f>
      </c>
    </row>
    <row r="5" ht="12" customHeight="1">
      <c r="A5">
        <f>IF(OR('Bor-KP-Prin'!$E$6="XXXX",ISBLANK('Bor-KP-Prin'!$E$6)),"",'Bor-KP-Prin'!$E$6)</f>
      </c>
      <c r="C5">
        <f>IF($A5="","",'Bor-KP-Prin'!$E$47)</f>
      </c>
      <c r="D5">
        <f t="shared" si="0"/>
      </c>
      <c r="E5">
        <f t="shared" si="1"/>
      </c>
      <c r="F5">
        <f t="shared" si="0"/>
      </c>
      <c r="G5">
        <f t="shared" si="0"/>
      </c>
      <c r="H5">
        <f>IF($A5="","",IF('Bor-KP-Prin'!$E$46="Yes","Yes","No"))</f>
      </c>
      <c r="I5">
        <f>IF($A5="","",IF('Bor-KP-Prin'!$E$45="Yes","No","Yes"))</f>
      </c>
      <c r="J5">
        <f t="shared" si="0"/>
      </c>
      <c r="K5">
        <f t="shared" si="2"/>
      </c>
      <c r="M5">
        <f>IF('Bor-KP-Prin'!$E$6="XXXX","",'Bor-KP-Prin'!$E$50)</f>
      </c>
      <c r="O5">
        <f>IF('Bor-KP-Prin'!$E$6="XXXX","",'Bor-KP-Prin'!$E$51)</f>
      </c>
      <c r="P5">
        <f>IF('Bor-KP-Prin'!$E$6="XXXX","",'Bor-KP-Prin'!$E$52)</f>
      </c>
      <c r="Q5">
        <f>IF('Bor-KP-Prin'!$E$6="XXXX","",'Bor-KP-Prin'!$E$53)</f>
      </c>
    </row>
    <row r="6" ht="12" customHeight="1">
      <c r="A6">
        <f>IF(OR('Bor-KP-Prin'!$F$6="XXXX",ISBLANK('Bor-KP-Prin'!$F$6)),"",'Bor-KP-Prin'!$F$6)</f>
      </c>
      <c r="C6">
        <f>IF($A6="","",'Bor-KP-Prin'!$F$47)</f>
      </c>
      <c r="D6">
        <f t="shared" si="0"/>
      </c>
      <c r="E6">
        <f t="shared" si="1"/>
      </c>
      <c r="F6">
        <f t="shared" si="0"/>
      </c>
      <c r="G6">
        <f t="shared" si="0"/>
      </c>
      <c r="H6">
        <f>IF($A6="","",IF('Bor-KP-Prin'!$F$46="Yes","Yes","No"))</f>
      </c>
      <c r="I6">
        <f>IF($A6="","",IF('Bor-KP-Prin'!$F$45="Yes","No","Yes"))</f>
      </c>
      <c r="J6">
        <f t="shared" si="0"/>
      </c>
      <c r="K6">
        <f t="shared" si="2"/>
      </c>
      <c r="M6">
        <f>IF('Bor-KP-Prin'!$F$6="XXXX","",'Bor-KP-Prin'!$F$50)</f>
      </c>
      <c r="O6">
        <f>IF('Bor-KP-Prin'!$F$6="XXXX","",'Bor-KP-Prin'!$F$51)</f>
      </c>
      <c r="P6">
        <f>IF('Bor-KP-Prin'!$F$6="XXXX","",'Bor-KP-Prin'!$F$52)</f>
      </c>
      <c r="Q6">
        <f>IF('Bor-KP-Prin'!$F$6="XXXX","",'Bor-KP-Prin'!$F$53)</f>
      </c>
    </row>
    <row r="7" ht="12" customHeight="1">
      <c r="A7">
        <f>IF(OR('Bor-KP-Prin'!$G$6="XXXX",ISBLANK('Bor-KP-Prin'!$G$6)),"",'Bor-KP-Prin'!$G$6)</f>
      </c>
      <c r="C7">
        <f>IF($A7="","",'Bor-KP-Prin'!$G$47)</f>
      </c>
      <c r="D7">
        <f t="shared" si="0"/>
      </c>
      <c r="E7">
        <f t="shared" si="1"/>
      </c>
      <c r="F7">
        <f t="shared" si="0"/>
      </c>
      <c r="G7">
        <f t="shared" si="0"/>
      </c>
      <c r="H7">
        <f>IF($A7="","",IF('Bor-KP-Prin'!$G$46="Yes","Yes","No"))</f>
      </c>
      <c r="I7">
        <f>IF($A7="","",IF('Bor-KP-Prin'!$G$45="Yes","No","Yes"))</f>
      </c>
      <c r="J7">
        <f t="shared" si="0"/>
      </c>
      <c r="K7">
        <f t="shared" si="2"/>
      </c>
      <c r="M7">
        <f>IF('Bor-KP-Prin'!$G$6="XXXX","",'Bor-KP-Prin'!$G$50)</f>
      </c>
      <c r="O7">
        <f>IF('Bor-KP-Prin'!$G$6="XXXX","",'Bor-KP-Prin'!$G$51)</f>
      </c>
      <c r="P7">
        <f>IF('Bor-KP-Prin'!$G$6="XXXX","",'Bor-KP-Prin'!$G$52)</f>
      </c>
      <c r="Q7">
        <f>IF('Bor-KP-Prin'!$G$6="XXXX","",'Bor-KP-Prin'!$G$53)</f>
      </c>
    </row>
    <row r="8" ht="12" customHeight="1">
      <c r="A8">
        <f>IF(OR('Bor-KP-Prin'!$H$6="XXXX",ISBLANK('Bor-KP-Prin'!$H$6)),"",'Bor-KP-Prin'!$H$6)</f>
      </c>
      <c r="C8">
        <f>IF($A8="","",'Bor-KP-Prin'!$H$47)</f>
      </c>
      <c r="D8">
        <f t="shared" si="0"/>
      </c>
      <c r="E8">
        <f t="shared" si="1"/>
      </c>
      <c r="F8">
        <f t="shared" si="0"/>
      </c>
      <c r="G8">
        <f t="shared" si="0"/>
      </c>
      <c r="H8">
        <f>IF($A8="","",IF('Bor-KP-Prin'!$H$46="Yes","Yes","No"))</f>
      </c>
      <c r="I8">
        <f>IF($A8="","",IF('Bor-KP-Prin'!$H$45="Yes","No","Yes"))</f>
      </c>
      <c r="J8">
        <f t="shared" si="0"/>
      </c>
      <c r="K8">
        <f t="shared" si="2"/>
      </c>
      <c r="M8">
        <f>IF('Bor-KP-Prin'!$H$6="XXXX","",'Bor-KP-Prin'!$H$50)</f>
      </c>
      <c r="O8">
        <f>IF('Bor-KP-Prin'!$H$6="XXXX","",'Bor-KP-Prin'!$H$51)</f>
      </c>
      <c r="P8">
        <f>IF('Bor-KP-Prin'!$H$6="XXXX","",'Bor-KP-Prin'!$H$52)</f>
      </c>
      <c r="Q8">
        <f>IF('Bor-KP-Prin'!$H$6="XXXX","",'Bor-KP-Prin'!$H$53)</f>
      </c>
    </row>
    <row r="9" ht="12" customHeight="1">
      <c r="A9">
        <f>IF(OR('Bor-KP-Prin'!$I$6="XXXX",ISBLANK('Bor-KP-Prin'!$I$6)),"",'Bor-KP-Prin'!$I$6)</f>
      </c>
      <c r="C9">
        <f>IF($A9="","",'Bor-KP-Prin'!$I$47)</f>
      </c>
      <c r="D9">
        <f t="shared" si="0"/>
      </c>
      <c r="E9">
        <f t="shared" si="1"/>
      </c>
      <c r="F9">
        <f t="shared" si="0"/>
      </c>
      <c r="G9">
        <f t="shared" si="0"/>
      </c>
      <c r="H9">
        <f>IF($A9="","",IF('Bor-KP-Prin'!$I$46="Yes","Yes","No"))</f>
      </c>
      <c r="I9">
        <f>IF($A9="","",IF('Bor-KP-Prin'!$I$45="Yes","No","Yes"))</f>
      </c>
      <c r="J9">
        <f t="shared" si="0"/>
      </c>
      <c r="K9">
        <f t="shared" si="2"/>
      </c>
      <c r="M9">
        <f>IF('Bor-KP-Prin'!$I$6="XXXX","",'Bor-KP-Prin'!$I$50)</f>
      </c>
      <c r="O9">
        <f>IF('Bor-KP-Prin'!$I$6="XXXX","",'Bor-KP-Prin'!$I$51)</f>
      </c>
      <c r="P9">
        <f>IF('Bor-KP-Prin'!$I$6="XXXX","",'Bor-KP-Prin'!$I$52)</f>
      </c>
      <c r="Q9">
        <f>IF('Bor-KP-Prin'!$I$6="XXXX","",'Bor-KP-Prin'!$I$53)</f>
      </c>
    </row>
    <row r="10" ht="12" customHeight="1">
      <c r="A10">
        <f>IF(OR('Bor-KP-Prin'!$J$6="XXXX",ISBLANK('Bor-KP-Prin'!$J$6)),"",'Bor-KP-Prin'!$J$6)</f>
      </c>
      <c r="C10">
        <f>IF($A10="","",'Bor-KP-Prin'!$J$47)</f>
      </c>
      <c r="D10">
        <f t="shared" si="0"/>
      </c>
      <c r="E10">
        <f t="shared" si="1"/>
      </c>
      <c r="F10">
        <f t="shared" si="0"/>
      </c>
      <c r="G10">
        <f t="shared" si="0"/>
      </c>
      <c r="H10">
        <f>IF($A10="","",IF('Bor-KP-Prin'!$J$46="Yes","Yes","No"))</f>
      </c>
      <c r="I10">
        <f>IF($A10="","",IF('Bor-KP-Prin'!$J$45="Yes","No","Yes"))</f>
      </c>
      <c r="J10">
        <f t="shared" si="0"/>
      </c>
      <c r="K10">
        <f t="shared" si="2"/>
      </c>
      <c r="M10">
        <f>IF('Bor-KP-Prin'!$J$6="XXXX","",'Bor-KP-Prin'!$J$50)</f>
      </c>
      <c r="O10">
        <f>IF('Bor-KP-Prin'!$J$6="XXXX","",'Bor-KP-Prin'!$J$51)</f>
      </c>
      <c r="P10">
        <f>IF('Bor-KP-Prin'!$J$6="XXXX","",'Bor-KP-Prin'!$J$52)</f>
      </c>
      <c r="Q10">
        <f>IF('Bor-KP-Prin'!$J$6="XXXX","",'Bor-KP-Prin'!$J$53)</f>
      </c>
    </row>
    <row r="11" ht="12" customHeight="1">
      <c r="A11">
        <f>IF(OR('Bor-KP-Prin'!$K$6="XXXX",ISBLANK('Bor-KP-Prin'!$K$6)),"",'Bor-KP-Prin'!$K$6)</f>
      </c>
      <c r="C11">
        <f>IF($A11="","",'Bor-KP-Prin'!$K$47)</f>
      </c>
      <c r="D11">
        <f t="shared" si="0"/>
      </c>
      <c r="E11">
        <f t="shared" si="1"/>
      </c>
      <c r="F11">
        <f t="shared" si="0"/>
      </c>
      <c r="G11">
        <f t="shared" si="0"/>
      </c>
      <c r="H11">
        <f>IF($A11="","",IF('Bor-KP-Prin'!$K$46="Yes","Yes","No"))</f>
      </c>
      <c r="I11">
        <f>IF($A11="","",IF('Bor-KP-Prin'!$K$45="Yes","No","Yes"))</f>
      </c>
      <c r="J11">
        <f t="shared" si="0"/>
      </c>
      <c r="K11">
        <f t="shared" si="2"/>
      </c>
      <c r="M11">
        <f>IF('Bor-KP-Prin'!$K$6="XXXX","",'Bor-KP-Prin'!$K$50)</f>
      </c>
      <c r="O11">
        <f>IF('Bor-KP-Prin'!$K$6="XXXX","",'Bor-KP-Prin'!$K$51)</f>
      </c>
      <c r="P11">
        <f>IF('Bor-KP-Prin'!$K$6="XXXX","",'Bor-KP-Prin'!$K$52)</f>
      </c>
      <c r="Q11">
        <f>IF('Bor-KP-Prin'!$K$6="XXXX","",'Bor-KP-Prin'!$K$53)</f>
      </c>
    </row>
    <row r="12" ht="12" customHeight="1">
      <c r="A12">
        <f>IF(OR('Bor-KP-Prin'!$L$6="XXXX",ISBLANK('Bor-KP-Prin'!$L$6)),"",'Bor-KP-Prin'!$L$6)</f>
      </c>
      <c r="C12">
        <f>IF($A12="","",'Bor-KP-Prin'!$L$47)</f>
      </c>
      <c r="D12">
        <f t="shared" si="0"/>
      </c>
      <c r="E12">
        <f t="shared" si="0"/>
      </c>
      <c r="F12">
        <f>IF($A12="","",IF('Bor-KP-Prin'!$L$40="Managing KP","Key Managing Principal",IF('Bor-KP-Prin'!$L$40="Financial KP","Key Financial Principal",IF('Bor-KP-Prin'!$L$40="Managing &amp; Financial KP","Key Principal - Both Financial and Managing","Principal"))))</f>
      </c>
      <c r="G12">
        <f t="shared" si="0"/>
      </c>
      <c r="H12">
        <f t="shared" si="0"/>
      </c>
      <c r="I12">
        <f t="shared" si="0"/>
      </c>
      <c r="J12">
        <f t="shared" si="0"/>
      </c>
      <c r="M12">
        <f>IF('Bor-KP-Prin'!$L$6="XXXX","",'Bor-KP-Prin'!$L$50)</f>
      </c>
      <c r="O12">
        <f>IF('Bor-KP-Prin'!$L$6="XXXX","",'Bor-KP-Prin'!$L$51)</f>
      </c>
      <c r="P12">
        <f>IF('Bor-KP-Prin'!$L$6="XXXX","",'Bor-KP-Prin'!$L$52)</f>
      </c>
      <c r="Q12">
        <f>IF('Bor-KP-Prin'!$L$6="XXXX","",'Bor-KP-Prin'!$L$53)</f>
      </c>
      <c r="U12">
        <f>IF($A12="","",IF('SBL Quotes'!$AN$32="Chapter 9 SBL","Non-Recourse with carve outs","No Recourse"))</f>
      </c>
      <c r="AD12">
        <f t="shared" si="3" ref="AD12:AD19">IF($A12="","",IF(Requested_Tier=2,"Bad acts/Carve-outs only","No"))</f>
      </c>
      <c r="AE12">
        <f t="shared" si="4" ref="AE12:AE19">IF($A12="","",IF(Requested_Tier=2,"Full term of the loan",""))</f>
      </c>
      <c r="AF12">
        <f>IF($A12="","",IF($F12="Principal",0,ROUND('Bor-KP-Prin'!$L$43,2)))</f>
      </c>
      <c r="AG12">
        <f>IF($A12="","",ROUND('Bor-KP-Prin'!$L$42,2))</f>
      </c>
      <c r="AH12">
        <f>IF($A12="","",ROUND('Bor-KP-Prin'!$L$41,2))</f>
      </c>
    </row>
    <row r="13" ht="12" customHeight="1">
      <c r="A13">
        <f>IF(OR('Bor-KP-Prin'!$M$6="XXXX",ISBLANK('Bor-KP-Prin'!$M$6)),"",'Bor-KP-Prin'!$M$6)</f>
      </c>
      <c r="C13">
        <f>IF($A13="","",'Bor-KP-Prin'!$M$47)</f>
      </c>
      <c r="D13">
        <f t="shared" si="0"/>
      </c>
      <c r="E13">
        <f t="shared" si="0"/>
      </c>
      <c r="F13">
        <f>IF($A13="","",IF('Bor-KP-Prin'!$M$40="Managing KP","Key Managing Principal",IF('Bor-KP-Prin'!$M$40="Financial KP","Key Financial Principal",IF('Bor-KP-Prin'!$M$40="Managing &amp; Financial KP","Key Principal - Both Financial and Managing","Principal"))))</f>
      </c>
      <c r="G13">
        <f t="shared" si="0"/>
      </c>
      <c r="H13">
        <f t="shared" si="0"/>
      </c>
      <c r="I13">
        <f t="shared" si="0"/>
      </c>
      <c r="J13">
        <f t="shared" si="0"/>
      </c>
      <c r="M13">
        <f>IF('Bor-KP-Prin'!$M$6="XXXX","",'Bor-KP-Prin'!$M$50)</f>
      </c>
      <c r="O13">
        <f>IF('Bor-KP-Prin'!$M$6="XXXX","",'Bor-KP-Prin'!$M$51)</f>
      </c>
      <c r="P13">
        <f>IF('Bor-KP-Prin'!$M$6="XXXX","",'Bor-KP-Prin'!$M$52)</f>
      </c>
      <c r="Q13">
        <f>IF('Bor-KP-Prin'!$M$6="XXXX","",'Bor-KP-Prin'!$M$53)</f>
      </c>
      <c r="U13">
        <f>IF($A13="","",IF('SBL Quotes'!$AN$32="Chapter 9 SBL","Non-Recourse with carve outs","No Recourse"))</f>
      </c>
      <c r="AD13">
        <f t="shared" si="3"/>
      </c>
      <c r="AE13">
        <f t="shared" si="4"/>
      </c>
      <c r="AF13">
        <f>IF($A13="","",IF($F13="Principal",0,ROUND('Bor-KP-Prin'!$M$43,2)))</f>
      </c>
      <c r="AG13">
        <f>IF($A13="","",ROUND('Bor-KP-Prin'!$M$42,2))</f>
      </c>
      <c r="AH13">
        <f>IF($A13="","",ROUND('Bor-KP-Prin'!$M$41,2))</f>
      </c>
    </row>
    <row r="14" ht="12" customHeight="1">
      <c r="A14">
        <f>IF(OR('Bor-KP-Prin'!$N$6="XXXX",ISBLANK('Bor-KP-Prin'!$N$6)),"",'Bor-KP-Prin'!$N$6)</f>
      </c>
      <c r="C14">
        <f>IF($A14="","",'Bor-KP-Prin'!$N$47)</f>
      </c>
      <c r="D14">
        <f t="shared" si="0"/>
      </c>
      <c r="E14">
        <f t="shared" si="0"/>
      </c>
      <c r="F14">
        <f>IF($A14="","",IF('Bor-KP-Prin'!$N$40="Managing KP","Key Managing Principal",IF('Bor-KP-Prin'!$N$40="Financial KP","Key Financial Principal",IF('Bor-KP-Prin'!$N$40="Managing &amp; Financial KP","Key Principal - Both Financial and Managing","Principal"))))</f>
      </c>
      <c r="G14">
        <f t="shared" si="0"/>
      </c>
      <c r="H14">
        <f t="shared" si="0"/>
      </c>
      <c r="I14">
        <f t="shared" si="0"/>
      </c>
      <c r="J14">
        <f t="shared" si="0"/>
      </c>
      <c r="M14">
        <f>IF('Bor-KP-Prin'!$N$6="XXXX","",'Bor-KP-Prin'!$N$50)</f>
      </c>
      <c r="O14">
        <f>IF('Bor-KP-Prin'!$N$6="XXXX","",'Bor-KP-Prin'!$N$51)</f>
      </c>
      <c r="P14">
        <f>IF('Bor-KP-Prin'!$N$6="XXXX","",'Bor-KP-Prin'!$N$52)</f>
      </c>
      <c r="Q14">
        <f>IF('Bor-KP-Prin'!$N$6="XXXX","",'Bor-KP-Prin'!$N$53)</f>
      </c>
      <c r="U14">
        <f>IF($A14="","",IF('SBL Quotes'!$AN$32="Chapter 9 SBL","Non-Recourse with carve outs","No Recourse"))</f>
      </c>
      <c r="AD14">
        <f t="shared" si="3"/>
      </c>
      <c r="AE14">
        <f t="shared" si="4"/>
      </c>
      <c r="AF14">
        <f>IF($A14="","",IF($F14="Principal",0,ROUND('Bor-KP-Prin'!$N$43,2)))</f>
      </c>
      <c r="AG14">
        <f>IF($A14="","",ROUND('Bor-KP-Prin'!$N$42,2))</f>
      </c>
      <c r="AH14">
        <f>IF($A14="","",ROUND('Bor-KP-Prin'!$N$41,2))</f>
      </c>
    </row>
    <row r="15" ht="12" customHeight="1">
      <c r="A15">
        <f>IF(OR('Bor-KP-Prin'!$O$6="XXXX",ISBLANK('Bor-KP-Prin'!$O$6)),"",'Bor-KP-Prin'!$O$6)</f>
      </c>
      <c r="C15">
        <f>IF($A15="","",'Bor-KP-Prin'!$O$47)</f>
      </c>
      <c r="D15">
        <f t="shared" si="0"/>
      </c>
      <c r="E15">
        <f t="shared" si="0"/>
      </c>
      <c r="F15">
        <f>IF($A15="","",IF('Bor-KP-Prin'!$O$40="Managing KP","Key Managing Principal",IF('Bor-KP-Prin'!$O$40="Financial KP","Key Financial Principal",IF('Bor-KP-Prin'!$O$40="Managing &amp; Financial KP","Key Principal - Both Financial and Managing","Principal"))))</f>
      </c>
      <c r="G15">
        <f t="shared" si="0"/>
      </c>
      <c r="H15">
        <f t="shared" si="0"/>
      </c>
      <c r="I15">
        <f t="shared" si="0"/>
      </c>
      <c r="J15">
        <f t="shared" si="0"/>
      </c>
      <c r="M15">
        <f>IF('Bor-KP-Prin'!$O$6="XXXX","",'Bor-KP-Prin'!$O$50)</f>
      </c>
      <c r="O15">
        <f>IF('Bor-KP-Prin'!$O$6="XXXX","",'Bor-KP-Prin'!$O$51)</f>
      </c>
      <c r="P15">
        <f>IF('Bor-KP-Prin'!$O$6="XXXX","",'Bor-KP-Prin'!$O$52)</f>
      </c>
      <c r="Q15">
        <f>IF('Bor-KP-Prin'!$O$6="XXXX","",'Bor-KP-Prin'!$O$53)</f>
      </c>
      <c r="U15">
        <f>IF($A15="","",IF('SBL Quotes'!$AN$32="Chapter 9 SBL","Non-Recourse with carve outs","No Recourse"))</f>
      </c>
      <c r="AD15">
        <f t="shared" si="3"/>
      </c>
      <c r="AE15">
        <f t="shared" si="4"/>
      </c>
      <c r="AF15">
        <f>IF($A15="","",IF($F15="Principal",0,ROUND('Bor-KP-Prin'!$O$43,2)))</f>
      </c>
      <c r="AG15">
        <f>IF($A15="","",ROUND('Bor-KP-Prin'!$O$42,2))</f>
      </c>
      <c r="AH15">
        <f>IF($A15="","",ROUND('Bor-KP-Prin'!$O$41,2))</f>
      </c>
    </row>
    <row r="16" ht="12" customHeight="1">
      <c r="A16">
        <f>IF(OR('Bor-KP-Prin'!$P$6="XXXX",ISBLANK('Bor-KP-Prin'!$P$6)),"",'Bor-KP-Prin'!$P$6)</f>
      </c>
      <c r="C16">
        <f>IF($A16="","",'Bor-KP-Prin'!$P$47)</f>
      </c>
      <c r="D16">
        <f t="shared" si="0"/>
      </c>
      <c r="E16">
        <f t="shared" si="0"/>
      </c>
      <c r="F16">
        <f>IF($A16="","",IF('Bor-KP-Prin'!$P$40="Managing KP","Key Managing Principal",IF('Bor-KP-Prin'!$P$40="Financial KP","Key Financial Principal",IF('Bor-KP-Prin'!$P$40="Managing &amp; Financial KP","Key Principal - Both Financial and Managing","Principal"))))</f>
      </c>
      <c r="G16">
        <f t="shared" si="0"/>
      </c>
      <c r="H16">
        <f t="shared" si="0"/>
      </c>
      <c r="I16">
        <f t="shared" si="0"/>
      </c>
      <c r="J16">
        <f t="shared" si="0"/>
      </c>
      <c r="M16">
        <f>IF('Bor-KP-Prin'!$P$6="XXXX","",'Bor-KP-Prin'!$P$50)</f>
      </c>
      <c r="O16">
        <f>IF('Bor-KP-Prin'!$P$6="XXXX","",'Bor-KP-Prin'!$P$51)</f>
      </c>
      <c r="P16">
        <f>IF('Bor-KP-Prin'!$P$6="XXXX","",'Bor-KP-Prin'!$P$52)</f>
      </c>
      <c r="Q16">
        <f>IF('Bor-KP-Prin'!$P$6="XXXX","",'Bor-KP-Prin'!$P$53)</f>
      </c>
      <c r="U16">
        <f>IF($A16="","",IF('SBL Quotes'!$AN$32="Chapter 9 SBL","Non-Recourse with carve outs","No Recourse"))</f>
      </c>
      <c r="AD16">
        <f t="shared" si="3"/>
      </c>
      <c r="AE16">
        <f t="shared" si="4"/>
      </c>
      <c r="AF16">
        <f>IF($A16="","",IF($F16="Principal",0,ROUND('Bor-KP-Prin'!$P$43,2)))</f>
      </c>
      <c r="AG16">
        <f>IF($A16="","",ROUND('Bor-KP-Prin'!$P$42,2))</f>
      </c>
      <c r="AH16">
        <f>IF($A16="","",ROUND('Bor-KP-Prin'!$P$41,2))</f>
      </c>
    </row>
    <row r="17" ht="12" customHeight="1">
      <c r="A17">
        <f>IF(OR('Bor-KP-Prin'!$Q$6="XXXX",ISBLANK('Bor-KP-Prin'!$Q$6)),"",'Bor-KP-Prin'!$Q$6)</f>
      </c>
      <c r="C17">
        <f>IF($A17="","",'Bor-KP-Prin'!$Q$47)</f>
      </c>
      <c r="D17">
        <f t="shared" si="0"/>
      </c>
      <c r="E17">
        <f t="shared" si="0"/>
      </c>
      <c r="F17">
        <f>IF($A17="","",IF('Bor-KP-Prin'!$Q$40="Managing KP","Key Managing Principal",IF('Bor-KP-Prin'!$Q$40="Financial KP","Key Financial Principal",IF('Bor-KP-Prin'!$Q$40="Managing &amp; Financial KP","Key Principal - Both Financial and Managing","Principal"))))</f>
      </c>
      <c r="G17">
        <f t="shared" si="0"/>
      </c>
      <c r="H17">
        <f t="shared" si="0"/>
      </c>
      <c r="I17">
        <f t="shared" si="0"/>
      </c>
      <c r="J17">
        <f t="shared" si="0"/>
      </c>
      <c r="M17">
        <f>IF('Bor-KP-Prin'!$Q$6="XXXX","",'Bor-KP-Prin'!$Q$50)</f>
      </c>
      <c r="O17">
        <f>IF('Bor-KP-Prin'!$Q$6="XXXX","",'Bor-KP-Prin'!$Q$51)</f>
      </c>
      <c r="P17">
        <f>IF('Bor-KP-Prin'!$Q$6="XXXX","",'Bor-KP-Prin'!$Q$52)</f>
      </c>
      <c r="Q17">
        <f>IF('Bor-KP-Prin'!$Q$6="XXXX","",'Bor-KP-Prin'!$Q$53)</f>
      </c>
      <c r="U17">
        <f>IF($A17="","",IF('SBL Quotes'!$AN$32="Chapter 9 SBL","Non-Recourse with carve outs","No Recourse"))</f>
      </c>
      <c r="AD17">
        <f t="shared" si="3"/>
      </c>
      <c r="AE17">
        <f t="shared" si="4"/>
      </c>
      <c r="AF17">
        <f>IF($A17="","",IF($F17="Principal",0,ROUND('Bor-KP-Prin'!$Q$43,2)))</f>
      </c>
      <c r="AG17">
        <f>IF($A17="","",ROUND('Bor-KP-Prin'!$Q$42,2))</f>
      </c>
      <c r="AH17">
        <f>IF($A17="","",ROUND('Bor-KP-Prin'!$Q$41,2))</f>
      </c>
    </row>
    <row r="18" ht="12" customHeight="1">
      <c r="A18">
        <f>IF(OR('Bor-KP-Prin'!$R$6="XXXX",ISBLANK('Bor-KP-Prin'!$R$6)),"",'Bor-KP-Prin'!$R$6)</f>
      </c>
      <c r="C18">
        <f>IF($A18="","",'Bor-KP-Prin'!$R$47)</f>
      </c>
      <c r="D18">
        <f t="shared" si="0"/>
      </c>
      <c r="E18">
        <f t="shared" si="0"/>
      </c>
      <c r="F18">
        <f>IF($A18="","",IF('Bor-KP-Prin'!$R$40="Managing KP","Key Managing Principal",IF('Bor-KP-Prin'!$R$40="Financial KP","Key Financial Principal",IF('Bor-KP-Prin'!$R$40="Managing &amp; Financial KP","Key Principal - Both Financial and Managing","Principal"))))</f>
      </c>
      <c r="G18">
        <f t="shared" si="0"/>
      </c>
      <c r="H18">
        <f t="shared" si="0"/>
      </c>
      <c r="I18">
        <f t="shared" si="0"/>
      </c>
      <c r="J18">
        <f t="shared" si="0"/>
      </c>
      <c r="M18">
        <f>IF('Bor-KP-Prin'!$R$6="XXXX","",'Bor-KP-Prin'!$R$50)</f>
      </c>
      <c r="O18">
        <f>IF('Bor-KP-Prin'!$R$6="XXXX","",'Bor-KP-Prin'!$R$51)</f>
      </c>
      <c r="P18">
        <f>IF('Bor-KP-Prin'!$R$6="XXXX","",'Bor-KP-Prin'!$R$52)</f>
      </c>
      <c r="Q18">
        <f>IF('Bor-KP-Prin'!$R$6="XXXX","",'Bor-KP-Prin'!$R$53)</f>
      </c>
      <c r="U18">
        <f>IF($A18="","",IF('SBL Quotes'!$AN$32="Chapter 9 SBL","Non-Recourse with carve outs","No Recourse"))</f>
      </c>
      <c r="AD18">
        <f t="shared" si="3"/>
      </c>
      <c r="AE18">
        <f t="shared" si="4"/>
      </c>
      <c r="AF18">
        <f>IF($A18="","",IF($F18="Principal",0,ROUND('Bor-KP-Prin'!$R$43,2)))</f>
      </c>
      <c r="AG18">
        <f>IF($A18="","",ROUND('Bor-KP-Prin'!$R$42,2))</f>
      </c>
      <c r="AH18">
        <f>IF($A18="","",ROUND('Bor-KP-Prin'!$R$41,2))</f>
      </c>
    </row>
    <row r="19" ht="12" customHeight="1">
      <c r="A19">
        <f>IF(OR('Bor-KP-Prin'!$S$6="XXXX",ISBLANK('Bor-KP-Prin'!$S$6)),"",'Bor-KP-Prin'!$S$6)</f>
      </c>
      <c r="C19">
        <f>IF($A19="","",'Bor-KP-Prin'!$S$47)</f>
      </c>
      <c r="D19">
        <f t="shared" si="0"/>
      </c>
      <c r="E19">
        <f t="shared" si="0"/>
      </c>
      <c r="F19">
        <f>IF($A19="","",IF('Bor-KP-Prin'!$S$40="Managing KP","Key Managing Principal",IF('Bor-KP-Prin'!$S$40="Financial KP","Key Financial Principal",IF('Bor-KP-Prin'!$S$40="Managing &amp; Financial KP","Key Principal - Both Financial and Managing","Principal"))))</f>
      </c>
      <c r="G19">
        <f t="shared" si="0"/>
      </c>
      <c r="H19">
        <f t="shared" si="0"/>
      </c>
      <c r="I19">
        <f t="shared" si="0"/>
      </c>
      <c r="J19">
        <f t="shared" si="0"/>
      </c>
      <c r="M19">
        <f>IF('Bor-KP-Prin'!$S$6="XXXX","",'Bor-KP-Prin'!$S$50)</f>
      </c>
      <c r="O19">
        <f>IF('Bor-KP-Prin'!$S$6="XXXX","",'Bor-KP-Prin'!$S$51)</f>
      </c>
      <c r="P19">
        <f>IF('Bor-KP-Prin'!$S$6="XXXX","",'Bor-KP-Prin'!$S$52)</f>
      </c>
      <c r="Q19">
        <f>IF('Bor-KP-Prin'!$S$6="XXXX","",'Bor-KP-Prin'!$S$53)</f>
      </c>
      <c r="U19">
        <f>IF($A19="","",IF('SBL Quotes'!$AN$32="Chapter 9 SBL","Non-Recourse with carve outs","No Recourse"))</f>
      </c>
      <c r="AD19">
        <f t="shared" si="3"/>
      </c>
      <c r="AE19">
        <f t="shared" si="4"/>
      </c>
      <c r="AF19">
        <f>IF($A19="","",IF($F19="Principal",0,ROUND('Bor-KP-Prin'!$S$43,2)))</f>
      </c>
      <c r="AG19">
        <f>IF($A19="","",ROUND('Bor-KP-Prin'!$S$42,2))</f>
      </c>
      <c r="AH19">
        <f>IF($A19="","",ROUND('Bor-KP-Prin'!$S$41,2))</f>
      </c>
    </row>
    <row r="20" ht="12" customHeight="1">
      <c r="A20">
        <f>IF(OR('Bor-KP-Prin'!$T$6="XXXX",ISBLANK('Bor-KP-Prin'!$T$6)),"",'Bor-KP-Prin'!$T$6)</f>
      </c>
      <c r="C20">
        <f>IF($A20="","",'Bor-KP-Prin'!$T$47)</f>
      </c>
      <c r="D20">
        <f t="shared" si="0"/>
      </c>
      <c r="E20">
        <f t="shared" si="0"/>
      </c>
      <c r="F20">
        <f t="shared" si="5" ref="F20:F34">IF($A20="","","Principal")</f>
      </c>
      <c r="G20">
        <f t="shared" si="0"/>
      </c>
      <c r="H20">
        <f t="shared" si="0"/>
      </c>
      <c r="I20">
        <f t="shared" si="0"/>
      </c>
      <c r="J20">
        <f t="shared" si="0"/>
      </c>
      <c r="M20">
        <f>IF('Bor-KP-Prin'!$T$6="XXXX","",'Bor-KP-Prin'!$T$50)</f>
      </c>
      <c r="O20">
        <f>IF('Bor-KP-Prin'!$T$6="XXXX","",'Bor-KP-Prin'!$T$51)</f>
      </c>
      <c r="P20">
        <f>IF('Bor-KP-Prin'!$T$6="XXXX","",'Bor-KP-Prin'!$T$52)</f>
      </c>
      <c r="Q20">
        <f>IF('Bor-KP-Prin'!$T$6="XXXX","",'Bor-KP-Prin'!$T$53)</f>
      </c>
    </row>
    <row r="21" ht="12" customHeight="1">
      <c r="A21">
        <f>IF(OR('Bor-KP-Prin'!$U$6="XXXX",ISBLANK('Bor-KP-Prin'!$U$6)),"",'Bor-KP-Prin'!$U$6)</f>
      </c>
      <c r="C21">
        <f>IF($A21="","",'Bor-KP-Prin'!$U$47)</f>
      </c>
      <c r="D21">
        <f t="shared" si="0"/>
      </c>
      <c r="E21">
        <f t="shared" si="0"/>
      </c>
      <c r="F21">
        <f t="shared" si="5"/>
      </c>
      <c r="G21">
        <f t="shared" si="0"/>
      </c>
      <c r="H21">
        <f t="shared" si="0"/>
      </c>
      <c r="I21">
        <f t="shared" si="0"/>
      </c>
      <c r="J21">
        <f t="shared" si="0"/>
      </c>
      <c r="M21">
        <f>IF('Bor-KP-Prin'!$U$6="XXXX","",'Bor-KP-Prin'!$U$50)</f>
      </c>
      <c r="O21">
        <f>IF('Bor-KP-Prin'!$U$6="XXXX","",'Bor-KP-Prin'!$U$51)</f>
      </c>
      <c r="P21">
        <f>IF('Bor-KP-Prin'!$U$6="XXXX","",'Bor-KP-Prin'!$U$52)</f>
      </c>
      <c r="Q21">
        <f>IF('Bor-KP-Prin'!$U$6="XXXX","",'Bor-KP-Prin'!$U$53)</f>
      </c>
    </row>
    <row r="22" ht="12" customHeight="1">
      <c r="A22">
        <f>IF(OR('Bor-KP-Prin'!$V$6="XXXX",ISBLANK('Bor-KP-Prin'!$V$6)),"",'Bor-KP-Prin'!$V$6)</f>
      </c>
      <c r="C22">
        <f>IF($A22="","",'Bor-KP-Prin'!$V$47)</f>
      </c>
      <c r="D22">
        <f t="shared" si="0"/>
      </c>
      <c r="E22">
        <f t="shared" si="0"/>
      </c>
      <c r="F22">
        <f t="shared" si="5"/>
      </c>
      <c r="G22">
        <f t="shared" si="0"/>
      </c>
      <c r="H22">
        <f t="shared" si="0"/>
      </c>
      <c r="I22">
        <f t="shared" si="0"/>
      </c>
      <c r="J22">
        <f t="shared" si="0"/>
      </c>
      <c r="M22">
        <f>IF('Bor-KP-Prin'!$V$6="XXXX","",'Bor-KP-Prin'!$V$50)</f>
      </c>
      <c r="O22">
        <f>IF('Bor-KP-Prin'!$V$6="XXXX","",'Bor-KP-Prin'!$V$51)</f>
      </c>
      <c r="P22">
        <f>IF('Bor-KP-Prin'!$V$6="XXXX","",'Bor-KP-Prin'!$V$52)</f>
      </c>
      <c r="Q22">
        <f>IF('Bor-KP-Prin'!$V$6="XXXX","",'Bor-KP-Prin'!$V$53)</f>
      </c>
    </row>
    <row r="23" ht="12" customHeight="1">
      <c r="A23">
        <f>IF(OR('Bor-KP-Prin'!$W$6="XXXX",ISBLANK('Bor-KP-Prin'!$W$6)),"",'Bor-KP-Prin'!$W$6)</f>
      </c>
      <c r="C23">
        <f>IF($A23="","",'Bor-KP-Prin'!$W$47)</f>
      </c>
      <c r="D23">
        <f t="shared" si="0"/>
      </c>
      <c r="E23">
        <f t="shared" si="0"/>
      </c>
      <c r="F23">
        <f t="shared" si="5"/>
      </c>
      <c r="G23">
        <f t="shared" si="0"/>
      </c>
      <c r="H23">
        <f t="shared" si="0"/>
      </c>
      <c r="I23">
        <f t="shared" si="0"/>
      </c>
      <c r="J23">
        <f t="shared" si="0"/>
      </c>
      <c r="M23">
        <f>IF('Bor-KP-Prin'!$W$6="XXXX","",'Bor-KP-Prin'!$W$50)</f>
      </c>
      <c r="O23">
        <f>IF('Bor-KP-Prin'!$W$6="XXXX","",'Bor-KP-Prin'!$W$51)</f>
      </c>
      <c r="P23">
        <f>IF('Bor-KP-Prin'!$W$6="XXXX","",'Bor-KP-Prin'!$W$52)</f>
      </c>
      <c r="Q23">
        <f>IF('Bor-KP-Prin'!$W$6="XXXX","",'Bor-KP-Prin'!$W$53)</f>
      </c>
    </row>
    <row r="24" ht="12" customHeight="1">
      <c r="A24">
        <f>IF(OR('Bor-KP-Prin'!$X$6="XXXX",ISBLANK('Bor-KP-Prin'!$X$6)),"",'Bor-KP-Prin'!$X$6)</f>
      </c>
      <c r="C24">
        <f>IF($A24="","",'Bor-KP-Prin'!$X$47)</f>
      </c>
      <c r="D24">
        <f t="shared" si="0"/>
      </c>
      <c r="E24">
        <f t="shared" si="0"/>
      </c>
      <c r="F24">
        <f t="shared" si="5"/>
      </c>
      <c r="G24">
        <f t="shared" si="0"/>
      </c>
      <c r="H24">
        <f t="shared" si="0"/>
      </c>
      <c r="I24">
        <f t="shared" si="0"/>
      </c>
      <c r="J24">
        <f t="shared" si="0"/>
      </c>
      <c r="M24">
        <f>IF('Bor-KP-Prin'!$X$6="XXXX","",'Bor-KP-Prin'!$X$50)</f>
      </c>
      <c r="O24">
        <f>IF('Bor-KP-Prin'!$X$6="XXXX","",'Bor-KP-Prin'!$X$51)</f>
      </c>
      <c r="P24">
        <f>IF('Bor-KP-Prin'!$X$6="XXXX","",'Bor-KP-Prin'!$X$52)</f>
      </c>
      <c r="Q24">
        <f>IF('Bor-KP-Prin'!$X$6="XXXX","",'Bor-KP-Prin'!$X$53)</f>
      </c>
    </row>
    <row r="25" ht="12" customHeight="1">
      <c r="A25">
        <f>IF(OR('Bor-KP-Prin'!$Y$6="XXXX",ISBLANK('Bor-KP-Prin'!$Y$6)),"",'Bor-KP-Prin'!$Y$6)</f>
      </c>
      <c r="C25">
        <f>IF($A25="","",'Bor-KP-Prin'!$Y$47)</f>
      </c>
      <c r="D25">
        <f t="shared" si="0"/>
      </c>
      <c r="E25">
        <f t="shared" si="0"/>
      </c>
      <c r="F25">
        <f t="shared" si="5"/>
      </c>
      <c r="G25">
        <f t="shared" si="0"/>
      </c>
      <c r="H25">
        <f t="shared" si="0"/>
      </c>
      <c r="I25">
        <f t="shared" si="0"/>
      </c>
      <c r="J25">
        <f t="shared" si="0"/>
      </c>
      <c r="M25">
        <f>IF('Bor-KP-Prin'!$Y$6="XXXX","",'Bor-KP-Prin'!$Y$50)</f>
      </c>
      <c r="O25">
        <f>IF('Bor-KP-Prin'!$Y$6="XXXX","",'Bor-KP-Prin'!$Y$51)</f>
      </c>
      <c r="P25">
        <f>IF('Bor-KP-Prin'!$Y$6="XXXX","",'Bor-KP-Prin'!$Y$52)</f>
      </c>
      <c r="Q25">
        <f>IF('Bor-KP-Prin'!$Y$6="XXXX","",'Bor-KP-Prin'!$Y$53)</f>
      </c>
    </row>
    <row r="26" ht="15" customHeight="1">
      <c r="A26">
        <f>IF(OR('Bor-KP-Prin'!$Z$6="XXXX",ISBLANK('Bor-KP-Prin'!$Z$6)),"",'Bor-KP-Prin'!$Z$6)</f>
      </c>
      <c r="C26">
        <f>IF($A26="","",'Bor-KP-Prin'!$Z$47)</f>
      </c>
      <c r="D26">
        <f t="shared" si="0"/>
      </c>
      <c r="E26">
        <f t="shared" si="0"/>
      </c>
      <c r="F26">
        <f t="shared" si="5"/>
      </c>
      <c r="G26">
        <f t="shared" si="0"/>
      </c>
      <c r="H26">
        <f t="shared" si="0"/>
      </c>
      <c r="I26">
        <f t="shared" si="0"/>
      </c>
      <c r="J26">
        <f t="shared" si="0"/>
      </c>
      <c r="M26">
        <f>IF('Bor-KP-Prin'!$Z$6="XXXX","",'Bor-KP-Prin'!$Z$50)</f>
      </c>
      <c r="O26">
        <f>IF('Bor-KP-Prin'!$Z$6="XXXX","",'Bor-KP-Prin'!$Z$51)</f>
      </c>
      <c r="P26">
        <f>IF('Bor-KP-Prin'!$Z$6="XXXX","",'Bor-KP-Prin'!$Z$52)</f>
      </c>
      <c r="Q26">
        <f>IF('Bor-KP-Prin'!$Z$6="XXXX","",'Bor-KP-Prin'!$Z$53)</f>
      </c>
    </row>
    <row r="27" ht="15" customHeight="1">
      <c r="A27">
        <f>IF(OR('Bor-KP-Prin'!$AA$6="XXXX",ISBLANK('Bor-KP-Prin'!$AA$6)),"",'Bor-KP-Prin'!$AA$6)</f>
      </c>
      <c r="C27">
        <f>IF($A27="","",'Bor-KP-Prin'!$AA$47)</f>
      </c>
      <c r="D27">
        <f t="shared" si="0"/>
      </c>
      <c r="E27">
        <f t="shared" si="0"/>
      </c>
      <c r="F27">
        <f t="shared" si="5"/>
      </c>
      <c r="G27">
        <f t="shared" si="0"/>
      </c>
      <c r="H27">
        <f t="shared" si="0"/>
      </c>
      <c r="I27">
        <f t="shared" si="0"/>
      </c>
      <c r="J27">
        <f t="shared" si="0"/>
      </c>
      <c r="M27">
        <f>IF('Bor-KP-Prin'!$AA$6="XXXX","",'Bor-KP-Prin'!$AA$50)</f>
      </c>
      <c r="O27">
        <f>IF('Bor-KP-Prin'!$AA$6="XXXX","",'Bor-KP-Prin'!$AA$51)</f>
      </c>
      <c r="P27">
        <f>IF('Bor-KP-Prin'!$AA$6="XXXX","",'Bor-KP-Prin'!$AA$52)</f>
      </c>
      <c r="Q27">
        <f>IF('Bor-KP-Prin'!$AA$6="XXXX","",'Bor-KP-Prin'!$AA$53)</f>
      </c>
    </row>
    <row r="28" ht="15" customHeight="1">
      <c r="A28">
        <f>IF(OR('Bor-KP-Prin'!$AB$6="XXXX",ISBLANK('Bor-KP-Prin'!$AB$6)),"",'Bor-KP-Prin'!$AB$6)</f>
      </c>
      <c r="C28">
        <f>IF($A28="","",'Bor-KP-Prin'!$AB$47)</f>
      </c>
      <c r="D28">
        <f t="shared" si="0"/>
      </c>
      <c r="E28">
        <f t="shared" si="0"/>
      </c>
      <c r="F28">
        <f t="shared" si="5"/>
      </c>
      <c r="G28">
        <f t="shared" si="0"/>
      </c>
      <c r="H28">
        <f t="shared" si="0"/>
      </c>
      <c r="I28">
        <f t="shared" si="0"/>
      </c>
      <c r="J28">
        <f t="shared" si="0"/>
      </c>
      <c r="M28">
        <f>IF('Bor-KP-Prin'!$AB$6="XXXX","",'Bor-KP-Prin'!$AB$50)</f>
      </c>
      <c r="O28">
        <f>IF('Bor-KP-Prin'!$AB$6="XXXX","",'Bor-KP-Prin'!$AB$51)</f>
      </c>
      <c r="P28">
        <f>IF('Bor-KP-Prin'!$AB$6="XXXX","",'Bor-KP-Prin'!$AB$52)</f>
      </c>
      <c r="Q28">
        <f>IF('Bor-KP-Prin'!$AB$6="XXXX","",'Bor-KP-Prin'!$AB$53)</f>
      </c>
    </row>
    <row r="29" ht="15" customHeight="1">
      <c r="A29">
        <f>IF(OR('Bor-KP-Prin'!$AC$6="XXXX",ISBLANK('Bor-KP-Prin'!$AC$6)),"",'Bor-KP-Prin'!$AC$6)</f>
      </c>
      <c r="C29">
        <f>IF($A29="","",'Bor-KP-Prin'!$AC$47)</f>
      </c>
      <c r="D29">
        <f t="shared" si="0"/>
      </c>
      <c r="E29">
        <f t="shared" si="0"/>
      </c>
      <c r="F29">
        <f t="shared" si="5"/>
      </c>
      <c r="G29">
        <f t="shared" si="0"/>
      </c>
      <c r="H29">
        <f t="shared" si="0"/>
      </c>
      <c r="I29">
        <f t="shared" si="0"/>
      </c>
      <c r="J29">
        <f t="shared" si="0"/>
      </c>
      <c r="M29">
        <f>IF('Bor-KP-Prin'!$AC$6="XXXX","",'Bor-KP-Prin'!$AC$50)</f>
      </c>
      <c r="O29">
        <f>IF('Bor-KP-Prin'!$AC$6="XXXX","",'Bor-KP-Prin'!$AC$51)</f>
      </c>
      <c r="P29">
        <f>IF('Bor-KP-Prin'!$AC$6="XXXX","",'Bor-KP-Prin'!$AC$52)</f>
      </c>
      <c r="Q29">
        <f>IF('Bor-KP-Prin'!$AC$6="XXXX","",'Bor-KP-Prin'!$AC$53)</f>
      </c>
    </row>
    <row r="30" ht="15" customHeight="1">
      <c r="A30">
        <f>IF(OR('Bor-KP-Prin'!$AD$6="XXXX",ISBLANK('Bor-KP-Prin'!$AD$6)),"",'Bor-KP-Prin'!$AD$6)</f>
      </c>
      <c r="C30">
        <f>IF($A30="","",'Bor-KP-Prin'!$AD$47)</f>
      </c>
      <c r="D30">
        <f t="shared" si="0"/>
      </c>
      <c r="E30">
        <f t="shared" si="0"/>
      </c>
      <c r="F30">
        <f t="shared" si="5"/>
      </c>
      <c r="G30">
        <f t="shared" si="0"/>
      </c>
      <c r="H30">
        <f t="shared" si="0"/>
      </c>
      <c r="I30">
        <f t="shared" si="0"/>
      </c>
      <c r="J30">
        <f t="shared" si="0"/>
      </c>
      <c r="M30">
        <f>IF('Bor-KP-Prin'!$AD$6="XXXX","",'Bor-KP-Prin'!$AD$50)</f>
      </c>
      <c r="O30">
        <f>IF('Bor-KP-Prin'!$AD$6="XXXX","",'Bor-KP-Prin'!$AD$51)</f>
      </c>
      <c r="P30">
        <f>IF('Bor-KP-Prin'!$AD$6="XXXX","",'Bor-KP-Prin'!$AD$52)</f>
      </c>
      <c r="Q30">
        <f>IF('Bor-KP-Prin'!$AD$6="XXXX","",'Bor-KP-Prin'!$AD$53)</f>
      </c>
    </row>
    <row r="31" ht="15" customHeight="1">
      <c r="A31">
        <f>IF(OR('Bor-KP-Prin'!$AE$6="XXXX",ISBLANK('Bor-KP-Prin'!$AE$6)),"",'Bor-KP-Prin'!$AE$6)</f>
      </c>
      <c r="C31">
        <f>IF($A31="","",'Bor-KP-Prin'!$AE$47)</f>
      </c>
      <c r="D31">
        <f t="shared" si="0"/>
      </c>
      <c r="E31">
        <f t="shared" si="0"/>
      </c>
      <c r="F31">
        <f t="shared" si="5"/>
      </c>
      <c r="G31">
        <f t="shared" si="0"/>
      </c>
      <c r="H31">
        <f t="shared" si="0"/>
      </c>
      <c r="I31">
        <f t="shared" si="0"/>
      </c>
      <c r="J31">
        <f t="shared" si="0"/>
      </c>
      <c r="M31">
        <f>IF('Bor-KP-Prin'!$AE$6="XXXX","",'Bor-KP-Prin'!$AE$50)</f>
      </c>
      <c r="O31">
        <f>IF('Bor-KP-Prin'!$AE$6="XXXX","",'Bor-KP-Prin'!$AE$51)</f>
      </c>
      <c r="P31">
        <f>IF('Bor-KP-Prin'!$AE$6="XXXX","",'Bor-KP-Prin'!$AE$52)</f>
      </c>
      <c r="Q31">
        <f>IF('Bor-KP-Prin'!$AE$6="XXXX","",'Bor-KP-Prin'!$AE$53)</f>
      </c>
    </row>
    <row r="32" ht="15" customHeight="1">
      <c r="A32">
        <f>IF(OR('Bor-KP-Prin'!$AF$6="XXXX",ISBLANK('Bor-KP-Prin'!$AF$6)),"",'Bor-KP-Prin'!$AF$6)</f>
      </c>
      <c r="C32">
        <f>IF($A32="","",'Bor-KP-Prin'!$AF$47)</f>
      </c>
      <c r="D32">
        <f t="shared" si="0"/>
      </c>
      <c r="E32">
        <f t="shared" si="0"/>
      </c>
      <c r="F32">
        <f t="shared" si="5"/>
      </c>
      <c r="G32">
        <f t="shared" si="0"/>
      </c>
      <c r="H32">
        <f t="shared" si="0"/>
      </c>
      <c r="I32">
        <f t="shared" si="0"/>
      </c>
      <c r="J32">
        <f t="shared" si="0"/>
      </c>
      <c r="M32">
        <f>IF('Bor-KP-Prin'!$AF$6="XXXX","",'Bor-KP-Prin'!$AF$50)</f>
      </c>
      <c r="O32">
        <f>IF('Bor-KP-Prin'!$AF$6="XXXX","",'Bor-KP-Prin'!$AF$51)</f>
      </c>
      <c r="P32">
        <f>IF('Bor-KP-Prin'!$AF$6="XXXX","",'Bor-KP-Prin'!$AF$52)</f>
      </c>
      <c r="Q32">
        <f>IF('Bor-KP-Prin'!$AF$6="XXXX","",'Bor-KP-Prin'!$AF$53)</f>
      </c>
    </row>
    <row r="33" ht="15" customHeight="1">
      <c r="A33">
        <f>IF(OR('Bor-KP-Prin'!$AG$6="XXXX",ISBLANK('Bor-KP-Prin'!$AG$6)),"",'Bor-KP-Prin'!$AG$6)</f>
      </c>
      <c r="C33">
        <f>IF($A33="","",'Bor-KP-Prin'!$AG$47)</f>
      </c>
      <c r="D33">
        <f t="shared" si="0"/>
      </c>
      <c r="E33">
        <f t="shared" si="0"/>
      </c>
      <c r="F33">
        <f t="shared" si="5"/>
      </c>
      <c r="G33">
        <f t="shared" si="0"/>
      </c>
      <c r="H33">
        <f t="shared" si="0"/>
      </c>
      <c r="I33">
        <f t="shared" si="0"/>
      </c>
      <c r="J33">
        <f t="shared" si="0"/>
      </c>
      <c r="M33">
        <f>IF('Bor-KP-Prin'!$AG$6="XXXX","",'Bor-KP-Prin'!$AG$50)</f>
      </c>
      <c r="O33">
        <f>IF('Bor-KP-Prin'!$AG$6="XXXX","",'Bor-KP-Prin'!$AG$51)</f>
      </c>
      <c r="P33">
        <f>IF('Bor-KP-Prin'!$AG$6="XXXX","",'Bor-KP-Prin'!$AG$52)</f>
      </c>
      <c r="Q33">
        <f>IF('Bor-KP-Prin'!$AG$6="XXXX","",'Bor-KP-Prin'!$AG$53)</f>
      </c>
    </row>
    <row r="34" ht="15" customHeight="1">
      <c r="A34">
        <f>IF(OR('Bor-KP-Prin'!$AH$6="XXXX",ISBLANK('Bor-KP-Prin'!$AH$6)),"",'Bor-KP-Prin'!$AH$6)</f>
      </c>
      <c r="C34">
        <f>IF($A34="","",'Bor-KP-Prin'!$AH$47)</f>
      </c>
      <c r="D34">
        <f t="shared" si="0"/>
      </c>
      <c r="E34">
        <f t="shared" si="0"/>
      </c>
      <c r="F34">
        <f t="shared" si="5"/>
      </c>
      <c r="G34">
        <f t="shared" si="0"/>
      </c>
      <c r="H34">
        <f t="shared" si="0"/>
      </c>
      <c r="I34">
        <f t="shared" si="0"/>
      </c>
      <c r="J34">
        <f t="shared" si="0"/>
      </c>
      <c r="M34">
        <f>IF('Bor-KP-Prin'!$AH$6="XXXX","",'Bor-KP-Prin'!$AH$50)</f>
      </c>
      <c r="O34">
        <f>IF('Bor-KP-Prin'!$AH$6="XXXX","",'Bor-KP-Prin'!$AH$51)</f>
      </c>
      <c r="P34">
        <f>IF('Bor-KP-Prin'!$AH$6="XXXX","",'Bor-KP-Prin'!$AH$52)</f>
      </c>
      <c r="Q34">
        <f>IF('Bor-KP-Prin'!$AH$6="XXXX","",'Bor-KP-Prin'!$AH$53)</f>
      </c>
    </row>
  </sheetData>
  <printOptions/>
  <pageMargins left="0.75" right="0.75" top="1" bottom="1" header="0.5" footer="0.5"/>
  <pageSetup paperSize="1" useFirstPageNumber="1" firstPageNumber="1" pageOrder="downThenOver" orientation="portrait"/>
  <headerFooter>
    <oddFooter>&amp;L&amp;CConfidential - Internal Distribution&amp;R</oddFooter>
  </headerFooter>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60CAFBF-558A-F16F-5139-A7525C93331A}" mc:Ignorable="x14ac xr xr2 xr3">
  <sheetPr>
    <tabColor theme="0" tint="-0.5"/>
  </sheetPr>
  <dimension ref="A1:DB146"/>
  <sheetViews>
    <sheetView topLeftCell="A1" workbookViewId="0">
      <selection activeCell="E6" sqref="E6:E145"/>
    </sheetView>
  </sheetViews>
  <sheetFormatPr defaultRowHeight="15" defaultColWidth="0" customHeight="1"/>
  <cols>
    <col min="1" max="1" width="30.57421875" customWidth="1"/>
    <col min="2" max="2" width="45.28125" customWidth="1"/>
    <col min="3" max="3" width="23.00390625" customWidth="1"/>
    <col min="4" max="4" width="3.140625" customWidth="1"/>
    <col min="5" max="5" width="18.57421875" customWidth="1"/>
    <col min="6" max="6" width="22.28125" customWidth="1"/>
    <col min="7" max="7" width="4.57421875" customWidth="1"/>
    <col min="8" max="106" width="8.8515625" hidden="1" customWidth="1"/>
  </cols>
  <sheetData>
    <row r="1" ht="15" customHeight="1">
      <c r="A1" t="s">
        <v>4438</v>
      </c>
    </row>
    <row r="2" ht="15" customHeight="1">
      <c r="B2" t="s">
        <v>4439</v>
      </c>
      <c r="C2" t="b">
        <f>E6&lt;C6</f>
        <v>0</v>
      </c>
    </row>
    <row r="3" ht="15" customHeight="1">
      <c r="B3" t="s">
        <v>4440</v>
      </c>
      <c r="C3" t="s">
        <v>493</v>
      </c>
    </row>
    <row r="5" ht="15" customHeight="1">
      <c r="B5" t="s">
        <v>4441</v>
      </c>
      <c r="E5" t="s">
        <v>4442</v>
      </c>
    </row>
    <row r="6" ht="15" customHeight="1">
      <c r="B6" t="s">
        <v>4443</v>
      </c>
      <c r="C6" s="1">
        <v>45184</v>
      </c>
      <c r="E6" s="1">
        <v>45184</v>
      </c>
    </row>
    <row r="7" ht="15" customHeight="1">
      <c r="B7" t="s">
        <v>4444</v>
      </c>
      <c r="C7">
        <v>0.053133</v>
      </c>
      <c r="E7">
        <v>0.053133</v>
      </c>
    </row>
    <row r="8" ht="15" customHeight="1">
      <c r="B8" t="s">
        <v>4445</v>
      </c>
      <c r="C8">
        <v>0.053271</v>
      </c>
      <c r="E8">
        <v>0.053271</v>
      </c>
    </row>
    <row r="9" ht="15" customHeight="1">
      <c r="B9" t="s">
        <v>4446</v>
      </c>
      <c r="C9">
        <v>0.053704</v>
      </c>
      <c r="E9">
        <v>0.053704</v>
      </c>
    </row>
    <row r="10" ht="15" customHeight="1">
      <c r="B10" t="s">
        <v>4447</v>
      </c>
      <c r="C10">
        <v>0.053271</v>
      </c>
      <c r="E10">
        <v>0.053271</v>
      </c>
    </row>
    <row r="11" ht="15" customHeight="1">
      <c r="B11" t="s">
        <v>4448</v>
      </c>
      <c r="C11">
        <v>0.053704</v>
      </c>
      <c r="E11">
        <v>0.053704</v>
      </c>
    </row>
    <row r="12" ht="15" customHeight="1">
      <c r="B12" t="s">
        <v>4449</v>
      </c>
      <c r="C12">
        <v>0.054609</v>
      </c>
      <c r="E12">
        <v>0.054609</v>
      </c>
    </row>
    <row r="13" ht="15" customHeight="1">
      <c r="B13" t="s">
        <v>4450</v>
      </c>
      <c r="C13">
        <v>0.055226</v>
      </c>
      <c r="E13">
        <v>0.055226</v>
      </c>
    </row>
    <row r="14" ht="15" customHeight="1">
      <c r="B14" t="s">
        <v>4451</v>
      </c>
      <c r="C14">
        <v>0.054237</v>
      </c>
      <c r="E14">
        <v>0.054237</v>
      </c>
    </row>
    <row r="15" ht="15" customHeight="1">
      <c r="B15" t="s">
        <v>4452</v>
      </c>
      <c r="C15">
        <v>0.050347</v>
      </c>
      <c r="E15">
        <v>0.050347</v>
      </c>
    </row>
    <row r="16" ht="15" customHeight="1">
      <c r="B16" t="s">
        <v>4453</v>
      </c>
      <c r="C16">
        <v>0.047126</v>
      </c>
      <c r="E16">
        <v>0.047126</v>
      </c>
    </row>
    <row r="17" ht="15" customHeight="1">
      <c r="B17" t="s">
        <v>4454</v>
      </c>
      <c r="C17">
        <v>0.045816</v>
      </c>
      <c r="E17">
        <v>0.045816</v>
      </c>
    </row>
    <row r="18" ht="15" customHeight="1">
      <c r="B18" t="s">
        <v>4455</v>
      </c>
      <c r="C18">
        <v>0.044509</v>
      </c>
      <c r="E18">
        <v>0.044509</v>
      </c>
    </row>
    <row r="19" ht="15" customHeight="1">
      <c r="B19" t="s">
        <v>4456</v>
      </c>
      <c r="C19">
        <v>0.044065</v>
      </c>
      <c r="E19">
        <v>0.044065</v>
      </c>
    </row>
    <row r="20" ht="15" customHeight="1">
      <c r="B20" t="s">
        <v>4457</v>
      </c>
      <c r="C20">
        <v>0.043144</v>
      </c>
      <c r="E20">
        <v>0.043144</v>
      </c>
    </row>
    <row r="21" ht="15" customHeight="1">
      <c r="B21" t="s">
        <v>4458</v>
      </c>
      <c r="C21">
        <v>0.04582</v>
      </c>
      <c r="E21">
        <v>0.04582</v>
      </c>
    </row>
    <row r="22" ht="15" customHeight="1">
      <c r="B22" t="s">
        <v>4459</v>
      </c>
      <c r="C22">
        <v>0.043957</v>
      </c>
      <c r="E22">
        <v>0.043957</v>
      </c>
    </row>
    <row r="23" ht="15" customHeight="1">
      <c r="B23" t="s">
        <v>4460</v>
      </c>
      <c r="C23">
        <v>0.0069</v>
      </c>
      <c r="E23">
        <v>0.0069</v>
      </c>
    </row>
    <row r="24" ht="15" customHeight="1">
      <c r="B24" t="s">
        <v>4461</v>
      </c>
      <c r="C24">
        <v>0.0069</v>
      </c>
      <c r="E24">
        <v>0.0069</v>
      </c>
    </row>
    <row r="25" ht="15" customHeight="1">
      <c r="B25" t="s">
        <v>4462</v>
      </c>
      <c r="C25">
        <v>0.0073</v>
      </c>
      <c r="E25">
        <v>0.0073</v>
      </c>
    </row>
    <row r="26" ht="15" customHeight="1">
      <c r="B26" t="s">
        <v>4463</v>
      </c>
      <c r="C26">
        <v>0.0087</v>
      </c>
      <c r="E26">
        <v>0.0087</v>
      </c>
    </row>
    <row r="27" ht="15" customHeight="1">
      <c r="B27" t="s">
        <v>4464</v>
      </c>
      <c r="C27">
        <v>0.0105</v>
      </c>
      <c r="E27">
        <v>0.0105</v>
      </c>
    </row>
    <row r="28" ht="15" customHeight="1">
      <c r="B28" t="s">
        <v>4465</v>
      </c>
      <c r="C28">
        <v>0.0121</v>
      </c>
      <c r="E28">
        <v>0.0121</v>
      </c>
    </row>
    <row r="29" ht="15" customHeight="1">
      <c r="B29" t="s">
        <v>4466</v>
      </c>
      <c r="C29">
        <v>0.013</v>
      </c>
      <c r="E29">
        <v>0.013</v>
      </c>
    </row>
    <row r="30" ht="15" customHeight="1">
      <c r="B30" t="s">
        <v>4467</v>
      </c>
      <c r="C30">
        <v>0.0129</v>
      </c>
      <c r="E30">
        <v>0.0129</v>
      </c>
    </row>
    <row r="31" ht="15" customHeight="1">
      <c r="B31" t="s">
        <v>4468</v>
      </c>
      <c r="C31">
        <v>0.0129</v>
      </c>
      <c r="E31">
        <v>0.0129</v>
      </c>
    </row>
    <row r="32" ht="15" customHeight="1">
      <c r="B32" t="s">
        <v>4469</v>
      </c>
      <c r="C32">
        <v>0.0133</v>
      </c>
      <c r="E32">
        <v>0.0133</v>
      </c>
    </row>
    <row r="33" ht="15" customHeight="1">
      <c r="B33" t="s">
        <v>4470</v>
      </c>
      <c r="C33">
        <v>0.0234</v>
      </c>
      <c r="E33">
        <v>0.0234</v>
      </c>
    </row>
    <row r="34" ht="15" customHeight="1">
      <c r="B34" t="s">
        <v>4471</v>
      </c>
      <c r="C34">
        <v>0.0207</v>
      </c>
      <c r="E34">
        <v>0.0207</v>
      </c>
    </row>
    <row r="35" ht="15" customHeight="1">
      <c r="B35" t="s">
        <v>4472</v>
      </c>
      <c r="C35">
        <v>0.0192</v>
      </c>
      <c r="E35">
        <v>0.0192</v>
      </c>
    </row>
    <row r="36" ht="15" customHeight="1">
      <c r="B36" t="s">
        <v>4473</v>
      </c>
      <c r="C36">
        <v>0.0192</v>
      </c>
      <c r="E36">
        <v>0.0192</v>
      </c>
    </row>
    <row r="37" ht="15" customHeight="1">
      <c r="B37" t="s">
        <v>4474</v>
      </c>
      <c r="C37">
        <v>0.0192</v>
      </c>
      <c r="E37">
        <v>0.0192</v>
      </c>
    </row>
    <row r="38" ht="15" customHeight="1">
      <c r="B38" t="s">
        <v>4475</v>
      </c>
      <c r="C38">
        <v>0.0192</v>
      </c>
      <c r="E38">
        <v>0.0192</v>
      </c>
    </row>
    <row r="39" ht="15" customHeight="1">
      <c r="B39" t="s">
        <v>4476</v>
      </c>
      <c r="C39">
        <v>0.0192</v>
      </c>
      <c r="E39">
        <v>0.0192</v>
      </c>
    </row>
    <row r="40" ht="15" customHeight="1">
      <c r="B40" t="s">
        <v>4477</v>
      </c>
      <c r="C40">
        <v>0.0234</v>
      </c>
      <c r="E40">
        <v>0.0234</v>
      </c>
    </row>
    <row r="41" ht="15" customHeight="1">
      <c r="B41" t="s">
        <v>4478</v>
      </c>
      <c r="C41">
        <v>0.0207</v>
      </c>
      <c r="E41">
        <v>0.0207</v>
      </c>
    </row>
    <row r="42" ht="15" customHeight="1">
      <c r="B42" t="s">
        <v>4479</v>
      </c>
      <c r="C42">
        <v>0.0192</v>
      </c>
      <c r="E42">
        <v>0.0192</v>
      </c>
    </row>
    <row r="43" ht="15" customHeight="1">
      <c r="B43" t="s">
        <v>4480</v>
      </c>
      <c r="C43">
        <v>0.018</v>
      </c>
      <c r="E43">
        <v>0.018</v>
      </c>
    </row>
    <row r="44" ht="15" customHeight="1">
      <c r="B44" t="s">
        <v>4481</v>
      </c>
      <c r="C44">
        <v>0.0176</v>
      </c>
      <c r="E44">
        <v>0.0176</v>
      </c>
    </row>
    <row r="45" ht="15" customHeight="1">
      <c r="B45" t="s">
        <v>4482</v>
      </c>
      <c r="C45">
        <v>0.0172</v>
      </c>
      <c r="E45">
        <v>0.0172</v>
      </c>
    </row>
    <row r="46" ht="15" customHeight="1">
      <c r="B46" t="s">
        <v>4483</v>
      </c>
      <c r="C46">
        <v>0.0172</v>
      </c>
      <c r="E46">
        <v>0.0172</v>
      </c>
    </row>
    <row r="47" ht="15" customHeight="1">
      <c r="B47" t="s">
        <v>4484</v>
      </c>
      <c r="C47">
        <v>0.0172</v>
      </c>
      <c r="E47">
        <v>0.0172</v>
      </c>
    </row>
    <row r="48" ht="15" customHeight="1">
      <c r="B48" t="s">
        <v>4485</v>
      </c>
      <c r="C48">
        <v>0.0172</v>
      </c>
      <c r="E48">
        <v>0.0172</v>
      </c>
    </row>
    <row r="49" ht="15" customHeight="1">
      <c r="B49" t="s">
        <v>4486</v>
      </c>
      <c r="C49">
        <v>0.0172</v>
      </c>
      <c r="E49">
        <v>0.0172</v>
      </c>
    </row>
    <row r="50" ht="15" customHeight="1">
      <c r="B50" t="s">
        <v>4487</v>
      </c>
      <c r="C50">
        <v>0.018</v>
      </c>
      <c r="E50">
        <v>0.018</v>
      </c>
    </row>
    <row r="51" ht="15" customHeight="1">
      <c r="B51" t="s">
        <v>4488</v>
      </c>
      <c r="C51">
        <v>0.0176</v>
      </c>
      <c r="E51">
        <v>0.0176</v>
      </c>
    </row>
    <row r="52" ht="15" customHeight="1">
      <c r="B52" t="s">
        <v>4489</v>
      </c>
      <c r="C52">
        <v>0.0172</v>
      </c>
      <c r="E52">
        <v>0.0172</v>
      </c>
    </row>
    <row r="53" ht="15" customHeight="1">
      <c r="B53" t="s">
        <v>4490</v>
      </c>
      <c r="C53">
        <v>0.016</v>
      </c>
      <c r="E53">
        <v>0.016</v>
      </c>
    </row>
    <row r="54" ht="15" customHeight="1">
      <c r="B54" t="s">
        <v>4491</v>
      </c>
      <c r="C54">
        <v>0.0156</v>
      </c>
      <c r="E54">
        <v>0.0156</v>
      </c>
    </row>
    <row r="55" ht="15" customHeight="1">
      <c r="B55" t="s">
        <v>4492</v>
      </c>
      <c r="C55">
        <v>0.0152</v>
      </c>
      <c r="E55">
        <v>0.0152</v>
      </c>
    </row>
    <row r="56" ht="15" customHeight="1">
      <c r="B56" t="s">
        <v>4493</v>
      </c>
      <c r="C56">
        <v>0.0152</v>
      </c>
      <c r="E56">
        <v>0.0152</v>
      </c>
    </row>
    <row r="57" ht="15" customHeight="1">
      <c r="B57" t="s">
        <v>4494</v>
      </c>
      <c r="C57">
        <v>0.0152</v>
      </c>
      <c r="E57">
        <v>0.0152</v>
      </c>
    </row>
    <row r="58" ht="15" customHeight="1">
      <c r="B58" t="s">
        <v>4495</v>
      </c>
      <c r="C58">
        <v>0.0152</v>
      </c>
      <c r="E58">
        <v>0.0152</v>
      </c>
    </row>
    <row r="59" ht="15" customHeight="1">
      <c r="B59" t="s">
        <v>4496</v>
      </c>
      <c r="C59">
        <v>0.0152</v>
      </c>
      <c r="E59">
        <v>0.0152</v>
      </c>
    </row>
    <row r="60" ht="15" customHeight="1">
      <c r="B60" t="s">
        <v>4497</v>
      </c>
      <c r="C60">
        <v>0.016</v>
      </c>
      <c r="E60">
        <v>0.016</v>
      </c>
    </row>
    <row r="61" ht="15" customHeight="1">
      <c r="B61" t="s">
        <v>4498</v>
      </c>
      <c r="C61">
        <v>0.0156</v>
      </c>
      <c r="E61">
        <v>0.0156</v>
      </c>
    </row>
    <row r="62" ht="15" customHeight="1">
      <c r="B62" t="s">
        <v>4499</v>
      </c>
      <c r="C62">
        <v>0.0152</v>
      </c>
      <c r="E62">
        <v>0.0152</v>
      </c>
    </row>
    <row r="63" ht="15" customHeight="1">
      <c r="B63" t="s">
        <v>4500</v>
      </c>
    </row>
    <row r="64" ht="15" customHeight="1">
      <c r="B64" t="s">
        <v>4501</v>
      </c>
      <c r="C64">
        <v>0.02</v>
      </c>
      <c r="E64">
        <v>0.02</v>
      </c>
    </row>
    <row r="65" ht="15" customHeight="1">
      <c r="B65" t="s">
        <v>4502</v>
      </c>
      <c r="C65">
        <v>0.005936</v>
      </c>
      <c r="E65">
        <v>0.005936</v>
      </c>
    </row>
    <row r="66" ht="15" customHeight="1">
      <c r="B66" t="s">
        <v>4503</v>
      </c>
      <c r="C66">
        <v>0.001328</v>
      </c>
      <c r="E66">
        <v>0.001328</v>
      </c>
    </row>
    <row r="67" ht="15" customHeight="1">
      <c r="B67" t="s">
        <v>4504</v>
      </c>
      <c r="C67">
        <v>-0.001809</v>
      </c>
      <c r="E67">
        <v>-0.001809</v>
      </c>
    </row>
    <row r="68" ht="15" customHeight="1">
      <c r="B68" t="s">
        <v>4505</v>
      </c>
      <c r="C68">
        <v>-0.003627</v>
      </c>
      <c r="E68">
        <v>-0.003627</v>
      </c>
    </row>
    <row r="69" ht="15" customHeight="1">
      <c r="B69" t="s">
        <v>4506</v>
      </c>
      <c r="C69">
        <v>0.007325</v>
      </c>
      <c r="E69">
        <v>0.007325</v>
      </c>
    </row>
    <row r="70" ht="15" customHeight="1">
      <c r="B70" t="s">
        <v>4507</v>
      </c>
      <c r="C70">
        <v>0.003449</v>
      </c>
      <c r="E70">
        <v>0.003449</v>
      </c>
    </row>
    <row r="71" ht="15" customHeight="1">
      <c r="B71" t="s">
        <v>4508</v>
      </c>
      <c r="C71">
        <v>0.000418</v>
      </c>
      <c r="E71">
        <v>0.000418</v>
      </c>
    </row>
    <row r="72" ht="15" customHeight="1">
      <c r="B72" t="s">
        <v>4509</v>
      </c>
      <c r="C72">
        <v>-0.003359</v>
      </c>
      <c r="E72">
        <v>-0.003359</v>
      </c>
    </row>
    <row r="73" ht="15" customHeight="1">
      <c r="B73" t="s">
        <v>4510</v>
      </c>
      <c r="C73">
        <v>-0.00409</v>
      </c>
      <c r="E73">
        <v>-0.00409</v>
      </c>
    </row>
    <row r="74" ht="15" customHeight="1">
      <c r="B74" t="s">
        <v>4511</v>
      </c>
      <c r="C74">
        <v>0.00938</v>
      </c>
      <c r="E74">
        <v>0.00938</v>
      </c>
    </row>
    <row r="75" ht="15" customHeight="1">
      <c r="B75" t="s">
        <v>4512</v>
      </c>
      <c r="C75">
        <v>0.007074</v>
      </c>
      <c r="E75">
        <v>0.007074</v>
      </c>
    </row>
    <row r="76" ht="15" customHeight="1">
      <c r="B76" t="s">
        <v>4513</v>
      </c>
      <c r="C76">
        <v>0.005143</v>
      </c>
      <c r="E76">
        <v>0.005143</v>
      </c>
    </row>
    <row r="77" ht="15" customHeight="1">
      <c r="B77" t="s">
        <v>4514</v>
      </c>
      <c r="C77">
        <v>0.002258</v>
      </c>
      <c r="E77">
        <v>0.002258</v>
      </c>
    </row>
    <row r="78" ht="15" customHeight="1">
      <c r="B78" t="s">
        <v>4515</v>
      </c>
      <c r="C78">
        <v>-0.000265</v>
      </c>
      <c r="E78">
        <v>-0.000265</v>
      </c>
    </row>
    <row r="79" ht="15" customHeight="1">
      <c r="B79" t="s">
        <v>4516</v>
      </c>
      <c r="C79">
        <v>0.01064</v>
      </c>
      <c r="E79">
        <v>0.01064</v>
      </c>
    </row>
    <row r="80" ht="15" customHeight="1">
      <c r="B80" t="s">
        <v>4517</v>
      </c>
      <c r="C80">
        <v>0.009411</v>
      </c>
      <c r="E80">
        <v>0.009411</v>
      </c>
    </row>
    <row r="81" ht="15" customHeight="1">
      <c r="B81" t="s">
        <v>4518</v>
      </c>
      <c r="C81">
        <v>0.008375</v>
      </c>
      <c r="E81">
        <v>0.008375</v>
      </c>
    </row>
    <row r="82" ht="15" customHeight="1">
      <c r="B82" t="s">
        <v>4519</v>
      </c>
      <c r="C82">
        <v>0.006768</v>
      </c>
      <c r="E82">
        <v>0.006768</v>
      </c>
    </row>
    <row r="83" ht="15" customHeight="1">
      <c r="B83" t="s">
        <v>4520</v>
      </c>
      <c r="C83">
        <v>0.004847</v>
      </c>
      <c r="E83">
        <v>0.004847</v>
      </c>
    </row>
    <row r="84" ht="15" customHeight="1">
      <c r="B84" t="s">
        <v>4521</v>
      </c>
      <c r="C84">
        <v>0.010751</v>
      </c>
      <c r="E84">
        <v>0.010751</v>
      </c>
    </row>
    <row r="85" ht="15" customHeight="1">
      <c r="B85" t="s">
        <v>4522</v>
      </c>
      <c r="C85">
        <v>0.009582</v>
      </c>
      <c r="E85">
        <v>0.009582</v>
      </c>
    </row>
    <row r="86" ht="15" customHeight="1">
      <c r="B86" t="s">
        <v>4523</v>
      </c>
      <c r="C86">
        <v>0.008586</v>
      </c>
      <c r="E86">
        <v>0.008586</v>
      </c>
    </row>
    <row r="87" ht="15" customHeight="1">
      <c r="B87" t="s">
        <v>4524</v>
      </c>
      <c r="C87">
        <v>0.006981</v>
      </c>
      <c r="E87">
        <v>0.006981</v>
      </c>
    </row>
    <row r="88" ht="15" customHeight="1">
      <c r="B88" t="s">
        <v>4525</v>
      </c>
      <c r="C88">
        <v>0.00404</v>
      </c>
      <c r="E88">
        <v>0.00404</v>
      </c>
    </row>
    <row r="89" ht="15" customHeight="1">
      <c r="B89" t="s">
        <v>4526</v>
      </c>
      <c r="C89">
        <v>0.007</v>
      </c>
      <c r="E89">
        <v>0.007</v>
      </c>
    </row>
    <row r="90" ht="15" customHeight="1">
      <c r="B90" t="s">
        <v>4527</v>
      </c>
      <c r="C90">
        <v>0.0003</v>
      </c>
      <c r="E90">
        <v>0.0003</v>
      </c>
    </row>
    <row r="91" ht="15" customHeight="1">
      <c r="B91" t="s">
        <v>4528</v>
      </c>
      <c r="C91">
        <v>0.0052</v>
      </c>
      <c r="E91">
        <v>0.0052</v>
      </c>
    </row>
    <row r="92" ht="15" customHeight="1">
      <c r="B92" t="s">
        <v>4529</v>
      </c>
      <c r="C92">
        <v>0</v>
      </c>
      <c r="E92">
        <v>0</v>
      </c>
    </row>
    <row r="93" ht="15" customHeight="1">
      <c r="B93" t="s">
        <v>4530</v>
      </c>
      <c r="C93">
        <v>-0.0068</v>
      </c>
      <c r="E93">
        <v>-0.0068</v>
      </c>
    </row>
    <row r="94" ht="15" customHeight="1">
      <c r="B94" t="s">
        <v>4531</v>
      </c>
    </row>
    <row r="95" ht="15" customHeight="1">
      <c r="B95" t="s">
        <v>4532</v>
      </c>
      <c r="C95">
        <v>0.008</v>
      </c>
      <c r="E95">
        <v>0.008</v>
      </c>
    </row>
    <row r="96" ht="15" customHeight="1">
      <c r="B96" t="s">
        <v>4533</v>
      </c>
      <c r="C96">
        <v>0.0001</v>
      </c>
      <c r="E96">
        <v>0.0001</v>
      </c>
    </row>
    <row r="97" ht="15" customHeight="1">
      <c r="B97" t="s">
        <v>4534</v>
      </c>
      <c r="C97">
        <v>0.0005</v>
      </c>
      <c r="E97">
        <v>0.0005</v>
      </c>
    </row>
    <row r="98" ht="15" customHeight="1">
      <c r="B98" t="s">
        <v>4535</v>
      </c>
      <c r="C98">
        <v>0.0007</v>
      </c>
      <c r="E98">
        <v>0.0007</v>
      </c>
    </row>
    <row r="99" ht="15" customHeight="1">
      <c r="B99" t="s">
        <v>4536</v>
      </c>
      <c r="C99">
        <v>0.001</v>
      </c>
      <c r="E99">
        <v>0.001</v>
      </c>
    </row>
    <row r="100" ht="15" customHeight="1">
      <c r="B100" t="s">
        <v>4537</v>
      </c>
      <c r="C100">
        <v>0.0014</v>
      </c>
      <c r="E100">
        <v>0.0014</v>
      </c>
    </row>
    <row r="101" ht="15" customHeight="1">
      <c r="B101" t="s">
        <v>4538</v>
      </c>
      <c r="C101">
        <v>0.019</v>
      </c>
      <c r="E101">
        <v>0.019</v>
      </c>
    </row>
    <row r="102" ht="15" customHeight="1">
      <c r="B102" t="s">
        <v>4539</v>
      </c>
      <c r="C102">
        <v>0.0185</v>
      </c>
      <c r="E102">
        <v>0.0185</v>
      </c>
    </row>
    <row r="103" ht="15" customHeight="1">
      <c r="B103" t="s">
        <v>4540</v>
      </c>
      <c r="C103">
        <v>0.0195</v>
      </c>
      <c r="E103">
        <v>0.0195</v>
      </c>
    </row>
    <row r="104" ht="15" customHeight="1">
      <c r="B104" t="s">
        <v>4541</v>
      </c>
    </row>
    <row r="105" ht="15" customHeight="1">
      <c r="B105" t="s">
        <v>4542</v>
      </c>
      <c r="C105">
        <v>0.001</v>
      </c>
      <c r="E105">
        <v>0.001</v>
      </c>
    </row>
    <row r="106" ht="15" customHeight="1">
      <c r="B106" t="s">
        <v>4543</v>
      </c>
      <c r="C106">
        <v>0.001</v>
      </c>
      <c r="E106">
        <v>0.001</v>
      </c>
    </row>
    <row r="107" ht="15" customHeight="1">
      <c r="B107" t="s">
        <v>4544</v>
      </c>
      <c r="C107">
        <v>0.001</v>
      </c>
      <c r="E107">
        <v>0.001</v>
      </c>
    </row>
    <row r="108" ht="15" customHeight="1">
      <c r="B108" t="s">
        <v>4545</v>
      </c>
    </row>
    <row r="109" ht="15" customHeight="1">
      <c r="B109" t="s">
        <v>4546</v>
      </c>
      <c r="C109">
        <v>0.061644</v>
      </c>
      <c r="E109">
        <v>0.061644</v>
      </c>
    </row>
    <row r="110" ht="15" customHeight="1">
      <c r="B110" t="s">
        <v>4547</v>
      </c>
      <c r="C110">
        <v>0.065944</v>
      </c>
      <c r="E110">
        <v>0.065944</v>
      </c>
    </row>
    <row r="111" ht="15" customHeight="1">
      <c r="B111" t="s">
        <v>4548</v>
      </c>
      <c r="C111">
        <v>-0.002181</v>
      </c>
      <c r="E111">
        <v>-0.002181</v>
      </c>
    </row>
    <row r="112" ht="15" customHeight="1">
      <c r="B112" t="s">
        <v>4549</v>
      </c>
      <c r="C112">
        <v>-0.003107</v>
      </c>
      <c r="E112">
        <v>-0.003107</v>
      </c>
    </row>
    <row r="113" ht="15" customHeight="1">
      <c r="B113" t="s">
        <v>4550</v>
      </c>
      <c r="C113">
        <v>-0.002966</v>
      </c>
      <c r="E113">
        <v>-0.002966</v>
      </c>
    </row>
    <row r="114" ht="15" customHeight="1">
      <c r="B114" t="s">
        <v>4551</v>
      </c>
      <c r="C114">
        <v>0</v>
      </c>
      <c r="E114">
        <v>0</v>
      </c>
    </row>
    <row r="115" ht="15" customHeight="1">
      <c r="B115" t="s">
        <v>4552</v>
      </c>
      <c r="C115">
        <v>0.001</v>
      </c>
      <c r="E115">
        <v>0.001</v>
      </c>
    </row>
    <row r="116" ht="15" customHeight="1">
      <c r="A116" t="s">
        <v>4553</v>
      </c>
      <c r="B116" t="s">
        <v>4554</v>
      </c>
      <c r="C116">
        <v>0.0193</v>
      </c>
      <c r="E116">
        <v>0.0193</v>
      </c>
    </row>
    <row r="117" ht="15" customHeight="1">
      <c r="B117" t="s">
        <v>4555</v>
      </c>
      <c r="C117">
        <v>0.0166</v>
      </c>
      <c r="E117">
        <v>0.0166</v>
      </c>
    </row>
    <row r="118" ht="15" customHeight="1">
      <c r="B118" t="s">
        <v>4556</v>
      </c>
      <c r="C118">
        <v>0.0151</v>
      </c>
      <c r="E118">
        <v>0.0151</v>
      </c>
    </row>
    <row r="119" ht="15" customHeight="1">
      <c r="B119" t="s">
        <v>4557</v>
      </c>
      <c r="C119">
        <v>0.0151</v>
      </c>
      <c r="E119">
        <v>0.0151</v>
      </c>
    </row>
    <row r="120" ht="15" customHeight="1">
      <c r="B120" t="s">
        <v>4558</v>
      </c>
      <c r="C120">
        <v>0.0151</v>
      </c>
      <c r="E120">
        <v>0.0151</v>
      </c>
    </row>
    <row r="121" ht="15" customHeight="1">
      <c r="B121" t="s">
        <v>4559</v>
      </c>
      <c r="C121">
        <v>0.0151</v>
      </c>
      <c r="E121">
        <v>0.0151</v>
      </c>
    </row>
    <row r="122" ht="15" customHeight="1">
      <c r="B122" t="s">
        <v>4560</v>
      </c>
      <c r="C122">
        <v>0.0151</v>
      </c>
      <c r="E122">
        <v>0.0151</v>
      </c>
    </row>
    <row r="123" ht="15" customHeight="1">
      <c r="B123" t="s">
        <v>4561</v>
      </c>
      <c r="C123">
        <v>0.0196</v>
      </c>
      <c r="E123">
        <v>0.0196</v>
      </c>
    </row>
    <row r="124" ht="15" customHeight="1">
      <c r="B124" t="s">
        <v>4562</v>
      </c>
      <c r="C124">
        <v>0.0169</v>
      </c>
      <c r="E124">
        <v>0.0169</v>
      </c>
    </row>
    <row r="125" ht="15" customHeight="1">
      <c r="B125" t="s">
        <v>4563</v>
      </c>
      <c r="C125">
        <v>0.0153</v>
      </c>
      <c r="E125">
        <v>0.0153</v>
      </c>
    </row>
    <row r="126" ht="15" customHeight="1">
      <c r="A126" t="s">
        <v>4564</v>
      </c>
      <c r="B126" t="s">
        <v>4565</v>
      </c>
      <c r="C126">
        <v>0.0139</v>
      </c>
      <c r="E126">
        <v>0.0139</v>
      </c>
    </row>
    <row r="127" ht="15" customHeight="1">
      <c r="B127" t="s">
        <v>4566</v>
      </c>
      <c r="C127">
        <v>0.0135</v>
      </c>
      <c r="E127">
        <v>0.0135</v>
      </c>
    </row>
    <row r="128" ht="15" customHeight="1">
      <c r="B128" t="s">
        <v>4567</v>
      </c>
      <c r="C128">
        <v>0.0131</v>
      </c>
      <c r="E128">
        <v>0.0131</v>
      </c>
    </row>
    <row r="129" ht="15" customHeight="1">
      <c r="B129" t="s">
        <v>4568</v>
      </c>
      <c r="C129">
        <v>0.0131</v>
      </c>
      <c r="E129">
        <v>0.0131</v>
      </c>
    </row>
    <row r="130" ht="15" customHeight="1">
      <c r="B130" t="s">
        <v>4569</v>
      </c>
      <c r="C130">
        <v>0.0131</v>
      </c>
      <c r="E130">
        <v>0.0131</v>
      </c>
    </row>
    <row r="131" ht="15" customHeight="1">
      <c r="B131" t="s">
        <v>4570</v>
      </c>
      <c r="C131">
        <v>0.0131</v>
      </c>
      <c r="E131">
        <v>0.0131</v>
      </c>
    </row>
    <row r="132" ht="15" customHeight="1">
      <c r="B132" t="s">
        <v>4571</v>
      </c>
      <c r="C132">
        <v>0.0131</v>
      </c>
      <c r="E132">
        <v>0.0131</v>
      </c>
    </row>
    <row r="133" ht="15" customHeight="1">
      <c r="B133" t="s">
        <v>4572</v>
      </c>
      <c r="C133">
        <v>0.0139</v>
      </c>
      <c r="E133">
        <v>0.0139</v>
      </c>
    </row>
    <row r="134" ht="15" customHeight="1">
      <c r="B134" t="s">
        <v>4573</v>
      </c>
      <c r="C134">
        <v>0.0135</v>
      </c>
      <c r="E134">
        <v>0.0135</v>
      </c>
    </row>
    <row r="135" ht="15" customHeight="1">
      <c r="B135" t="s">
        <v>4574</v>
      </c>
      <c r="C135">
        <v>0.0131</v>
      </c>
      <c r="E135">
        <v>0.0131</v>
      </c>
    </row>
    <row r="136" ht="15" customHeight="1">
      <c r="A136" t="s">
        <v>4575</v>
      </c>
      <c r="B136" t="s">
        <v>4576</v>
      </c>
      <c r="C136">
        <v>0.0119</v>
      </c>
      <c r="E136">
        <v>0.0119</v>
      </c>
    </row>
    <row r="137" ht="15" customHeight="1">
      <c r="B137" t="s">
        <v>4577</v>
      </c>
      <c r="C137">
        <v>0.0115</v>
      </c>
      <c r="E137">
        <v>0.0115</v>
      </c>
    </row>
    <row r="138" ht="15" customHeight="1">
      <c r="B138" t="s">
        <v>4578</v>
      </c>
      <c r="C138">
        <v>0.0111</v>
      </c>
      <c r="E138">
        <v>0.0111</v>
      </c>
    </row>
    <row r="139" ht="15" customHeight="1">
      <c r="B139" t="s">
        <v>4579</v>
      </c>
      <c r="C139">
        <v>0.0111</v>
      </c>
      <c r="E139">
        <v>0.0111</v>
      </c>
    </row>
    <row r="140" ht="15" customHeight="1">
      <c r="B140" t="s">
        <v>4580</v>
      </c>
      <c r="C140">
        <v>0.0111</v>
      </c>
      <c r="E140">
        <v>0.0111</v>
      </c>
    </row>
    <row r="141" ht="15" customHeight="1">
      <c r="B141" t="s">
        <v>4581</v>
      </c>
      <c r="C141">
        <v>0.0111</v>
      </c>
      <c r="E141">
        <v>0.0111</v>
      </c>
    </row>
    <row r="142" ht="15" customHeight="1">
      <c r="B142" t="s">
        <v>4582</v>
      </c>
      <c r="C142">
        <v>0.0111</v>
      </c>
      <c r="E142">
        <v>0.0111</v>
      </c>
    </row>
    <row r="143" ht="15" customHeight="1">
      <c r="B143" t="s">
        <v>4583</v>
      </c>
      <c r="C143">
        <v>0.0119</v>
      </c>
      <c r="E143">
        <v>0.0119</v>
      </c>
    </row>
    <row r="144" ht="15" customHeight="1">
      <c r="B144" t="s">
        <v>4584</v>
      </c>
      <c r="C144">
        <v>0.0115</v>
      </c>
      <c r="E144">
        <v>0.0115</v>
      </c>
    </row>
    <row r="145" ht="15" customHeight="1">
      <c r="B145" t="s">
        <v>4585</v>
      </c>
      <c r="C145">
        <v>0.0111</v>
      </c>
      <c r="E145">
        <v>0.0111</v>
      </c>
    </row>
  </sheetData>
  <printOptions/>
  <pageMargins left="0.7" right="0.7" top="0.75" bottom="0.75" header="0.3" footer="0.3"/>
  <pageSetup paperSize="1" useFirstPageNumber="1" firstPageNumber="1" scale="55" pageOrder="downThenOver" orientation="portrait"/>
  <headerFooter>
    <oddHeader>&amp;L&amp;C&amp;R</oddHeader>
    <oddFooter>&amp;L&amp;C&amp;R</oddFooter>
  </headerFooter>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2E0567F9-BEC1-28C7-4308-4AF6D51565AE}" mc:Ignorable="x14ac xr xr2 xr3">
  <sheetPr>
    <tabColor theme="0" tint="-0.5"/>
  </sheetPr>
  <dimension ref="A1:P55"/>
  <sheetViews>
    <sheetView topLeftCell="A1" workbookViewId="0">
      <selection activeCell="A1" sqref="A1"/>
    </sheetView>
  </sheetViews>
  <sheetFormatPr defaultRowHeight="12.997499999999997" defaultColWidth="9.140625" customHeight="1"/>
  <cols>
    <col min="1" max="1" width="17.00390625" customWidth="1"/>
    <col min="2" max="2" width="20.7109375" customWidth="1"/>
    <col min="3" max="3" width="24.00390625" customWidth="1"/>
    <col min="4" max="4" width="19.7109375" customWidth="1"/>
    <col min="5" max="5" width="9.8515625" customWidth="1"/>
    <col min="6" max="6" width="5.57421875" customWidth="1"/>
    <col min="7" max="7" width="6.57421875" customWidth="1"/>
    <col min="9" max="9" width="2.7109375" customWidth="1"/>
    <col min="10" max="10" width="13.8515625" customWidth="1"/>
    <col min="11" max="11" width="5.57421875" customWidth="1"/>
    <col min="12" max="12" width="2.28125" customWidth="1"/>
    <col min="13" max="13" width="2.00390625" customWidth="1"/>
    <col min="14" max="14" width="15.28125" customWidth="1"/>
    <col min="15" max="15" width="4.00390625" customWidth="1"/>
  </cols>
  <sheetData>
    <row r="1" ht="15" customHeight="1">
      <c r="A1" t="s">
        <v>4586</v>
      </c>
      <c r="B1" t="s">
        <v>4587</v>
      </c>
      <c r="C1" t="s">
        <v>4588</v>
      </c>
      <c r="D1" t="s">
        <v>4589</v>
      </c>
      <c r="E1" t="s">
        <v>4590</v>
      </c>
      <c r="F1" t="s">
        <v>4591</v>
      </c>
      <c r="G1" t="s">
        <v>4592</v>
      </c>
      <c r="H1" t="s">
        <v>4593</v>
      </c>
      <c r="J1" t="s">
        <v>4594</v>
      </c>
      <c r="K1">
        <f>COUNTA(SheetNames)</f>
        <v>1</v>
      </c>
      <c r="N1" t="s">
        <v>4595</v>
      </c>
      <c r="P1">
        <f>IF($K$2&lt;$K$1,"Copy the Formula in Cell "&amp;CELL("address",INDEX(WorksheetNames,$K$2))&amp;" down "&amp;$K$1-$K$2&amp;" Rows","")</f>
      </c>
    </row>
    <row r="2" ht="12.75" customHeight="1">
      <c r="A2" t="s">
        <v>3773</v>
      </c>
      <c r="B2" t="s">
        <v>3772</v>
      </c>
      <c r="C2" t="s">
        <v>3779</v>
      </c>
      <c r="D2" t="s">
        <v>202</v>
      </c>
      <c r="E2" t="s">
        <v>3167</v>
      </c>
      <c r="F2">
        <v>2</v>
      </c>
      <c r="G2" t="s">
        <v>269</v>
      </c>
      <c r="H2" t="s">
        <v>269</v>
      </c>
      <c r="J2" t="s">
        <v>4596</v>
      </c>
      <c r="K2">
        <f>COUNTA(WorksheetNames)</f>
        <v>4</v>
      </c>
      <c r="N2">
        <f t="shared" si="0" ref="N2:N5">IF(ISERROR(INDEX(SheetNames,ROWS($A$2:A2))),"",INDEX(SheetNames,ROWS($A$2:A2)))</f>
      </c>
    </row>
    <row r="3" ht="12.75" customHeight="1">
      <c r="A3" t="s">
        <v>3774</v>
      </c>
      <c r="B3" t="s">
        <v>388</v>
      </c>
      <c r="C3" t="s">
        <v>4597</v>
      </c>
      <c r="D3" t="s">
        <v>3766</v>
      </c>
      <c r="E3" t="s">
        <v>3166</v>
      </c>
      <c r="F3">
        <v>3</v>
      </c>
      <c r="G3" t="s">
        <v>451</v>
      </c>
      <c r="H3" t="s">
        <v>451</v>
      </c>
      <c r="N3">
        <f t="shared" si="0"/>
      </c>
    </row>
    <row r="4" ht="12.75" customHeight="1">
      <c r="A4" t="s">
        <v>3775</v>
      </c>
      <c r="B4" t="s">
        <v>4598</v>
      </c>
      <c r="C4" t="s">
        <v>4599</v>
      </c>
      <c r="D4" t="s">
        <v>3769</v>
      </c>
      <c r="E4" t="s">
        <v>3181</v>
      </c>
      <c r="F4">
        <v>4</v>
      </c>
      <c r="H4" t="s">
        <v>257</v>
      </c>
      <c r="N4">
        <f t="shared" si="0"/>
      </c>
    </row>
    <row r="5" ht="12.75" customHeight="1">
      <c r="A5" t="s">
        <v>4600</v>
      </c>
      <c r="B5" t="s">
        <v>4601</v>
      </c>
      <c r="C5" t="s">
        <v>236</v>
      </c>
      <c r="D5" t="s">
        <v>3767</v>
      </c>
      <c r="E5" t="s">
        <v>3173</v>
      </c>
      <c r="N5">
        <f t="shared" si="0"/>
      </c>
    </row>
    <row r="6" ht="12.75" customHeight="1">
      <c r="A6" t="s">
        <v>3776</v>
      </c>
      <c r="B6" t="s">
        <v>4602</v>
      </c>
      <c r="C6" t="s">
        <v>3786</v>
      </c>
      <c r="D6" t="s">
        <v>3768</v>
      </c>
      <c r="E6" t="s">
        <v>2581</v>
      </c>
    </row>
    <row r="7" ht="12.75" customHeight="1">
      <c r="A7" t="s">
        <v>236</v>
      </c>
      <c r="B7" t="s">
        <v>4603</v>
      </c>
      <c r="C7" t="s">
        <v>4604</v>
      </c>
      <c r="D7" t="s">
        <v>4605</v>
      </c>
      <c r="E7" t="s">
        <v>2595</v>
      </c>
    </row>
    <row r="8" ht="12.75" customHeight="1">
      <c r="B8" t="s">
        <v>4606</v>
      </c>
      <c r="E8" t="s">
        <v>2600</v>
      </c>
    </row>
    <row r="9" ht="12.75" customHeight="1">
      <c r="B9" t="s">
        <v>4607</v>
      </c>
      <c r="E9" t="s">
        <v>2609</v>
      </c>
    </row>
    <row r="10" ht="12.75" customHeight="1">
      <c r="E10" t="s">
        <v>2611</v>
      </c>
    </row>
    <row r="11" ht="12.75" customHeight="1">
      <c r="E11" t="s">
        <v>4608</v>
      </c>
    </row>
    <row r="12" ht="12.75" customHeight="1">
      <c r="E12" t="s">
        <v>4609</v>
      </c>
    </row>
    <row r="13" ht="12.75" customHeight="1">
      <c r="E13" t="s">
        <v>4610</v>
      </c>
    </row>
    <row r="14" ht="12.75" customHeight="1">
      <c r="E14" t="s">
        <v>4611</v>
      </c>
    </row>
    <row r="15" ht="12.75" customHeight="1">
      <c r="E15" t="s">
        <v>4612</v>
      </c>
    </row>
    <row r="16" ht="12.75" customHeight="1">
      <c r="E16" t="s">
        <v>4613</v>
      </c>
    </row>
    <row r="17" ht="12.75" customHeight="1">
      <c r="E17" t="s">
        <v>4614</v>
      </c>
    </row>
    <row r="18" ht="12.75" customHeight="1">
      <c r="E18" t="s">
        <v>4615</v>
      </c>
    </row>
    <row r="19" ht="12.75" customHeight="1">
      <c r="E19" t="s">
        <v>4616</v>
      </c>
    </row>
    <row r="20" ht="12.75" customHeight="1">
      <c r="E20" t="s">
        <v>4617</v>
      </c>
    </row>
    <row r="21" ht="12.75" customHeight="1">
      <c r="E21" t="s">
        <v>4618</v>
      </c>
    </row>
    <row r="22" ht="12.75" customHeight="1">
      <c r="E22" t="s">
        <v>4619</v>
      </c>
    </row>
    <row r="23" ht="12.75" customHeight="1">
      <c r="E23" t="s">
        <v>4620</v>
      </c>
    </row>
    <row r="24" ht="12.75" customHeight="1">
      <c r="E24" t="s">
        <v>4621</v>
      </c>
    </row>
    <row r="25" ht="12.75" customHeight="1">
      <c r="E25" t="s">
        <v>4622</v>
      </c>
    </row>
    <row r="26" ht="12.75" customHeight="1">
      <c r="E26" t="s">
        <v>4623</v>
      </c>
    </row>
    <row r="27" ht="12.75" customHeight="1">
      <c r="E27" t="s">
        <v>4624</v>
      </c>
    </row>
    <row r="28" ht="12.75" customHeight="1">
      <c r="E28" t="s">
        <v>4625</v>
      </c>
    </row>
    <row r="29" ht="12.75" customHeight="1">
      <c r="E29" t="s">
        <v>4626</v>
      </c>
    </row>
    <row r="30" ht="12.75" customHeight="1">
      <c r="E30" t="s">
        <v>501</v>
      </c>
    </row>
    <row r="31" ht="12.75" customHeight="1">
      <c r="E31" t="s">
        <v>4627</v>
      </c>
    </row>
    <row r="32" ht="12.75" customHeight="1">
      <c r="E32" t="s">
        <v>4628</v>
      </c>
    </row>
    <row r="33" ht="12.75" customHeight="1">
      <c r="E33" t="s">
        <v>4629</v>
      </c>
    </row>
    <row r="34" ht="12.75" customHeight="1">
      <c r="E34" t="s">
        <v>4630</v>
      </c>
    </row>
    <row r="35" ht="12.75" customHeight="1">
      <c r="E35" t="s">
        <v>4631</v>
      </c>
    </row>
    <row r="36" ht="12.75" customHeight="1">
      <c r="E36" t="s">
        <v>4632</v>
      </c>
    </row>
    <row r="37" ht="12.75" customHeight="1">
      <c r="E37" t="s">
        <v>4633</v>
      </c>
    </row>
    <row r="38" ht="12.75" customHeight="1">
      <c r="E38" t="s">
        <v>4634</v>
      </c>
    </row>
    <row r="39" ht="12.75" customHeight="1">
      <c r="E39" t="s">
        <v>4635</v>
      </c>
    </row>
    <row r="40" ht="12.75" customHeight="1">
      <c r="E40" t="s">
        <v>4636</v>
      </c>
    </row>
    <row r="41" ht="12.75" customHeight="1">
      <c r="E41" t="s">
        <v>4637</v>
      </c>
    </row>
    <row r="42" ht="12.75" customHeight="1">
      <c r="E42" t="s">
        <v>4638</v>
      </c>
    </row>
    <row r="43" ht="12.75" customHeight="1">
      <c r="E43" t="s">
        <v>4639</v>
      </c>
    </row>
    <row r="44" ht="12.75" customHeight="1">
      <c r="E44" t="s">
        <v>4640</v>
      </c>
    </row>
    <row r="45" ht="12.75" customHeight="1">
      <c r="E45" t="s">
        <v>4641</v>
      </c>
    </row>
    <row r="46" ht="12.75" customHeight="1">
      <c r="E46" t="s">
        <v>4642</v>
      </c>
    </row>
    <row r="47" ht="12.75" customHeight="1">
      <c r="E47" t="s">
        <v>4643</v>
      </c>
    </row>
    <row r="48" ht="12.75" customHeight="1">
      <c r="E48" t="s">
        <v>4644</v>
      </c>
    </row>
    <row r="49" ht="12.75" customHeight="1">
      <c r="E49" t="s">
        <v>4645</v>
      </c>
    </row>
    <row r="50" ht="12.75" customHeight="1">
      <c r="E50" t="s">
        <v>4646</v>
      </c>
    </row>
    <row r="51" ht="12.75" customHeight="1">
      <c r="E51" t="s">
        <v>4647</v>
      </c>
    </row>
    <row r="52" ht="12.75" customHeight="1">
      <c r="E52" t="s">
        <v>4648</v>
      </c>
    </row>
    <row r="53" ht="12.75" customHeight="1">
      <c r="E53" t="s">
        <v>4649</v>
      </c>
    </row>
    <row r="54" ht="12.75" customHeight="1">
      <c r="E54" t="s">
        <v>4650</v>
      </c>
    </row>
    <row r="55" ht="12.75" customHeight="1">
      <c r="E55" t="s">
        <v>4651</v>
      </c>
    </row>
  </sheetData>
  <printOptions horizontalCentered="1"/>
  <pageMargins left="0.5" right="0.5" top="0.75" bottom="0.75" header="0.3" footer="0.3"/>
  <pageSetup paperSize="1" useFirstPageNumber="1" firstPageNumber="1" scale="89" pageOrder="downThenOver" orientation="portrait"/>
  <headerFooter>
    <oddFooter>&amp;L&amp;"Source Sans Pro,Regular"&amp;8© 2020 Fannie Mae. Trademarks of Fannie Mae&amp;"Arial,Regular"&amp;10.&amp;C&amp;"Source Sans Pro,Bold"&amp;8Form 4662&amp;"Arial,Regular"&amp;10 -&amp;"Source Sans Pro,Regular"&amp;8 Febuary 2020&amp;RPage &amp;P of &amp;N</oddFooter>
  </headerFooter>
  <colBreaks count="1" manualBreakCount="1">
    <brk id="6" man="1" max="16384"/>
  </colBreaks>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CB64DB93-A6A5-D1BE-0886-E817CC7FC8F6}" mc:Ignorable="x14ac xr xr2 xr3">
  <sheetPr>
    <tabColor theme="0" tint="-0.5"/>
  </sheetPr>
  <dimension ref="A1:M200"/>
  <sheetViews>
    <sheetView topLeftCell="A1" workbookViewId="0">
      <selection activeCell="A1" sqref="A1"/>
    </sheetView>
  </sheetViews>
  <sheetFormatPr defaultRowHeight="15" defaultColWidth="9.140625" customHeight="1"/>
  <cols>
    <col min="1" max="1" width="19.140625" customWidth="1"/>
    <col min="2" max="2" width="35.28125" customWidth="1"/>
    <col min="3" max="3" width="78.140625" customWidth="1"/>
    <col min="4" max="4" width="23.140625" customWidth="1"/>
    <col min="5" max="5" width="11.57421875" customWidth="1"/>
    <col min="6" max="6" width="4.140625" customWidth="1"/>
    <col min="7" max="7" width="11.8515625" customWidth="1"/>
    <col min="8" max="8" width="88.28125" customWidth="1"/>
    <col min="9" max="9" width="34.57421875" customWidth="1"/>
    <col min="10" max="10" width="33.8515625" customWidth="1"/>
    <col min="12" max="12" width="35.57421875" customWidth="1"/>
    <col min="13" max="13" width="61.8515625" customWidth="1"/>
  </cols>
  <sheetData>
    <row r="2" ht="15.75" customHeight="1">
      <c r="B2" t="s">
        <v>4652</v>
      </c>
      <c r="G2" t="s">
        <v>4653</v>
      </c>
      <c r="L2" t="s">
        <v>4654</v>
      </c>
    </row>
    <row r="3" ht="15" customHeight="1">
      <c r="B3" t="s">
        <v>4655</v>
      </c>
      <c r="C3" t="s">
        <v>4656</v>
      </c>
      <c r="G3" t="s">
        <v>4655</v>
      </c>
      <c r="H3" t="s">
        <v>4657</v>
      </c>
      <c r="L3" t="s">
        <v>4658</v>
      </c>
    </row>
    <row r="4" ht="15" customHeight="1">
      <c r="A4" t="s">
        <v>4659</v>
      </c>
      <c r="B4" t="s">
        <v>4660</v>
      </c>
      <c r="C4" t="s">
        <v>4661</v>
      </c>
      <c r="D4" t="s">
        <v>4662</v>
      </c>
      <c r="E4" t="s">
        <v>4663</v>
      </c>
      <c r="G4" t="s">
        <v>4664</v>
      </c>
      <c r="L4" t="s">
        <v>4665</v>
      </c>
      <c r="M4" t="s">
        <v>4666</v>
      </c>
    </row>
    <row r="5" ht="15" customHeight="1">
      <c r="A5" cm="1" t="e">
        <f t="array" ref="A5">RANGENAMEADDRESS(B5,TRUE)</f>
        <v>#NAME?</v>
      </c>
      <c r="B5" t="s">
        <v>4667</v>
      </c>
      <c r="C5" t="s">
        <v>4668</v>
      </c>
      <c r="D5">
        <v>0</v>
      </c>
      <c r="E5" t="s">
        <v>451</v>
      </c>
      <c r="H5" t="s">
        <v>4669</v>
      </c>
      <c r="I5" t="str">
        <f>IF(LEN('Trade Sheet'!E5)&gt;0,'Trade Sheet'!E5,"")</f>
        <v>XXXX</v>
      </c>
      <c r="J5" t="s">
        <v>4670</v>
      </c>
      <c r="L5" t="s">
        <v>4671</v>
      </c>
      <c r="M5" t="s">
        <v>299</v>
      </c>
    </row>
    <row r="6" ht="15" customHeight="1">
      <c r="A6" cm="1" t="e">
        <f t="array" ref="A6">RANGENAMEADDRESS(B6,TRUE)</f>
        <v>#NAME?</v>
      </c>
      <c r="B6" t="s">
        <v>4672</v>
      </c>
      <c r="C6" t="s">
        <v>4673</v>
      </c>
      <c r="D6" t="s">
        <v>188</v>
      </c>
      <c r="E6" t="s">
        <v>269</v>
      </c>
      <c r="H6" t="s">
        <v>4674</v>
      </c>
      <c r="I6">
        <f>IF(LEN('Trade Sheet'!E6)&gt;0,'Trade Sheet'!E6,"")</f>
      </c>
      <c r="J6" t="s">
        <v>4670</v>
      </c>
      <c r="L6" t="s">
        <v>4675</v>
      </c>
      <c r="M6" t="s">
        <v>188</v>
      </c>
    </row>
    <row r="7" ht="15" customHeight="1">
      <c r="A7" cm="1" t="e">
        <f t="array" ref="A7">RANGENAMEADDRESS(B7,TRUE)</f>
        <v>#NAME?</v>
      </c>
      <c r="B7" t="s">
        <v>4676</v>
      </c>
      <c r="C7" t="s">
        <v>4677</v>
      </c>
      <c r="D7" t="s">
        <v>363</v>
      </c>
      <c r="E7" t="s">
        <v>269</v>
      </c>
      <c r="H7" t="s">
        <v>4678</v>
      </c>
      <c r="I7" t="str">
        <f>City_DataPageTab</f>
        <v>City</v>
      </c>
      <c r="J7" t="s">
        <v>4670</v>
      </c>
      <c r="L7" t="s">
        <v>4674</v>
      </c>
      <c r="M7" t="s">
        <v>188</v>
      </c>
    </row>
    <row r="8" ht="15" customHeight="1">
      <c r="A8" cm="1" t="e">
        <f t="array" ref="A8">RANGENAMEADDRESS(B8,TRUE)</f>
        <v>#NAME?</v>
      </c>
      <c r="B8" t="s">
        <v>4679</v>
      </c>
      <c r="C8" t="s">
        <v>4680</v>
      </c>
      <c r="D8">
        <v>0.05</v>
      </c>
      <c r="E8" t="s">
        <v>269</v>
      </c>
      <c r="H8" t="s">
        <v>4681</v>
      </c>
      <c r="I8" t="str">
        <f>'Trade Sheet'!E8</f>
        <v>County not found</v>
      </c>
      <c r="J8" t="s">
        <v>4670</v>
      </c>
      <c r="L8" t="s">
        <v>4682</v>
      </c>
      <c r="M8" t="s">
        <v>582</v>
      </c>
    </row>
    <row r="9" ht="15" customHeight="1">
      <c r="A9" cm="1" t="e">
        <f t="array" ref="A9">RANGENAMEADDRESS(B9,TRUE)</f>
        <v>#NAME?</v>
      </c>
      <c r="B9" t="s">
        <v>4683</v>
      </c>
      <c r="C9" t="s">
        <v>4684</v>
      </c>
      <c r="D9" t="s">
        <v>188</v>
      </c>
      <c r="E9" t="s">
        <v>269</v>
      </c>
      <c r="H9" t="s">
        <v>4685</v>
      </c>
      <c r="I9" t="str">
        <f>State_DataPageTab</f>
        <v>XX</v>
      </c>
      <c r="J9" t="s">
        <v>4670</v>
      </c>
      <c r="L9" t="s">
        <v>4686</v>
      </c>
      <c r="M9" t="s">
        <v>188</v>
      </c>
    </row>
    <row r="10" ht="15" customHeight="1">
      <c r="A10" cm="1" t="e">
        <f t="array" ref="A10">RANGENAMEADDRESS(B10,TRUE)</f>
        <v>#NAME?</v>
      </c>
      <c r="B10" t="s">
        <v>4683</v>
      </c>
      <c r="C10" t="s">
        <v>4687</v>
      </c>
      <c r="D10" t="s">
        <v>188</v>
      </c>
      <c r="E10" t="s">
        <v>269</v>
      </c>
      <c r="H10" t="s">
        <v>4688</v>
      </c>
      <c r="I10" t="str">
        <f>ZipCode_DataPageTab</f>
        <v>XXXXX</v>
      </c>
      <c r="J10" t="s">
        <v>4670</v>
      </c>
      <c r="L10" t="s">
        <v>4689</v>
      </c>
      <c r="M10" t="s">
        <v>4690</v>
      </c>
    </row>
    <row r="11" ht="15" customHeight="1">
      <c r="A11" cm="1" t="e">
        <f t="array" ref="A11">RANGENAMEADDRESS(B11,TRUE)</f>
        <v>#NAME?</v>
      </c>
      <c r="B11" t="s">
        <v>4691</v>
      </c>
      <c r="C11" t="s">
        <v>4692</v>
      </c>
      <c r="D11" t="s">
        <v>188</v>
      </c>
      <c r="E11" t="s">
        <v>269</v>
      </c>
      <c r="G11" t="s">
        <v>4693</v>
      </c>
      <c r="L11" t="s">
        <v>4694</v>
      </c>
      <c r="M11" t="s">
        <v>4695</v>
      </c>
    </row>
    <row r="12" ht="15" customHeight="1">
      <c r="A12" cm="1" t="e">
        <f t="array" ref="A12">RANGENAMEADDRESS(B12,TRUE)</f>
        <v>#NAME?</v>
      </c>
      <c r="B12" t="s">
        <v>4696</v>
      </c>
      <c r="C12" t="s">
        <v>4697</v>
      </c>
      <c r="D12" t="s">
        <v>188</v>
      </c>
      <c r="E12" t="s">
        <v>269</v>
      </c>
      <c r="H12" t="s">
        <v>4698</v>
      </c>
      <c r="I12">
        <f>_xlfn.IFERROR(IF(LEN('Trade Sheet'!E11)&gt;0,'Trade Sheet'!E11,0),0)</f>
        <v>0</v>
      </c>
      <c r="J12" t="s">
        <v>4699</v>
      </c>
      <c r="L12" t="s">
        <v>4700</v>
      </c>
      <c r="M12" t="s">
        <v>202</v>
      </c>
    </row>
    <row r="13" ht="15" customHeight="1">
      <c r="A13" cm="1" t="e">
        <f t="array" ref="A13">RANGENAMEADDRESS(B13,TRUE)</f>
        <v>#NAME?</v>
      </c>
      <c r="B13" t="s">
        <v>4701</v>
      </c>
      <c r="C13" t="s">
        <v>4702</v>
      </c>
      <c r="D13" t="s">
        <v>4703</v>
      </c>
      <c r="E13" t="s">
        <v>451</v>
      </c>
      <c r="H13" t="s">
        <v>4704</v>
      </c>
      <c r="I13">
        <f>_xlfn.IFERROR(IF(LEN('Trade Sheet'!F11)&gt;0,'Trade Sheet'!F11,0),0)</f>
        <v>0</v>
      </c>
      <c r="J13" t="s">
        <v>4699</v>
      </c>
      <c r="L13" t="s">
        <v>4705</v>
      </c>
      <c r="M13" t="s">
        <v>188</v>
      </c>
    </row>
    <row r="14" ht="15" customHeight="1">
      <c r="A14" cm="1" t="e">
        <f t="array" ref="A14">RANGENAMEADDRESS(B14,TRUE)</f>
        <v>#NAME?</v>
      </c>
      <c r="B14" t="s">
        <v>4706</v>
      </c>
      <c r="C14" t="s">
        <v>4707</v>
      </c>
      <c r="D14">
        <v>0.75</v>
      </c>
      <c r="E14" t="s">
        <v>451</v>
      </c>
      <c r="H14" t="s">
        <v>4708</v>
      </c>
      <c r="I14" t="str">
        <f>IF(LEN('Trade Sheet'!E12)&gt;0,'Trade Sheet'!E12,"")</f>
        <v>Fixed</v>
      </c>
      <c r="J14" t="s">
        <v>4670</v>
      </c>
      <c r="K14" t="s">
        <v>4709</v>
      </c>
      <c r="L14" t="s">
        <v>4710</v>
      </c>
      <c r="M14" t="s">
        <v>4690</v>
      </c>
    </row>
    <row r="15" ht="15" customHeight="1">
      <c r="A15" cm="1" t="e">
        <f t="array" ref="A15">RANGENAMEADDRESS(B15,TRUE)</f>
        <v>#NAME?</v>
      </c>
      <c r="B15" t="s">
        <v>4711</v>
      </c>
      <c r="C15" t="s">
        <v>4712</v>
      </c>
      <c r="D15">
        <v>9.5</v>
      </c>
      <c r="E15" t="s">
        <v>451</v>
      </c>
      <c r="H15" t="s">
        <v>4713</v>
      </c>
      <c r="I15" t="str">
        <f>IF(LEN('Trade Sheet'!E13)&gt;0,'Trade Sheet'!E13,"")</f>
        <v>First</v>
      </c>
      <c r="J15" t="s">
        <v>4670</v>
      </c>
      <c r="K15" t="s">
        <v>4709</v>
      </c>
      <c r="L15" t="s">
        <v>4714</v>
      </c>
      <c r="M15" t="s">
        <v>4690</v>
      </c>
    </row>
    <row r="16" ht="15" customHeight="1">
      <c r="A16" cm="1" t="e">
        <f t="array" ref="A16">RANGENAMEADDRESS(B16,TRUE)</f>
        <v>#NAME?</v>
      </c>
      <c r="B16" t="s">
        <v>4715</v>
      </c>
      <c r="C16" t="s">
        <v>4716</v>
      </c>
      <c r="D16">
        <v>0</v>
      </c>
      <c r="E16" t="s">
        <v>451</v>
      </c>
      <c r="H16" t="s">
        <v>4717</v>
      </c>
      <c r="I16" t="e">
        <f>IF(LEN('Trade Sheet'!E14)&gt;0,'Trade Sheet'!E14,"")</f>
        <v>#NAME?</v>
      </c>
      <c r="J16" t="s">
        <v>4718</v>
      </c>
      <c r="L16" t="s">
        <v>680</v>
      </c>
      <c r="M16" t="s">
        <v>4690</v>
      </c>
    </row>
    <row r="17" ht="15" customHeight="1">
      <c r="A17" cm="1" t="e">
        <f t="array" ref="A17">RANGENAMEADDRESS(B17,TRUE)</f>
        <v>#NAME?</v>
      </c>
      <c r="B17" t="s">
        <v>4719</v>
      </c>
      <c r="C17" t="s">
        <v>4720</v>
      </c>
      <c r="D17" t="s">
        <v>388</v>
      </c>
      <c r="E17" t="s">
        <v>451</v>
      </c>
      <c r="H17" t="s">
        <v>4721</v>
      </c>
      <c r="I17">
        <f>IF(OR(LEN('Trade Sheet'!E15)=0,'Trade Sheet'!E15="XXXX"),"",'Trade Sheet'!E15)</f>
      </c>
      <c r="J17" t="s">
        <v>4670</v>
      </c>
      <c r="K17" t="s">
        <v>4709</v>
      </c>
      <c r="L17" t="s">
        <v>4722</v>
      </c>
      <c r="M17" t="s">
        <v>4690</v>
      </c>
    </row>
    <row r="18" ht="15" customHeight="1">
      <c r="A18" cm="1" t="e">
        <f t="array" ref="A18">RANGENAMEADDRESS(B18,TRUE)</f>
        <v>#NAME?</v>
      </c>
      <c r="B18" t="s">
        <v>4723</v>
      </c>
      <c r="C18" t="s">
        <v>4724</v>
      </c>
      <c r="D18" t="s">
        <v>395</v>
      </c>
      <c r="E18" t="s">
        <v>451</v>
      </c>
      <c r="H18" t="s">
        <v>4725</v>
      </c>
      <c r="I18" t="e">
        <f>IF(LEN('Trade Sheet'!E16)&gt;0,'Trade Sheet'!E16,"")</f>
        <v>#NAME?</v>
      </c>
      <c r="J18" t="s">
        <v>4718</v>
      </c>
      <c r="L18" t="s">
        <v>4726</v>
      </c>
      <c r="M18" t="s">
        <v>4690</v>
      </c>
    </row>
    <row r="19" ht="15" customHeight="1">
      <c r="A19" cm="1" t="e">
        <f t="array" ref="A19">RANGENAMEADDRESS(B19,TRUE)</f>
        <v>#NAME?</v>
      </c>
      <c r="B19" t="s">
        <v>1564</v>
      </c>
      <c r="C19" t="s">
        <v>4727</v>
      </c>
      <c r="D19" t="s">
        <v>393</v>
      </c>
      <c r="E19" t="s">
        <v>451</v>
      </c>
      <c r="H19" t="s">
        <v>4728</v>
      </c>
      <c r="I19" t="e">
        <f>IF(LEN('Trade Sheet'!E17)&gt;0,'Trade Sheet'!E17,"")</f>
        <v>#NAME?</v>
      </c>
      <c r="J19" t="s">
        <v>4718</v>
      </c>
      <c r="L19" t="s">
        <v>4729</v>
      </c>
      <c r="M19" t="s">
        <v>4632</v>
      </c>
    </row>
    <row r="20" ht="15" customHeight="1">
      <c r="A20" cm="1" t="e">
        <f t="array" ref="A20">RANGENAMEADDRESS(B20,TRUE)</f>
        <v>#NAME?</v>
      </c>
      <c r="B20" t="s">
        <v>4730</v>
      </c>
      <c r="C20" t="s">
        <v>4731</v>
      </c>
      <c r="D20" t="s">
        <v>373</v>
      </c>
      <c r="E20" t="s">
        <v>451</v>
      </c>
      <c r="H20" t="s">
        <v>4732</v>
      </c>
      <c r="I20" t="e">
        <f>IF(LEN('Trade Sheet'!F17)&gt;0,'Trade Sheet'!F17,"")</f>
        <v>#NAME?</v>
      </c>
      <c r="J20" t="s">
        <v>4670</v>
      </c>
      <c r="K20" t="s">
        <v>4733</v>
      </c>
      <c r="L20" t="s">
        <v>4734</v>
      </c>
      <c r="M20" t="s">
        <v>4735</v>
      </c>
    </row>
    <row r="21" ht="15" customHeight="1">
      <c r="A21" cm="1" t="e">
        <f t="array" ref="A21">RANGENAMEADDRESS(B21,TRUE)</f>
        <v>#NAME?</v>
      </c>
      <c r="B21" t="s">
        <v>4736</v>
      </c>
      <c r="C21" t="s">
        <v>4737</v>
      </c>
      <c r="D21" t="s">
        <v>380</v>
      </c>
      <c r="E21" t="s">
        <v>451</v>
      </c>
      <c r="H21" t="s">
        <v>4738</v>
      </c>
      <c r="I21" t="str">
        <f>IF(LEN('Trade Sheet'!E18)&gt;0,'Trade Sheet'!E18,"")</f>
        <v>Actual/360</v>
      </c>
      <c r="J21" t="s">
        <v>4670</v>
      </c>
      <c r="K21" t="s">
        <v>4709</v>
      </c>
      <c r="L21" t="str">
        <f>ADDRESS(ROW('SBL Quotes'!B24),COLUMN('SBL Quotes'!B24))</f>
        <v>$B$24</v>
      </c>
      <c r="M21" t="s">
        <v>451</v>
      </c>
    </row>
    <row r="22" ht="15" customHeight="1">
      <c r="A22" cm="1" t="e">
        <f t="array" ref="A22">RANGENAMEADDRESS(B22,TRUE)</f>
        <v>#NAME?</v>
      </c>
      <c r="B22" t="s">
        <v>4740</v>
      </c>
      <c r="C22" t="s">
        <v>4741</v>
      </c>
      <c r="D22" t="s">
        <v>293</v>
      </c>
      <c r="E22" t="s">
        <v>451</v>
      </c>
      <c r="H22" t="s">
        <v>4742</v>
      </c>
      <c r="I22" t="str">
        <f>IF(LEN('Trade Sheet'!E19)&gt;0,TEXT('Trade Sheet'!E19,"0.00%"),"")</f>
        <v>0.00%</v>
      </c>
      <c r="J22" t="s">
        <v>4699</v>
      </c>
      <c r="L22" t="str">
        <f>ADDRESS(ROW('SBL Quotes'!B28),COLUMN('SBL Quotes'!B28))</f>
        <v>$B$28</v>
      </c>
      <c r="M22" t="s">
        <v>451</v>
      </c>
    </row>
    <row r="23" ht="15" customHeight="1">
      <c r="A23" cm="1" t="e">
        <f t="array" ref="A23">RANGENAMEADDRESS(B23,TRUE)</f>
        <v>#NAME?</v>
      </c>
      <c r="B23" t="s">
        <v>4744</v>
      </c>
      <c r="C23" t="s">
        <v>4745</v>
      </c>
      <c r="D23" t="s">
        <v>384</v>
      </c>
      <c r="E23" t="s">
        <v>451</v>
      </c>
      <c r="G23" t="s">
        <v>4746</v>
      </c>
      <c r="L23" t="str">
        <f>ADDRESS(ROW('SBL Quotes'!B29),COLUMN('SBL Quotes'!B29))</f>
        <v>$B$29</v>
      </c>
      <c r="M23" t="s">
        <v>451</v>
      </c>
    </row>
    <row r="24" ht="15" customHeight="1">
      <c r="A24" cm="1" t="e">
        <f t="array" ref="A24">RANGENAMEADDRESS(B24,TRUE)</f>
        <v>#NAME?</v>
      </c>
      <c r="B24" t="s">
        <v>680</v>
      </c>
      <c r="C24" t="s">
        <v>4748</v>
      </c>
      <c r="D24" t="s">
        <v>188</v>
      </c>
      <c r="E24" t="s">
        <v>451</v>
      </c>
      <c r="H24" t="s">
        <v>4749</v>
      </c>
      <c r="I24">
        <f>IF(LEN('Trade Sheet'!K5)&gt;0,'Trade Sheet'!K5,"")</f>
        <v>100</v>
      </c>
      <c r="J24" t="s">
        <v>4699</v>
      </c>
      <c r="L24" t="str">
        <f>ADDRESS(ROW('SBL Quotes'!B31),COLUMN('SBL Quotes'!B31))</f>
        <v>$B$31</v>
      </c>
      <c r="M24" t="s">
        <v>451</v>
      </c>
    </row>
    <row r="25" ht="15" customHeight="1">
      <c r="B25" t="s">
        <v>4751</v>
      </c>
      <c r="C25" t="s">
        <v>4752</v>
      </c>
      <c r="D25" t="s">
        <v>188</v>
      </c>
      <c r="E25" t="s">
        <v>269</v>
      </c>
      <c r="H25" t="s">
        <v>4753</v>
      </c>
      <c r="I25" t="str">
        <f>IF(LEN('Trade Sheet'!K6)&gt;0,'Trade Sheet'!K6,"")</f>
        <v>TBD</v>
      </c>
      <c r="J25" t="s">
        <v>4670</v>
      </c>
      <c r="K25" t="s">
        <v>4754</v>
      </c>
      <c r="L25" t="s">
        <v>4755</v>
      </c>
      <c r="M25" t="s">
        <v>4756</v>
      </c>
    </row>
    <row r="26" ht="15" customHeight="1">
      <c r="A26" cm="1" t="e">
        <f t="array" ref="A26">RANGENAMEADDRESS(B26,TRUE)</f>
        <v>#NAME?</v>
      </c>
      <c r="B26" t="s">
        <v>4675</v>
      </c>
      <c r="C26" t="s">
        <v>4757</v>
      </c>
      <c r="D26" t="s">
        <v>188</v>
      </c>
      <c r="E26" t="s">
        <v>269</v>
      </c>
      <c r="H26" t="s">
        <v>4758</v>
      </c>
      <c r="I26" t="str">
        <f>IF(LEN('Trade Sheet'!K7)&gt;0,TEXT('Trade Sheet'!K7,"0.000%"),"")</f>
        <v>0.000%</v>
      </c>
      <c r="J26" t="s">
        <v>4699</v>
      </c>
      <c r="L26" t="str">
        <f>ADDRESS(ROW('SBL Quotes'!B36),COLUMN('SBL Quotes'!B36))</f>
        <v>$B$36</v>
      </c>
      <c r="M26" t="s">
        <v>451</v>
      </c>
    </row>
    <row r="27" ht="15" customHeight="1">
      <c r="B27" t="s">
        <v>4760</v>
      </c>
      <c r="C27" t="s">
        <v>4761</v>
      </c>
      <c r="D27" t="s">
        <v>188</v>
      </c>
      <c r="E27" t="s">
        <v>269</v>
      </c>
      <c r="G27" t="s">
        <v>4762</v>
      </c>
      <c r="L27" t="str">
        <f>ADDRESS(ROW('SBL Quotes'!B37),COLUMN('SBL Quotes'!B37))</f>
        <v>$B$37</v>
      </c>
      <c r="M27" t="s">
        <v>451</v>
      </c>
    </row>
    <row r="28" ht="15" customHeight="1">
      <c r="A28" cm="1" t="e">
        <f t="array" ref="A28">RANGENAMEADDRESS(B28,TRUE)</f>
        <v>#NAME?</v>
      </c>
      <c r="B28" t="s">
        <v>4674</v>
      </c>
      <c r="C28" t="s">
        <v>4764</v>
      </c>
      <c r="D28" t="s">
        <v>188</v>
      </c>
      <c r="E28" t="s">
        <v>269</v>
      </c>
      <c r="H28" t="s">
        <v>4765</v>
      </c>
      <c r="I28" t="str">
        <f>IF(LEN('Trade Sheet'!E22)&gt;0,'Trade Sheet'!E22,"")</f>
        <v>Standard Multifamily</v>
      </c>
      <c r="J28" t="s">
        <v>4670</v>
      </c>
      <c r="K28" t="s">
        <v>4709</v>
      </c>
      <c r="L28" t="str">
        <f>ADDRESS(ROW('SBL Quotes'!B38),COLUMN('SBL Quotes'!B38))</f>
        <v>$B$38</v>
      </c>
      <c r="M28" t="s">
        <v>388</v>
      </c>
    </row>
    <row r="29" ht="15" customHeight="1">
      <c r="A29" cm="1" t="e">
        <f t="array" ref="A29">RANGENAMEADDRESS(B29,TRUE)</f>
        <v>#NAME?</v>
      </c>
      <c r="B29" t="s">
        <v>4671</v>
      </c>
      <c r="C29" t="s">
        <v>4767</v>
      </c>
      <c r="D29" t="s">
        <v>299</v>
      </c>
      <c r="E29" t="s">
        <v>269</v>
      </c>
      <c r="H29" t="s">
        <v>4768</v>
      </c>
      <c r="I29">
        <f>IF(OR(LEN('Trade Sheet'!E23)=0,'Trade Sheet'!E23="XXXX"),"",'Trade Sheet'!E23)</f>
      </c>
      <c r="J29" t="s">
        <v>4670</v>
      </c>
      <c r="K29" t="s">
        <v>4769</v>
      </c>
      <c r="L29" t="s">
        <v>4679</v>
      </c>
      <c r="M29">
        <v>0.05</v>
      </c>
    </row>
    <row r="30" ht="15" customHeight="1">
      <c r="A30" cm="1" t="e">
        <f t="array" ref="A30">RANGENAMEADDRESS(B30,TRUE)</f>
        <v>#NAME?</v>
      </c>
      <c r="B30" t="s">
        <v>4770</v>
      </c>
      <c r="C30" t="s">
        <v>4771</v>
      </c>
      <c r="D30" t="s">
        <v>3773</v>
      </c>
      <c r="E30" t="s">
        <v>269</v>
      </c>
      <c r="H30" t="s">
        <v>4772</v>
      </c>
      <c r="I30" t="str">
        <f>IF(LEN('Trade Sheet'!E24)&gt;0,'Trade Sheet'!E24,"")</f>
        <v>Refinance</v>
      </c>
      <c r="J30" t="s">
        <v>4670</v>
      </c>
      <c r="K30" t="s">
        <v>4709</v>
      </c>
      <c r="L30" t="s">
        <v>4773</v>
      </c>
      <c r="M30" t="str">
        <f>"='Freddie I&amp;E'!"&amp;ADDRESS(ROW('Freddie I&amp;E'!AD84),COLUMN('Freddie I&amp;E'!AD84))</f>
        <v>='Freddie I&amp;E'!$AD$84</v>
      </c>
    </row>
    <row r="31" ht="15" customHeight="1">
      <c r="A31" cm="1" t="e">
        <f t="array" ref="A31">RANGENAMEADDRESS(B31,TRUE)</f>
        <v>#NAME?</v>
      </c>
      <c r="B31" t="s">
        <v>4775</v>
      </c>
      <c r="C31" t="s">
        <v>4776</v>
      </c>
      <c r="D31">
        <v>1</v>
      </c>
      <c r="E31" t="s">
        <v>269</v>
      </c>
      <c r="H31" t="s">
        <v>4777</v>
      </c>
      <c r="I31">
        <f>IF(LEN('Trade Sheet'!E25)&gt;0,'Trade Sheet'!E25,"")</f>
        <v>85</v>
      </c>
      <c r="J31" t="s">
        <v>4718</v>
      </c>
      <c r="L31" t="s">
        <v>4778</v>
      </c>
      <c r="M31" t="s">
        <v>4779</v>
      </c>
    </row>
    <row r="32" ht="15" customHeight="1">
      <c r="A32" cm="1" t="e">
        <f t="array" ref="A32">RANGENAMEADDRESS(B32,TRUE)</f>
        <v>#NAME?</v>
      </c>
      <c r="B32" t="s">
        <v>4780</v>
      </c>
      <c r="C32" t="s">
        <v>4781</v>
      </c>
      <c r="D32">
        <v>0</v>
      </c>
      <c r="E32" t="s">
        <v>269</v>
      </c>
      <c r="H32" t="s">
        <v>4782</v>
      </c>
      <c r="I32">
        <f>IF(LEN('Trade Sheet'!F25)&gt;0,'Trade Sheet'!F25,"")</f>
        <v>1</v>
      </c>
      <c r="J32" t="s">
        <v>4718</v>
      </c>
      <c r="L32" t="s">
        <v>4730</v>
      </c>
      <c r="M32" t="s">
        <v>373</v>
      </c>
    </row>
    <row r="33" ht="15" customHeight="1">
      <c r="A33" cm="1" t="e">
        <f t="array" ref="A33">RANGENAMEADDRESS(B33,TRUE)</f>
        <v>#NAME?</v>
      </c>
      <c r="B33" t="s">
        <v>4783</v>
      </c>
      <c r="C33" t="s">
        <v>4784</v>
      </c>
      <c r="D33">
        <v>30</v>
      </c>
      <c r="E33" t="s">
        <v>451</v>
      </c>
      <c r="H33" t="s">
        <v>4785</v>
      </c>
      <c r="I33" t="str">
        <f>IF(LEN('Trade Sheet'!E26)&gt;0,TEXT('Trade Sheet'!E26,"0.000%"),"")</f>
        <v>95.050%</v>
      </c>
      <c r="J33" t="s">
        <v>4699</v>
      </c>
      <c r="L33" t="str">
        <f>ADDRESS(ROW('SBL Quotes'!B50),COLUMN('SBL Quotes'!B50))</f>
        <v>$B$50</v>
      </c>
      <c r="M33" t="s">
        <v>451</v>
      </c>
    </row>
    <row r="34" ht="15" customHeight="1">
      <c r="A34" cm="1" t="e">
        <f t="array" ref="A34">RANGENAMEADDRESS(B34,TRUE)</f>
        <v>#NAME?</v>
      </c>
      <c r="B34" t="s">
        <v>4788</v>
      </c>
      <c r="C34" t="s">
        <v>4789</v>
      </c>
      <c r="D34">
        <v>10</v>
      </c>
      <c r="E34" t="s">
        <v>451</v>
      </c>
      <c r="H34" t="s">
        <v>4790</v>
      </c>
      <c r="I34">
        <f>_xlfn.LET(_xlpm.buildYear,'Trade Sheet'!E27,IF(AND(LEN(_xlpm.buildYear)&gt;0,_xlpm.buildYear&lt;&gt;"XXXX"),_xlpm.buildYear,""))</f>
      </c>
      <c r="J34" t="s">
        <v>4718</v>
      </c>
      <c r="L34" t="s">
        <v>4791</v>
      </c>
      <c r="M34" t="s">
        <v>864</v>
      </c>
    </row>
    <row r="35" ht="15" customHeight="1">
      <c r="A35" cm="1" t="e">
        <f t="array" ref="A35">RANGENAMEADDRESS(B35,TRUE)</f>
        <v>#NAME?</v>
      </c>
      <c r="B35" t="s">
        <v>4792</v>
      </c>
      <c r="C35" t="s">
        <v>4793</v>
      </c>
      <c r="D35">
        <v>0</v>
      </c>
      <c r="E35" t="s">
        <v>269</v>
      </c>
      <c r="H35" t="s">
        <v>4794</v>
      </c>
      <c r="I35">
        <f>_xlfn.LET(_xlpm.renovationYear,'Trade Sheet'!F27,IF(AND(LEN(_xlpm.renovationYear)&gt;0,_xlpm.renovationYear&lt;&gt;"XXXX"),_xlpm.renovationYear,""))</f>
      </c>
      <c r="J35" t="s">
        <v>4718</v>
      </c>
      <c r="L35" t="s">
        <v>4795</v>
      </c>
      <c r="M35" t="s">
        <v>864</v>
      </c>
    </row>
    <row r="36" ht="15" customHeight="1">
      <c r="A36" cm="1" t="e">
        <f t="array" ref="A36">RANGENAMEADDRESS(B36,TRUE)</f>
        <v>#NAME?</v>
      </c>
      <c r="B36" t="s">
        <v>4705</v>
      </c>
      <c r="C36" t="s">
        <v>4796</v>
      </c>
      <c r="D36" t="s">
        <v>188</v>
      </c>
      <c r="E36" t="s">
        <v>269</v>
      </c>
      <c r="H36" t="s">
        <v>4797</v>
      </c>
      <c r="I36" t="str">
        <f>IF(LEN('Trade Sheet'!E28)&gt;0,'Trade Sheet'!E28,"")</f>
        <v>None</v>
      </c>
      <c r="J36" t="s">
        <v>4670</v>
      </c>
      <c r="K36" t="s">
        <v>4798</v>
      </c>
      <c r="L36" t="str">
        <f>ADDRESS(ROW('SBL Quotes'!B55),COLUMN('SBL Quotes'!B55))</f>
        <v>$B$55</v>
      </c>
      <c r="M36" t="s">
        <v>209</v>
      </c>
    </row>
    <row r="37" ht="15" customHeight="1">
      <c r="A37" cm="1" t="e">
        <f t="array" ref="A37">RANGENAMEADDRESS(B37,TRUE)</f>
        <v>#NAME?</v>
      </c>
      <c r="B37" t="s">
        <v>4705</v>
      </c>
      <c r="C37" t="s">
        <v>4800</v>
      </c>
      <c r="D37" t="s">
        <v>188</v>
      </c>
      <c r="E37" t="s">
        <v>269</v>
      </c>
      <c r="H37" t="s">
        <v>4801</v>
      </c>
      <c r="I37" t="str">
        <f>IF(LEN('Trade Sheet'!E29)&gt;0,'Trade Sheet'!E29,"")</f>
        <v>N/A</v>
      </c>
      <c r="J37" t="s">
        <v>4670</v>
      </c>
      <c r="K37" t="s">
        <v>4709</v>
      </c>
      <c r="L37" t="str">
        <f>ADDRESS(ROW('SBL Quotes'!B56),COLUMN('SBL Quotes'!B56))</f>
        <v>$B$56</v>
      </c>
      <c r="M37" t="s">
        <v>4803</v>
      </c>
    </row>
    <row r="38" ht="15" customHeight="1">
      <c r="A38" cm="1" t="e">
        <f t="array" ref="A38">RANGENAMEADDRESS(B38,TRUE)</f>
        <v>#NAME?</v>
      </c>
      <c r="B38" t="s">
        <v>4705</v>
      </c>
      <c r="C38" t="s">
        <v>4804</v>
      </c>
      <c r="D38" t="s">
        <v>188</v>
      </c>
      <c r="E38" t="s">
        <v>269</v>
      </c>
      <c r="H38" t="s">
        <v>4805</v>
      </c>
      <c r="I38" t="str">
        <f>IF(LEN('Trade Sheet'!E30)&gt;0,'Trade Sheet'!E30,"")</f>
        <v> </v>
      </c>
      <c r="J38" t="s">
        <v>4670</v>
      </c>
      <c r="L38" t="s">
        <v>4806</v>
      </c>
      <c r="M38" t="s">
        <v>209</v>
      </c>
    </row>
    <row r="39" ht="15" customHeight="1">
      <c r="A39" cm="1" t="e">
        <f t="array" ref="A39">RANGENAMEADDRESS(B39,TRUE)</f>
        <v>#NAME?</v>
      </c>
      <c r="B39" t="s">
        <v>4705</v>
      </c>
      <c r="C39" t="s">
        <v>4807</v>
      </c>
      <c r="D39" t="s">
        <v>188</v>
      </c>
      <c r="E39" t="s">
        <v>269</v>
      </c>
      <c r="H39" t="s">
        <v>4808</v>
      </c>
      <c r="I39" t="str">
        <f>IF(LEN('Trade Sheet'!E31)&gt;0,'Trade Sheet'!E31,"")</f>
        <v>No</v>
      </c>
      <c r="J39" t="s">
        <v>4670</v>
      </c>
      <c r="K39" t="s">
        <v>4798</v>
      </c>
      <c r="L39" t="str">
        <f>ADDRESS(ROW('SBL Quotes'!B64),COLUMN('SBL Quotes'!B64))</f>
        <v>$B$64</v>
      </c>
      <c r="M39" t="s">
        <v>188</v>
      </c>
    </row>
    <row r="40" ht="15" customHeight="1">
      <c r="A40" cm="1" t="e">
        <f t="array" ref="A40">RANGENAMEADDRESS(B40,TRUE)</f>
        <v>#NAME?</v>
      </c>
      <c r="B40" t="s">
        <v>4700</v>
      </c>
      <c r="C40" t="s">
        <v>4810</v>
      </c>
      <c r="D40" t="s">
        <v>202</v>
      </c>
      <c r="E40" t="s">
        <v>269</v>
      </c>
      <c r="H40" t="s">
        <v>4811</v>
      </c>
      <c r="I40" t="str">
        <f>IF(LEN('Trade Sheet'!E32)&gt;0,'Trade Sheet'!E32,"")</f>
        <v>N/A</v>
      </c>
      <c r="J40" t="s">
        <v>4670</v>
      </c>
      <c r="L40" t="str">
        <f>ADDRESS(ROW('SBL Quotes'!E25),COLUMN('SBL Quotes'!E25))&amp;":"&amp;ADDRESS(ROW('SBL Quotes'!P25),COLUMN('SBL Quotes'!P25))</f>
        <v>$E$25:$P$25</v>
      </c>
      <c r="M40" t="s">
        <v>4690</v>
      </c>
    </row>
    <row r="41" ht="15" customHeight="1">
      <c r="A41" cm="1" t="e">
        <f t="array" ref="A41">RANGENAMEADDRESS(B41,TRUE)</f>
        <v>#NAME?</v>
      </c>
      <c r="B41" t="s">
        <v>4700</v>
      </c>
      <c r="C41" t="s">
        <v>4813</v>
      </c>
      <c r="D41" t="s">
        <v>202</v>
      </c>
      <c r="E41" t="s">
        <v>269</v>
      </c>
      <c r="H41" t="s">
        <v>4814</v>
      </c>
      <c r="I41" t="str">
        <f>TEXT('Trade Sheet'!E35,"0.000%")</f>
        <v>0.000%</v>
      </c>
      <c r="J41" t="s">
        <v>4699</v>
      </c>
      <c r="L41" t="str">
        <f>ADDRESS(ROW('SBL Quotes'!E26),COLUMN('SBL Quotes'!E26))</f>
        <v>$E$26</v>
      </c>
      <c r="M41" t="s">
        <v>533</v>
      </c>
    </row>
    <row r="42" ht="15" customHeight="1">
      <c r="A42" cm="1" t="e">
        <f t="array" ref="A42">RANGENAMEADDRESS(B42,TRUE)</f>
        <v>#NAME?</v>
      </c>
      <c r="B42" t="s">
        <v>4816</v>
      </c>
      <c r="C42" t="s">
        <v>4817</v>
      </c>
      <c r="D42" t="s">
        <v>188</v>
      </c>
      <c r="E42" t="s">
        <v>269</v>
      </c>
      <c r="H42" t="s">
        <v>4818</v>
      </c>
      <c r="I42" t="str">
        <f>TEXT('Trade Sheet'!E36,"0.000%")</f>
        <v>0.000%</v>
      </c>
      <c r="J42" t="s">
        <v>4699</v>
      </c>
      <c r="L42" t="str">
        <f>ADDRESS(ROW('SBL Quotes'!E30),COLUMN('SBL Quotes'!E30))&amp;":"&amp;ADDRESS(ROW('SBL Quotes'!P30),COLUMN('SBL Quotes'!P30))</f>
        <v>$E$30:$P$30</v>
      </c>
      <c r="M42">
        <v>0</v>
      </c>
    </row>
    <row r="43" ht="15" customHeight="1">
      <c r="A43" cm="1" t="e">
        <f t="array" ref="A43">RANGENAMEADDRESS(B43,TRUE)</f>
        <v>#NAME?</v>
      </c>
      <c r="B43" t="s">
        <v>4820</v>
      </c>
      <c r="C43" t="s">
        <v>4821</v>
      </c>
      <c r="D43" t="s">
        <v>188</v>
      </c>
      <c r="E43" t="s">
        <v>269</v>
      </c>
      <c r="H43" t="s">
        <v>4822</v>
      </c>
      <c r="I43" t="str">
        <f>TEXT('Trade Sheet'!E37,"0.000%")</f>
        <v>0.000%</v>
      </c>
      <c r="J43" t="s">
        <v>4699</v>
      </c>
      <c r="L43" t="str">
        <f>ADDRESS(ROW('SBL Quotes'!E31),COLUMN('SBL Quotes'!E31))</f>
        <v>$E$31</v>
      </c>
      <c r="M43">
        <v>0.01</v>
      </c>
    </row>
    <row r="44" ht="15" customHeight="1">
      <c r="A44" cm="1" t="e">
        <f t="array" ref="A44">RANGENAMEADDRESS(B44,TRUE)</f>
        <v>#NAME?</v>
      </c>
      <c r="B44" t="s">
        <v>4824</v>
      </c>
      <c r="C44" t="s">
        <v>4825</v>
      </c>
      <c r="D44">
        <v>0</v>
      </c>
      <c r="E44" t="s">
        <v>269</v>
      </c>
      <c r="H44" t="s">
        <v>4826</v>
      </c>
      <c r="I44" t="str">
        <f>TEXT('Trade Sheet'!E38,"0.000%")</f>
        <v>0.000%</v>
      </c>
      <c r="J44" t="s">
        <v>4699</v>
      </c>
      <c r="L44" t="str">
        <f>ADDRESS(ROW('SBL Quotes'!E32),COLUMN('SBL Quotes'!E32))</f>
        <v>$E$32</v>
      </c>
      <c r="M44" t="str">
        <f>"="&amp;SUBSTITUTE(ADDRESS(ROW('SBL Quotes'!E33),COLUMN('SBL Quotes'!E33)),"$","")</f>
        <v>=E33</v>
      </c>
    </row>
    <row r="45" ht="15" customHeight="1">
      <c r="A45" cm="1" t="e">
        <f t="array" ref="A45">RANGENAMEADDRESS(B45,TRUE)</f>
        <v>#NAME?</v>
      </c>
      <c r="B45" t="s">
        <v>4829</v>
      </c>
      <c r="C45" t="s">
        <v>4830</v>
      </c>
      <c r="D45">
        <v>0</v>
      </c>
      <c r="E45" t="s">
        <v>269</v>
      </c>
      <c r="H45" t="s">
        <v>4831</v>
      </c>
      <c r="I45" t="str">
        <f>TEXT('Trade Sheet'!E39,"0.000%")</f>
        <v>0.000%</v>
      </c>
      <c r="J45" t="s">
        <v>4699</v>
      </c>
      <c r="L45" t="str">
        <f>ADDRESS(ROW('SBL Quotes'!E35),COLUMN('SBL Quotes'!E35))</f>
        <v>$E$35</v>
      </c>
      <c r="M45">
        <v>0</v>
      </c>
    </row>
    <row r="46" ht="15" customHeight="1">
      <c r="A46" cm="1" t="e">
        <f t="array" ref="A46">RANGENAMEADDRESS(B46,TRUE)</f>
        <v>#NAME?</v>
      </c>
      <c r="B46" t="s">
        <v>4833</v>
      </c>
      <c r="C46" t="s">
        <v>4834</v>
      </c>
      <c r="D46">
        <v>0</v>
      </c>
      <c r="E46" t="s">
        <v>269</v>
      </c>
      <c r="H46" t="s">
        <v>4835</v>
      </c>
      <c r="I46" t="str">
        <f>TEXT('Trade Sheet'!E40,"0.000%")</f>
        <v>0.000%</v>
      </c>
      <c r="J46" t="s">
        <v>4699</v>
      </c>
      <c r="L46" t="str">
        <f>ADDRESS(ROW('SBL Quotes'!E38),COLUMN('SBL Quotes'!E38))</f>
        <v>$E$38</v>
      </c>
      <c r="M46" t="s">
        <v>629</v>
      </c>
    </row>
    <row r="47" ht="15" customHeight="1">
      <c r="A47" cm="1" t="e">
        <f t="array" ref="A47">RANGENAMEADDRESS(B47,TRUE)</f>
        <v>#NAME?</v>
      </c>
      <c r="B47" t="s">
        <v>4837</v>
      </c>
      <c r="C47" t="s">
        <v>4838</v>
      </c>
      <c r="D47">
        <v>0</v>
      </c>
      <c r="E47" t="s">
        <v>269</v>
      </c>
      <c r="H47" t="s">
        <v>4839</v>
      </c>
      <c r="I47" t="str">
        <f>TEXT('Trade Sheet'!G35,"0.000%")</f>
        <v>0.000%</v>
      </c>
      <c r="J47" t="s">
        <v>4699</v>
      </c>
      <c r="L47" t="str">
        <f>ADDRESS(ROW('SBL Quotes'!E43),COLUMN('SBL Quotes'!E43))</f>
        <v>$E$43</v>
      </c>
      <c r="M47" t="str">
        <f>"="&amp;SUBSTITUTE(ADDRESS(ROW('SBL Quotes'!E44),COLUMN('SBL Quotes'!E44)),"$","")</f>
        <v>=E44</v>
      </c>
    </row>
    <row r="48" ht="15" customHeight="1">
      <c r="A48" cm="1" t="e">
        <f t="array" ref="A48">RANGENAMEADDRESS(B48,TRUE)</f>
        <v>#NAME?</v>
      </c>
      <c r="B48" t="s">
        <v>4842</v>
      </c>
      <c r="C48" t="s">
        <v>4843</v>
      </c>
      <c r="D48">
        <v>0</v>
      </c>
      <c r="E48" t="s">
        <v>269</v>
      </c>
      <c r="H48" t="s">
        <v>4844</v>
      </c>
      <c r="I48" t="str">
        <f>TEXT('Trade Sheet'!G36,"0.000%")</f>
        <v>0.000%</v>
      </c>
      <c r="J48" t="s">
        <v>4699</v>
      </c>
      <c r="L48" t="str">
        <f>ADDRESS(ROW('SBL Quotes'!E46),COLUMN('SBL Quotes'!E46))</f>
        <v>$E$46</v>
      </c>
      <c r="M48">
        <v>30</v>
      </c>
    </row>
    <row r="49" ht="15" customHeight="1">
      <c r="A49" cm="1" t="e">
        <f t="array" ref="A49">RANGENAMEADDRESS(B49,TRUE)</f>
        <v>#NAME?</v>
      </c>
      <c r="B49" t="s">
        <v>4846</v>
      </c>
      <c r="C49" t="s">
        <v>4847</v>
      </c>
      <c r="D49">
        <v>0</v>
      </c>
      <c r="E49" t="s">
        <v>269</v>
      </c>
      <c r="H49" t="s">
        <v>4848</v>
      </c>
      <c r="I49" t="str">
        <f>TEXT('Trade Sheet'!G37,"0.000%")</f>
        <v>0.000%</v>
      </c>
      <c r="J49" t="s">
        <v>4699</v>
      </c>
      <c r="L49" t="str">
        <f>ADDRESS(ROW('SBL Quotes'!E47),COLUMN('SBL Quotes'!E47))</f>
        <v>$E$47</v>
      </c>
      <c r="M49" t="s">
        <v>840</v>
      </c>
    </row>
    <row r="50" ht="15" customHeight="1">
      <c r="A50" cm="1" t="e">
        <f t="array" ref="A50">RANGENAMEADDRESS(B50,TRUE)</f>
        <v>#NAME?</v>
      </c>
      <c r="B50" t="s">
        <v>4850</v>
      </c>
      <c r="C50" t="s">
        <v>4851</v>
      </c>
      <c r="D50">
        <v>0</v>
      </c>
      <c r="E50" t="s">
        <v>269</v>
      </c>
      <c r="H50" t="s">
        <v>4852</v>
      </c>
      <c r="I50" t="str">
        <f>TEXT('Trade Sheet'!G38,"0.000%")</f>
        <v>0.000%</v>
      </c>
      <c r="J50" t="s">
        <v>4699</v>
      </c>
      <c r="L50" t="str">
        <f>ADDRESS(ROW('SBL Quotes'!E66),COLUMN('SBL Quotes'!E66))&amp;":"&amp;ADDRESS(ROW('SBL Quotes'!P66),COLUMN('SBL Quotes'!P66))</f>
        <v>$E$66:$P$66</v>
      </c>
      <c r="M50">
        <v>0</v>
      </c>
    </row>
    <row r="51" ht="15" customHeight="1">
      <c r="A51" cm="1" t="e">
        <f t="array" ref="A51">RANGENAMEADDRESS(B51,TRUE)</f>
        <v>#NAME?</v>
      </c>
      <c r="B51" t="s">
        <v>4854</v>
      </c>
      <c r="C51" t="s">
        <v>4855</v>
      </c>
      <c r="D51">
        <v>0</v>
      </c>
      <c r="E51" t="s">
        <v>269</v>
      </c>
      <c r="H51" t="s">
        <v>4856</v>
      </c>
      <c r="I51" t="str">
        <f>TEXT('Trade Sheet'!G39,"0.000%")</f>
        <v>0.000%</v>
      </c>
      <c r="J51" t="s">
        <v>4699</v>
      </c>
      <c r="L51" t="str">
        <f>ADDRESS(ROW('SBL Quotes'!E102),COLUMN('SBL Quotes'!E102))&amp;":"&amp;ADDRESS(ROW('SBL Quotes'!P102),COLUMN('SBL Quotes'!P102))</f>
        <v>$E$102:$P$102</v>
      </c>
      <c r="M51" t="b">
        <v>1</v>
      </c>
    </row>
    <row r="52" ht="15" customHeight="1">
      <c r="A52" cm="1" t="e">
        <f t="array" ref="A52">RANGENAMEADDRESS(B52,TRUE)</f>
        <v>#NAME?</v>
      </c>
      <c r="B52" t="s">
        <v>4858</v>
      </c>
      <c r="C52" t="s">
        <v>4859</v>
      </c>
      <c r="D52">
        <v>0</v>
      </c>
      <c r="E52" t="s">
        <v>269</v>
      </c>
      <c r="H52" t="s">
        <v>4860</v>
      </c>
      <c r="I52" t="str">
        <f>TEXT('Trade Sheet'!G40,"0.000%")</f>
        <v>100.000%</v>
      </c>
      <c r="J52" t="s">
        <v>4699</v>
      </c>
      <c r="L52" t="str">
        <f>ADDRESS(ROW('SBL Quotes'!F26),COLUMN('SBL Quotes'!F26))</f>
        <v>$F$26</v>
      </c>
      <c r="M52" t="s">
        <v>534</v>
      </c>
    </row>
    <row r="53" ht="15" customHeight="1">
      <c r="A53" cm="1" t="e">
        <f t="array" ref="A53">RANGENAMEADDRESS(B53,TRUE)</f>
        <v>#NAME?</v>
      </c>
      <c r="B53" t="s">
        <v>4863</v>
      </c>
      <c r="C53" t="s">
        <v>4864</v>
      </c>
      <c r="D53">
        <v>0</v>
      </c>
      <c r="E53" t="s">
        <v>269</v>
      </c>
      <c r="G53" t="s">
        <v>4865</v>
      </c>
      <c r="L53" t="str">
        <f>ADDRESS(ROW('SBL Quotes'!F31),COLUMN('SBL Quotes'!F31))</f>
        <v>$F$31</v>
      </c>
      <c r="M53">
        <v>0.01</v>
      </c>
    </row>
    <row r="54" ht="15" customHeight="1">
      <c r="A54" cm="1" t="e">
        <f t="array" ref="A54">RANGENAMEADDRESS(B54,TRUE)</f>
        <v>#NAME?</v>
      </c>
      <c r="B54" t="s">
        <v>4867</v>
      </c>
      <c r="C54" t="s">
        <v>4868</v>
      </c>
      <c r="D54">
        <v>0</v>
      </c>
      <c r="E54" t="s">
        <v>269</v>
      </c>
      <c r="H54" t="s">
        <v>4869</v>
      </c>
      <c r="I54">
        <f>_xlfn.LET(_xlpm.dateValue,'Trade Sheet'!K11,IF(OR(LEN(_xlpm.dateValue)=0,_xlpm.dateValue="XX/XX/XXXX"),"",_xlfn.IFERROR(TEXT(_xlpm.dateValue,"yyyy-mm-dd"),"")))</f>
      </c>
      <c r="J54" t="s">
        <v>4670</v>
      </c>
      <c r="K54" t="s">
        <v>4870</v>
      </c>
      <c r="L54" t="str">
        <f>ADDRESS(ROW('SBL Quotes'!F32),COLUMN('SBL Quotes'!F32))</f>
        <v>$F$32</v>
      </c>
      <c r="M54" t="str">
        <f>"="&amp;SUBSTITUTE(ADDRESS(ROW('SBL Quotes'!F33),COLUMN('SBL Quotes'!F33)),"$","")</f>
        <v>=F33</v>
      </c>
    </row>
    <row r="55" ht="15" customHeight="1">
      <c r="A55" cm="1" t="e">
        <f t="array" ref="A55">RANGENAMEADDRESS(B55,TRUE)</f>
        <v>#NAME?</v>
      </c>
      <c r="B55" t="s">
        <v>4873</v>
      </c>
      <c r="C55" t="s">
        <v>4874</v>
      </c>
      <c r="D55">
        <v>0</v>
      </c>
      <c r="E55" t="s">
        <v>269</v>
      </c>
      <c r="H55" t="s">
        <v>4875</v>
      </c>
      <c r="I55">
        <f>_xlfn.LET(_xlpm.dateValue,'Trade Sheet'!K12,IF(OR(LEN(_xlpm.dateValue)=0,_xlpm.dateValue="XX/XX/XXXX"),"",_xlfn.IFERROR(TEXT(_xlpm.dateValue,"yyyy-mm-dd"),"")))</f>
      </c>
      <c r="J55" t="s">
        <v>4670</v>
      </c>
      <c r="K55" t="s">
        <v>4870</v>
      </c>
      <c r="L55" t="str">
        <f>ADDRESS(ROW('SBL Quotes'!F35),COLUMN('SBL Quotes'!F35))</f>
        <v>$F$35</v>
      </c>
      <c r="M55">
        <v>0</v>
      </c>
    </row>
    <row r="56" ht="15" customHeight="1">
      <c r="A56" cm="1" t="e">
        <f t="array" ref="A56">RANGENAMEADDRESS(B56,TRUE)</f>
        <v>#NAME?</v>
      </c>
      <c r="B56" t="s">
        <v>4877</v>
      </c>
      <c r="C56" t="s">
        <v>4878</v>
      </c>
      <c r="D56" t="s">
        <v>4879</v>
      </c>
      <c r="E56" t="s">
        <v>269</v>
      </c>
      <c r="H56" t="s">
        <v>4880</v>
      </c>
      <c r="I56" t="str">
        <f>IF(LEN('Trade Sheet'!K13)&gt;0,'Trade Sheet'!K13,"")</f>
        <v>Standard</v>
      </c>
      <c r="J56" t="s">
        <v>4670</v>
      </c>
      <c r="K56" t="s">
        <v>4709</v>
      </c>
      <c r="L56" t="str">
        <f>ADDRESS(ROW('SBL Quotes'!F38),COLUMN('SBL Quotes'!F38))</f>
        <v>$F$38</v>
      </c>
      <c r="M56" t="s">
        <v>629</v>
      </c>
    </row>
    <row r="57" ht="15" customHeight="1">
      <c r="A57" cm="1" t="e">
        <f t="array" ref="A57">RANGENAMEADDRESS(B57,TRUE)</f>
        <v>#NAME?</v>
      </c>
      <c r="B57" t="s">
        <v>4882</v>
      </c>
      <c r="C57" t="s">
        <v>4883</v>
      </c>
      <c r="D57" t="s">
        <v>4879</v>
      </c>
      <c r="E57" t="s">
        <v>269</v>
      </c>
      <c r="H57" t="s">
        <v>4884</v>
      </c>
      <c r="I57" t="str">
        <f>IF(LEN('Trade Sheet'!K14)&gt;0,TEXT('Trade Sheet'!K14,"0.000%"),"")</f>
        <v>5.000%</v>
      </c>
      <c r="J57" t="s">
        <v>4699</v>
      </c>
      <c r="L57" t="str">
        <f>ADDRESS(ROW('SBL Quotes'!F43),COLUMN('SBL Quotes'!F43))</f>
        <v>$F$43</v>
      </c>
      <c r="M57" t="str">
        <f>"="&amp;SUBSTITUTE(ADDRESS(ROW('SBL Quotes'!F44),COLUMN('SBL Quotes'!F44)),"$","")</f>
        <v>=F44</v>
      </c>
    </row>
    <row r="58" ht="15" customHeight="1">
      <c r="A58" cm="1" t="e">
        <f t="array" ref="A58">RANGENAMEADDRESS(B58,TRUE)</f>
        <v>#NAME?</v>
      </c>
      <c r="B58" t="s">
        <v>4887</v>
      </c>
      <c r="C58" t="s">
        <v>4888</v>
      </c>
      <c r="D58" t="b">
        <v>0</v>
      </c>
      <c r="E58" t="s">
        <v>269</v>
      </c>
      <c r="H58" t="s">
        <v>4889</v>
      </c>
      <c r="I58" t="str">
        <f>IF(LEN('Trade Sheet'!L14)&gt;0,TEXT('Trade Sheet'!L14,"0.000%"),"")</f>
        <v>5.000%</v>
      </c>
      <c r="J58" t="s">
        <v>4699</v>
      </c>
      <c r="L58" t="str">
        <f>ADDRESS(ROW('SBL Quotes'!F46),COLUMN('SBL Quotes'!F46))</f>
        <v>$F$46</v>
      </c>
      <c r="M58">
        <v>30</v>
      </c>
    </row>
    <row r="59" ht="15" customHeight="1">
      <c r="A59" cm="1" t="e">
        <f t="array" ref="A59">RANGENAMEADDRESS(B59,TRUE)</f>
        <v>#NAME?</v>
      </c>
      <c r="B59" t="s">
        <v>4891</v>
      </c>
      <c r="C59" t="s">
        <v>4892</v>
      </c>
      <c r="D59" t="s">
        <v>4879</v>
      </c>
      <c r="E59" t="s">
        <v>269</v>
      </c>
      <c r="H59" t="s">
        <v>4893</v>
      </c>
      <c r="I59" t="str">
        <f>IF(LEN('Trade Sheet'!K15)&gt;0,'Trade Sheet'!K15,"")</f>
        <v>DUS MBS</v>
      </c>
      <c r="J59" t="s">
        <v>4670</v>
      </c>
      <c r="K59" t="s">
        <v>4709</v>
      </c>
      <c r="L59" t="str">
        <f>ADDRESS(ROW('SBL Quotes'!F47),COLUMN('SBL Quotes'!F47))</f>
        <v>$F$47</v>
      </c>
      <c r="M59" t="s">
        <v>840</v>
      </c>
    </row>
    <row r="60" ht="15" customHeight="1">
      <c r="A60" cm="1" t="e">
        <f t="array" ref="A60">RANGENAMEADDRESS(B60,TRUE)</f>
        <v>#NAME?</v>
      </c>
      <c r="B60" t="s">
        <v>4895</v>
      </c>
      <c r="C60" t="s">
        <v>4896</v>
      </c>
      <c r="D60">
        <v>0</v>
      </c>
      <c r="E60" t="s">
        <v>269</v>
      </c>
      <c r="H60" t="s">
        <v>4897</v>
      </c>
      <c r="I60">
        <f>IF(LEN('Trade Sheet'!K16)&gt;0,'Trade Sheet'!K16,"")</f>
        <v>1</v>
      </c>
      <c r="J60" t="s">
        <v>4718</v>
      </c>
      <c r="K60" t="s">
        <v>4718</v>
      </c>
      <c r="L60" t="str">
        <f>ADDRESS(ROW('SBL Quotes'!G26),COLUMN('SBL Quotes'!G26))</f>
        <v>$G$26</v>
      </c>
      <c r="M60" t="s">
        <v>535</v>
      </c>
    </row>
    <row r="61" ht="15" customHeight="1">
      <c r="A61" cm="1" t="e">
        <f t="array" ref="A61">RANGENAMEADDRESS(B61,TRUE)</f>
        <v>#NAME?</v>
      </c>
      <c r="B61" t="s">
        <v>4899</v>
      </c>
      <c r="C61" t="s">
        <v>4900</v>
      </c>
      <c r="D61">
        <v>0</v>
      </c>
      <c r="E61" t="s">
        <v>269</v>
      </c>
      <c r="H61" t="s">
        <v>4901</v>
      </c>
      <c r="I61" t="str">
        <f>IF(LEN('Trade Sheet'!K17)&gt;0,TEXT('Trade Sheet'!K17,"0.000%"),"")</f>
        <v>100.000%</v>
      </c>
      <c r="J61" t="s">
        <v>4699</v>
      </c>
      <c r="K61" t="s">
        <v>4699</v>
      </c>
      <c r="L61" t="str">
        <f>ADDRESS(ROW('SBL Quotes'!G31),COLUMN('SBL Quotes'!G31))</f>
        <v>$G$31</v>
      </c>
      <c r="M61">
        <v>0.01</v>
      </c>
    </row>
    <row r="62" ht="15" customHeight="1">
      <c r="A62" cm="1" t="e">
        <f t="array" ref="A62">RANGENAMEADDRESS(B62,TRUE)</f>
        <v>#NAME?</v>
      </c>
      <c r="B62" t="s">
        <v>4903</v>
      </c>
      <c r="C62" t="s">
        <v>4904</v>
      </c>
      <c r="D62" t="b">
        <v>0</v>
      </c>
      <c r="E62" t="s">
        <v>269</v>
      </c>
      <c r="H62" t="s">
        <v>4905</v>
      </c>
      <c r="I62" t="str">
        <f>IF(LEN('Trade Sheet'!K18)&gt;0,'Trade Sheet'!K18,"")</f>
        <v>Yes</v>
      </c>
      <c r="J62" t="s">
        <v>4670</v>
      </c>
      <c r="K62" t="s">
        <v>4798</v>
      </c>
      <c r="L62" t="str">
        <f>ADDRESS(ROW('SBL Quotes'!G32),COLUMN('SBL Quotes'!G32))</f>
        <v>$G$32</v>
      </c>
      <c r="M62" t="str">
        <f>"="&amp;SUBSTITUTE(ADDRESS(ROW('SBL Quotes'!G33),COLUMN('SBL Quotes'!G33)),"$","")</f>
        <v>=G33</v>
      </c>
    </row>
    <row r="63" ht="15" customHeight="1">
      <c r="A63" cm="1" t="e">
        <f t="array" ref="A63">RANGENAMEADDRESS(B63,TRUE)</f>
        <v>#NAME?</v>
      </c>
      <c r="B63" t="s">
        <v>4908</v>
      </c>
      <c r="C63" t="s">
        <v>4909</v>
      </c>
      <c r="D63" t="b">
        <v>0</v>
      </c>
      <c r="E63" t="s">
        <v>269</v>
      </c>
      <c r="H63" t="s">
        <v>4910</v>
      </c>
      <c r="I63">
        <f>_xlfn.IFERROR(IF(LEN('Trade Sheet'!K19)&gt;0,'Trade Sheet'!K19,0),0)</f>
        <v>0</v>
      </c>
      <c r="J63" t="s">
        <v>4699</v>
      </c>
      <c r="L63" t="str">
        <f>ADDRESS(ROW('SBL Quotes'!G35),COLUMN('SBL Quotes'!G35))</f>
        <v>$G$35</v>
      </c>
      <c r="M63">
        <v>0</v>
      </c>
    </row>
    <row r="64" ht="15" customHeight="1">
      <c r="A64" cm="1" t="e">
        <f t="array" ref="A64">RANGENAMEADDRESS(B64,TRUE)</f>
        <v>#NAME?</v>
      </c>
      <c r="B64" t="s">
        <v>4912</v>
      </c>
      <c r="C64" t="s">
        <v>4913</v>
      </c>
      <c r="D64" t="b">
        <v>0</v>
      </c>
      <c r="E64" t="s">
        <v>269</v>
      </c>
      <c r="H64" t="s">
        <v>4914</v>
      </c>
      <c r="I64" t="str">
        <f>IF(LEN('Trade Sheet'!L19)&gt;0,TEXT('Trade Sheet'!L19,"0.000%"),"")</f>
        <v>2.000%</v>
      </c>
      <c r="J64" t="s">
        <v>4699</v>
      </c>
      <c r="L64" t="str">
        <f>ADDRESS(ROW('SBL Quotes'!G38),COLUMN('SBL Quotes'!G38))</f>
        <v>$G$38</v>
      </c>
      <c r="M64" t="s">
        <v>629</v>
      </c>
    </row>
    <row r="65" ht="15" customHeight="1">
      <c r="A65" cm="1" t="e">
        <f t="array" ref="A65">RANGENAMEADDRESS(B65,TRUE)</f>
        <v>#NAME?</v>
      </c>
      <c r="B65" t="s">
        <v>4917</v>
      </c>
      <c r="C65" t="s">
        <v>4918</v>
      </c>
      <c r="D65" t="b">
        <v>0</v>
      </c>
      <c r="E65" t="s">
        <v>269</v>
      </c>
      <c r="H65" t="s">
        <v>4919</v>
      </c>
      <c r="I65" t="str">
        <f>IF(LEN('Trade Sheet'!M19)&gt;0,'Trade Sheet'!M19,"")</f>
        <v>Not Received</v>
      </c>
      <c r="J65" t="s">
        <v>4670</v>
      </c>
      <c r="K65" t="s">
        <v>4920</v>
      </c>
      <c r="L65" t="str">
        <f>ADDRESS(ROW('SBL Quotes'!G43),COLUMN('SBL Quotes'!G43))</f>
        <v>$G$43</v>
      </c>
      <c r="M65" t="str">
        <f>"="&amp;SUBSTITUTE(ADDRESS(ROW('SBL Quotes'!G44),COLUMN('SBL Quotes'!G44)),"$","")</f>
        <v>=G44</v>
      </c>
    </row>
    <row r="66" ht="15" customHeight="1">
      <c r="G66" t="s">
        <v>4923</v>
      </c>
      <c r="L66" t="str">
        <f>ADDRESS(ROW('SBL Quotes'!G46),COLUMN('SBL Quotes'!G46))</f>
        <v>$G$46</v>
      </c>
      <c r="M66">
        <v>30</v>
      </c>
    </row>
    <row r="67" ht="15" customHeight="1">
      <c r="H67" t="s">
        <v>4925</v>
      </c>
      <c r="I67" t="e">
        <f>IF(LEN('Trade Sheet'!K22)&gt;0,'Trade Sheet'!K22,"")</f>
        <v>#NAME?</v>
      </c>
      <c r="J67" t="s">
        <v>4670</v>
      </c>
      <c r="K67" t="s">
        <v>4670</v>
      </c>
      <c r="L67" t="str">
        <f>ADDRESS(ROW('SBL Quotes'!G47),COLUMN('SBL Quotes'!G47))</f>
        <v>$G$47</v>
      </c>
      <c r="M67" t="s">
        <v>840</v>
      </c>
    </row>
    <row r="68" ht="15" customHeight="1">
      <c r="H68" t="s">
        <v>4927</v>
      </c>
      <c r="I68" t="str">
        <f>IF(LEN('Trade Sheet'!L22)&gt;0,'Trade Sheet'!L22,"")</f>
        <v>Yes</v>
      </c>
      <c r="J68" t="s">
        <v>4670</v>
      </c>
      <c r="K68" t="s">
        <v>4798</v>
      </c>
      <c r="L68" t="str">
        <f>ADDRESS(ROW('SBL Quotes'!R25),COLUMN('SBL Quotes'!R25))&amp;":"&amp;ADDRESS(ROW('SBL Quotes'!Y25),COLUMN('SBL Quotes'!Y25))</f>
        <v>$R$25:$Y$25</v>
      </c>
      <c r="M68" t="s">
        <v>4690</v>
      </c>
    </row>
    <row r="69" ht="15" customHeight="1">
      <c r="H69" t="s">
        <v>4929</v>
      </c>
      <c r="I69" t="e">
        <f>IF(LEN('Trade Sheet'!K23)&gt;0,TEXT('Trade Sheet'!K23,"0.000%"),"")</f>
        <v>#NAME?</v>
      </c>
      <c r="J69" t="s">
        <v>4699</v>
      </c>
      <c r="L69" t="str">
        <f>ADDRESS(ROW('SBL Quotes'!R26),COLUMN('SBL Quotes'!R26))</f>
        <v>$R$26</v>
      </c>
      <c r="M69" t="s">
        <v>535</v>
      </c>
    </row>
    <row r="70" ht="15" customHeight="1">
      <c r="H70" t="s">
        <v>4931</v>
      </c>
      <c r="I70" t="e">
        <f>IF(LEN('Trade Sheet'!K24)&gt;0,TEXT('Trade Sheet'!K24,"0.000%"),"")</f>
        <v>#NAME?</v>
      </c>
      <c r="J70" t="s">
        <v>4699</v>
      </c>
      <c r="L70" t="str">
        <f>ADDRESS(ROW('SBL Quotes'!R30),COLUMN('SBL Quotes'!R30))&amp;":"&amp;ADDRESS(ROW('SBL Quotes'!Y30),COLUMN('SBL Quotes'!Y30))</f>
        <v>$R$30:$Y$30</v>
      </c>
      <c r="M70">
        <v>0</v>
      </c>
    </row>
    <row r="71" ht="15" customHeight="1">
      <c r="H71" t="s">
        <v>4933</v>
      </c>
      <c r="I71" t="e">
        <f>IF(LEN('Trade Sheet'!K25)&gt;0,TEXT('Trade Sheet'!K25,"0.000%"),"")</f>
        <v>#NAME?</v>
      </c>
      <c r="J71" t="s">
        <v>4699</v>
      </c>
      <c r="L71" t="str">
        <f>ADDRESS(ROW('SBL Quotes'!R31),COLUMN('SBL Quotes'!R31))</f>
        <v>$R$31</v>
      </c>
      <c r="M71">
        <v>0.01</v>
      </c>
    </row>
    <row r="72" ht="15" customHeight="1">
      <c r="H72" t="s">
        <v>4935</v>
      </c>
      <c r="I72">
        <f>IF(LEN('Trade Sheet'!K26)&gt;0,'Trade Sheet'!K26,"")</f>
        <v>-1720952.21</v>
      </c>
      <c r="J72" t="s">
        <v>4699</v>
      </c>
      <c r="L72" t="str">
        <f>ADDRESS(ROW('SBL Quotes'!R32),COLUMN('SBL Quotes'!R32))</f>
        <v>$R$32</v>
      </c>
      <c r="M72">
        <v>0.01</v>
      </c>
    </row>
    <row r="73" ht="15" customHeight="1">
      <c r="H73" t="s">
        <v>4937</v>
      </c>
      <c r="I73" t="e">
        <f>IF(LEN('Trade Sheet'!K27)&gt;0,'Trade Sheet'!K27,"")</f>
        <v>#NAME?</v>
      </c>
      <c r="J73" t="s">
        <v>4699</v>
      </c>
      <c r="L73" t="str">
        <f>ADDRESS(ROW('SBL Quotes'!R38),COLUMN('SBL Quotes'!R38))</f>
        <v>$R$38</v>
      </c>
      <c r="M73" t="s">
        <v>801</v>
      </c>
    </row>
    <row r="74" ht="15" customHeight="1">
      <c r="H74" t="s">
        <v>4939</v>
      </c>
      <c r="I74">
        <f>IF(LEN('Trade Sheet'!K28)&gt;0,'Trade Sheet'!K28,"")</f>
        <v>0</v>
      </c>
      <c r="J74" t="s">
        <v>4699</v>
      </c>
      <c r="L74" t="str">
        <f>ADDRESS(ROW('SBL Quotes'!R39),COLUMN('SBL Quotes'!R39))</f>
        <v>$R$39</v>
      </c>
      <c r="M74">
        <v>2</v>
      </c>
    </row>
    <row r="75" ht="15" customHeight="1">
      <c r="H75" t="s">
        <v>4941</v>
      </c>
      <c r="I75" t="e">
        <f>IF(LEN('Trade Sheet'!L28)&gt;0,'Trade Sheet'!L28,"")</f>
        <v>#NAME?</v>
      </c>
      <c r="J75" t="s">
        <v>4942</v>
      </c>
      <c r="K75" t="s">
        <v>4943</v>
      </c>
      <c r="L75" t="str">
        <f>ADDRESS(ROW('SBL Quotes'!R43),COLUMN('SBL Quotes'!R43))</f>
        <v>$R$43</v>
      </c>
      <c r="M75" t="str">
        <f>"="&amp;SUBSTITUTE(ADDRESS(ROW('SBL Quotes'!R44),COLUMN('SBL Quotes'!R44)),"$","")</f>
        <v>=R44</v>
      </c>
    </row>
    <row r="76" ht="15" customHeight="1">
      <c r="H76" t="s">
        <v>4946</v>
      </c>
      <c r="I76">
        <f>IF(LEN('Trade Sheet'!K29)&gt;0,'Trade Sheet'!K29,"")</f>
        <v>-34419044.199999996</v>
      </c>
      <c r="J76" t="s">
        <v>4699</v>
      </c>
      <c r="L76" t="str">
        <f>ADDRESS(ROW('SBL Quotes'!R46),COLUMN('SBL Quotes'!R46))</f>
        <v>$R$46</v>
      </c>
      <c r="M76">
        <v>30</v>
      </c>
    </row>
    <row r="77" ht="15" customHeight="1">
      <c r="H77" t="s">
        <v>4948</v>
      </c>
      <c r="I77" t="str">
        <f>IF(LEN('Trade Sheet'!K30)&gt;0,TEXT('Trade Sheet'!K30,"0.0%"),"")</f>
        <v>Fee Simple</v>
      </c>
      <c r="J77" t="s">
        <v>4699</v>
      </c>
      <c r="L77" t="str">
        <f>ADDRESS(ROW('SBL Quotes'!R47),COLUMN('SBL Quotes'!R47))</f>
        <v>$R$47</v>
      </c>
      <c r="M77" t="s">
        <v>393</v>
      </c>
    </row>
    <row r="78" ht="15" customHeight="1">
      <c r="H78" t="s">
        <v>4950</v>
      </c>
      <c r="I78" t="str">
        <f>IF(LEN('Trade Sheet'!K31)&gt;0,TEXT('Trade Sheet'!K31,"0.0%"),"")</f>
        <v>75.0%</v>
      </c>
      <c r="J78" t="s">
        <v>4699</v>
      </c>
      <c r="L78" t="str">
        <f>ADDRESS(ROW('SBL Quotes'!R65),COLUMN('SBL Quotes'!R65))&amp;":"&amp;ADDRESS(ROW('SBL Quotes'!Y65),COLUMN('SBL Quotes'!Y65))</f>
        <v>$R$65:$Y$65</v>
      </c>
      <c r="M78">
        <v>0</v>
      </c>
    </row>
    <row r="79" ht="15" customHeight="1">
      <c r="H79" t="s">
        <v>4952</v>
      </c>
      <c r="I79" t="str">
        <f>IF(LEN('Trade Sheet'!K32)&gt;0,TEXT('Trade Sheet'!K32,"0.0%"),"")</f>
        <v>0.0%</v>
      </c>
      <c r="J79" t="s">
        <v>4699</v>
      </c>
      <c r="L79" t="str">
        <f>ADDRESS(ROW('SBL Quotes'!R66),COLUMN('SBL Quotes'!R66))&amp;":"&amp;ADDRESS(ROW('SBL Quotes'!Y66),COLUMN('SBL Quotes'!Y66))</f>
        <v>$R$66:$Y$66</v>
      </c>
      <c r="M79">
        <v>0</v>
      </c>
    </row>
    <row r="80" ht="15" customHeight="1">
      <c r="H80" t="s">
        <v>4954</v>
      </c>
      <c r="I80">
        <f>IF(LEN('Trade Sheet'!K33)&gt;0,'Trade Sheet'!K33,"")</f>
        <v>0</v>
      </c>
      <c r="J80" t="s">
        <v>4699</v>
      </c>
      <c r="L80" t="str">
        <f>ADDRESS(ROW('SBL Quotes'!R102),COLUMN('SBL Quotes'!R102))&amp;":"&amp;ADDRESS(ROW('SBL Quotes'!Y102),COLUMN('SBL Quotes'!Y102))</f>
        <v>$R$102:$Y$102</v>
      </c>
      <c r="M80" t="b">
        <v>1</v>
      </c>
    </row>
    <row r="81" ht="15" customHeight="1">
      <c r="H81" t="s">
        <v>4956</v>
      </c>
      <c r="I81" t="str">
        <f>IF(LEN('Trade Sheet'!K34)&gt;0,TEXT('Trade Sheet'!K34,"0.000%"),"")</f>
        <v>0.000%</v>
      </c>
      <c r="J81" t="s">
        <v>4699</v>
      </c>
      <c r="L81" t="str">
        <f>ADDRESS(ROW('SBL Quotes'!S26),COLUMN('SBL Quotes'!S26))</f>
        <v>$S$26</v>
      </c>
      <c r="M81" t="s">
        <v>558</v>
      </c>
    </row>
    <row r="82" ht="15" customHeight="1">
      <c r="H82" t="s">
        <v>4958</v>
      </c>
      <c r="I82">
        <f>_xlfn.LET(_xlpm.maturityYear,'Trade Sheet'!L34,IF(AND(LEN(_xlpm.maturityYear)&gt;0,_xlpm.maturityYear&lt;&gt;"XXXX"),_xlpm.maturityYear,""))</f>
      </c>
      <c r="J82" t="s">
        <v>4699</v>
      </c>
      <c r="L82" t="str">
        <f>ADDRESS(ROW('SBL Quotes'!S31),COLUMN('SBL Quotes'!S31))</f>
        <v>$S$31</v>
      </c>
      <c r="M82">
        <v>0.01</v>
      </c>
    </row>
    <row r="83" ht="15" customHeight="1">
      <c r="H83" t="s">
        <v>4960</v>
      </c>
      <c r="I83">
        <f>IF(LEN('Trade Sheet'!K35)&gt;0,'Trade Sheet'!K35,"")</f>
        <v>0</v>
      </c>
      <c r="J83" t="s">
        <v>4699</v>
      </c>
      <c r="L83" t="str">
        <f>ADDRESS(ROW('SBL Quotes'!S32),COLUMN('SBL Quotes'!S32))</f>
        <v>$S$32</v>
      </c>
      <c r="M83">
        <v>0.01</v>
      </c>
    </row>
    <row r="84" ht="15" customHeight="1">
      <c r="H84" t="s">
        <v>4962</v>
      </c>
      <c r="I84">
        <f>IF(LEN('Trade Sheet'!L35)&gt;0,'Trade Sheet'!L35,"")</f>
        <v>0</v>
      </c>
      <c r="J84" t="s">
        <v>4699</v>
      </c>
      <c r="L84" t="str">
        <f>ADDRESS(ROW('SBL Quotes'!S38),COLUMN('SBL Quotes'!S38))</f>
        <v>$S$38</v>
      </c>
      <c r="M84" t="s">
        <v>801</v>
      </c>
    </row>
    <row r="85" ht="15" customHeight="1">
      <c r="G85" t="s">
        <v>4964</v>
      </c>
      <c r="L85" t="str">
        <f>ADDRESS(ROW('SBL Quotes'!S39),COLUMN('SBL Quotes'!S39))</f>
        <v>$S$39</v>
      </c>
      <c r="M85">
        <v>2</v>
      </c>
    </row>
    <row r="86" ht="15" customHeight="1">
      <c r="H86" t="s">
        <v>4966</v>
      </c>
      <c r="I86" t="str">
        <f>IF(LEN('Trade Sheet'!E43)&gt;0,'Trade Sheet'!E43,"")</f>
        <v>N/A</v>
      </c>
      <c r="J86" t="s">
        <v>4942</v>
      </c>
      <c r="K86" t="s">
        <v>4967</v>
      </c>
      <c r="L86" t="str">
        <f>ADDRESS(ROW('SBL Quotes'!S43),COLUMN('SBL Quotes'!S43))</f>
        <v>$S$43</v>
      </c>
      <c r="M86" t="str">
        <f>"="&amp;SUBSTITUTE(ADDRESS(ROW('SBL Quotes'!S44),COLUMN('SBL Quotes'!S44)),"$","")</f>
        <v>=S44</v>
      </c>
    </row>
    <row r="87" ht="15" customHeight="1">
      <c r="H87" t="s">
        <v>4970</v>
      </c>
      <c r="I87" t="str">
        <f>IF(LEN('Trade Sheet'!E44)&gt;0,'Trade Sheet'!E44,"")</f>
        <v>No</v>
      </c>
      <c r="J87" t="s">
        <v>4670</v>
      </c>
      <c r="K87" t="s">
        <v>4798</v>
      </c>
      <c r="L87" t="str">
        <f>ADDRESS(ROW('SBL Quotes'!S46),COLUMN('SBL Quotes'!S46))</f>
        <v>$S$46</v>
      </c>
      <c r="M87">
        <v>30</v>
      </c>
    </row>
    <row r="88" ht="15" customHeight="1">
      <c r="H88" t="s">
        <v>4972</v>
      </c>
      <c r="I88" t="str">
        <f>IF(LEN('Trade Sheet'!E45)&gt;0,'Trade Sheet'!E45,"")</f>
        <v>N/A</v>
      </c>
      <c r="J88" t="s">
        <v>4942</v>
      </c>
      <c r="K88" t="s">
        <v>4973</v>
      </c>
      <c r="L88" t="str">
        <f>ADDRESS(ROW('SBL Quotes'!S47),COLUMN('SBL Quotes'!S47))</f>
        <v>$S$47</v>
      </c>
      <c r="M88" t="s">
        <v>393</v>
      </c>
    </row>
    <row r="89" ht="15" customHeight="1">
      <c r="H89" t="s">
        <v>4975</v>
      </c>
      <c r="I89" t="str">
        <f>IF(LEN('Trade Sheet'!E46)&gt;0,'Trade Sheet'!E46,"")</f>
        <v>N/A</v>
      </c>
      <c r="J89" t="s">
        <v>4942</v>
      </c>
      <c r="K89" t="s">
        <v>4973</v>
      </c>
      <c r="L89" t="str">
        <f>ADDRESS(ROW('SBL Quotes'!T26),COLUMN('SBL Quotes'!T26))</f>
        <v>$T$26</v>
      </c>
      <c r="M89" t="s">
        <v>559</v>
      </c>
    </row>
    <row r="90" ht="15" customHeight="1">
      <c r="H90" t="s">
        <v>4977</v>
      </c>
      <c r="I90" t="str">
        <f>IF(LEN('Trade Sheet'!E47)&gt;0,'Trade Sheet'!E47,"")</f>
        <v>N/A</v>
      </c>
      <c r="J90" t="s">
        <v>4942</v>
      </c>
      <c r="K90" t="s">
        <v>4973</v>
      </c>
      <c r="L90" t="str">
        <f>ADDRESS(ROW('SBL Quotes'!T31),COLUMN('SBL Quotes'!T31))</f>
        <v>$T$31</v>
      </c>
      <c r="M90">
        <v>0.01</v>
      </c>
    </row>
    <row r="91" ht="15" customHeight="1">
      <c r="H91" t="s">
        <v>4979</v>
      </c>
      <c r="I91" t="str">
        <f>IF(LEN('Trade Sheet'!K43)&gt;0,TEXT('Trade Sheet'!K43,"0.00%"),"")</f>
        <v>N/A</v>
      </c>
      <c r="J91" t="s">
        <v>4942</v>
      </c>
      <c r="K91" t="s">
        <v>4973</v>
      </c>
      <c r="L91" t="str">
        <f>ADDRESS(ROW('SBL Quotes'!T32),COLUMN('SBL Quotes'!T32))</f>
        <v>$T$32</v>
      </c>
      <c r="M91">
        <v>0.01</v>
      </c>
    </row>
    <row r="92" ht="15" customHeight="1">
      <c r="H92" t="s">
        <v>4981</v>
      </c>
      <c r="I92" t="str">
        <f>IF(LEN('Trade Sheet'!K44)&gt;0,TEXT('Trade Sheet'!K44,"0.00%"),"")</f>
        <v>0.00%</v>
      </c>
      <c r="J92" t="s">
        <v>4942</v>
      </c>
      <c r="L92" t="str">
        <f>ADDRESS(ROW('SBL Quotes'!T38),COLUMN('SBL Quotes'!T38))</f>
        <v>$T$38</v>
      </c>
      <c r="M92" t="s">
        <v>801</v>
      </c>
    </row>
    <row r="93" ht="15" customHeight="1">
      <c r="H93" t="s">
        <v>4983</v>
      </c>
      <c r="I93" t="str">
        <f>IF(LEN('Trade Sheet'!K45)&gt;0,TEXT('Trade Sheet'!K45,"0.00%"),"")</f>
        <v>N/A</v>
      </c>
      <c r="J93" t="s">
        <v>4942</v>
      </c>
      <c r="K93" t="s">
        <v>4973</v>
      </c>
      <c r="L93" t="str">
        <f>ADDRESS(ROW('SBL Quotes'!T39),COLUMN('SBL Quotes'!T39))</f>
        <v>$T$39</v>
      </c>
      <c r="M93">
        <v>2</v>
      </c>
    </row>
    <row r="94" ht="15" customHeight="1">
      <c r="H94" t="s">
        <v>4985</v>
      </c>
      <c r="I94" t="str">
        <f>_xlfn.IFERROR(IF(LEN('Trade Sheet'!K46)&gt;0,'Trade Sheet'!K46,""),0)</f>
        <v>N/A</v>
      </c>
      <c r="J94" t="s">
        <v>4942</v>
      </c>
      <c r="K94" t="s">
        <v>4973</v>
      </c>
      <c r="L94" t="str">
        <f>ADDRESS(ROW('SBL Quotes'!T43),COLUMN('SBL Quotes'!T43))</f>
        <v>$T$43</v>
      </c>
      <c r="M94" t="str">
        <f>"="&amp;SUBSTITUTE(ADDRESS(ROW('SBL Quotes'!T44),COLUMN('SBL Quotes'!T44)),"$","")</f>
        <v>=T44</v>
      </c>
    </row>
    <row r="95" ht="15" customHeight="1">
      <c r="H95" t="s">
        <v>4988</v>
      </c>
      <c r="I95" t="str">
        <f>IF(LEN('Trade Sheet'!K47)&gt;0,TEXT('Trade Sheet'!K47,"0.000%"),"")</f>
        <v>N/A</v>
      </c>
      <c r="J95" t="s">
        <v>4942</v>
      </c>
      <c r="K95" t="s">
        <v>4973</v>
      </c>
      <c r="L95" t="str">
        <f>ADDRESS(ROW('SBL Quotes'!T46),COLUMN('SBL Quotes'!T46))</f>
        <v>$T$46</v>
      </c>
      <c r="M95">
        <v>30</v>
      </c>
    </row>
    <row r="96" ht="15" customHeight="1">
      <c r="G96" t="s">
        <v>4990</v>
      </c>
      <c r="L96" t="str">
        <f>ADDRESS(ROW('SBL Quotes'!T47),COLUMN('SBL Quotes'!T47))</f>
        <v>$T$47</v>
      </c>
      <c r="M96" t="s">
        <v>393</v>
      </c>
    </row>
    <row r="97" ht="15" customHeight="1">
      <c r="H97" t="s">
        <v>4992</v>
      </c>
      <c r="I97" t="str">
        <f>IF(LEN('Trade Sheet'!E49)&gt;0,'Trade Sheet'!E49,"")</f>
        <v>None</v>
      </c>
      <c r="J97" t="s">
        <v>4670</v>
      </c>
      <c r="K97" t="s">
        <v>4670</v>
      </c>
      <c r="L97" t="str">
        <f>ADDRESS(ROW('SBL Quotes'!AA25),COLUMN('SBL Quotes'!AA25))&amp;":"&amp;ADDRESS(ROW('SBL Quotes'!AH25),COLUMN('SBL Quotes'!AH25))</f>
        <v>$AA$25:$AH$25</v>
      </c>
      <c r="M97" t="s">
        <v>4690</v>
      </c>
    </row>
    <row r="98" ht="15" customHeight="1">
      <c r="G98" t="s">
        <v>4994</v>
      </c>
      <c r="L98" t="str">
        <f>ADDRESS(ROW('SBL Quotes'!AA66),COLUMN('SBL Quotes'!AA66))&amp;":"&amp;ADDRESS(ROW('SBL Quotes'!AH66),COLUMN('SBL Quotes'!AH66))</f>
        <v>$AA$66:$AH$66</v>
      </c>
      <c r="M98">
        <v>0</v>
      </c>
    </row>
    <row r="99" ht="15" customHeight="1">
      <c r="H99" t="s">
        <v>4992</v>
      </c>
      <c r="I99" t="str">
        <f>IF(LEN('Trade Sheet'!E55)&gt;0,'Trade Sheet'!E55,"")</f>
        <v>None</v>
      </c>
      <c r="J99" t="s">
        <v>4670</v>
      </c>
      <c r="K99" t="s">
        <v>4670</v>
      </c>
      <c r="L99" t="str">
        <f>ADDRESS(ROW('SBL Quotes'!AA102),COLUMN('SBL Quotes'!AA102))&amp;":"&amp;ADDRESS(ROW('SBL Quotes'!AH102),COLUMN('SBL Quotes'!AH102))</f>
        <v>$AA$102:$AH$102</v>
      </c>
      <c r="M99" t="b">
        <v>1</v>
      </c>
    </row>
    <row r="100" ht="15" customHeight="1">
      <c r="G100" t="s">
        <v>4997</v>
      </c>
      <c r="L100" t="str">
        <f>ADDRESS(ROW('SBL Quotes'!AK11),COLUMN('SBL Quotes'!AK11))</f>
        <v>$AK$11</v>
      </c>
      <c r="M100" t="s">
        <v>209</v>
      </c>
    </row>
    <row r="101" ht="15" customHeight="1">
      <c r="H101" t="s">
        <v>4999</v>
      </c>
      <c r="I101">
        <f>IF(LEN('Trade Sheet'!E61)&gt;0,'Trade Sheet'!E61,"")</f>
      </c>
      <c r="J101" t="s">
        <v>4670</v>
      </c>
      <c r="K101" t="s">
        <v>4670</v>
      </c>
      <c r="L101" t="str">
        <f>ADDRESS(ROW('SBL Quotes'!AK14),COLUMN('SBL Quotes'!AK14))</f>
        <v>$AK$14</v>
      </c>
      <c r="M101" t="s">
        <v>209</v>
      </c>
    </row>
    <row r="102" ht="15" customHeight="1">
      <c r="H102" t="s">
        <v>5001</v>
      </c>
      <c r="I102" t="str">
        <f>IF(LEN('Trade Sheet'!E62)&gt;0,'Trade Sheet'!E62,"")</f>
        <v>No</v>
      </c>
      <c r="J102" t="s">
        <v>4670</v>
      </c>
      <c r="K102" t="s">
        <v>4798</v>
      </c>
      <c r="L102" t="str">
        <f>ADDRESS(ROW('SBL Quotes'!AK16),COLUMN('SBL Quotes'!AK16))</f>
        <v>$AK$16</v>
      </c>
      <c r="M102" t="s">
        <v>209</v>
      </c>
    </row>
    <row r="103" ht="15" customHeight="1">
      <c r="H103" t="s">
        <v>5003</v>
      </c>
      <c r="I103" t="str">
        <f>IF(LEN('Trade Sheet'!G62)&gt;0,'Trade Sheet'!G62,"")</f>
        <v>No</v>
      </c>
      <c r="J103" t="s">
        <v>4670</v>
      </c>
      <c r="K103" t="s">
        <v>4798</v>
      </c>
      <c r="L103" t="str">
        <f>ADDRESS(ROW('SBL Quotes'!AK17),COLUMN('SBL Quotes'!AK17))</f>
        <v>$AK$17</v>
      </c>
      <c r="M103">
        <v>0</v>
      </c>
    </row>
    <row r="104" ht="15" customHeight="1">
      <c r="H104" t="s">
        <v>5005</v>
      </c>
      <c r="I104">
        <f>IF(LEN('Trade Sheet'!E64)&gt;0,'Trade Sheet'!E64,"")</f>
      </c>
      <c r="J104" t="s">
        <v>4670</v>
      </c>
      <c r="K104" t="s">
        <v>4670</v>
      </c>
      <c r="L104" t="str">
        <f>ADDRESS(ROW('SBL Quotes'!AK20),COLUMN('SBL Quotes'!AK20))</f>
        <v>$AK$20</v>
      </c>
      <c r="M104" t="s">
        <v>209</v>
      </c>
    </row>
    <row r="105" ht="15" customHeight="1">
      <c r="H105" t="s">
        <v>5007</v>
      </c>
      <c r="I105">
        <f>IF(LEN('Trade Sheet'!K61)&gt;0,'Trade Sheet'!K61,"")</f>
      </c>
      <c r="J105" t="s">
        <v>4670</v>
      </c>
      <c r="K105" t="s">
        <v>4670</v>
      </c>
      <c r="L105" t="str">
        <f>ADDRESS(ROW('SBL Quotes'!AK21),COLUMN('SBL Quotes'!AK21))</f>
        <v>$AK$21</v>
      </c>
      <c r="M105" t="s">
        <v>5009</v>
      </c>
    </row>
    <row r="106" ht="15" customHeight="1">
      <c r="H106" t="s">
        <v>5010</v>
      </c>
      <c r="I106">
        <f>IF(LEN('Trade Sheet'!K64)&gt;0,'Trade Sheet'!K64,"")</f>
      </c>
      <c r="J106" t="s">
        <v>4670</v>
      </c>
      <c r="K106" t="s">
        <v>4670</v>
      </c>
      <c r="L106" t="str">
        <f>ADDRESS(ROW('SBL Quotes'!AK23),COLUMN('SBL Quotes'!AK23))</f>
        <v>$AK$23</v>
      </c>
      <c r="M106">
        <v>0</v>
      </c>
    </row>
    <row r="107" ht="15" customHeight="1">
      <c r="G107" t="s">
        <v>5012</v>
      </c>
      <c r="L107" t="str">
        <f>ADDRESS(ROW('SBL Quotes'!AK24),COLUMN('SBL Quotes'!AK24))</f>
        <v>$AK$24</v>
      </c>
      <c r="M107">
        <v>0</v>
      </c>
    </row>
    <row r="108" ht="15" customHeight="1">
      <c r="H108" t="s">
        <v>5014</v>
      </c>
      <c r="I108">
        <f>IF(LEN('Trade Sheet'!E67)&gt;0,'Trade Sheet'!E67,"")</f>
      </c>
      <c r="J108" t="s">
        <v>4699</v>
      </c>
      <c r="L108" t="str">
        <f>ADDRESS(ROW('SBL Quotes'!AK41),COLUMN('SBL Quotes'!AK41))</f>
        <v>$AK$41</v>
      </c>
      <c r="M108" t="s">
        <v>656</v>
      </c>
    </row>
    <row r="109" ht="15" customHeight="1">
      <c r="H109" t="s">
        <v>5016</v>
      </c>
      <c r="I109">
        <f>IF(LEN('Trade Sheet'!K67)&gt;0,'Trade Sheet'!K67,"")</f>
      </c>
      <c r="J109" t="s">
        <v>4699</v>
      </c>
      <c r="L109" t="str">
        <f>ADDRESS(ROW('SBL Quotes'!AK42),COLUMN('SBL Quotes'!AK42))</f>
        <v>$AK$42</v>
      </c>
      <c r="M109" t="s">
        <v>656</v>
      </c>
    </row>
    <row r="110" ht="15" customHeight="1">
      <c r="H110" t="s">
        <v>5018</v>
      </c>
      <c r="I110">
        <f>IF(LEN('Trade Sheet'!E69)&gt;0,'Trade Sheet'!E69,"")</f>
      </c>
      <c r="J110" t="s">
        <v>4699</v>
      </c>
      <c r="L110" t="str">
        <f>ADDRESS(ROW('SBL Quotes'!AK43),COLUMN('SBL Quotes'!AK43))</f>
        <v>$AK$43</v>
      </c>
      <c r="M110">
        <v>0</v>
      </c>
    </row>
    <row r="111" ht="15" customHeight="1">
      <c r="H111" t="s">
        <v>5020</v>
      </c>
      <c r="I111">
        <f>IF(LEN('Trade Sheet'!K69)&gt;0,'Trade Sheet'!K69,"")</f>
      </c>
      <c r="J111" t="s">
        <v>4699</v>
      </c>
      <c r="L111" t="str">
        <f>ADDRESS(ROW('SBL Quotes'!AK44),COLUMN('SBL Quotes'!AK44))</f>
        <v>$AK$44</v>
      </c>
      <c r="M111" t="s">
        <v>209</v>
      </c>
    </row>
    <row r="112" ht="15" customHeight="1">
      <c r="H112" t="s">
        <v>5022</v>
      </c>
      <c r="I112">
        <f>IF(LEN('Trade Sheet'!E71)&gt;0,'Trade Sheet'!E71,"")</f>
      </c>
      <c r="J112" t="s">
        <v>4699</v>
      </c>
      <c r="L112" t="str">
        <f>ADDRESS(ROW('SBL Quotes'!AK45),COLUMN('SBL Quotes'!AK45))</f>
        <v>$AK$45</v>
      </c>
      <c r="M112" t="s">
        <v>209</v>
      </c>
    </row>
    <row r="113" ht="15" customHeight="1">
      <c r="H113" t="s">
        <v>5024</v>
      </c>
      <c r="I113">
        <f>IF(LEN('Trade Sheet'!K71)&gt;0,'Trade Sheet'!K71,"")</f>
      </c>
      <c r="J113" t="s">
        <v>4699</v>
      </c>
      <c r="L113" t="str">
        <f>ADDRESS(ROW('SBL Quotes'!AK46),COLUMN('SBL Quotes'!AK46))</f>
        <v>$AK$46</v>
      </c>
      <c r="M113" t="s">
        <v>209</v>
      </c>
    </row>
    <row r="114" ht="15" customHeight="1">
      <c r="H114" t="s">
        <v>5026</v>
      </c>
      <c r="I114">
        <f>IF(LEN('Trade Sheet'!E73)&gt;0,'Trade Sheet'!E73,"")</f>
      </c>
      <c r="J114" t="s">
        <v>4699</v>
      </c>
      <c r="L114" t="str">
        <f>ADDRESS(ROW('SBL Quotes'!AK47),COLUMN('SBL Quotes'!AK47))</f>
        <v>$AK$47</v>
      </c>
      <c r="M114">
        <v>0</v>
      </c>
    </row>
    <row r="115" ht="15" customHeight="1">
      <c r="H115" t="s">
        <v>5028</v>
      </c>
      <c r="I115">
        <f>IF(LEN('Trade Sheet'!K73)&gt;0,'Trade Sheet'!K73,"")</f>
      </c>
      <c r="J115" t="s">
        <v>4699</v>
      </c>
      <c r="L115" t="str">
        <f>ADDRESS(ROW('SBL Quotes'!AK48),COLUMN('SBL Quotes'!AK48))</f>
        <v>$AK$48</v>
      </c>
      <c r="M115">
        <v>0</v>
      </c>
    </row>
    <row r="116" ht="15" customHeight="1">
      <c r="H116" t="s">
        <v>5030</v>
      </c>
      <c r="I116">
        <f>IF(LEN('Trade Sheet'!E75)&gt;0,'Trade Sheet'!E75,"")</f>
      </c>
      <c r="J116" t="s">
        <v>4699</v>
      </c>
      <c r="L116" t="str">
        <f>ADDRESS(ROW('SBL Quotes'!AK49),COLUMN('SBL Quotes'!AK49))</f>
        <v>$AK$49</v>
      </c>
      <c r="M116">
        <v>1</v>
      </c>
    </row>
    <row r="117" ht="15" customHeight="1">
      <c r="H117" t="s">
        <v>5032</v>
      </c>
      <c r="I117">
        <f>IF(LEN('Trade Sheet'!K75)&gt;0,'Trade Sheet'!K75,"")</f>
      </c>
      <c r="J117" t="s">
        <v>4699</v>
      </c>
      <c r="L117" t="str">
        <f>ADDRESS(ROW('SBL Quotes'!AK50),COLUMN('SBL Quotes'!AK50))</f>
        <v>$AK$50</v>
      </c>
      <c r="M117" t="s">
        <v>209</v>
      </c>
    </row>
    <row r="118" ht="15" customHeight="1">
      <c r="H118" t="s">
        <v>5034</v>
      </c>
      <c r="I118">
        <f>IF(LEN('Trade Sheet'!M75)&gt;0,'Trade Sheet'!M75,"")</f>
      </c>
      <c r="J118" t="s">
        <v>4699</v>
      </c>
      <c r="L118" t="str">
        <f>ADDRESS(ROW('SBL Quotes'!AK51),COLUMN('SBL Quotes'!AK51))</f>
        <v>$AK$51</v>
      </c>
      <c r="M118" t="s">
        <v>209</v>
      </c>
    </row>
    <row r="119" ht="15" customHeight="1">
      <c r="G119" t="s">
        <v>5036</v>
      </c>
      <c r="L119" t="str">
        <f>ADDRESS(ROW('SBL Quotes'!AJ55),COLUMN('SBL Quotes'!AJ55))&amp;":"&amp;ADDRESS(ROW('SBL Quotes'!AN56),COLUMN('SBL Quotes'!AN56))</f>
        <v>$AJ$55:$AN$56</v>
      </c>
      <c r="M119" t="s">
        <v>4690</v>
      </c>
    </row>
    <row r="120" ht="15" customHeight="1">
      <c r="H120" t="s">
        <v>5038</v>
      </c>
      <c r="I120" t="str">
        <f>IF(LEN('Trade Sheet'!B95)&gt;0,'Trade Sheet'!B95,"")</f>
        <v>No</v>
      </c>
      <c r="J120" t="s">
        <v>4670</v>
      </c>
      <c r="K120" t="s">
        <v>4798</v>
      </c>
      <c r="L120" t="str">
        <f>ADDRESS(ROW('SBL Quotes'!AJ58),COLUMN('SBL Quotes'!AJ58))&amp;":"&amp;ADDRESS(ROW('SBL Quotes'!AN59),COLUMN('SBL Quotes'!AN59))</f>
        <v>$AJ$58:$AN$59</v>
      </c>
      <c r="M120" t="s">
        <v>4690</v>
      </c>
    </row>
    <row r="121" ht="15" customHeight="1">
      <c r="H121" t="s">
        <v>5040</v>
      </c>
      <c r="I121" t="str">
        <f>IF(LEN('Trade Sheet'!B97)&gt;0,'Trade Sheet'!B97,"")</f>
        <v>No</v>
      </c>
      <c r="J121" t="s">
        <v>4670</v>
      </c>
      <c r="K121" t="s">
        <v>4798</v>
      </c>
      <c r="L121" t="str">
        <f>ADDRESS(ROW('SBL Quotes'!AJ62),COLUMN('SBL Quotes'!AJ62))&amp;":"&amp;ADDRESS(ROW('SBL Quotes'!AN63),COLUMN('SBL Quotes'!AN63))</f>
        <v>$AJ$62:$AN$63</v>
      </c>
      <c r="M121" t="s">
        <v>4690</v>
      </c>
    </row>
    <row r="122" ht="15" customHeight="1">
      <c r="H122" t="s">
        <v>5042</v>
      </c>
      <c r="I122" t="str">
        <f>IF(LEN('Trade Sheet'!B99)&gt;0,'Trade Sheet'!B99,"")</f>
        <v>No</v>
      </c>
      <c r="J122" t="s">
        <v>4670</v>
      </c>
      <c r="K122" t="s">
        <v>4798</v>
      </c>
      <c r="L122" t="str">
        <f>ADDRESS(ROW('SBL Quotes'!AJ66),COLUMN('SBL Quotes'!AJ66))&amp;":"&amp;ADDRESS(ROW('SBL Quotes'!AN67),COLUMN('SBL Quotes'!AN67))</f>
        <v>$AJ$66:$AN$67</v>
      </c>
      <c r="M122" t="s">
        <v>4690</v>
      </c>
    </row>
    <row r="123" ht="15" customHeight="1">
      <c r="H123" t="s">
        <v>5044</v>
      </c>
      <c r="I123" t="str">
        <f>IF(LEN('Trade Sheet'!B111)&gt;0,'Trade Sheet'!B111,"")</f>
        <v>No</v>
      </c>
      <c r="J123" t="s">
        <v>4670</v>
      </c>
      <c r="K123" t="s">
        <v>4798</v>
      </c>
      <c r="L123" t="str">
        <f>ADDRESS(ROW('SBL Quotes'!AK70),COLUMN('SBL Quotes'!AK70))</f>
        <v>$AK$70</v>
      </c>
      <c r="M123" t="s">
        <v>209</v>
      </c>
    </row>
    <row r="124" ht="15" customHeight="1">
      <c r="H124" t="s">
        <v>5046</v>
      </c>
      <c r="I124" t="str">
        <f>IF(LEN('Trade Sheet'!B114)&gt;0,'Trade Sheet'!B114,"")</f>
        <v>No</v>
      </c>
      <c r="J124" t="s">
        <v>4670</v>
      </c>
      <c r="K124" t="s">
        <v>4798</v>
      </c>
      <c r="L124" t="str">
        <f>ADDRESS(ROW('SBL Quotes'!AK71),COLUMN('SBL Quotes'!AK71))</f>
        <v>$AK$71</v>
      </c>
      <c r="M124" t="s">
        <v>209</v>
      </c>
    </row>
    <row r="125" ht="15" customHeight="1">
      <c r="H125" t="s">
        <v>5048</v>
      </c>
      <c r="I125" t="str">
        <f>IF(LEN('Trade Sheet'!B116)&gt;0,'Trade Sheet'!B116,"")</f>
        <v>No</v>
      </c>
      <c r="J125" t="s">
        <v>4670</v>
      </c>
      <c r="K125" t="s">
        <v>4798</v>
      </c>
      <c r="L125" t="str">
        <f>ADDRESS(ROW('SBL Quotes'!AK72),COLUMN('SBL Quotes'!AK72))</f>
        <v>$AK$72</v>
      </c>
      <c r="M125" t="s">
        <v>209</v>
      </c>
    </row>
    <row r="126" ht="15" customHeight="1">
      <c r="G126" t="s">
        <v>5050</v>
      </c>
      <c r="L126" t="str">
        <f>ADDRESS(ROW('SBL Quotes'!AK73),COLUMN('SBL Quotes'!AK73))</f>
        <v>$AK$73</v>
      </c>
      <c r="M126" t="s">
        <v>209</v>
      </c>
    </row>
    <row r="127" ht="15" customHeight="1">
      <c r="H127" t="s">
        <v>5052</v>
      </c>
      <c r="I127" t="str">
        <f>IF(LEN('Trade Sheet'!B120)&gt;0,'Trade Sheet'!B120,"")</f>
        <v>No</v>
      </c>
      <c r="J127" t="s">
        <v>4670</v>
      </c>
      <c r="K127" t="s">
        <v>4798</v>
      </c>
      <c r="L127" t="str">
        <f>ADDRESS(ROW('SBL Quotes'!AK74),COLUMN('SBL Quotes'!AK74))</f>
        <v>$AK$74</v>
      </c>
      <c r="M127" t="s">
        <v>209</v>
      </c>
    </row>
    <row r="128" ht="15" customHeight="1">
      <c r="H128" t="s">
        <v>5054</v>
      </c>
      <c r="I128" t="str">
        <f>IF(LEN('Trade Sheet'!B122)&gt;0,'Trade Sheet'!B122,"")</f>
        <v>No</v>
      </c>
      <c r="J128" t="s">
        <v>4670</v>
      </c>
      <c r="K128" t="s">
        <v>4798</v>
      </c>
      <c r="L128" t="str">
        <f>ADDRESS(ROW('SBL Quotes'!AK75),COLUMN('SBL Quotes'!AK75))</f>
        <v>$AK$75</v>
      </c>
      <c r="M128" t="s">
        <v>209</v>
      </c>
    </row>
    <row r="129" ht="15" customHeight="1">
      <c r="G129" t="s">
        <v>5056</v>
      </c>
      <c r="L129" t="str">
        <f>ADDRESS(ROW('SBL Quotes'!AK76),COLUMN('SBL Quotes'!AK76))</f>
        <v>$AK$76</v>
      </c>
      <c r="M129" t="s">
        <v>209</v>
      </c>
    </row>
    <row r="130" ht="15" customHeight="1">
      <c r="H130" t="s">
        <v>5058</v>
      </c>
      <c r="I130" t="str">
        <f>IF(LEN('Trade Sheet'!B126)&gt;0,'Trade Sheet'!B126,"")</f>
        <v>No</v>
      </c>
      <c r="J130" t="s">
        <v>4670</v>
      </c>
      <c r="K130" t="s">
        <v>4798</v>
      </c>
      <c r="L130" t="str">
        <f>ADDRESS(ROW('SBL Quotes'!AK78),COLUMN('SBL Quotes'!AK78))</f>
        <v>$AK$78</v>
      </c>
      <c r="M130" t="str">
        <f>"=IF("&amp;SUBSTITUTE(ADDRESS(ROW('SBL Quotes'!AK77),COLUMN('SBL Quotes'!AK77)),"$","")&amp;"="&amp;CHAR(34)&amp;"No"&amp;CHAR(34)&amp;","&amp;CHAR(34)&amp;"No"&amp;CHAR(34)&amp;","&amp;CHAR(34)&amp;"Select"&amp;CHAR(34)&amp;")"</f>
        <v>=IF(AK77="No","No","Select")</v>
      </c>
    </row>
    <row r="131" ht="15" customHeight="1">
      <c r="H131" t="s">
        <v>5061</v>
      </c>
      <c r="I131" t="str">
        <f>IF(LEN('Trade Sheet'!B128)&gt;0,'Trade Sheet'!B128,"")</f>
        <v>No</v>
      </c>
      <c r="J131" t="s">
        <v>4670</v>
      </c>
      <c r="K131" t="s">
        <v>4798</v>
      </c>
      <c r="L131" t="str">
        <f>ADDRESS(ROW('SBL Quotes'!AK79),COLUMN('SBL Quotes'!AK79))</f>
        <v>$AK$79</v>
      </c>
      <c r="M131" t="str">
        <f>"=IF("&amp;SUBSTITUTE(ADDRESS(ROW('SBL Quotes'!AK77),COLUMN('SBL Quotes'!AK77)),"$","")&amp;"="&amp;CHAR(34)&amp;"No"&amp;CHAR(34)&amp;","&amp;CHAR(34)&amp;"No"&amp;CHAR(34)&amp;","&amp;CHAR(34)&amp;"Select"&amp;CHAR(34)&amp;")"</f>
        <v>=IF(AK77="No","No","Select")</v>
      </c>
    </row>
    <row r="132" ht="15" customHeight="1">
      <c r="H132" t="s">
        <v>5063</v>
      </c>
      <c r="I132" t="str">
        <f>IF(LEN('Trade Sheet'!B131)&gt;0,'Trade Sheet'!B131,"")</f>
        <v>No</v>
      </c>
      <c r="J132" t="s">
        <v>4670</v>
      </c>
      <c r="K132" t="s">
        <v>4798</v>
      </c>
      <c r="L132" t="str">
        <f>ADDRESS(ROW('SBL Quotes'!AK80),COLUMN('SBL Quotes'!AK80))</f>
        <v>$AK$80</v>
      </c>
      <c r="M132" t="s">
        <v>209</v>
      </c>
    </row>
    <row r="133" ht="15" customHeight="1">
      <c r="H133" t="s">
        <v>5065</v>
      </c>
      <c r="I133" t="str">
        <f>IF(LEN('Trade Sheet'!B133)&gt;0,'Trade Sheet'!B133,"")</f>
        <v>No</v>
      </c>
      <c r="J133" t="s">
        <v>4670</v>
      </c>
      <c r="K133" t="s">
        <v>4798</v>
      </c>
      <c r="L133" t="str">
        <f>ADDRESS(ROW('SBL Quotes'!AK81),COLUMN('SBL Quotes'!AK81))</f>
        <v>$AK$81</v>
      </c>
      <c r="M133" t="s">
        <v>209</v>
      </c>
    </row>
    <row r="134" ht="15" customHeight="1">
      <c r="H134" t="s">
        <v>5067</v>
      </c>
      <c r="I134" t="str">
        <f>IF(LEN('Trade Sheet'!B135)&gt;0,'Trade Sheet'!B135,"")</f>
        <v>No</v>
      </c>
      <c r="J134" t="s">
        <v>4670</v>
      </c>
      <c r="K134" t="s">
        <v>4798</v>
      </c>
      <c r="L134" t="str">
        <f>ADDRESS(ROW('SBL Quotes'!AK82),COLUMN('SBL Quotes'!AK82))</f>
        <v>$AK$82</v>
      </c>
      <c r="M134" t="s">
        <v>209</v>
      </c>
    </row>
    <row r="135" ht="15" customHeight="1">
      <c r="H135" t="s">
        <v>5069</v>
      </c>
      <c r="I135" t="str">
        <f>IF(LEN('Trade Sheet'!B138)&gt;0,'Trade Sheet'!B138,"")</f>
        <v>No</v>
      </c>
      <c r="J135" t="s">
        <v>4670</v>
      </c>
      <c r="K135" t="s">
        <v>4798</v>
      </c>
      <c r="L135" t="str">
        <f>ADDRESS(ROW('SBL Quotes'!AK83),COLUMN('SBL Quotes'!AK83))</f>
        <v>$AK$83</v>
      </c>
      <c r="M135" t="s">
        <v>209</v>
      </c>
    </row>
    <row r="136" ht="15" customHeight="1">
      <c r="H136" t="s">
        <v>5071</v>
      </c>
      <c r="I136" t="str">
        <f>IF(LEN('Trade Sheet'!B140)&gt;0,'Trade Sheet'!B140,"")</f>
        <v>No</v>
      </c>
      <c r="J136" t="s">
        <v>4670</v>
      </c>
      <c r="K136" t="s">
        <v>4798</v>
      </c>
      <c r="L136" t="str">
        <f>ADDRESS(ROW('SBL Quotes'!AK84),COLUMN('SBL Quotes'!AK84))</f>
        <v>$AK$84</v>
      </c>
      <c r="M136" t="s">
        <v>209</v>
      </c>
    </row>
    <row r="137" ht="15" customHeight="1">
      <c r="H137" t="s">
        <v>5073</v>
      </c>
      <c r="I137" t="str">
        <f>IF(LEN('Trade Sheet'!B142)&gt;0,'Trade Sheet'!B142,"")</f>
        <v>No</v>
      </c>
      <c r="J137" t="s">
        <v>4670</v>
      </c>
      <c r="K137" t="s">
        <v>4798</v>
      </c>
      <c r="L137" t="str">
        <f>ADDRESS(ROW('SBL Quotes'!AN3),COLUMN('SBL Quotes'!AN3))</f>
        <v>$AN$3</v>
      </c>
      <c r="M137" t="str">
        <f>"='Data Page'!"&amp;ADDRESS(ROW('Data Page'!K31),COLUMN('Data Page'!K31))</f>
        <v>='Data Page'!$K$31</v>
      </c>
    </row>
    <row r="138" ht="15" customHeight="1">
      <c r="H138" t="s">
        <v>5076</v>
      </c>
      <c r="I138" t="str">
        <f>IF(LEN('Trade Sheet'!B144)&gt;0,'Trade Sheet'!B144,"")</f>
        <v>No</v>
      </c>
      <c r="J138" t="s">
        <v>4670</v>
      </c>
      <c r="K138" t="s">
        <v>4798</v>
      </c>
      <c r="L138" t="str">
        <f>ADDRESS(ROW('SBL Quotes'!AN10),COLUMN('SBL Quotes'!AN10))</f>
        <v>$AN$10</v>
      </c>
      <c r="M138" t="s">
        <v>209</v>
      </c>
    </row>
    <row r="139" ht="15" customHeight="1">
      <c r="H139" t="s">
        <v>5078</v>
      </c>
      <c r="I139" t="str">
        <f>IF(LEN('Trade Sheet'!B146)&gt;0,'Trade Sheet'!B146,"")</f>
        <v>No</v>
      </c>
      <c r="J139" t="s">
        <v>4670</v>
      </c>
      <c r="K139" t="s">
        <v>4798</v>
      </c>
      <c r="L139" t="str">
        <f>ADDRESS(ROW('SBL Quotes'!AN13),COLUMN('SBL Quotes'!AN13))</f>
        <v>$AN$13</v>
      </c>
      <c r="M139" t="s">
        <v>656</v>
      </c>
    </row>
    <row r="140" ht="15" customHeight="1">
      <c r="H140" t="s">
        <v>5080</v>
      </c>
      <c r="I140" t="str">
        <f>IF(LEN('Trade Sheet'!B148)&gt;0,'Trade Sheet'!B148,"")</f>
        <v>No</v>
      </c>
      <c r="J140" t="s">
        <v>4670</v>
      </c>
      <c r="K140" t="s">
        <v>4798</v>
      </c>
      <c r="L140" t="str">
        <f>ADDRESS(ROW('SBL Quotes'!AN16),COLUMN('SBL Quotes'!AN16))</f>
        <v>$AN$16</v>
      </c>
      <c r="M140">
        <v>0</v>
      </c>
    </row>
    <row r="141" ht="15" customHeight="1">
      <c r="H141" t="s">
        <v>5082</v>
      </c>
      <c r="I141" t="str">
        <f>IF(LEN('Trade Sheet'!B150)&gt;0,'Trade Sheet'!B150,"")</f>
        <v>No</v>
      </c>
      <c r="J141" t="s">
        <v>4670</v>
      </c>
      <c r="K141" t="s">
        <v>4798</v>
      </c>
      <c r="L141" t="str">
        <f>ADDRESS(ROW('SBL Quotes'!AN17),COLUMN('SBL Quotes'!AN17))</f>
        <v>$AN$17</v>
      </c>
      <c r="M141">
        <v>0</v>
      </c>
    </row>
    <row r="142" ht="15" customHeight="1">
      <c r="H142" t="s">
        <v>5084</v>
      </c>
      <c r="I142" t="str">
        <f>IF(LEN('Trade Sheet'!B152)&gt;0,'Trade Sheet'!B152,"")</f>
        <v>No</v>
      </c>
      <c r="J142" t="s">
        <v>4670</v>
      </c>
      <c r="K142" t="s">
        <v>4798</v>
      </c>
      <c r="L142" t="str">
        <f>ADDRESS(ROW('SBL Quotes'!AN20),COLUMN('SBL Quotes'!AN20))</f>
        <v>$AN$20</v>
      </c>
      <c r="M142" t="s">
        <v>209</v>
      </c>
    </row>
    <row r="143" ht="15" customHeight="1">
      <c r="H143" t="s">
        <v>5086</v>
      </c>
      <c r="I143" t="str">
        <f>IF(LEN('Trade Sheet'!B154)&gt;0,'Trade Sheet'!B154,"")</f>
        <v>No</v>
      </c>
      <c r="J143" t="s">
        <v>4670</v>
      </c>
      <c r="K143" t="s">
        <v>4798</v>
      </c>
      <c r="L143" t="str">
        <f>ADDRESS(ROW('SBL Quotes'!AN22),COLUMN('SBL Quotes'!AN22))</f>
        <v>$AN$22</v>
      </c>
      <c r="M143">
        <v>0.9</v>
      </c>
    </row>
    <row r="144" ht="15" customHeight="1">
      <c r="H144" t="s">
        <v>5088</v>
      </c>
      <c r="I144" t="str">
        <f>IF(LEN('Trade Sheet'!B156)&gt;0,'Trade Sheet'!B156,"")</f>
        <v>No</v>
      </c>
      <c r="J144" t="s">
        <v>4670</v>
      </c>
      <c r="K144" t="s">
        <v>4798</v>
      </c>
      <c r="L144" t="str">
        <f>ADDRESS(ROW('SBL Quotes'!AN41),COLUMN('SBL Quotes'!AN41))</f>
        <v>$AN$41</v>
      </c>
      <c r="M144" t="s">
        <v>209</v>
      </c>
    </row>
    <row r="145" ht="15" customHeight="1">
      <c r="G145" t="s">
        <v>5090</v>
      </c>
      <c r="L145" t="str">
        <f>ADDRESS(ROW('SBL Quotes'!AN42),COLUMN('SBL Quotes'!AN42))</f>
        <v>$AN$42</v>
      </c>
      <c r="M145" t="s">
        <v>209</v>
      </c>
    </row>
    <row r="146" ht="15" customHeight="1">
      <c r="H146" t="s">
        <v>5092</v>
      </c>
      <c r="I146" t="str">
        <f>IF(LEN('Trade Sheet'!B160)&gt;0,'Trade Sheet'!B160,"")</f>
        <v>No</v>
      </c>
      <c r="J146" t="s">
        <v>4670</v>
      </c>
      <c r="K146" t="s">
        <v>4798</v>
      </c>
      <c r="L146" t="str">
        <f>ADDRESS(ROW('SBL Quotes'!AN43),COLUMN('SBL Quotes'!AN43))</f>
        <v>$AN$43</v>
      </c>
      <c r="M146" t="s">
        <v>656</v>
      </c>
    </row>
    <row r="147" ht="15" customHeight="1">
      <c r="H147" t="s">
        <v>5094</v>
      </c>
      <c r="I147" t="str">
        <f>IF(LEN('Trade Sheet'!B162)&gt;0,'Trade Sheet'!B162,"")</f>
        <v>No</v>
      </c>
      <c r="J147" t="s">
        <v>4670</v>
      </c>
      <c r="K147" t="s">
        <v>4798</v>
      </c>
      <c r="L147" t="str">
        <f>ADDRESS(ROW('SBL Quotes'!AN44),COLUMN('SBL Quotes'!AN44))</f>
        <v>$AN$44</v>
      </c>
      <c r="M147" t="s">
        <v>656</v>
      </c>
    </row>
    <row r="148" ht="15" customHeight="1">
      <c r="H148" t="s">
        <v>5096</v>
      </c>
      <c r="I148" t="str">
        <f>IF(LEN('Trade Sheet'!B164)&gt;0,'Trade Sheet'!B164,"")</f>
        <v>No</v>
      </c>
      <c r="J148" t="s">
        <v>4670</v>
      </c>
      <c r="K148" t="s">
        <v>4798</v>
      </c>
      <c r="L148" t="str">
        <f>ADDRESS(ROW('SBL Quotes'!AN45),COLUMN('SBL Quotes'!AN45))</f>
        <v>$AN$45</v>
      </c>
      <c r="M148" t="s">
        <v>656</v>
      </c>
    </row>
    <row r="149" ht="15" customHeight="1">
      <c r="H149" t="s">
        <v>5098</v>
      </c>
      <c r="I149" t="str">
        <f>IF(LEN('Trade Sheet'!B166)&gt;0,'Trade Sheet'!B166,"")</f>
        <v>No</v>
      </c>
      <c r="J149" t="s">
        <v>4670</v>
      </c>
      <c r="K149" t="s">
        <v>4798</v>
      </c>
      <c r="L149" t="str">
        <f>ADDRESS(ROW('SBL Quotes'!AN46),COLUMN('SBL Quotes'!AN46))</f>
        <v>$AN$46</v>
      </c>
      <c r="M149" t="s">
        <v>209</v>
      </c>
    </row>
    <row r="150" ht="15" customHeight="1">
      <c r="H150" t="s">
        <v>5100</v>
      </c>
      <c r="I150" t="str">
        <f>IF(LEN('Trade Sheet'!B168)&gt;0,'Trade Sheet'!B168,"")</f>
        <v>No</v>
      </c>
      <c r="J150" t="s">
        <v>4670</v>
      </c>
      <c r="K150" t="s">
        <v>4798</v>
      </c>
      <c r="L150" t="str">
        <f>ADDRESS(ROW('SBL Quotes'!AN47),COLUMN('SBL Quotes'!AN47))</f>
        <v>$AN$47</v>
      </c>
      <c r="M150" t="s">
        <v>209</v>
      </c>
    </row>
    <row r="151" ht="15" customHeight="1">
      <c r="H151" t="s">
        <v>5102</v>
      </c>
      <c r="I151" t="str">
        <f>IF(LEN('Trade Sheet'!B170)&gt;0,'Trade Sheet'!B170,"")</f>
        <v>No</v>
      </c>
      <c r="J151" t="s">
        <v>4670</v>
      </c>
      <c r="K151" t="s">
        <v>4798</v>
      </c>
      <c r="L151" t="str">
        <f>ADDRESS(ROW('SBL Quotes'!AN48),COLUMN('SBL Quotes'!AN48))</f>
        <v>$AN$48</v>
      </c>
      <c r="M151" t="s">
        <v>209</v>
      </c>
    </row>
    <row r="152" ht="15" customHeight="1">
      <c r="H152" t="s">
        <v>5104</v>
      </c>
      <c r="I152" t="str">
        <f>IF(LEN('Trade Sheet'!B172)&gt;0,'Trade Sheet'!B172,"")</f>
        <v>No</v>
      </c>
      <c r="J152" t="s">
        <v>4670</v>
      </c>
      <c r="K152" t="s">
        <v>4798</v>
      </c>
      <c r="L152" t="str">
        <f>ADDRESS(ROW('SBL Quotes'!AN49),COLUMN('SBL Quotes'!AN49))</f>
        <v>$AN$49</v>
      </c>
      <c r="M152" t="s">
        <v>656</v>
      </c>
    </row>
    <row r="153" ht="15" customHeight="1">
      <c r="H153" t="s">
        <v>5106</v>
      </c>
      <c r="I153" t="str">
        <f>IF(LEN('Trade Sheet'!B174)&gt;0,'Trade Sheet'!B174,"")</f>
        <v>No</v>
      </c>
      <c r="J153" t="s">
        <v>4670</v>
      </c>
      <c r="K153" t="s">
        <v>4798</v>
      </c>
      <c r="L153" t="str">
        <f>ADDRESS(ROW('SBL Quotes'!AN50),COLUMN('SBL Quotes'!AN50))</f>
        <v>$AN$50</v>
      </c>
      <c r="M153" t="s">
        <v>656</v>
      </c>
    </row>
    <row r="154" ht="15" customHeight="1">
      <c r="H154" t="s">
        <v>5108</v>
      </c>
      <c r="I154" t="str">
        <f>IF(LEN('Trade Sheet'!B176)&gt;0,'Trade Sheet'!B176,"")</f>
        <v>No</v>
      </c>
      <c r="J154" t="s">
        <v>4670</v>
      </c>
      <c r="K154" t="s">
        <v>4798</v>
      </c>
      <c r="L154" t="str">
        <f>ADDRESS(ROW('SBL Quotes'!AN70),COLUMN('SBL Quotes'!AN70))</f>
        <v>$AN$70</v>
      </c>
      <c r="M154">
        <v>0</v>
      </c>
    </row>
    <row r="155" ht="15" customHeight="1">
      <c r="H155" t="s">
        <v>5110</v>
      </c>
      <c r="I155" t="str">
        <f>IF(LEN('Trade Sheet'!B178)&gt;0,'Trade Sheet'!B178,"")</f>
        <v>No</v>
      </c>
      <c r="J155" t="s">
        <v>4670</v>
      </c>
      <c r="K155" t="s">
        <v>4798</v>
      </c>
      <c r="L155" t="str">
        <f>ADDRESS(ROW('SBL Quotes'!AN71),COLUMN('SBL Quotes'!AN71))</f>
        <v>$AN$71</v>
      </c>
      <c r="M155">
        <v>0</v>
      </c>
    </row>
    <row r="156" ht="15" customHeight="1">
      <c r="H156" t="s">
        <v>5112</v>
      </c>
      <c r="I156" t="str">
        <f>IF(LEN('Trade Sheet'!B180)&gt;0,'Trade Sheet'!B180,"")</f>
        <v>No</v>
      </c>
      <c r="J156" t="s">
        <v>4670</v>
      </c>
      <c r="K156" t="s">
        <v>4798</v>
      </c>
      <c r="L156" t="str">
        <f>ADDRESS(ROW('SBL Quotes'!AN72),COLUMN('SBL Quotes'!AN72))</f>
        <v>$AN$72</v>
      </c>
      <c r="M156">
        <v>0</v>
      </c>
    </row>
    <row r="157" ht="15" customHeight="1">
      <c r="H157" t="s">
        <v>5114</v>
      </c>
      <c r="I157" t="str">
        <f>IF(LEN('Trade Sheet'!B182)&gt;0,'Trade Sheet'!B182,"")</f>
        <v>No</v>
      </c>
      <c r="J157" t="s">
        <v>4670</v>
      </c>
      <c r="K157" t="s">
        <v>4798</v>
      </c>
      <c r="L157" t="str">
        <f>ADDRESS(ROW('SBL Quotes'!AN73),COLUMN('SBL Quotes'!AN73))</f>
        <v>$AN$73</v>
      </c>
      <c r="M157">
        <v>0</v>
      </c>
    </row>
    <row r="158" ht="15" customHeight="1">
      <c r="G158" t="s">
        <v>5116</v>
      </c>
      <c r="L158" t="str">
        <f>ADDRESS(ROW('SBL Quotes'!AN74),COLUMN('SBL Quotes'!AN74))</f>
        <v>$AN$74</v>
      </c>
      <c r="M158">
        <v>0</v>
      </c>
    </row>
    <row r="159" ht="15" customHeight="1">
      <c r="H159" t="s">
        <v>5118</v>
      </c>
      <c r="I159" t="str">
        <f>IF(LEN('Trade Sheet'!B186)&gt;0,'Trade Sheet'!B186,"")</f>
        <v>No</v>
      </c>
      <c r="J159" t="s">
        <v>4670</v>
      </c>
      <c r="K159" t="s">
        <v>4798</v>
      </c>
      <c r="L159" t="str">
        <f>ADDRESS(ROW('SBL Quotes'!AN75),COLUMN('SBL Quotes'!AN75))</f>
        <v>$AN$75</v>
      </c>
      <c r="M159">
        <v>0</v>
      </c>
    </row>
    <row r="160" ht="15" customHeight="1">
      <c r="L160" t="str">
        <f>ADDRESS(ROW('SBL Quotes'!AN76),COLUMN('SBL Quotes'!AN76))</f>
        <v>$AN$76</v>
      </c>
      <c r="M160">
        <v>0</v>
      </c>
    </row>
    <row r="161" ht="15" customHeight="1">
      <c r="L161" t="str">
        <f>ADDRESS(ROW('SBL Quotes'!AN78),COLUMN('SBL Quotes'!AN78))</f>
        <v>$AN$78</v>
      </c>
      <c r="M161">
        <v>1</v>
      </c>
    </row>
    <row r="162" ht="15" customHeight="1">
      <c r="L162" t="str">
        <f>ADDRESS(ROW('SBL Quotes'!AN79),COLUMN('SBL Quotes'!AN79))</f>
        <v>$AN$79</v>
      </c>
      <c r="M162" t="s">
        <v>209</v>
      </c>
    </row>
    <row r="163" ht="15" customHeight="1">
      <c r="L163" t="str">
        <f>ADDRESS(ROW('SBL Quotes'!AN80),COLUMN('SBL Quotes'!AN80))</f>
        <v>$AN$80</v>
      </c>
      <c r="M163" t="s">
        <v>209</v>
      </c>
    </row>
    <row r="164" ht="15" customHeight="1">
      <c r="L164" t="str">
        <f>ADDRESS(ROW('SBL Quotes'!AN81),COLUMN('SBL Quotes'!AN81))</f>
        <v>$AN$81</v>
      </c>
      <c r="M164" t="s">
        <v>209</v>
      </c>
    </row>
    <row r="165" ht="15" customHeight="1">
      <c r="L165" t="str">
        <f>ADDRESS(ROW('SBL Quotes'!AN82),COLUMN('SBL Quotes'!AN82))</f>
        <v>$AN$82</v>
      </c>
      <c r="M165" t="s">
        <v>209</v>
      </c>
    </row>
    <row r="166" ht="15" customHeight="1">
      <c r="L166" t="str">
        <f>ADDRESS(ROW('SBL Quotes'!AN83),COLUMN('SBL Quotes'!AN83))</f>
        <v>$AN$83</v>
      </c>
      <c r="M166" t="s">
        <v>209</v>
      </c>
    </row>
    <row r="167" ht="15" customHeight="1">
      <c r="L167" t="str">
        <f>ADDRESS(ROW('SBL Quotes'!AJ88),COLUMN('SBL Quotes'!AJ88))&amp;":"&amp;ADDRESS(ROW('SBL Quotes'!AN89),COLUMN('SBL Quotes'!AN89))</f>
        <v>$AJ$88:$AN$89</v>
      </c>
      <c r="M167" t="s">
        <v>4690</v>
      </c>
    </row>
    <row r="168" ht="15" customHeight="1">
      <c r="L168" t="str">
        <f>ADDRESS(ROW('SBL Quotes'!AJ93),COLUMN('SBL Quotes'!AJ93))&amp;":"&amp;ADDRESS(ROW('SBL Quotes'!AN95),COLUMN('SBL Quotes'!AN95))</f>
        <v>$AJ$93:$AN$95</v>
      </c>
      <c r="M168" t="s">
        <v>4690</v>
      </c>
    </row>
    <row r="169" ht="15" customHeight="1">
      <c r="L169" t="str">
        <f>ADDRESS(ROW('SBL Quotes'!AJ97),COLUMN('SBL Quotes'!AJ97))&amp;":"&amp;ADDRESS(ROW('SBL Quotes'!AN99),COLUMN('SBL Quotes'!AN99))</f>
        <v>$AJ$97:$AN$99</v>
      </c>
      <c r="M169" t="s">
        <v>4690</v>
      </c>
    </row>
    <row r="170" ht="15" customHeight="1">
      <c r="L170" t="str">
        <f>ADDRESS(ROW('SBL Quotes'!AJ101),COLUMN('SBL Quotes'!AJ101))&amp;":"&amp;ADDRESS(ROW('SBL Quotes'!AN103),COLUMN('SBL Quotes'!AN103))</f>
        <v>$AJ$101:$AN$103</v>
      </c>
      <c r="M170" t="s">
        <v>4690</v>
      </c>
    </row>
    <row r="171" ht="15" customHeight="1">
      <c r="L171" t="str">
        <f>ADDRESS(ROW('SBL Quotes'!AJ105),COLUMN('SBL Quotes'!AJ105))&amp;":"&amp;ADDRESS(ROW('SBL Quotes'!AN107),COLUMN('SBL Quotes'!AN107))</f>
        <v>$AJ$105:$AN$107</v>
      </c>
      <c r="M171" t="s">
        <v>4690</v>
      </c>
    </row>
    <row r="172" ht="15" customHeight="1">
      <c r="L172" t="str">
        <f>ADDRESS(ROW('SBL Quotes'!AJ112),COLUMN('SBL Quotes'!AJ112))&amp;":"&amp;ADDRESS(ROW('SBL Quotes'!AN113),COLUMN('SBL Quotes'!AN113))</f>
        <v>$AJ$112:$AN$113</v>
      </c>
      <c r="M172" t="s">
        <v>4690</v>
      </c>
    </row>
    <row r="173" ht="15" customHeight="1">
      <c r="L173" t="str">
        <f>ADDRESS(ROW('SBL Quotes'!AJ116),COLUMN('SBL Quotes'!AJ116))&amp;":"&amp;ADDRESS(ROW('SBL Quotes'!AN117),COLUMN('SBL Quotes'!AN117))</f>
        <v>$AJ$116:$AN$117</v>
      </c>
      <c r="M173" t="s">
        <v>4690</v>
      </c>
    </row>
    <row r="174" ht="15" customHeight="1">
      <c r="L174" t="str">
        <f>ADDRESS(ROW('SBL Quotes'!AJ119),COLUMN('SBL Quotes'!AJ119))&amp;":"&amp;ADDRESS(ROW('SBL Quotes'!AN120),COLUMN('SBL Quotes'!AN120))</f>
        <v>$AJ$119:$AN$120</v>
      </c>
      <c r="M174" t="s">
        <v>4690</v>
      </c>
    </row>
    <row r="175" ht="15" customHeight="1">
      <c r="L175" t="str">
        <f>ADDRESS(ROW('SBL Quotes'!AJ125),COLUMN('SBL Quotes'!AJ125))&amp;":"&amp;ADDRESS(ROW('SBL Quotes'!AN126),COLUMN('SBL Quotes'!AN126))</f>
        <v>$AJ$125:$AN$126</v>
      </c>
      <c r="M175" t="s">
        <v>4690</v>
      </c>
    </row>
    <row r="176" ht="15" customHeight="1">
      <c r="L176" t="str">
        <f>ADDRESS(ROW('SBL Quotes'!AK128),COLUMN('SBL Quotes'!AK128))</f>
        <v>$AK$128</v>
      </c>
      <c r="M176" t="s">
        <v>209</v>
      </c>
    </row>
    <row r="177" ht="15" customHeight="1">
      <c r="L177" t="str">
        <f>ADDRESS(ROW('SBL Quotes'!AK129),COLUMN('SBL Quotes'!AK129))</f>
        <v>$AK$129</v>
      </c>
      <c r="M177" t="s">
        <v>209</v>
      </c>
    </row>
    <row r="178" ht="15" customHeight="1">
      <c r="L178" t="str">
        <f>ADDRESS(ROW('SBL Quotes'!AK130),COLUMN('SBL Quotes'!AK130))</f>
        <v>$AK$130</v>
      </c>
      <c r="M178" t="s">
        <v>209</v>
      </c>
    </row>
    <row r="179" ht="15" customHeight="1">
      <c r="L179" t="str">
        <f>ADDRESS(ROW('SBL Quotes'!AK131),COLUMN('SBL Quotes'!AK131))</f>
        <v>$AK$131</v>
      </c>
      <c r="M179">
        <v>1</v>
      </c>
    </row>
    <row r="180" ht="15" customHeight="1">
      <c r="L180" t="str">
        <f>ADDRESS(ROW('SBL Quotes'!AK132),COLUMN('SBL Quotes'!AK132))</f>
        <v>$AK$132</v>
      </c>
      <c r="M180">
        <v>1</v>
      </c>
    </row>
    <row r="181" ht="15" customHeight="1">
      <c r="L181" t="str">
        <f>ADDRESS(ROW('SBL Quotes'!AK133),COLUMN('SBL Quotes'!AK133))</f>
        <v>$AK$133</v>
      </c>
      <c r="M181">
        <v>1</v>
      </c>
    </row>
    <row r="182" ht="15" customHeight="1">
      <c r="L182" t="str">
        <f>ADDRESS(ROW('SBL Quotes'!AK134),COLUMN('SBL Quotes'!AK134))</f>
        <v>$AK$134</v>
      </c>
      <c r="M182">
        <v>1</v>
      </c>
    </row>
    <row r="183" ht="15" customHeight="1">
      <c r="L183" t="str">
        <f>ADDRESS(ROW('SBL Quotes'!AK135),COLUMN('SBL Quotes'!AK135))</f>
        <v>$AK$135</v>
      </c>
      <c r="M183" t="s">
        <v>209</v>
      </c>
    </row>
    <row r="184" ht="15" customHeight="1">
      <c r="L184" t="str">
        <f>ADDRESS(ROW('SBL Quotes'!AK136),COLUMN('SBL Quotes'!AK136))</f>
        <v>$AK$136</v>
      </c>
      <c r="M184" t="s">
        <v>209</v>
      </c>
    </row>
    <row r="185" ht="15" customHeight="1">
      <c r="L185" t="str">
        <f>ADDRESS(ROW('SBL Quotes'!AK137),COLUMN('SBL Quotes'!AK137))</f>
        <v>$AK$137</v>
      </c>
      <c r="M185">
        <v>0</v>
      </c>
    </row>
    <row r="186" ht="15" customHeight="1">
      <c r="L186" t="str">
        <f>ADDRESS(ROW('SBL Quotes'!AN128),COLUMN('SBL Quotes'!AN128))</f>
        <v>$AN$128</v>
      </c>
      <c r="M186">
        <v>1000000</v>
      </c>
    </row>
    <row r="187" ht="15" customHeight="1">
      <c r="L187" t="str">
        <f>ADDRESS(ROW('SBL Quotes'!AN129),COLUMN('SBL Quotes'!AN129))</f>
        <v>$AN$129</v>
      </c>
      <c r="M187">
        <v>0</v>
      </c>
    </row>
    <row r="188" ht="15" customHeight="1">
      <c r="L188" t="str">
        <f>ADDRESS(ROW('SBL Quotes'!AN130),COLUMN('SBL Quotes'!AN130))</f>
        <v>$AN$130</v>
      </c>
      <c r="M188">
        <v>1000000</v>
      </c>
    </row>
    <row r="189" ht="15" customHeight="1">
      <c r="L189" t="str">
        <f>ADDRESS(ROW('SBL Quotes'!AN131),COLUMN('SBL Quotes'!AN131))</f>
        <v>$AN$131</v>
      </c>
      <c r="M189">
        <v>1</v>
      </c>
    </row>
    <row r="190" ht="15" customHeight="1">
      <c r="L190" t="str">
        <f>ADDRESS(ROW('SBL Quotes'!AN132),COLUMN('SBL Quotes'!AN132))</f>
        <v>$AN$132</v>
      </c>
      <c r="M190" t="s">
        <v>209</v>
      </c>
    </row>
    <row r="191" ht="15" customHeight="1">
      <c r="L191" t="str">
        <f>ADDRESS(ROW('SBL Quotes'!AN133),COLUMN('SBL Quotes'!AN133))</f>
        <v>$AN$133</v>
      </c>
      <c r="M191" t="s">
        <v>209</v>
      </c>
    </row>
    <row r="192" ht="15" customHeight="1">
      <c r="L192" t="str">
        <f>ADDRESS(ROW('SBL Quotes'!AN134),COLUMN('SBL Quotes'!AN134))</f>
        <v>$AN$134</v>
      </c>
      <c r="M192" t="s">
        <v>209</v>
      </c>
    </row>
    <row r="193" ht="15" customHeight="1">
      <c r="L193" t="str">
        <f>ADDRESS(ROW('SBL Quotes'!AN135),COLUMN('SBL Quotes'!AN135))</f>
        <v>$AN$135</v>
      </c>
      <c r="M193" t="s">
        <v>209</v>
      </c>
    </row>
    <row r="194" ht="15" customHeight="1">
      <c r="L194" t="str">
        <f>ADDRESS(ROW('SBL Quotes'!AN136),COLUMN('SBL Quotes'!AN136))</f>
        <v>$AN$136</v>
      </c>
      <c r="M194" t="s">
        <v>209</v>
      </c>
    </row>
    <row r="195" ht="15" customHeight="1">
      <c r="L195" t="str">
        <f>ADDRESS(ROW('SBL Quotes'!AJ142),COLUMN('SBL Quotes'!AJ142))&amp;":"&amp;ADDRESS(ROW('SBL Quotes'!AN143),COLUMN('SBL Quotes'!AN143))</f>
        <v>$AJ$142:$AN$143</v>
      </c>
      <c r="M195" t="s">
        <v>4690</v>
      </c>
    </row>
    <row r="196" ht="15" customHeight="1">
      <c r="L196" t="str">
        <f>ADDRESS(ROW('SBL Quotes'!AJ148),COLUMN('SBL Quotes'!AJ148))&amp;":"&amp;ADDRESS(ROW('SBL Quotes'!AN149),COLUMN('SBL Quotes'!AN149))</f>
        <v>$AJ$148:$AN$149</v>
      </c>
      <c r="M196" t="s">
        <v>4690</v>
      </c>
    </row>
    <row r="197" ht="15" customHeight="1">
      <c r="L197" t="str">
        <f>ADDRESS(ROW('SBL Quotes'!AJ151),COLUMN('SBL Quotes'!AJ151))&amp;":"&amp;ADDRESS(ROW('SBL Quotes'!AN152),COLUMN('SBL Quotes'!AN152))</f>
        <v>$AJ$151:$AN$152</v>
      </c>
      <c r="M197" t="s">
        <v>4690</v>
      </c>
    </row>
    <row r="198" ht="15" customHeight="1">
      <c r="L198" t="str">
        <f>ADDRESS(ROW('SBL Quotes'!AJ154),COLUMN('SBL Quotes'!AJ154))&amp;":"&amp;ADDRESS(ROW('SBL Quotes'!AN155),COLUMN('SBL Quotes'!AN155))</f>
        <v>$AJ$154:$AN$155</v>
      </c>
      <c r="M198" t="s">
        <v>4690</v>
      </c>
    </row>
    <row r="199" ht="15" customHeight="1">
      <c r="L199" t="str">
        <f>ADDRESS(ROW('SBL Quotes'!AJ157),COLUMN('SBL Quotes'!AJ157))&amp;":"&amp;ADDRESS(ROW('SBL Quotes'!AN158),COLUMN('SBL Quotes'!AN158))</f>
        <v>$AJ$157:$AN$158</v>
      </c>
      <c r="M199" t="s">
        <v>4690</v>
      </c>
    </row>
    <row r="200" ht="15" customHeight="1">
      <c r="L200" t="str">
        <f>ADDRESS(ROW('SBL Quotes'!AJ160),COLUMN('SBL Quotes'!AJ160))&amp;":"&amp;ADDRESS(ROW('SBL Quotes'!AN161),COLUMN('SBL Quotes'!AN161))</f>
        <v>$AJ$160:$AN$161</v>
      </c>
      <c r="M200" t="s">
        <v>4690</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3671AD4F-9174-9BFA-97D2-5843EE75BE7F}" mc:Ignorable="x14ac xr xr2 xr3">
  <sheetPr>
    <tabColor theme="0" tint="-0.5"/>
  </sheetPr>
  <dimension ref="A1:W30"/>
  <sheetViews>
    <sheetView topLeftCell="A1" workbookViewId="0">
      <selection activeCell="A1" sqref="A1"/>
    </sheetView>
  </sheetViews>
  <sheetFormatPr defaultRowHeight="11.0025" defaultColWidth="9.140625" customHeight="1"/>
  <cols>
    <col min="1" max="1" width="39.7109375" customWidth="1"/>
    <col min="2" max="2" width="21.8515625" customWidth="1"/>
    <col min="3" max="23" width="61.8515625" customWidth="1"/>
  </cols>
  <sheetData>
    <row r="1" ht="11.25" customHeight="1">
      <c r="A1" t="s">
        <v>5161</v>
      </c>
    </row>
    <row r="4" ht="72" customHeight="1">
      <c r="A4" t="s">
        <v>5162</v>
      </c>
      <c r="C4" t="s">
        <v>5163</v>
      </c>
    </row>
    <row r="5" ht="11.25" customHeight="1"/>
    <row r="6" ht="14.25" customHeight="1">
      <c r="A6" t="s">
        <v>5164</v>
      </c>
      <c r="B6" t="s">
        <v>209</v>
      </c>
      <c r="C6" t="s">
        <v>5165</v>
      </c>
      <c r="D6" t="s">
        <v>5166</v>
      </c>
      <c r="E6" t="s">
        <v>5167</v>
      </c>
      <c r="F6" t="s">
        <v>5168</v>
      </c>
      <c r="G6" t="s">
        <v>5169</v>
      </c>
      <c r="H6" t="s">
        <v>5170</v>
      </c>
      <c r="I6" t="s">
        <v>5171</v>
      </c>
      <c r="J6" t="s">
        <v>5172</v>
      </c>
      <c r="K6" t="s">
        <v>5173</v>
      </c>
      <c r="L6" t="s">
        <v>5174</v>
      </c>
      <c r="M6" t="s">
        <v>5175</v>
      </c>
      <c r="N6" t="s">
        <v>5176</v>
      </c>
      <c r="O6" t="s">
        <v>5177</v>
      </c>
      <c r="P6" t="s">
        <v>5178</v>
      </c>
      <c r="Q6" t="s">
        <v>5179</v>
      </c>
      <c r="R6" t="s">
        <v>5180</v>
      </c>
      <c r="S6" t="s">
        <v>5181</v>
      </c>
      <c r="T6" t="s">
        <v>5182</v>
      </c>
      <c r="U6" t="s">
        <v>5183</v>
      </c>
      <c r="V6" t="s">
        <v>5184</v>
      </c>
    </row>
    <row r="7" ht="294.75" customHeight="1">
      <c r="C7" t="s">
        <v>5185</v>
      </c>
      <c r="D7" t="s">
        <v>5186</v>
      </c>
      <c r="E7" t="s">
        <v>5187</v>
      </c>
      <c r="F7" t="s">
        <v>5188</v>
      </c>
      <c r="G7" t="s">
        <v>5189</v>
      </c>
      <c r="H7" t="s">
        <v>5190</v>
      </c>
      <c r="I7" t="s">
        <v>5191</v>
      </c>
      <c r="J7" t="s">
        <v>5192</v>
      </c>
      <c r="K7" t="s">
        <v>5193</v>
      </c>
      <c r="L7" t="s">
        <v>5194</v>
      </c>
      <c r="M7" t="s">
        <v>5195</v>
      </c>
      <c r="N7" t="s">
        <v>5196</v>
      </c>
      <c r="O7" t="s">
        <v>5197</v>
      </c>
      <c r="P7" t="s">
        <v>5198</v>
      </c>
      <c r="Q7" t="s">
        <v>5199</v>
      </c>
      <c r="R7" t="s">
        <v>5200</v>
      </c>
      <c r="S7" t="s">
        <v>5201</v>
      </c>
      <c r="T7" t="s">
        <v>5202</v>
      </c>
      <c r="U7" t="s">
        <v>5203</v>
      </c>
      <c r="V7" t="s">
        <v>5204</v>
      </c>
    </row>
    <row r="9" ht="48" customHeight="1">
      <c r="A9" t="s">
        <v>5205</v>
      </c>
      <c r="C9" t="s">
        <v>5206</v>
      </c>
      <c r="D9" t="s">
        <v>5207</v>
      </c>
    </row>
    <row r="12" ht="36" customHeight="1">
      <c r="A12" t="s">
        <v>5208</v>
      </c>
      <c r="C12" t="s">
        <v>5209</v>
      </c>
    </row>
    <row r="14" ht="11.25" customHeight="1">
      <c r="B14" t="s">
        <v>209</v>
      </c>
      <c r="C14" t="s">
        <v>884</v>
      </c>
    </row>
    <row r="15" ht="11.25" customHeight="1">
      <c r="B15" t="s">
        <v>3772</v>
      </c>
      <c r="C15" t="s">
        <v>5210</v>
      </c>
    </row>
    <row r="16" ht="11.25" customHeight="1">
      <c r="B16" t="s">
        <v>5211</v>
      </c>
      <c r="C16" t="s">
        <v>5212</v>
      </c>
    </row>
    <row r="17" ht="11.25" customHeight="1">
      <c r="B17" t="s">
        <v>5213</v>
      </c>
      <c r="C17" t="s">
        <v>5212</v>
      </c>
    </row>
    <row r="18" ht="11.25" customHeight="1">
      <c r="B18" t="s">
        <v>5214</v>
      </c>
      <c r="C18" t="s">
        <v>5212</v>
      </c>
    </row>
    <row r="20" ht="11.25" customHeight="1">
      <c r="B20" t="s">
        <v>209</v>
      </c>
      <c r="C20" t="s">
        <v>872</v>
      </c>
    </row>
    <row r="21" ht="11.25" customHeight="1">
      <c r="B21" t="s">
        <v>5215</v>
      </c>
      <c r="C21" t="s">
        <v>5216</v>
      </c>
    </row>
    <row r="22" ht="11.25" customHeight="1">
      <c r="B22" t="s">
        <v>5217</v>
      </c>
      <c r="C22" t="s">
        <v>5218</v>
      </c>
    </row>
    <row r="23" ht="11.25" customHeight="1">
      <c r="B23" t="s">
        <v>5219</v>
      </c>
      <c r="C23" t="s">
        <v>5220</v>
      </c>
    </row>
    <row r="24" ht="11.25" customHeight="1">
      <c r="B24" t="s">
        <v>5221</v>
      </c>
      <c r="C24" t="s">
        <v>5222</v>
      </c>
    </row>
    <row r="25" ht="11.25" customHeight="1">
      <c r="B25" t="s">
        <v>5223</v>
      </c>
      <c r="C25" t="s">
        <v>5224</v>
      </c>
    </row>
    <row r="27" ht="11.25" customHeight="1">
      <c r="C27" t="s">
        <v>5225</v>
      </c>
    </row>
    <row r="30" ht="11.25" customHeight="1">
      <c r="A30" t="s">
        <v>5226</v>
      </c>
      <c r="C30" t="s">
        <v>5227</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DFE297B-530E-17FC-0793-1BFDA67A94EC}" mc:Ignorable="x14ac xr xr2 xr3">
  <sheetPr>
    <tabColor theme="0" tint="-0.5"/>
  </sheetPr>
  <dimension ref="A1:HH3236"/>
  <sheetViews>
    <sheetView topLeftCell="BS1" workbookViewId="0">
      <selection activeCell="CH1" sqref="CH1"/>
    </sheetView>
  </sheetViews>
  <sheetFormatPr defaultRowHeight="14.497499999999997" defaultColWidth="8.8515625" customHeight="1"/>
  <cols>
    <col min="3" max="3" width="17.57421875" customWidth="1"/>
    <col min="7" max="7" width="24.57421875" customWidth="1"/>
    <col min="9" max="9" width="17.00390625" customWidth="1"/>
    <col min="11" max="11" width="12.57421875" customWidth="1"/>
    <col min="13" max="13" width="35.57421875" customWidth="1"/>
    <col min="15" max="15" width="43.57421875" customWidth="1"/>
    <col min="17" max="17" width="28.00390625" customWidth="1"/>
    <col min="19" max="19" width="29.00390625" customWidth="1"/>
    <col min="23" max="23" width="18.57421875" customWidth="1"/>
    <col min="25" max="25" width="17.57421875" customWidth="1"/>
    <col min="27" max="27" width="10.57421875" customWidth="1"/>
    <col min="29" max="29" width="9.57421875" customWidth="1"/>
    <col min="31" max="31" width="22.57421875" customWidth="1"/>
    <col min="33" max="33" width="20.57421875" customWidth="1"/>
    <col min="35" max="35" width="27.57421875" customWidth="1"/>
    <col min="37" max="37" width="73.00390625" customWidth="1"/>
    <col min="39" max="40" width="10.57421875" customWidth="1"/>
    <col min="42" max="42" width="16.57421875" customWidth="1"/>
    <col min="44" max="44" width="21.57421875" customWidth="1"/>
    <col min="46" max="46" width="18.57421875" customWidth="1"/>
    <col min="48" max="48" width="18.57421875" customWidth="1"/>
    <col min="50" max="50" width="21.57421875" customWidth="1"/>
    <col min="52" max="52" width="13.57421875" customWidth="1"/>
    <col min="54" max="54" width="13.57421875" customWidth="1"/>
    <col min="56" max="56" width="19.00390625" customWidth="1"/>
    <col min="57" max="57" width="8.57421875" customWidth="1"/>
    <col min="58" max="58" width="15.57421875" customWidth="1"/>
    <col min="59" max="59" width="6.57421875" customWidth="1"/>
    <col min="60" max="60" width="17.57421875" customWidth="1"/>
    <col min="61" max="61" width="7.57421875" customWidth="1"/>
    <col min="62" max="62" width="19.57421875" customWidth="1"/>
    <col min="64" max="64" width="31.57421875" customWidth="1"/>
    <col min="66" max="66" width="12.57421875" customWidth="1"/>
    <col min="68" max="68" width="12.00390625" customWidth="1"/>
    <col min="70" max="70" width="20.57421875" customWidth="1"/>
    <col min="76" max="76" width="20.57421875" customWidth="1"/>
    <col min="77" max="77" width="29.00390625" customWidth="1"/>
    <col min="79" max="79" width="18.57421875" customWidth="1"/>
    <col min="81" max="81" width="14.57421875" customWidth="1"/>
    <col min="83" max="83" width="11.57421875" customWidth="1"/>
    <col min="85" max="85" width="11.57421875" customWidth="1"/>
    <col min="87" max="87" width="12.57421875" customWidth="1"/>
    <col min="89" max="89" width="18.57421875" customWidth="1"/>
    <col min="91" max="91" width="18.57421875" customWidth="1"/>
    <col min="92" max="92" width="13.57421875" customWidth="1"/>
    <col min="94" max="94" width="30.00390625" customWidth="1"/>
    <col min="95" max="95" width="6.57421875" customWidth="1"/>
    <col min="96" max="96" width="29.57421875" customWidth="1"/>
    <col min="97" max="97" width="5.57421875" customWidth="1"/>
    <col min="98" max="98" width="20.00390625" customWidth="1"/>
    <col min="100" max="100" width="21.57421875" customWidth="1"/>
    <col min="102" max="102" width="50.57421875" customWidth="1"/>
    <col min="104" max="104" width="18.57421875" customWidth="1"/>
    <col min="106" max="106" width="18.57421875" customWidth="1"/>
    <col min="108" max="108" width="18.57421875" customWidth="1"/>
    <col min="110" max="110" width="18.57421875" customWidth="1"/>
    <col min="112" max="112" width="27.57421875" customWidth="1"/>
    <col min="114" max="114" width="18.57421875" customWidth="1"/>
    <col min="116" max="116" width="19.57421875" customWidth="1"/>
    <col min="118" max="118" width="32.00390625" customWidth="1"/>
    <col min="121" max="121" width="34.57421875" customWidth="1"/>
    <col min="123" max="123" width="41.57421875" customWidth="1"/>
    <col min="125" max="125" width="20.57421875" customWidth="1"/>
    <col min="127" max="127" width="10.57421875" customWidth="1"/>
    <col min="129" max="129" width="16.57421875" customWidth="1"/>
    <col min="131" max="131" width="10.57421875" customWidth="1"/>
    <col min="133" max="133" width="14.57421875" customWidth="1"/>
    <col min="135" max="135" width="14.00390625" customWidth="1"/>
    <col min="137" max="137" width="9.57421875" customWidth="1"/>
    <col min="139" max="139" width="15.57421875" customWidth="1"/>
    <col min="141" max="141" width="24.57421875" customWidth="1"/>
    <col min="143" max="143" width="27.57421875" customWidth="1"/>
    <col min="145" max="145" width="11.57421875" customWidth="1"/>
    <col min="147" max="147" width="30.57421875" customWidth="1"/>
    <col min="149" max="149" width="22.57421875" customWidth="1"/>
    <col min="150" max="150" width="9.57421875" customWidth="1"/>
    <col min="151" max="151" width="34.57421875" customWidth="1"/>
    <col min="153" max="153" width="28.00390625" customWidth="1"/>
    <col min="154" max="154" width="9.57421875" customWidth="1"/>
    <col min="155" max="155" width="53.57421875" customWidth="1"/>
    <col min="157" max="157" width="25.00390625" customWidth="1"/>
    <col min="159" max="159" width="29.57421875" customWidth="1"/>
    <col min="161" max="161" width="22.57421875" customWidth="1"/>
    <col min="163" max="163" width="25.57421875" customWidth="1"/>
    <col min="165" max="167" width="17.8515625" customWidth="1"/>
    <col min="169" max="170" width="14.8515625" customWidth="1"/>
    <col min="171" max="171" width="29.57421875" customWidth="1"/>
    <col min="173" max="173" width="29.8515625" customWidth="1"/>
    <col min="175" max="175" width="29.57421875" customWidth="1"/>
    <col min="177" max="177" width="27.57421875" customWidth="1"/>
    <col min="179" max="179" width="32.8515625" customWidth="1"/>
    <col min="181" max="181" width="25.8515625" customWidth="1"/>
    <col min="182" max="182" width="3.140625" customWidth="1"/>
    <col min="183" max="183" width="28.7109375" customWidth="1"/>
    <col min="184" max="184" width="3.140625" customWidth="1"/>
    <col min="185" max="185" width="21.7109375" customWidth="1"/>
    <col min="186" max="186" width="3.140625" customWidth="1"/>
    <col min="187" max="187" width="10.57421875" customWidth="1"/>
    <col min="188" max="188" width="25.00390625" customWidth="1"/>
    <col min="189" max="189" width="3.140625" customWidth="1"/>
    <col min="190" max="190" width="15.7109375" customWidth="1"/>
    <col min="191" max="191" width="3.140625" customWidth="1"/>
    <col min="192" max="192" width="31.140625" customWidth="1"/>
    <col min="193" max="193" width="3.140625" customWidth="1"/>
    <col min="194" max="194" width="24.57421875" customWidth="1"/>
    <col min="195" max="195" width="3.140625" customWidth="1"/>
    <col min="196" max="196" width="16.57421875" customWidth="1"/>
    <col min="197" max="197" width="3.140625" customWidth="1"/>
    <col min="198" max="198" width="16.7109375" customWidth="1"/>
    <col min="199" max="199" width="20.140625" customWidth="1"/>
    <col min="200" max="200" width="35.57421875" customWidth="1"/>
    <col min="201" max="201" width="30.57421875" customWidth="1"/>
    <col min="207" max="207" width="28.57421875" customWidth="1"/>
    <col min="208" max="208" width="43.140625" customWidth="1"/>
    <col min="209" max="209" width="5.8515625" customWidth="1"/>
    <col min="210" max="210" width="40.00390625" customWidth="1"/>
    <col min="211" max="211" width="4.57421875" customWidth="1"/>
    <col min="212" max="212" width="12.28125" customWidth="1"/>
    <col min="214" max="214" width="38.57421875" customWidth="1"/>
    <col min="215" max="215" width="2.7109375" customWidth="1"/>
    <col min="216" max="216" width="34.57421875" customWidth="1"/>
  </cols>
  <sheetData>
    <row r="1" ht="51" customHeight="1">
      <c r="A1" t="s">
        <v>5228</v>
      </c>
      <c r="C1" t="s">
        <v>5229</v>
      </c>
      <c r="E1" t="s">
        <v>379</v>
      </c>
      <c r="G1" t="s">
        <v>387</v>
      </c>
      <c r="I1" t="s">
        <v>1565</v>
      </c>
      <c r="K1" t="s">
        <v>3901</v>
      </c>
      <c r="M1" t="s">
        <v>5230</v>
      </c>
      <c r="O1" t="s">
        <v>5231</v>
      </c>
      <c r="Q1" t="s">
        <v>5232</v>
      </c>
      <c r="S1" t="s">
        <v>5232</v>
      </c>
      <c r="U1" t="s">
        <v>5232</v>
      </c>
      <c r="W1" t="s">
        <v>5232</v>
      </c>
      <c r="Y1" t="s">
        <v>5232</v>
      </c>
      <c r="AA1" t="s">
        <v>5232</v>
      </c>
      <c r="AC1" t="s">
        <v>5232</v>
      </c>
      <c r="AE1" t="s">
        <v>5232</v>
      </c>
      <c r="AG1" t="s">
        <v>5232</v>
      </c>
      <c r="AI1" t="s">
        <v>5233</v>
      </c>
      <c r="AK1" t="s">
        <v>5233</v>
      </c>
      <c r="AM1" t="s">
        <v>5232</v>
      </c>
      <c r="AP1" t="s">
        <v>5233</v>
      </c>
      <c r="AR1" t="s">
        <v>5234</v>
      </c>
      <c r="AT1" t="s">
        <v>5234</v>
      </c>
      <c r="AV1" t="s">
        <v>5232</v>
      </c>
      <c r="AX1" t="s">
        <v>5235</v>
      </c>
      <c r="AZ1" t="s">
        <v>5236</v>
      </c>
      <c r="BB1" t="s">
        <v>5236</v>
      </c>
      <c r="BD1" t="s">
        <v>5237</v>
      </c>
      <c r="BF1" t="s">
        <v>5237</v>
      </c>
      <c r="BH1" t="s">
        <v>5237</v>
      </c>
      <c r="BJ1" t="s">
        <v>5237</v>
      </c>
      <c r="BL1" t="s">
        <v>5238</v>
      </c>
      <c r="BN1" t="s">
        <v>5239</v>
      </c>
      <c r="BP1" t="s">
        <v>5239</v>
      </c>
      <c r="BR1" t="s">
        <v>5239</v>
      </c>
      <c r="BT1" t="s">
        <v>5240</v>
      </c>
      <c r="BV1" t="s">
        <v>5240</v>
      </c>
      <c r="BX1" t="s">
        <v>5232</v>
      </c>
      <c r="CA1" t="s">
        <v>5241</v>
      </c>
      <c r="CC1" t="s">
        <v>5239</v>
      </c>
      <c r="CE1" t="s">
        <v>5239</v>
      </c>
      <c r="CG1" t="s">
        <v>5239</v>
      </c>
      <c r="CI1" t="s">
        <v>5242</v>
      </c>
      <c r="CK1" t="s">
        <v>5243</v>
      </c>
      <c r="CM1" t="s">
        <v>5243</v>
      </c>
      <c r="CP1" t="s">
        <v>5243</v>
      </c>
      <c r="CR1" t="s">
        <v>5243</v>
      </c>
      <c r="CT1" t="s">
        <v>5243</v>
      </c>
      <c r="CV1" t="s">
        <v>5243</v>
      </c>
      <c r="CX1" t="s">
        <v>5243</v>
      </c>
      <c r="CZ1" t="s">
        <v>5243</v>
      </c>
      <c r="DB1" t="s">
        <v>5243</v>
      </c>
      <c r="DD1" t="s">
        <v>5243</v>
      </c>
      <c r="DF1" t="s">
        <v>5243</v>
      </c>
      <c r="DH1" t="s">
        <v>5244</v>
      </c>
      <c r="DJ1" t="s">
        <v>5243</v>
      </c>
      <c r="DL1" t="s">
        <v>5243</v>
      </c>
      <c r="DN1" t="s">
        <v>5243</v>
      </c>
      <c r="DP1" t="s">
        <v>5243</v>
      </c>
      <c r="DU1" t="s">
        <v>5245</v>
      </c>
      <c r="DW1" t="s">
        <v>5244</v>
      </c>
      <c r="DY1" t="s">
        <v>5246</v>
      </c>
      <c r="EA1" t="s">
        <v>5232</v>
      </c>
      <c r="EC1" t="s">
        <v>239</v>
      </c>
      <c r="EE1" t="s">
        <v>5247</v>
      </c>
      <c r="EG1" t="s">
        <v>5248</v>
      </c>
      <c r="EI1" t="s">
        <v>5232</v>
      </c>
      <c r="EK1" t="s">
        <v>5232</v>
      </c>
      <c r="EM1" t="s">
        <v>5249</v>
      </c>
      <c r="EO1" t="s">
        <v>5250</v>
      </c>
      <c r="EQ1" t="s">
        <v>5251</v>
      </c>
      <c r="ES1" t="s">
        <v>5251</v>
      </c>
      <c r="EU1" t="s">
        <v>5251</v>
      </c>
      <c r="EW1" t="s">
        <v>5251</v>
      </c>
      <c r="EY1" t="s">
        <v>5251</v>
      </c>
      <c r="FA1" t="s">
        <v>5252</v>
      </c>
      <c r="FC1" t="s">
        <v>5253</v>
      </c>
      <c r="FE1" t="s">
        <v>5253</v>
      </c>
      <c r="FG1" t="s">
        <v>5240</v>
      </c>
      <c r="FI1" t="s">
        <v>4346</v>
      </c>
      <c r="FK1" t="s">
        <v>4347</v>
      </c>
      <c r="FM1" t="s">
        <v>4363</v>
      </c>
      <c r="FO1" t="s">
        <v>4364</v>
      </c>
      <c r="FQ1" t="s">
        <v>4366</v>
      </c>
      <c r="FS1" t="s">
        <v>4367</v>
      </c>
      <c r="FU1" t="s">
        <v>4368</v>
      </c>
      <c r="FW1" t="s">
        <v>4369</v>
      </c>
      <c r="FY1" t="s">
        <v>4370</v>
      </c>
      <c r="GA1" t="s">
        <v>5254</v>
      </c>
      <c r="GC1" t="s">
        <v>5255</v>
      </c>
      <c r="GE1" t="s">
        <v>5256</v>
      </c>
      <c r="GH1" t="s">
        <v>5257</v>
      </c>
      <c r="GJ1" t="s">
        <v>5258</v>
      </c>
      <c r="GL1" t="s">
        <v>5259</v>
      </c>
      <c r="GN1" t="s">
        <v>5260</v>
      </c>
      <c r="GP1" t="s">
        <v>5261</v>
      </c>
      <c r="GU1" t="s">
        <v>5262</v>
      </c>
      <c r="GV1" t="s">
        <v>5263</v>
      </c>
      <c r="GW1" t="s">
        <v>5264</v>
      </c>
      <c r="GY1" t="s">
        <v>989</v>
      </c>
      <c r="HB1" t="s">
        <v>5265</v>
      </c>
      <c r="HD1" t="s">
        <v>5266</v>
      </c>
      <c r="HG1" t="s">
        <v>5267</v>
      </c>
    </row>
    <row r="2" ht="12.75" customHeight="1">
      <c r="A2" t="s">
        <v>367</v>
      </c>
      <c r="C2" t="s">
        <v>384</v>
      </c>
      <c r="E2" t="s">
        <v>3788</v>
      </c>
      <c r="G2" t="s">
        <v>3772</v>
      </c>
      <c r="I2" t="s">
        <v>293</v>
      </c>
      <c r="O2" t="s">
        <v>5268</v>
      </c>
      <c r="Q2" t="s">
        <v>306</v>
      </c>
      <c r="AM2">
        <v>2</v>
      </c>
      <c r="AN2" t="s">
        <v>1247</v>
      </c>
      <c r="AP2">
        <v>1</v>
      </c>
      <c r="AR2" t="s">
        <v>778</v>
      </c>
      <c r="AT2" t="s">
        <v>5269</v>
      </c>
      <c r="AV2" t="s">
        <v>334</v>
      </c>
      <c r="AX2" t="s">
        <v>3477</v>
      </c>
      <c r="AZ2">
        <f>HOps_1YrBack</f>
        <v>2021</v>
      </c>
      <c r="BB2" t="s">
        <v>5270</v>
      </c>
      <c r="BD2" t="s">
        <v>5271</v>
      </c>
      <c r="BF2" t="s">
        <v>202</v>
      </c>
      <c r="BH2" t="s">
        <v>174</v>
      </c>
      <c r="BJ2" t="s">
        <v>413</v>
      </c>
      <c r="BL2" t="str">
        <f>'Fannie Historical Ops'!B5</f>
        <v>Gross Potential Rent (GPR)</v>
      </c>
      <c r="BN2" t="s">
        <v>5272</v>
      </c>
      <c r="BP2" t="s">
        <v>3807</v>
      </c>
      <c r="BR2" t="s">
        <v>5273</v>
      </c>
      <c r="BT2" t="s">
        <v>5274</v>
      </c>
      <c r="BV2" t="s">
        <v>2802</v>
      </c>
      <c r="BX2" t="s">
        <v>393</v>
      </c>
      <c r="BY2" t="str">
        <f t="shared" si="0" ref="BY2:BY3">BX2</f>
        <v>Standard</v>
      </c>
      <c r="CA2" t="s">
        <v>867</v>
      </c>
      <c r="CC2" t="s">
        <v>393</v>
      </c>
      <c r="CE2" t="s">
        <v>2547</v>
      </c>
      <c r="CG2" t="s">
        <v>5275</v>
      </c>
      <c r="CI2" t="s">
        <v>3167</v>
      </c>
      <c r="CK2" t="s">
        <v>5276</v>
      </c>
      <c r="CM2" t="s">
        <v>5277</v>
      </c>
      <c r="CN2">
        <v>9259465904</v>
      </c>
      <c r="CP2" t="s">
        <v>1252</v>
      </c>
      <c r="CR2" t="s">
        <v>3772</v>
      </c>
      <c r="CT2" t="s">
        <v>388</v>
      </c>
      <c r="CV2" t="s">
        <v>778</v>
      </c>
      <c r="CX2" t="s">
        <v>1252</v>
      </c>
      <c r="CZ2" t="s">
        <v>301</v>
      </c>
      <c r="DB2" t="s">
        <v>3788</v>
      </c>
      <c r="DD2" t="s">
        <v>801</v>
      </c>
      <c r="DF2" t="s">
        <v>393</v>
      </c>
      <c r="DH2" t="s">
        <v>5278</v>
      </c>
      <c r="DJ2" t="s">
        <v>5279</v>
      </c>
      <c r="DL2" t="s">
        <v>1252</v>
      </c>
      <c r="DN2" t="s">
        <v>1252</v>
      </c>
      <c r="DU2" t="s">
        <v>5280</v>
      </c>
      <c r="DW2" t="s">
        <v>174</v>
      </c>
      <c r="DY2" t="s">
        <v>5281</v>
      </c>
      <c r="EA2" t="s">
        <v>3807</v>
      </c>
      <c r="EC2" t="s">
        <v>3222</v>
      </c>
      <c r="EE2" t="s">
        <v>367</v>
      </c>
      <c r="EI2" t="s">
        <v>395</v>
      </c>
      <c r="EK2" t="s">
        <v>5282</v>
      </c>
      <c r="EM2" t="s">
        <v>373</v>
      </c>
      <c r="EO2" s="1">
        <v>42886</v>
      </c>
      <c r="EQ2" t="s">
        <v>5283</v>
      </c>
      <c r="ES2" t="s">
        <v>5284</v>
      </c>
      <c r="EU2" t="s">
        <v>5285</v>
      </c>
      <c r="EW2" t="s">
        <v>801</v>
      </c>
      <c r="EY2" t="s">
        <v>5286</v>
      </c>
      <c r="FA2">
        <v>5</v>
      </c>
      <c r="FC2" t="s">
        <v>5287</v>
      </c>
      <c r="FE2" t="s">
        <v>5288</v>
      </c>
      <c r="FI2" t="s">
        <v>5289</v>
      </c>
      <c r="FK2" t="s">
        <v>5290</v>
      </c>
      <c r="FM2" t="s">
        <v>269</v>
      </c>
      <c r="FO2" t="s">
        <v>5291</v>
      </c>
      <c r="FQ2" t="s">
        <v>269</v>
      </c>
      <c r="FS2">
        <v>0.05</v>
      </c>
      <c r="FU2" t="s">
        <v>5292</v>
      </c>
      <c r="FW2" t="s">
        <v>269</v>
      </c>
      <c r="FY2" t="s">
        <v>269</v>
      </c>
      <c r="GA2" t="s">
        <v>5293</v>
      </c>
      <c r="GC2" t="s">
        <v>5277</v>
      </c>
      <c r="GE2" t="s">
        <v>398</v>
      </c>
      <c r="GF2" t="s">
        <v>5294</v>
      </c>
      <c r="GH2" t="s">
        <v>5271</v>
      </c>
      <c r="GJ2" t="s">
        <v>5295</v>
      </c>
      <c r="GL2" t="s">
        <v>254</v>
      </c>
      <c r="GN2" t="s">
        <v>5295</v>
      </c>
      <c r="GP2" t="s">
        <v>5296</v>
      </c>
      <c r="GQ2" t="s">
        <v>5297</v>
      </c>
      <c r="GR2" t="s">
        <v>5298</v>
      </c>
      <c r="GS2" t="s">
        <v>5299</v>
      </c>
      <c r="GU2" t="s">
        <v>864</v>
      </c>
      <c r="GV2" t="s">
        <v>864</v>
      </c>
      <c r="GW2" t="s">
        <v>864</v>
      </c>
      <c r="GY2" t="s">
        <v>991</v>
      </c>
      <c r="GZ2" t="s">
        <v>992</v>
      </c>
      <c r="HD2" t="s">
        <v>5300</v>
      </c>
    </row>
    <row r="3" ht="12.75" customHeight="1">
      <c r="A3" t="s">
        <v>269</v>
      </c>
      <c r="C3" t="s">
        <v>1214</v>
      </c>
      <c r="E3" t="s">
        <v>5301</v>
      </c>
      <c r="G3" t="s">
        <v>388</v>
      </c>
      <c r="I3" t="s">
        <v>294</v>
      </c>
      <c r="K3" t="s">
        <v>3634</v>
      </c>
      <c r="M3" t="s">
        <v>3779</v>
      </c>
      <c r="O3" t="s">
        <v>5302</v>
      </c>
      <c r="Q3" t="s">
        <v>5303</v>
      </c>
      <c r="S3" t="s">
        <v>380</v>
      </c>
      <c r="U3" t="s">
        <v>393</v>
      </c>
      <c r="W3" t="s">
        <v>384</v>
      </c>
      <c r="Y3" t="s">
        <v>3772</v>
      </c>
      <c r="AA3" t="s">
        <v>294</v>
      </c>
      <c r="AC3" t="s">
        <v>174</v>
      </c>
      <c r="AE3" t="s">
        <v>202</v>
      </c>
      <c r="AG3" t="s">
        <v>3773</v>
      </c>
      <c r="AI3" t="s">
        <v>5304</v>
      </c>
      <c r="AK3" t="s">
        <v>5305</v>
      </c>
      <c r="AM3">
        <v>3</v>
      </c>
      <c r="AN3" t="s">
        <v>873</v>
      </c>
      <c r="AP3">
        <v>2</v>
      </c>
      <c r="AR3" t="s">
        <v>4605</v>
      </c>
      <c r="AT3" t="s">
        <v>3772</v>
      </c>
      <c r="AV3" t="s">
        <v>5306</v>
      </c>
      <c r="AX3" t="s">
        <v>3478</v>
      </c>
      <c r="AZ3" t="str">
        <f>HOps_YTD_or_TR</f>
        <v>TR-12 Statement (9/2022)</v>
      </c>
      <c r="BB3" t="s">
        <v>1863</v>
      </c>
      <c r="BD3" t="s">
        <v>5307</v>
      </c>
      <c r="BF3" t="s">
        <v>5308</v>
      </c>
      <c r="BH3" t="s">
        <v>5309</v>
      </c>
      <c r="BJ3" t="s">
        <v>5310</v>
      </c>
      <c r="BL3" t="str">
        <f>'Fannie Historical Ops'!B6</f>
        <v>Less Vacancy Loss</v>
      </c>
      <c r="BN3" t="s">
        <v>5311</v>
      </c>
      <c r="BP3" t="s">
        <v>393</v>
      </c>
      <c r="BR3" t="s">
        <v>5312</v>
      </c>
      <c r="BT3" t="s">
        <v>5313</v>
      </c>
      <c r="BX3" t="s">
        <v>3760</v>
      </c>
      <c r="BY3" t="str">
        <f t="shared" si="0"/>
        <v>Enhanced Standard</v>
      </c>
      <c r="CA3" t="s">
        <v>873</v>
      </c>
      <c r="CC3" t="s">
        <v>5314</v>
      </c>
      <c r="CE3" t="s">
        <v>2651</v>
      </c>
      <c r="CI3" t="s">
        <v>3166</v>
      </c>
      <c r="CK3" t="s">
        <v>5315</v>
      </c>
      <c r="CM3" t="s">
        <v>5316</v>
      </c>
      <c r="CN3">
        <v>3012155589</v>
      </c>
      <c r="CP3" t="s">
        <v>5317</v>
      </c>
      <c r="CR3" t="s">
        <v>388</v>
      </c>
      <c r="CT3" t="s">
        <v>5318</v>
      </c>
      <c r="CV3" t="s">
        <v>3766</v>
      </c>
      <c r="CX3" t="s">
        <v>5319</v>
      </c>
      <c r="CZ3" t="s">
        <v>5320</v>
      </c>
      <c r="DB3" t="s">
        <v>3789</v>
      </c>
      <c r="DD3" t="s">
        <v>3752</v>
      </c>
      <c r="DF3" t="s">
        <v>5321</v>
      </c>
      <c r="DH3" t="s">
        <v>3752</v>
      </c>
      <c r="DJ3" t="s">
        <v>5322</v>
      </c>
      <c r="DL3" t="s">
        <v>5323</v>
      </c>
      <c r="DN3" t="s">
        <v>5324</v>
      </c>
      <c r="DU3" t="s">
        <v>5325</v>
      </c>
      <c r="DW3">
        <v>2</v>
      </c>
      <c r="DY3" t="s">
        <v>5326</v>
      </c>
      <c r="EA3" t="s">
        <v>393</v>
      </c>
      <c r="EC3" t="s">
        <v>3223</v>
      </c>
      <c r="EE3">
        <v>1</v>
      </c>
      <c r="EG3" t="s">
        <v>5327</v>
      </c>
      <c r="EI3" t="s">
        <v>3750</v>
      </c>
      <c r="EK3" t="s">
        <v>5328</v>
      </c>
      <c r="EM3" t="s">
        <v>5329</v>
      </c>
      <c r="EO3" s="1">
        <f t="shared" si="1" ref="EO3:EO25">DATE(IF(MONTH(EO2)=12,YEAR(EO2)+1,YEAR(EO2)),IF(MONTH(EO2)=12,1,MONTH(EO2)+1),1)</f>
        <v>42887</v>
      </c>
      <c r="EQ3" t="s">
        <v>5330</v>
      </c>
      <c r="ES3" t="s">
        <v>5331</v>
      </c>
      <c r="EU3" t="s">
        <v>5332</v>
      </c>
      <c r="EW3" t="s">
        <v>5333</v>
      </c>
      <c r="EY3" t="s">
        <v>5334</v>
      </c>
      <c r="FA3">
        <v>4</v>
      </c>
      <c r="FC3" t="s">
        <v>5335</v>
      </c>
      <c r="FE3" t="s">
        <v>5336</v>
      </c>
      <c r="FG3" t="s">
        <v>5337</v>
      </c>
      <c r="FI3" t="s">
        <v>5338</v>
      </c>
      <c r="FK3" t="s">
        <v>5271</v>
      </c>
      <c r="FM3" t="s">
        <v>451</v>
      </c>
      <c r="FO3" t="s">
        <v>5339</v>
      </c>
      <c r="FQ3" t="s">
        <v>451</v>
      </c>
      <c r="FS3">
        <v>1</v>
      </c>
      <c r="FU3" t="s">
        <v>5340</v>
      </c>
      <c r="FW3" t="s">
        <v>451</v>
      </c>
      <c r="FY3" t="s">
        <v>451</v>
      </c>
      <c r="GA3" t="s">
        <v>5341</v>
      </c>
      <c r="GC3" t="s">
        <v>5316</v>
      </c>
      <c r="GE3" t="s">
        <v>399</v>
      </c>
      <c r="GF3" t="s">
        <v>5342</v>
      </c>
      <c r="GH3" t="s">
        <v>5307</v>
      </c>
      <c r="GJ3" t="s">
        <v>5343</v>
      </c>
      <c r="GL3" t="s">
        <v>5344</v>
      </c>
      <c r="GN3" t="s">
        <v>5343</v>
      </c>
      <c r="GP3" t="s">
        <v>5345</v>
      </c>
      <c r="GQ3" t="s">
        <v>5346</v>
      </c>
      <c r="GR3" t="s">
        <v>5347</v>
      </c>
      <c r="GS3" t="s">
        <v>5348</v>
      </c>
      <c r="GU3">
        <v>1</v>
      </c>
      <c r="GV3">
        <v>1</v>
      </c>
      <c r="GW3">
        <v>1</v>
      </c>
      <c r="GY3" t="s">
        <v>5349</v>
      </c>
      <c r="GZ3" t="s">
        <v>228</v>
      </c>
      <c r="HB3" t="s">
        <v>1395</v>
      </c>
      <c r="HD3" t="s">
        <v>5350</v>
      </c>
      <c r="HF3" t="s">
        <v>5351</v>
      </c>
      <c r="HH3" t="s">
        <v>5352</v>
      </c>
    </row>
    <row r="4" ht="12.75" customHeight="1">
      <c r="A4" t="s">
        <v>451</v>
      </c>
      <c r="C4" t="s">
        <v>5353</v>
      </c>
      <c r="E4" t="s">
        <v>5354</v>
      </c>
      <c r="G4" t="s">
        <v>4598</v>
      </c>
      <c r="I4" t="s">
        <v>5353</v>
      </c>
      <c r="K4" t="s">
        <v>3902</v>
      </c>
      <c r="M4" t="s">
        <v>5355</v>
      </c>
      <c r="O4" t="s">
        <v>5356</v>
      </c>
      <c r="Q4" t="s">
        <v>5357</v>
      </c>
      <c r="S4" t="s">
        <v>5358</v>
      </c>
      <c r="U4" t="s">
        <v>5359</v>
      </c>
      <c r="W4" t="s">
        <v>5360</v>
      </c>
      <c r="Y4" t="s">
        <v>388</v>
      </c>
      <c r="AA4" t="s">
        <v>293</v>
      </c>
      <c r="AC4" t="s">
        <v>3915</v>
      </c>
      <c r="AE4" t="s">
        <v>3766</v>
      </c>
      <c r="AG4" t="s">
        <v>3774</v>
      </c>
      <c r="AI4" t="s">
        <v>5361</v>
      </c>
      <c r="AK4" t="s">
        <v>5362</v>
      </c>
      <c r="AM4">
        <v>4</v>
      </c>
      <c r="AN4" t="s">
        <v>867</v>
      </c>
      <c r="AP4">
        <v>3</v>
      </c>
      <c r="AR4" t="s">
        <v>3768</v>
      </c>
      <c r="AX4" t="s">
        <v>3479</v>
      </c>
      <c r="AZ4" t="s">
        <v>1870</v>
      </c>
      <c r="BD4" t="s">
        <v>5363</v>
      </c>
      <c r="BF4" t="s">
        <v>3779</v>
      </c>
      <c r="BH4" t="s">
        <v>5364</v>
      </c>
      <c r="BJ4" t="s">
        <v>5365</v>
      </c>
      <c r="BL4" t="str">
        <f>'Fannie Historical Ops'!B7</f>
        <v>Less Bad Debt</v>
      </c>
      <c r="BN4" t="s">
        <v>5366</v>
      </c>
      <c r="BR4" t="s">
        <v>5367</v>
      </c>
      <c r="BX4" t="s">
        <v>5368</v>
      </c>
      <c r="BY4" t="s">
        <v>3761</v>
      </c>
      <c r="CA4" t="s">
        <v>1247</v>
      </c>
      <c r="CE4" t="s">
        <v>5368</v>
      </c>
      <c r="CI4" t="s">
        <v>3181</v>
      </c>
      <c r="CK4" t="s">
        <v>5369</v>
      </c>
      <c r="CM4" t="s">
        <v>5370</v>
      </c>
      <c r="CN4">
        <v>3124282528</v>
      </c>
      <c r="CP4" t="s">
        <v>5371</v>
      </c>
      <c r="CR4" t="s">
        <v>5372</v>
      </c>
      <c r="CT4" t="s">
        <v>5373</v>
      </c>
      <c r="CV4" t="s">
        <v>3767</v>
      </c>
      <c r="CX4" t="s">
        <v>5374</v>
      </c>
      <c r="CZ4" t="s">
        <v>5375</v>
      </c>
      <c r="DB4" t="s">
        <v>5301</v>
      </c>
      <c r="DF4" t="s">
        <v>5376</v>
      </c>
      <c r="DL4" t="s">
        <v>5377</v>
      </c>
      <c r="DN4" t="s">
        <v>5378</v>
      </c>
      <c r="DW4">
        <v>3</v>
      </c>
      <c r="DY4" t="s">
        <v>5379</v>
      </c>
      <c r="EC4" t="s">
        <v>3224</v>
      </c>
      <c r="EE4">
        <v>2</v>
      </c>
      <c r="EI4" t="s">
        <v>3751</v>
      </c>
      <c r="EK4" t="s">
        <v>5380</v>
      </c>
      <c r="EM4" t="s">
        <v>5381</v>
      </c>
      <c r="EO4" s="1">
        <f t="shared" si="1"/>
        <v>42917</v>
      </c>
      <c r="EQ4" t="s">
        <v>5382</v>
      </c>
      <c r="ES4" t="s">
        <v>5383</v>
      </c>
      <c r="EU4" t="s">
        <v>5384</v>
      </c>
      <c r="EW4" t="s">
        <v>5385</v>
      </c>
      <c r="EY4" t="s">
        <v>5386</v>
      </c>
      <c r="FA4">
        <v>3</v>
      </c>
      <c r="FC4" t="s">
        <v>5387</v>
      </c>
      <c r="FE4" t="s">
        <v>5388</v>
      </c>
      <c r="FG4" t="s">
        <v>5389</v>
      </c>
      <c r="FI4" t="s">
        <v>5390</v>
      </c>
      <c r="FO4" t="s">
        <v>5391</v>
      </c>
      <c r="FS4">
        <v>1.01</v>
      </c>
      <c r="FU4" t="s">
        <v>5392</v>
      </c>
      <c r="GA4" t="s">
        <v>5393</v>
      </c>
      <c r="GC4" t="s">
        <v>5394</v>
      </c>
      <c r="GE4" t="s">
        <v>400</v>
      </c>
      <c r="GF4" t="s">
        <v>5395</v>
      </c>
      <c r="GH4" t="s">
        <v>5396</v>
      </c>
      <c r="GJ4" t="s">
        <v>5397</v>
      </c>
      <c r="GL4" t="s">
        <v>5398</v>
      </c>
      <c r="GN4" t="s">
        <v>5399</v>
      </c>
      <c r="GP4" t="s">
        <v>5400</v>
      </c>
      <c r="GQ4" t="s">
        <v>5401</v>
      </c>
      <c r="GR4" t="s">
        <v>5402</v>
      </c>
      <c r="GS4" t="s">
        <v>5403</v>
      </c>
      <c r="GU4">
        <v>2</v>
      </c>
      <c r="GV4">
        <v>2</v>
      </c>
      <c r="GW4">
        <v>2</v>
      </c>
      <c r="GY4" t="s">
        <v>5404</v>
      </c>
      <c r="GZ4" t="s">
        <v>1256</v>
      </c>
      <c r="HB4" t="s">
        <v>1884</v>
      </c>
      <c r="HD4" t="s">
        <v>560</v>
      </c>
      <c r="HF4" t="s">
        <v>5405</v>
      </c>
      <c r="HH4" t="s">
        <v>5406</v>
      </c>
    </row>
    <row r="5" ht="12.75" customHeight="1">
      <c r="A5" t="s">
        <v>257</v>
      </c>
      <c r="E5" t="s">
        <v>5407</v>
      </c>
      <c r="G5" t="s">
        <v>4601</v>
      </c>
      <c r="M5" t="s">
        <v>5408</v>
      </c>
      <c r="O5" t="s">
        <v>5409</v>
      </c>
      <c r="Q5" t="s">
        <v>5410</v>
      </c>
      <c r="S5" t="s">
        <v>5411</v>
      </c>
      <c r="W5" t="s">
        <v>5412</v>
      </c>
      <c r="Y5" t="s">
        <v>5413</v>
      </c>
      <c r="AC5" t="s">
        <v>5414</v>
      </c>
      <c r="AE5" t="s">
        <v>3769</v>
      </c>
      <c r="AG5" t="s">
        <v>3775</v>
      </c>
      <c r="AK5" t="s">
        <v>5415</v>
      </c>
      <c r="AR5" t="s">
        <v>5416</v>
      </c>
      <c r="AX5" t="s">
        <v>3480</v>
      </c>
      <c r="BF5" t="s">
        <v>3768</v>
      </c>
      <c r="BL5" t="str">
        <f>'Fannie Historical Ops'!B8</f>
        <v>Less Concessions</v>
      </c>
      <c r="BX5" t="s">
        <v>5417</v>
      </c>
      <c r="BY5" t="s">
        <v>5418</v>
      </c>
      <c r="CE5" t="s">
        <v>5417</v>
      </c>
      <c r="CI5" t="s">
        <v>3173</v>
      </c>
      <c r="CK5" t="s">
        <v>5419</v>
      </c>
      <c r="CM5" t="s">
        <v>5394</v>
      </c>
      <c r="CN5">
        <v>3012023222</v>
      </c>
      <c r="CR5" t="s">
        <v>5420</v>
      </c>
      <c r="CV5" t="s">
        <v>5421</v>
      </c>
      <c r="CX5" t="s">
        <v>5422</v>
      </c>
      <c r="CZ5" t="s">
        <v>5423</v>
      </c>
      <c r="DB5" t="s">
        <v>5424</v>
      </c>
      <c r="DL5" t="s">
        <v>5425</v>
      </c>
      <c r="DN5" t="s">
        <v>5426</v>
      </c>
      <c r="DW5">
        <v>4</v>
      </c>
      <c r="DY5" t="s">
        <v>5427</v>
      </c>
      <c r="EC5" t="s">
        <v>3225</v>
      </c>
      <c r="EE5">
        <v>3</v>
      </c>
      <c r="EI5" t="s">
        <v>3752</v>
      </c>
      <c r="EO5" s="1">
        <f t="shared" si="1"/>
        <v>42948</v>
      </c>
      <c r="EQ5" t="s">
        <v>5428</v>
      </c>
      <c r="ES5" t="s">
        <v>5429</v>
      </c>
      <c r="EU5" t="s">
        <v>5430</v>
      </c>
      <c r="EW5" t="s">
        <v>3752</v>
      </c>
      <c r="EY5" t="s">
        <v>5431</v>
      </c>
      <c r="FA5" t="s">
        <v>5432</v>
      </c>
      <c r="FC5" t="s">
        <v>5433</v>
      </c>
      <c r="FG5" t="s">
        <v>5434</v>
      </c>
      <c r="FI5" t="s">
        <v>5435</v>
      </c>
      <c r="FO5" t="s">
        <v>5436</v>
      </c>
      <c r="FS5">
        <v>1.1</v>
      </c>
      <c r="FU5" t="s">
        <v>5437</v>
      </c>
      <c r="GA5" t="s">
        <v>5438</v>
      </c>
      <c r="GC5" t="s">
        <v>5370</v>
      </c>
      <c r="GE5" t="s">
        <v>5439</v>
      </c>
      <c r="GF5" t="s">
        <v>5440</v>
      </c>
      <c r="GJ5" t="s">
        <v>5441</v>
      </c>
      <c r="GN5" t="s">
        <v>5442</v>
      </c>
      <c r="GP5" t="s">
        <v>5443</v>
      </c>
      <c r="GQ5" t="s">
        <v>5444</v>
      </c>
      <c r="GR5" t="s">
        <v>5445</v>
      </c>
      <c r="GS5" t="s">
        <v>5446</v>
      </c>
      <c r="GU5">
        <v>3</v>
      </c>
      <c r="GV5">
        <v>3</v>
      </c>
      <c r="GW5">
        <v>3</v>
      </c>
      <c r="GY5" t="s">
        <v>5447</v>
      </c>
      <c r="GZ5" t="s">
        <v>5448</v>
      </c>
      <c r="HB5" t="s">
        <v>1885</v>
      </c>
      <c r="HD5" t="s">
        <v>533</v>
      </c>
      <c r="HF5" t="s">
        <v>840</v>
      </c>
      <c r="HH5" t="s">
        <v>5449</v>
      </c>
    </row>
    <row r="6" ht="12.75" customHeight="1">
      <c r="G6" t="s">
        <v>4602</v>
      </c>
      <c r="M6" t="s">
        <v>236</v>
      </c>
      <c r="S6" t="s">
        <v>5450</v>
      </c>
      <c r="W6" t="s">
        <v>5451</v>
      </c>
      <c r="Y6" t="s">
        <v>5452</v>
      </c>
      <c r="AE6" t="s">
        <v>3767</v>
      </c>
      <c r="AG6" t="s">
        <v>4600</v>
      </c>
      <c r="AK6" t="s">
        <v>5453</v>
      </c>
      <c r="AR6" t="s">
        <v>5454</v>
      </c>
      <c r="AX6" t="s">
        <v>3481</v>
      </c>
      <c r="BF6" t="s">
        <v>1406</v>
      </c>
      <c r="BL6" t="str">
        <f>'Fannie Historical Ops'!B12</f>
        <v>Laundry/Vending Income (Net)</v>
      </c>
      <c r="BX6" t="s">
        <v>5273</v>
      </c>
      <c r="BY6" t="s">
        <v>5455</v>
      </c>
      <c r="CI6" t="s">
        <v>2581</v>
      </c>
      <c r="CK6" t="s">
        <v>5456</v>
      </c>
      <c r="CM6" t="s">
        <v>5457</v>
      </c>
      <c r="CN6">
        <v>6782561426</v>
      </c>
      <c r="CR6" t="s">
        <v>5458</v>
      </c>
      <c r="CV6" t="s">
        <v>3768</v>
      </c>
      <c r="CX6" t="s">
        <v>5459</v>
      </c>
      <c r="DN6" t="s">
        <v>5460</v>
      </c>
      <c r="DY6" t="s">
        <v>5461</v>
      </c>
      <c r="EC6" t="s">
        <v>3226</v>
      </c>
      <c r="EE6">
        <v>4</v>
      </c>
      <c r="EI6" t="s">
        <v>3753</v>
      </c>
      <c r="EO6" s="1">
        <f t="shared" si="1"/>
        <v>42979</v>
      </c>
      <c r="EQ6" t="s">
        <v>5462</v>
      </c>
      <c r="ES6" t="s">
        <v>5463</v>
      </c>
      <c r="EU6" t="s">
        <v>5464</v>
      </c>
      <c r="EW6" t="s">
        <v>5465</v>
      </c>
      <c r="EY6" t="s">
        <v>5466</v>
      </c>
      <c r="FC6" t="s">
        <v>5467</v>
      </c>
      <c r="FG6" t="s">
        <v>236</v>
      </c>
      <c r="FI6" t="s">
        <v>236</v>
      </c>
      <c r="FO6" t="s">
        <v>5468</v>
      </c>
      <c r="FS6">
        <v>1.2</v>
      </c>
      <c r="FU6" t="s">
        <v>5469</v>
      </c>
      <c r="GA6" t="s">
        <v>5470</v>
      </c>
      <c r="GC6" t="s">
        <v>5471</v>
      </c>
      <c r="GE6" t="s">
        <v>5439</v>
      </c>
      <c r="GF6" t="s">
        <v>5472</v>
      </c>
      <c r="GJ6" t="s">
        <v>5473</v>
      </c>
      <c r="GN6" t="s">
        <v>5474</v>
      </c>
      <c r="GP6" t="s">
        <v>5475</v>
      </c>
      <c r="GQ6" t="s">
        <v>5476</v>
      </c>
      <c r="GR6" t="s">
        <v>5477</v>
      </c>
      <c r="GS6" t="s">
        <v>5478</v>
      </c>
      <c r="GU6">
        <v>4</v>
      </c>
      <c r="GV6">
        <v>4</v>
      </c>
      <c r="GW6">
        <v>4</v>
      </c>
      <c r="GY6" t="s">
        <v>5479</v>
      </c>
      <c r="GZ6" t="s">
        <v>5480</v>
      </c>
      <c r="HB6" t="s">
        <v>3006</v>
      </c>
      <c r="HD6" t="s">
        <v>534</v>
      </c>
      <c r="HH6" t="s">
        <v>5481</v>
      </c>
    </row>
    <row r="7" ht="12.75" customHeight="1">
      <c r="G7" t="s">
        <v>4603</v>
      </c>
      <c r="S7" t="s">
        <v>5301</v>
      </c>
      <c r="W7" t="s">
        <v>5482</v>
      </c>
      <c r="Y7" t="s">
        <v>4602</v>
      </c>
      <c r="AE7" t="s">
        <v>3768</v>
      </c>
      <c r="AG7" t="s">
        <v>3776</v>
      </c>
      <c r="AK7" t="s">
        <v>5483</v>
      </c>
      <c r="AR7" t="s">
        <v>5327</v>
      </c>
      <c r="AX7" t="s">
        <v>3482</v>
      </c>
      <c r="BF7" t="s">
        <v>5484</v>
      </c>
      <c r="BL7" t="str">
        <f>'Fannie Historical Ops'!B13</f>
        <v>Parking Income (Net)</v>
      </c>
      <c r="BX7" t="s">
        <v>5312</v>
      </c>
      <c r="BY7" t="s">
        <v>5485</v>
      </c>
      <c r="CI7" t="s">
        <v>2595</v>
      </c>
      <c r="CM7" t="s">
        <v>5486</v>
      </c>
      <c r="CN7">
        <v>3012155527</v>
      </c>
      <c r="CR7" t="s">
        <v>4598</v>
      </c>
      <c r="CV7" t="s">
        <v>5308</v>
      </c>
      <c r="CX7" t="s">
        <v>5487</v>
      </c>
      <c r="EC7" t="s">
        <v>3227</v>
      </c>
      <c r="EE7">
        <v>5</v>
      </c>
      <c r="EI7" t="s">
        <v>3754</v>
      </c>
      <c r="EO7" s="1">
        <f t="shared" si="1"/>
        <v>43009</v>
      </c>
      <c r="EQ7" t="s">
        <v>5488</v>
      </c>
      <c r="ES7" t="s">
        <v>5489</v>
      </c>
      <c r="EU7" t="s">
        <v>5490</v>
      </c>
      <c r="EW7" t="s">
        <v>5491</v>
      </c>
      <c r="EY7" t="s">
        <v>5492</v>
      </c>
      <c r="FC7" t="s">
        <v>3766</v>
      </c>
      <c r="FG7" t="s">
        <v>5493</v>
      </c>
      <c r="FO7" t="s">
        <v>5494</v>
      </c>
      <c r="FS7">
        <v>2</v>
      </c>
      <c r="FU7" t="s">
        <v>5495</v>
      </c>
      <c r="GA7" t="s">
        <v>5496</v>
      </c>
      <c r="GC7" t="s">
        <v>5457</v>
      </c>
      <c r="GE7" t="s">
        <v>398</v>
      </c>
      <c r="GF7" t="s">
        <v>5472</v>
      </c>
      <c r="GJ7" t="s">
        <v>5497</v>
      </c>
      <c r="GN7" t="s">
        <v>1055</v>
      </c>
      <c r="GP7" t="s">
        <v>5498</v>
      </c>
      <c r="GQ7" t="s">
        <v>5499</v>
      </c>
      <c r="GR7" t="s">
        <v>5500</v>
      </c>
      <c r="GS7" t="s">
        <v>5501</v>
      </c>
      <c r="GU7">
        <v>5</v>
      </c>
      <c r="GV7">
        <v>5</v>
      </c>
      <c r="GW7">
        <v>5</v>
      </c>
      <c r="GY7" t="s">
        <v>5502</v>
      </c>
      <c r="GZ7" t="s">
        <v>5503</v>
      </c>
      <c r="HB7" t="s">
        <v>5504</v>
      </c>
      <c r="HD7" t="s">
        <v>535</v>
      </c>
      <c r="HF7" t="s">
        <v>5505</v>
      </c>
      <c r="HH7" t="s">
        <v>5506</v>
      </c>
    </row>
    <row r="8" ht="12.75" customHeight="1">
      <c r="G8" t="s">
        <v>4606</v>
      </c>
      <c r="S8" t="s">
        <v>5407</v>
      </c>
      <c r="Y8" t="s">
        <v>4603</v>
      </c>
      <c r="AE8" t="s">
        <v>4605</v>
      </c>
      <c r="AG8" t="s">
        <v>236</v>
      </c>
      <c r="AK8" t="s">
        <v>5507</v>
      </c>
      <c r="AR8" t="s">
        <v>3766</v>
      </c>
      <c r="AX8" t="s">
        <v>3483</v>
      </c>
      <c r="BF8" t="s">
        <v>5313</v>
      </c>
      <c r="BL8" t="str">
        <f>'Fannie Historical Ops'!B14</f>
        <v>Commercial Income (Net)</v>
      </c>
      <c r="BX8" t="s">
        <v>5508</v>
      </c>
      <c r="BY8" t="s">
        <v>5485</v>
      </c>
      <c r="CI8" t="s">
        <v>2600</v>
      </c>
      <c r="CM8" t="s">
        <v>5509</v>
      </c>
      <c r="CN8">
        <v>7817079340</v>
      </c>
      <c r="EC8" t="s">
        <v>3228</v>
      </c>
      <c r="EI8" t="s">
        <v>3755</v>
      </c>
      <c r="EO8" s="1">
        <f t="shared" si="1"/>
        <v>43040</v>
      </c>
      <c r="EQ8" t="s">
        <v>5510</v>
      </c>
      <c r="ES8" t="s">
        <v>5511</v>
      </c>
      <c r="EU8" t="s">
        <v>5512</v>
      </c>
      <c r="EW8" t="s">
        <v>5513</v>
      </c>
      <c r="EY8" t="s">
        <v>5514</v>
      </c>
      <c r="FC8" t="s">
        <v>5515</v>
      </c>
      <c r="FO8" t="s">
        <v>5516</v>
      </c>
      <c r="FS8">
        <v>3</v>
      </c>
      <c r="FU8" t="s">
        <v>5517</v>
      </c>
      <c r="GC8" t="s">
        <v>5486</v>
      </c>
      <c r="GE8" t="s">
        <v>399</v>
      </c>
      <c r="GF8" t="s">
        <v>5472</v>
      </c>
      <c r="GJ8" t="s">
        <v>5518</v>
      </c>
      <c r="GP8" t="s">
        <v>5519</v>
      </c>
      <c r="GQ8" t="s">
        <v>5520</v>
      </c>
      <c r="GR8" t="s">
        <v>5521</v>
      </c>
      <c r="GS8" t="s">
        <v>5522</v>
      </c>
      <c r="GU8">
        <v>6</v>
      </c>
      <c r="GV8">
        <v>6</v>
      </c>
      <c r="GW8">
        <v>6</v>
      </c>
      <c r="GY8" t="s">
        <v>5523</v>
      </c>
      <c r="GZ8" t="s">
        <v>5524</v>
      </c>
      <c r="HD8" t="s">
        <v>558</v>
      </c>
      <c r="HF8" t="s">
        <v>293</v>
      </c>
      <c r="HH8" t="s">
        <v>5525</v>
      </c>
    </row>
    <row r="9" ht="12.75" customHeight="1">
      <c r="G9" t="s">
        <v>4607</v>
      </c>
      <c r="AK9" t="s">
        <v>5526</v>
      </c>
      <c r="AX9" t="s">
        <v>3484</v>
      </c>
      <c r="BL9" t="str">
        <f>'Fannie Historical Ops'!B16</f>
        <v>RUBS</v>
      </c>
      <c r="CI9" t="s">
        <v>2609</v>
      </c>
      <c r="CM9" t="s">
        <v>5527</v>
      </c>
      <c r="CN9">
        <v>7817079361</v>
      </c>
      <c r="EC9" t="s">
        <v>3229</v>
      </c>
      <c r="EI9" t="s">
        <v>3756</v>
      </c>
      <c r="EO9" s="1">
        <f t="shared" si="1"/>
        <v>43070</v>
      </c>
      <c r="EQ9" t="s">
        <v>5528</v>
      </c>
      <c r="ES9" t="s">
        <v>5529</v>
      </c>
      <c r="EU9" t="s">
        <v>5530</v>
      </c>
      <c r="EW9" t="s">
        <v>5531</v>
      </c>
      <c r="EY9" t="s">
        <v>5532</v>
      </c>
      <c r="FC9" t="s">
        <v>5533</v>
      </c>
      <c r="FO9" t="s">
        <v>5534</v>
      </c>
      <c r="FS9">
        <v>3.1</v>
      </c>
      <c r="FU9" t="s">
        <v>5535</v>
      </c>
      <c r="GC9" t="s">
        <v>5536</v>
      </c>
      <c r="GE9" t="s">
        <v>400</v>
      </c>
      <c r="GF9" s="0" t="s">
        <v>5472</v>
      </c>
      <c r="GJ9" t="s">
        <v>5442</v>
      </c>
      <c r="GP9" t="s">
        <v>5537</v>
      </c>
      <c r="GQ9" t="str">
        <f t="shared" si="2" ref="GQ9:GQ13">_xlfn.CONCAT(GP9,CHAR(10),GR9,CHAR(10),GS9)</f>
        <v>Morgan Dowdy
mdowdy@walkerdunlop.com
804-280-6672</v>
      </c>
      <c r="GR9" t="s">
        <v>5539</v>
      </c>
      <c r="GS9" t="s">
        <v>5540</v>
      </c>
      <c r="GU9">
        <v>7</v>
      </c>
      <c r="GV9">
        <v>7</v>
      </c>
      <c r="GW9">
        <v>7</v>
      </c>
      <c r="GY9" t="s">
        <v>5541</v>
      </c>
      <c r="GZ9" t="s">
        <v>5542</v>
      </c>
      <c r="HB9" t="s">
        <v>1891</v>
      </c>
      <c r="HD9" t="s">
        <v>559</v>
      </c>
      <c r="HF9" t="s">
        <v>294</v>
      </c>
      <c r="HH9" t="s">
        <v>2377</v>
      </c>
    </row>
    <row r="10" ht="12.75" customHeight="1">
      <c r="AK10" t="s">
        <v>5543</v>
      </c>
      <c r="BL10" t="str">
        <f>'Fannie Historical Ops'!B17</f>
        <v>Other Income (Allowable)</v>
      </c>
      <c r="CI10" t="s">
        <v>2611</v>
      </c>
      <c r="CM10" t="s">
        <v>5536</v>
      </c>
      <c r="EC10" t="s">
        <v>5544</v>
      </c>
      <c r="EO10" s="1">
        <f t="shared" si="1"/>
        <v>43101</v>
      </c>
      <c r="EQ10" t="s">
        <v>5545</v>
      </c>
      <c r="ES10" t="s">
        <v>5546</v>
      </c>
      <c r="EU10" t="s">
        <v>5547</v>
      </c>
      <c r="EY10" t="s">
        <v>5548</v>
      </c>
      <c r="FC10" t="s">
        <v>5549</v>
      </c>
      <c r="FO10" t="s">
        <v>5550</v>
      </c>
      <c r="FS10">
        <v>4</v>
      </c>
      <c r="FU10" t="s">
        <v>5551</v>
      </c>
      <c r="GC10" t="s">
        <v>5552</v>
      </c>
      <c r="GJ10" t="s">
        <v>5474</v>
      </c>
      <c r="GP10" t="s">
        <v>5553</v>
      </c>
      <c r="GQ10" t="str">
        <f t="shared" si="2"/>
        <v>Logan Zotovich
lzotovich@walkerdunlop.com
949-271-8548</v>
      </c>
      <c r="GR10" t="s">
        <v>5555</v>
      </c>
      <c r="GS10" t="s">
        <v>5556</v>
      </c>
      <c r="GU10">
        <v>8</v>
      </c>
      <c r="GV10">
        <v>8</v>
      </c>
      <c r="GW10">
        <v>8</v>
      </c>
      <c r="GY10" t="s">
        <v>5557</v>
      </c>
      <c r="GZ10" t="s">
        <v>5558</v>
      </c>
      <c r="HB10" t="s">
        <v>1892</v>
      </c>
      <c r="HD10" t="s">
        <v>5559</v>
      </c>
      <c r="HH10" t="s">
        <v>5560</v>
      </c>
    </row>
    <row r="11" ht="12.75" customHeight="1">
      <c r="BL11" t="str">
        <f>'Fannie Historical Ops'!B18</f>
        <v>App Fee</v>
      </c>
      <c r="CI11" t="s">
        <v>4608</v>
      </c>
      <c r="CM11" t="s">
        <v>5471</v>
      </c>
      <c r="EC11" t="s">
        <v>5561</v>
      </c>
      <c r="EO11" s="1">
        <f t="shared" si="1"/>
        <v>43132</v>
      </c>
      <c r="EQ11" t="s">
        <v>5562</v>
      </c>
      <c r="ES11" t="s">
        <v>5563</v>
      </c>
      <c r="EY11" t="s">
        <v>5564</v>
      </c>
      <c r="FC11" t="s">
        <v>236</v>
      </c>
      <c r="FO11" t="s">
        <v>5565</v>
      </c>
      <c r="FS11">
        <v>5</v>
      </c>
      <c r="FU11" t="s">
        <v>5566</v>
      </c>
      <c r="GC11" t="s">
        <v>5509</v>
      </c>
      <c r="GJ11" t="s">
        <v>5567</v>
      </c>
      <c r="GP11" t="s">
        <v>5568</v>
      </c>
      <c r="GQ11" t="str">
        <f t="shared" si="2"/>
        <v>Mackenzie Kerin
mkerin@walkerdunlop.com
424-220-8455</v>
      </c>
      <c r="GR11" t="s">
        <v>5570</v>
      </c>
      <c r="GS11" t="s">
        <v>5571</v>
      </c>
      <c r="GW11">
        <v>9</v>
      </c>
      <c r="GY11" t="s">
        <v>5572</v>
      </c>
      <c r="GZ11" t="s">
        <v>5573</v>
      </c>
      <c r="HB11" t="s">
        <v>1893</v>
      </c>
      <c r="HF11" t="s">
        <v>5574</v>
      </c>
      <c r="HH11" t="s">
        <v>5575</v>
      </c>
    </row>
    <row r="12" ht="12.75" customHeight="1">
      <c r="BL12" t="str">
        <f>'Fannie Historical Ops'!B19</f>
        <v>Forfeit Deposits</v>
      </c>
      <c r="CI12" t="s">
        <v>4609</v>
      </c>
      <c r="EC12" t="s">
        <v>5576</v>
      </c>
      <c r="EO12" s="1">
        <f t="shared" si="1"/>
        <v>43160</v>
      </c>
      <c r="EQ12" t="s">
        <v>5577</v>
      </c>
      <c r="EY12" t="s">
        <v>5578</v>
      </c>
      <c r="FO12" t="s">
        <v>5579</v>
      </c>
      <c r="FS12">
        <v>6</v>
      </c>
      <c r="FU12" t="s">
        <v>5580</v>
      </c>
      <c r="GC12" t="s">
        <v>5527</v>
      </c>
      <c r="GJ12" t="s">
        <v>5581</v>
      </c>
      <c r="GP12" t="s">
        <v>5582</v>
      </c>
      <c r="GQ12" t="str">
        <f t="shared" si="2"/>
        <v>TJ Spaeth
tjspaeth@walkerdunlop.com,
949-271-8500</v>
      </c>
      <c r="GR12" t="s">
        <v>5584</v>
      </c>
      <c r="GS12" t="s">
        <v>5585</v>
      </c>
      <c r="GW12">
        <v>10</v>
      </c>
      <c r="GY12" t="s">
        <v>5586</v>
      </c>
      <c r="GZ12" t="s">
        <v>5587</v>
      </c>
      <c r="HB12" t="s">
        <v>3007</v>
      </c>
      <c r="HD12" t="s">
        <v>5588</v>
      </c>
      <c r="HF12" t="s">
        <v>5589</v>
      </c>
      <c r="HH12" t="s">
        <v>5590</v>
      </c>
    </row>
    <row r="13" ht="12.75" customHeight="1">
      <c r="BL13" t="str">
        <f>'Fannie Historical Ops'!B20</f>
        <v>Late/Early Term Fees</v>
      </c>
      <c r="CI13" t="s">
        <v>4610</v>
      </c>
      <c r="EC13" t="s">
        <v>5591</v>
      </c>
      <c r="EO13" s="1">
        <f t="shared" si="1"/>
        <v>43191</v>
      </c>
      <c r="EQ13" t="s">
        <v>5592</v>
      </c>
      <c r="EY13" t="s">
        <v>5593</v>
      </c>
      <c r="FO13" t="s">
        <v>5594</v>
      </c>
      <c r="FS13">
        <v>7</v>
      </c>
      <c r="FU13" t="s">
        <v>5595</v>
      </c>
      <c r="GJ13" t="s">
        <v>5596</v>
      </c>
      <c r="GP13" t="s">
        <v>5597</v>
      </c>
      <c r="GQ13" t="str">
        <f t="shared" si="2"/>
        <v>George Melby
gmelby@walkerdunlop.com
301-202-3240</v>
      </c>
      <c r="GR13" t="s">
        <v>5599</v>
      </c>
      <c r="GS13" t="s">
        <v>5600</v>
      </c>
      <c r="GW13">
        <v>11</v>
      </c>
      <c r="GY13" t="s">
        <v>5601</v>
      </c>
      <c r="GZ13" t="s">
        <v>5602</v>
      </c>
      <c r="HB13" t="s">
        <v>3008</v>
      </c>
      <c r="HD13" t="s">
        <v>5603</v>
      </c>
      <c r="HF13" t="s">
        <v>5604</v>
      </c>
      <c r="HH13" t="s">
        <v>5605</v>
      </c>
    </row>
    <row r="14" ht="12.75" customHeight="1">
      <c r="BL14" t="str">
        <f>'Fannie Historical Ops'!B21</f>
        <v>Pet Deposits</v>
      </c>
      <c r="CI14" t="s">
        <v>4611</v>
      </c>
      <c r="EC14" t="s">
        <v>5606</v>
      </c>
      <c r="EO14" s="1">
        <f t="shared" si="1"/>
        <v>43221</v>
      </c>
      <c r="EQ14" t="s">
        <v>5607</v>
      </c>
      <c r="FO14" t="s">
        <v>1252</v>
      </c>
      <c r="FS14">
        <v>2011</v>
      </c>
      <c r="FU14" t="s">
        <v>5608</v>
      </c>
      <c r="GJ14" t="s">
        <v>1055</v>
      </c>
      <c r="GP14" t="s">
        <v>209</v>
      </c>
      <c r="GQ14" t="s">
        <v>889</v>
      </c>
      <c r="GR14" t="s">
        <v>2010</v>
      </c>
      <c r="GS14" t="s">
        <v>2011</v>
      </c>
      <c r="GW14">
        <v>12</v>
      </c>
      <c r="GY14" t="s">
        <v>5609</v>
      </c>
      <c r="GZ14" t="s">
        <v>3275</v>
      </c>
      <c r="HB14" t="s">
        <v>1896</v>
      </c>
      <c r="HF14" t="s">
        <v>5610</v>
      </c>
      <c r="HH14" t="s">
        <v>5611</v>
      </c>
    </row>
    <row r="15" ht="12.75" customHeight="1">
      <c r="BL15" t="str">
        <f>'Fannie Historical Ops'!B22</f>
        <v>Premiums</v>
      </c>
      <c r="CI15" t="s">
        <v>4612</v>
      </c>
      <c r="EC15" t="s">
        <v>5612</v>
      </c>
      <c r="EO15" s="1">
        <f t="shared" si="1"/>
        <v>43252</v>
      </c>
      <c r="FS15">
        <v>2012</v>
      </c>
      <c r="FU15" t="s">
        <v>5613</v>
      </c>
      <c r="GZ15" t="s">
        <v>5614</v>
      </c>
      <c r="HB15" t="str">
        <f>'Fannie Historical Ops'!$B$18</f>
        <v>App Fee</v>
      </c>
      <c r="HD15" t="s">
        <v>5615</v>
      </c>
      <c r="HF15" t="s">
        <v>5616</v>
      </c>
      <c r="HH15" t="s">
        <v>5617</v>
      </c>
    </row>
    <row r="16" ht="15" customHeight="1">
      <c r="BL16" t="str">
        <f>'Fannie Historical Ops'!B23</f>
        <v>Corporate Prem.</v>
      </c>
      <c r="CI16" t="s">
        <v>4613</v>
      </c>
      <c r="EC16" t="s">
        <v>5618</v>
      </c>
      <c r="EO16" s="1">
        <f t="shared" si="1"/>
        <v>43282</v>
      </c>
      <c r="FS16">
        <v>2014</v>
      </c>
      <c r="FU16" t="s">
        <v>5619</v>
      </c>
      <c r="GZ16" t="s">
        <v>5620</v>
      </c>
      <c r="HB16" t="str">
        <f>'Fannie Historical Ops'!$B$19</f>
        <v>Forfeit Deposits</v>
      </c>
      <c r="HD16" t="s">
        <v>5621</v>
      </c>
      <c r="HF16" t="s">
        <v>5622</v>
      </c>
      <c r="HH16" t="s">
        <v>5623</v>
      </c>
    </row>
    <row r="17" ht="15" customHeight="1">
      <c r="BL17" t="str">
        <f>'Fannie Historical Ops'!B24</f>
        <v>Community Fee</v>
      </c>
      <c r="CI17" t="s">
        <v>4614</v>
      </c>
      <c r="EC17" t="s">
        <v>5624</v>
      </c>
      <c r="EO17" s="1">
        <f t="shared" si="1"/>
        <v>43313</v>
      </c>
      <c r="FS17">
        <v>2015</v>
      </c>
      <c r="FU17" t="s">
        <v>5625</v>
      </c>
      <c r="GZ17" t="s">
        <v>5626</v>
      </c>
      <c r="HB17" t="str">
        <f>'Fannie Historical Ops'!$B$20</f>
        <v>Late/Early Term Fees</v>
      </c>
      <c r="HD17" t="s">
        <v>5627</v>
      </c>
      <c r="HF17" t="s">
        <v>2100</v>
      </c>
      <c r="HH17" t="s">
        <v>5628</v>
      </c>
    </row>
    <row r="18" ht="15" customHeight="1">
      <c r="BL18" t="str">
        <f>'Fannie Historical Ops'!B25</f>
        <v>Second Occupant</v>
      </c>
      <c r="CI18" t="s">
        <v>4615</v>
      </c>
      <c r="EO18" s="1">
        <f t="shared" si="1"/>
        <v>43344</v>
      </c>
      <c r="FS18">
        <v>2016</v>
      </c>
      <c r="FU18" t="s">
        <v>5629</v>
      </c>
      <c r="GZ18" t="s">
        <v>5609</v>
      </c>
      <c r="HB18" t="str">
        <f>'Fannie Historical Ops'!$B$21</f>
        <v>Pet Deposits</v>
      </c>
      <c r="HF18" t="s">
        <v>2101</v>
      </c>
      <c r="HH18" t="s">
        <v>5630</v>
      </c>
    </row>
    <row r="19" ht="15" customHeight="1">
      <c r="BL19" t="str">
        <f>'Fannie Historical Ops'!B26</f>
        <v>Respite Care</v>
      </c>
      <c r="CI19" t="s">
        <v>4616</v>
      </c>
      <c r="EO19" s="1">
        <f t="shared" si="1"/>
        <v>43374</v>
      </c>
      <c r="FS19">
        <v>2018</v>
      </c>
      <c r="FU19" t="s">
        <v>5631</v>
      </c>
      <c r="HB19" t="s">
        <v>1901</v>
      </c>
      <c r="HD19" t="s">
        <v>5632</v>
      </c>
      <c r="HF19" t="s">
        <v>2388</v>
      </c>
      <c r="HH19" t="s">
        <v>5633</v>
      </c>
    </row>
    <row r="20" ht="15" customHeight="1">
      <c r="BL20" t="str">
        <f>'Fannie Historical Ops'!B27</f>
        <v>Support Plans (AL/ALZ)</v>
      </c>
      <c r="CI20" t="s">
        <v>4617</v>
      </c>
      <c r="EO20" s="1">
        <f t="shared" si="1"/>
        <v>43405</v>
      </c>
      <c r="FS20" t="s">
        <v>5634</v>
      </c>
      <c r="FU20" t="s">
        <v>5635</v>
      </c>
      <c r="HB20" t="s">
        <v>1902</v>
      </c>
      <c r="HD20" t="s">
        <v>5636</v>
      </c>
      <c r="HH20" t="s">
        <v>5637</v>
      </c>
    </row>
    <row r="21" ht="15" customHeight="1">
      <c r="BL21" t="str">
        <f>'Fannie Historical Ops'!B28</f>
        <v>Unallowable</v>
      </c>
      <c r="CI21" t="s">
        <v>4618</v>
      </c>
      <c r="EO21" s="1">
        <f t="shared" si="1"/>
        <v>43435</v>
      </c>
      <c r="FS21" t="s">
        <v>5638</v>
      </c>
      <c r="FU21" t="s">
        <v>5639</v>
      </c>
      <c r="HB21" t="s">
        <v>1907</v>
      </c>
      <c r="HD21" t="s">
        <v>5640</v>
      </c>
      <c r="HF21" t="s">
        <v>5641</v>
      </c>
      <c r="HH21" t="s">
        <v>5642</v>
      </c>
    </row>
    <row r="22" ht="15" customHeight="1">
      <c r="BK22">
        <f>'Fannie Historical Ops'!A33</f>
        <v>1</v>
      </c>
      <c r="BL22" t="str">
        <f>'Fannie Historical Ops'!B33</f>
        <v>Real Estate Taxes</v>
      </c>
      <c r="CI22" t="s">
        <v>4619</v>
      </c>
      <c r="EO22" s="1">
        <f t="shared" si="1"/>
        <v>43466</v>
      </c>
      <c r="FS22" t="s">
        <v>5643</v>
      </c>
      <c r="FU22" t="s">
        <v>5644</v>
      </c>
      <c r="HF22" t="s">
        <v>174</v>
      </c>
      <c r="HH22" t="s">
        <v>5645</v>
      </c>
    </row>
    <row r="23" ht="15" customHeight="1">
      <c r="BK23">
        <f>'Fannie Historical Ops'!A34</f>
        <v>2</v>
      </c>
      <c r="BL23" t="str">
        <f>'Fannie Historical Ops'!B34</f>
        <v>Other Taxes or Assessments</v>
      </c>
      <c r="CI23" t="s">
        <v>4620</v>
      </c>
      <c r="EO23" s="1">
        <f t="shared" si="1"/>
        <v>43497</v>
      </c>
      <c r="FS23" t="s">
        <v>5646</v>
      </c>
      <c r="FU23" t="s">
        <v>5647</v>
      </c>
      <c r="HB23" t="s">
        <v>1800</v>
      </c>
      <c r="HD23" t="s">
        <v>5648</v>
      </c>
      <c r="HF23" t="s">
        <v>5649</v>
      </c>
      <c r="HH23" t="s">
        <v>5650</v>
      </c>
    </row>
    <row r="24" ht="15" customHeight="1">
      <c r="BK24">
        <f>'Fannie Historical Ops'!A35</f>
        <v>3</v>
      </c>
      <c r="BL24" t="str">
        <f>'Fannie Historical Ops'!B35</f>
        <v>Property Insurance</v>
      </c>
      <c r="CI24" t="s">
        <v>4621</v>
      </c>
      <c r="EO24" s="1">
        <f t="shared" si="1"/>
        <v>43525</v>
      </c>
      <c r="FS24" t="s">
        <v>5651</v>
      </c>
      <c r="FU24" t="s">
        <v>1252</v>
      </c>
      <c r="HB24" t="s">
        <v>1910</v>
      </c>
      <c r="HD24" t="s">
        <v>5652</v>
      </c>
      <c r="HF24" t="s">
        <v>5653</v>
      </c>
      <c r="HH24" t="s">
        <v>5654</v>
      </c>
    </row>
    <row r="25" ht="15" customHeight="1">
      <c r="BK25">
        <f>'Fannie Historical Ops'!A36</f>
        <v>4</v>
      </c>
      <c r="BL25" t="str">
        <f>'Fannie Historical Ops'!B36</f>
        <v>Licenses</v>
      </c>
      <c r="CI25" t="s">
        <v>4622</v>
      </c>
      <c r="EO25" s="1">
        <f t="shared" si="1"/>
        <v>43556</v>
      </c>
      <c r="FS25" t="s">
        <v>5655</v>
      </c>
      <c r="HB25" t="s">
        <v>1492</v>
      </c>
      <c r="HD25" t="s">
        <v>5656</v>
      </c>
      <c r="HF25" t="s">
        <v>5657</v>
      </c>
      <c r="HH25" t="s">
        <v>5658</v>
      </c>
    </row>
    <row r="26" ht="15" customHeight="1">
      <c r="BK26">
        <f>'Fannie Historical Ops'!A37</f>
        <v>5</v>
      </c>
      <c r="BL26" t="str">
        <f>'Fannie Historical Ops'!B37</f>
        <v>Ground Rent</v>
      </c>
      <c r="CI26" t="s">
        <v>4623</v>
      </c>
      <c r="FS26" t="s">
        <v>5659</v>
      </c>
      <c r="HB26" t="s">
        <v>1911</v>
      </c>
      <c r="HD26" t="s">
        <v>5660</v>
      </c>
      <c r="HF26" t="s">
        <v>5661</v>
      </c>
      <c r="HH26" t="s">
        <v>5662</v>
      </c>
    </row>
    <row r="27" ht="15" customHeight="1">
      <c r="BK27">
        <f>'Fannie Historical Ops'!A40</f>
        <v>6</v>
      </c>
      <c r="BL27" t="str">
        <f>'Fannie Historical Ops'!B40</f>
        <v>Trash Removal (including contract)</v>
      </c>
      <c r="CI27" t="s">
        <v>4624</v>
      </c>
      <c r="HB27" t="s">
        <v>1912</v>
      </c>
      <c r="HF27" t="s">
        <v>5663</v>
      </c>
      <c r="HH27" t="s">
        <v>5664</v>
      </c>
    </row>
    <row r="28" ht="15" customHeight="1">
      <c r="BK28">
        <f>'Fannie Historical Ops'!A41</f>
        <v>7</v>
      </c>
      <c r="BL28" t="str">
        <f>'Fannie Historical Ops'!B41</f>
        <v>Gas / Fuel / Other</v>
      </c>
      <c r="CI28" t="s">
        <v>4625</v>
      </c>
      <c r="HB28" t="s">
        <v>1914</v>
      </c>
      <c r="HD28" t="s">
        <v>5665</v>
      </c>
      <c r="HF28" t="s">
        <v>5666</v>
      </c>
      <c r="HH28" t="s">
        <v>5667</v>
      </c>
    </row>
    <row r="29" ht="15" customHeight="1">
      <c r="BK29">
        <f>'Fannie Historical Ops'!A42</f>
        <v>8</v>
      </c>
      <c r="BL29" t="str">
        <f>'Fannie Historical Ops'!B42</f>
        <v>Electricity</v>
      </c>
      <c r="CI29" t="s">
        <v>4626</v>
      </c>
      <c r="HB29" t="s">
        <v>1915</v>
      </c>
      <c r="HD29" t="s">
        <v>5668</v>
      </c>
      <c r="HF29" t="s">
        <v>5669</v>
      </c>
      <c r="HH29" t="s">
        <v>5670</v>
      </c>
    </row>
    <row r="30" ht="15" customHeight="1">
      <c r="BK30">
        <f>'Fannie Historical Ops'!A43</f>
        <v>9</v>
      </c>
      <c r="BL30" t="str">
        <f>'Fannie Historical Ops'!B43</f>
        <v>Water &amp; Sewer</v>
      </c>
      <c r="CI30" t="s">
        <v>501</v>
      </c>
      <c r="HB30" t="s">
        <v>1817</v>
      </c>
      <c r="HD30" t="s">
        <v>5671</v>
      </c>
      <c r="HF30" t="s">
        <v>5672</v>
      </c>
      <c r="HH30" t="s">
        <v>5673</v>
      </c>
    </row>
    <row r="31" ht="15" customHeight="1">
      <c r="BK31">
        <f>'Fannie Historical Ops'!A44</f>
        <v>10</v>
      </c>
      <c r="BL31" t="str">
        <f>'Fannie Historical Ops'!B44</f>
        <v>Pest Control</v>
      </c>
      <c r="CI31" t="s">
        <v>4627</v>
      </c>
      <c r="HB31" t="s">
        <v>1419</v>
      </c>
      <c r="HD31" t="s">
        <v>5674</v>
      </c>
      <c r="HF31" t="s">
        <v>5675</v>
      </c>
      <c r="HH31" t="s">
        <v>5676</v>
      </c>
    </row>
    <row r="32" ht="15" customHeight="1">
      <c r="BK32">
        <f>'Fannie Historical Ops'!A45</f>
        <v>11</v>
      </c>
      <c r="BL32" t="str">
        <f>'Fannie Historical Ops'!B45</f>
        <v>Bldg. Maint. &amp; Repair</v>
      </c>
      <c r="CI32" t="s">
        <v>4628</v>
      </c>
      <c r="HB32" t="s">
        <v>1823</v>
      </c>
      <c r="HF32" t="s">
        <v>5675</v>
      </c>
      <c r="HH32" t="s">
        <v>5677</v>
      </c>
    </row>
    <row r="33" ht="15" customHeight="1">
      <c r="BK33">
        <f>'Fannie Historical Ops'!A46</f>
        <v>12</v>
      </c>
      <c r="BL33" t="str">
        <f>'Fannie Historical Ops'!B46</f>
        <v>Paint/Decorating/Turnover</v>
      </c>
      <c r="CI33" t="s">
        <v>4629</v>
      </c>
      <c r="HB33" t="s">
        <v>1824</v>
      </c>
      <c r="HD33" t="s">
        <v>5678</v>
      </c>
      <c r="HH33" t="s">
        <v>5679</v>
      </c>
    </row>
    <row r="34" ht="15" customHeight="1">
      <c r="BK34">
        <f>'Fannie Historical Ops'!A47</f>
        <v>13</v>
      </c>
      <c r="BL34" t="str">
        <f>'Fannie Historical Ops'!B47</f>
        <v>Elevator Maintenance</v>
      </c>
      <c r="CI34" t="s">
        <v>4630</v>
      </c>
      <c r="HB34" t="s">
        <v>1916</v>
      </c>
      <c r="HD34" t="s">
        <v>5680</v>
      </c>
      <c r="HF34" t="s">
        <v>5681</v>
      </c>
      <c r="HH34" t="s">
        <v>5682</v>
      </c>
    </row>
    <row r="35" ht="15" customHeight="1">
      <c r="BK35">
        <f>'Fannie Historical Ops'!A48</f>
        <v>14</v>
      </c>
      <c r="BL35" t="str">
        <f>'Fannie Historical Ops'!B48</f>
        <v>Pool Maintenance</v>
      </c>
      <c r="CI35" t="s">
        <v>4631</v>
      </c>
      <c r="HB35" t="s">
        <v>1827</v>
      </c>
      <c r="HD35" t="s">
        <v>5683</v>
      </c>
      <c r="HF35" t="s">
        <v>174</v>
      </c>
      <c r="HH35" t="s">
        <v>5684</v>
      </c>
    </row>
    <row r="36" ht="15" customHeight="1">
      <c r="BK36">
        <f>'Fannie Historical Ops'!A49</f>
        <v>15</v>
      </c>
      <c r="BL36" t="str">
        <f>'Fannie Historical Ops'!B49</f>
        <v>Park'g Maint/Snow/Other</v>
      </c>
      <c r="CI36" t="s">
        <v>4632</v>
      </c>
      <c r="HB36" t="s">
        <v>1917</v>
      </c>
      <c r="HD36" t="s">
        <v>5685</v>
      </c>
      <c r="HF36" t="s">
        <v>5686</v>
      </c>
      <c r="HH36" t="s">
        <v>5687</v>
      </c>
    </row>
    <row r="37" ht="15" customHeight="1">
      <c r="BK37">
        <f>'Fannie Historical Ops'!A50</f>
        <v>16</v>
      </c>
      <c r="BL37" t="str">
        <f>'Fannie Historical Ops'!B50</f>
        <v>Gardening/Landscape</v>
      </c>
      <c r="CI37" t="s">
        <v>4633</v>
      </c>
      <c r="HB37" t="s">
        <v>1918</v>
      </c>
      <c r="HF37" t="s">
        <v>5688</v>
      </c>
      <c r="HH37" t="s">
        <v>5689</v>
      </c>
    </row>
    <row r="38" ht="15" customHeight="1">
      <c r="BK38">
        <f>'Fannie Historical Ops'!A51</f>
        <v>17</v>
      </c>
      <c r="BL38" t="str">
        <f>'Fannie Historical Ops'!B51</f>
        <v>Management Fees</v>
      </c>
      <c r="CI38" t="s">
        <v>4634</v>
      </c>
      <c r="HB38" t="s">
        <v>1919</v>
      </c>
      <c r="HF38" t="s">
        <v>5690</v>
      </c>
      <c r="HH38" t="s">
        <v>5691</v>
      </c>
    </row>
    <row r="39" ht="15" customHeight="1">
      <c r="BK39">
        <f>'Fannie Historical Ops'!A52</f>
        <v>18</v>
      </c>
      <c r="BL39" t="str">
        <f>'Fannie Historical Ops'!B52</f>
        <v>Manager Salary</v>
      </c>
      <c r="CI39" t="s">
        <v>4635</v>
      </c>
      <c r="HB39" t="s">
        <v>1920</v>
      </c>
      <c r="HF39" t="s">
        <v>5692</v>
      </c>
      <c r="HH39" t="s">
        <v>5693</v>
      </c>
    </row>
    <row r="40" ht="15" customHeight="1">
      <c r="BK40">
        <f>'Fannie Historical Ops'!A53</f>
        <v>19</v>
      </c>
      <c r="BL40" t="str">
        <f>'Fannie Historical Ops'!B53</f>
        <v>Other Leasing Salaries</v>
      </c>
      <c r="CI40" t="s">
        <v>4636</v>
      </c>
      <c r="HB40" t="str">
        <f>'Fannie Historical Ops'!$B$52</f>
        <v>Manager Salary</v>
      </c>
      <c r="HF40" t="s">
        <v>5694</v>
      </c>
      <c r="HH40" t="s">
        <v>5695</v>
      </c>
    </row>
    <row r="41" ht="15" customHeight="1">
      <c r="BK41">
        <f>'Fannie Historical Ops'!A54</f>
        <v>20</v>
      </c>
      <c r="BL41" t="str">
        <f>'Fannie Historical Ops'!B54</f>
        <v>Maintenance Super Salary</v>
      </c>
      <c r="CI41" t="s">
        <v>4637</v>
      </c>
      <c r="HB41" t="str">
        <f>'Fannie Historical Ops'!$B$53</f>
        <v>Other Leasing Salaries</v>
      </c>
      <c r="HF41" t="s">
        <v>5696</v>
      </c>
      <c r="HH41" t="s">
        <v>5697</v>
      </c>
    </row>
    <row r="42" ht="15" customHeight="1">
      <c r="BK42">
        <f>'Fannie Historical Ops'!A55</f>
        <v>21</v>
      </c>
      <c r="BL42" t="str">
        <f>'Fannie Historical Ops'!B55</f>
        <v>Other Maintenance Salaries</v>
      </c>
      <c r="CI42" t="s">
        <v>4638</v>
      </c>
      <c r="HB42" t="str">
        <f>'Fannie Historical Ops'!$B$54</f>
        <v>Maintenance Super Salary</v>
      </c>
      <c r="HF42" t="s">
        <v>5698</v>
      </c>
      <c r="HH42" t="s">
        <v>5699</v>
      </c>
    </row>
    <row r="43" ht="15" customHeight="1">
      <c r="BK43">
        <f>'Fannie Historical Ops'!A56</f>
        <v>22</v>
      </c>
      <c r="BL43" t="str">
        <f>'Fannie Historical Ops'!B56</f>
        <v>Apartment Allowances</v>
      </c>
      <c r="CI43" t="s">
        <v>4639</v>
      </c>
      <c r="HB43" t="str">
        <f>'Fannie Historical Ops'!$B$55</f>
        <v>Other Maintenance Salaries</v>
      </c>
      <c r="HF43" t="s">
        <v>5700</v>
      </c>
      <c r="HH43" t="s">
        <v>5701</v>
      </c>
    </row>
    <row r="44" ht="15" customHeight="1">
      <c r="BK44">
        <f>'Fannie Historical Ops'!A57</f>
        <v>23</v>
      </c>
      <c r="BL44" t="str">
        <f>'Fannie Historical Ops'!B57</f>
        <v>Bonuses/Commissions/Other</v>
      </c>
      <c r="CI44" t="s">
        <v>4640</v>
      </c>
      <c r="HB44" t="str">
        <f>IF('Fannie Historical Ops'!$B$56="Apartment Allowances","Apartment Allowances (income line item)","Care Services Wages")</f>
        <v>Apartment Allowances (income line item)</v>
      </c>
      <c r="HF44" t="s">
        <v>5703</v>
      </c>
      <c r="HH44" t="s">
        <v>5704</v>
      </c>
    </row>
    <row r="45" ht="15" customHeight="1">
      <c r="BK45">
        <f>'Fannie Historical Ops'!A58</f>
        <v>24</v>
      </c>
      <c r="BL45" t="str">
        <f>'Fannie Historical Ops'!B58</f>
        <v>Benefits &amp; Payroll Taxes</v>
      </c>
      <c r="CI45" t="s">
        <v>4641</v>
      </c>
      <c r="HB45" t="str">
        <f>IF('Fannie Historical Ops'!$B$56="Apartment Allowances","Apartment Allowances (expense line item)","")</f>
        <v>Apartment Allowances (expense line item)</v>
      </c>
      <c r="HF45" t="s">
        <v>5706</v>
      </c>
      <c r="HH45" t="s">
        <v>5707</v>
      </c>
    </row>
    <row r="46" ht="15" customHeight="1">
      <c r="BK46">
        <f>'Fannie Historical Ops'!A59</f>
        <v>25</v>
      </c>
      <c r="BL46" t="str">
        <f>'Fannie Historical Ops'!B59</f>
        <v>Advertising &amp; Marketing</v>
      </c>
      <c r="CI46" t="s">
        <v>4642</v>
      </c>
      <c r="HB46" t="str">
        <f>'Fannie Historical Ops'!$B$57</f>
        <v>Bonuses/Commissions/Other</v>
      </c>
      <c r="HF46" t="s">
        <v>5708</v>
      </c>
      <c r="HH46" t="s">
        <v>5709</v>
      </c>
    </row>
    <row r="47" ht="15" customHeight="1">
      <c r="BK47">
        <f>'Fannie Historical Ops'!A60</f>
        <v>26</v>
      </c>
      <c r="BL47" t="str">
        <f>'Fannie Historical Ops'!B60</f>
        <v>Professional Fees</v>
      </c>
      <c r="CI47" t="s">
        <v>4643</v>
      </c>
      <c r="HB47" t="str">
        <f>'Fannie Historical Ops'!$B$58</f>
        <v>Benefits &amp; Payroll Taxes</v>
      </c>
      <c r="HF47" t="s">
        <v>5710</v>
      </c>
      <c r="HH47" t="s">
        <v>5711</v>
      </c>
    </row>
    <row r="48" ht="15" customHeight="1">
      <c r="BK48">
        <f>'Fannie Historical Ops'!A61</f>
        <v>26</v>
      </c>
      <c r="BL48" t="str">
        <f>'Fannie Historical Ops'!B61</f>
        <v>Meals Expense (Seniors Only)</v>
      </c>
      <c r="CI48" t="s">
        <v>4644</v>
      </c>
      <c r="HB48" t="s">
        <v>1929</v>
      </c>
      <c r="HF48" t="s">
        <v>5712</v>
      </c>
      <c r="HH48" t="s">
        <v>5713</v>
      </c>
    </row>
    <row r="49" ht="15" customHeight="1">
      <c r="BK49">
        <f>'Fannie Historical Ops'!A62</f>
        <v>26</v>
      </c>
      <c r="BL49" t="str">
        <f>'Fannie Historical Ops'!B62</f>
        <v>Room Expense - House Keeping (Seniors Only)</v>
      </c>
      <c r="CI49" t="s">
        <v>4645</v>
      </c>
      <c r="HB49" t="s">
        <v>1930</v>
      </c>
      <c r="HF49" t="s">
        <v>5405</v>
      </c>
      <c r="HH49" t="s">
        <v>5714</v>
      </c>
    </row>
    <row r="50" ht="15" customHeight="1">
      <c r="BK50">
        <f>'Fannie Historical Ops'!A63</f>
        <v>27</v>
      </c>
      <c r="BL50" t="str">
        <f>'Fannie Historical Ops'!B63</f>
        <v>General Administrative</v>
      </c>
      <c r="CI50" t="s">
        <v>4646</v>
      </c>
      <c r="HB50" t="s">
        <v>1933</v>
      </c>
      <c r="HF50" t="s">
        <v>5715</v>
      </c>
      <c r="HH50" t="s">
        <v>5716</v>
      </c>
    </row>
    <row r="51" ht="15" customHeight="1">
      <c r="BK51">
        <f>'Fannie Historical Ops'!A64</f>
        <v>28</v>
      </c>
      <c r="BL51" t="str">
        <f>'Fannie Historical Ops'!B64</f>
        <v>Office / Model Apts.</v>
      </c>
      <c r="CI51" t="s">
        <v>4647</v>
      </c>
      <c r="HB51" t="s">
        <v>5717</v>
      </c>
      <c r="HF51" t="s">
        <v>840</v>
      </c>
      <c r="HH51" t="s">
        <v>5718</v>
      </c>
    </row>
    <row r="52" ht="15" customHeight="1">
      <c r="BK52">
        <f>'Fannie Historical Ops'!A65</f>
        <v>29</v>
      </c>
      <c r="BL52" t="str">
        <f>'Fannie Historical Ops'!B65</f>
        <v>Telephone / Cable</v>
      </c>
      <c r="CI52" t="s">
        <v>4648</v>
      </c>
      <c r="HB52" t="s">
        <v>5719</v>
      </c>
      <c r="HH52" t="s">
        <v>5720</v>
      </c>
    </row>
    <row r="53" ht="15" customHeight="1">
      <c r="BK53">
        <f>'Fannie Historical Ops'!A66</f>
        <v>30</v>
      </c>
      <c r="BL53" t="str">
        <f>'Fannie Historical Ops'!B66</f>
        <v>Security Contract</v>
      </c>
      <c r="CI53" t="s">
        <v>4649</v>
      </c>
      <c r="HB53" t="s">
        <v>1935</v>
      </c>
      <c r="HF53" t="s">
        <v>5721</v>
      </c>
      <c r="HH53" t="s">
        <v>5722</v>
      </c>
    </row>
    <row r="54" ht="15" customHeight="1">
      <c r="BK54">
        <f>'Fannie Historical Ops'!A67</f>
        <v>31</v>
      </c>
      <c r="BL54" t="str">
        <f>'Fannie Historical Ops'!B67</f>
        <v>Other Administrative</v>
      </c>
      <c r="CI54" t="s">
        <v>4650</v>
      </c>
      <c r="HB54" t="s">
        <v>1936</v>
      </c>
      <c r="HF54" t="s">
        <v>384</v>
      </c>
      <c r="HH54" t="s">
        <v>5723</v>
      </c>
    </row>
    <row r="55" ht="15" customHeight="1">
      <c r="BK55">
        <f>'Fannie Historical Ops'!A68</f>
        <v>32</v>
      </c>
      <c r="BL55" t="str">
        <f>'Fannie Historical Ops'!B68</f>
        <v>Other Expense</v>
      </c>
      <c r="CI55" t="s">
        <v>4651</v>
      </c>
      <c r="HB55" t="str">
        <f>'Fannie Historical Ops'!$B$67</f>
        <v>Other Administrative</v>
      </c>
      <c r="HF55" t="s">
        <v>1214</v>
      </c>
      <c r="HH55" t="s">
        <v>5724</v>
      </c>
    </row>
    <row r="56" ht="15" customHeight="1">
      <c r="BL56" t="str">
        <f>'Fannie Historical Ops'!B73</f>
        <v>Capital Expenditures (Replacement Reserves)</v>
      </c>
      <c r="CI56" t="s">
        <v>290</v>
      </c>
      <c r="HB56" t="s">
        <v>1938</v>
      </c>
      <c r="HH56" t="s">
        <v>5725</v>
      </c>
    </row>
    <row r="57" ht="15" customHeight="1">
      <c r="BL57" t="str">
        <f>'Fannie Historical Ops'!B82</f>
        <v>BL-Interest</v>
      </c>
      <c r="HF57" t="s">
        <v>5726</v>
      </c>
      <c r="HH57" t="s">
        <v>5727</v>
      </c>
    </row>
    <row r="58" ht="15" customHeight="1">
      <c r="BL58" t="str">
        <f>'Fannie Historical Ops'!B83</f>
        <v>BL-Principal</v>
      </c>
      <c r="HB58" t="s">
        <v>1939</v>
      </c>
      <c r="HF58" t="s">
        <v>202</v>
      </c>
      <c r="HH58" t="s">
        <v>5728</v>
      </c>
    </row>
    <row r="59" ht="15" customHeight="1">
      <c r="BL59" t="str">
        <f>'Fannie Historical Ops'!B84</f>
        <v>BL-Depreciation</v>
      </c>
      <c r="HB59" t="s">
        <v>1956</v>
      </c>
      <c r="HF59" t="s">
        <v>5729</v>
      </c>
      <c r="HH59" t="s">
        <v>5730</v>
      </c>
    </row>
    <row r="60" ht="15" customHeight="1">
      <c r="BL60" t="str">
        <f>'Fannie Historical Ops'!B85</f>
        <v>BL-Other 1</v>
      </c>
      <c r="HF60" t="s">
        <v>3768</v>
      </c>
    </row>
    <row r="61" ht="15" customHeight="1">
      <c r="BL61" t="str">
        <f>'Fannie Historical Ops'!B86</f>
        <v>BL-Other 2</v>
      </c>
      <c r="HB61" t="s">
        <v>1952</v>
      </c>
      <c r="HF61" t="s">
        <v>5733</v>
      </c>
      <c r="HH61" t="s">
        <v>5734</v>
      </c>
    </row>
    <row r="62" ht="15" customHeight="1">
      <c r="BL62" t="str">
        <f>'Fannie Historical Ops'!B87</f>
        <v>BL-Other 3</v>
      </c>
      <c r="HB62" t="s">
        <v>1953</v>
      </c>
      <c r="HH62" t="s">
        <v>174</v>
      </c>
    </row>
    <row r="63" ht="15" customHeight="1">
      <c r="BL63" t="str">
        <f>'Fannie Historical Ops'!B88</f>
        <v>BL-Other 4</v>
      </c>
      <c r="HB63" t="s">
        <v>5737</v>
      </c>
      <c r="HF63" t="s">
        <v>5738</v>
      </c>
      <c r="HH63" t="s">
        <v>5739</v>
      </c>
    </row>
    <row r="64" ht="15" customHeight="1">
      <c r="BL64" t="s">
        <v>5740</v>
      </c>
      <c r="HF64" t="s">
        <v>5741</v>
      </c>
      <c r="HH64" t="s">
        <v>5742</v>
      </c>
    </row>
    <row r="65" ht="15" customHeight="1">
      <c r="BL65" t="s">
        <v>5743</v>
      </c>
      <c r="HB65" t="s">
        <v>5744</v>
      </c>
      <c r="HF65" t="s">
        <v>5745</v>
      </c>
      <c r="HH65" t="s">
        <v>5746</v>
      </c>
    </row>
    <row r="66" ht="15" customHeight="1">
      <c r="HB66" t="s">
        <v>1944</v>
      </c>
      <c r="HF66" t="s">
        <v>5747</v>
      </c>
      <c r="HH66" t="s">
        <v>5748</v>
      </c>
    </row>
    <row r="67" ht="15" customHeight="1">
      <c r="HB67" t="s">
        <v>1945</v>
      </c>
      <c r="HF67" t="s">
        <v>5749</v>
      </c>
      <c r="HH67" t="s">
        <v>5750</v>
      </c>
    </row>
    <row r="68" ht="15" customHeight="1">
      <c r="HB68" t="s">
        <v>1946</v>
      </c>
      <c r="HF68" t="s">
        <v>5751</v>
      </c>
      <c r="HH68" t="s">
        <v>5752</v>
      </c>
    </row>
    <row r="69" ht="15" customHeight="1">
      <c r="HB69" t="str">
        <f>'Fannie Historical Ops'!$B$85</f>
        <v>BL-Other 1</v>
      </c>
      <c r="HF69" t="s">
        <v>5751</v>
      </c>
      <c r="HH69" t="s">
        <v>5754</v>
      </c>
    </row>
    <row r="70" ht="15" customHeight="1">
      <c r="HB70" t="str">
        <f>'Fannie Historical Ops'!$B$86</f>
        <v>BL-Other 2</v>
      </c>
      <c r="HF70" t="s">
        <v>5756</v>
      </c>
    </row>
    <row r="71" ht="15" customHeight="1">
      <c r="HB71" t="str">
        <f>'Fannie Historical Ops'!$B$87</f>
        <v>BL-Other 3</v>
      </c>
      <c r="HF71" t="s">
        <v>5758</v>
      </c>
    </row>
    <row r="72" ht="15" customHeight="1">
      <c r="HB72" t="str">
        <f>'Fannie Historical Ops'!$B$88</f>
        <v>BL-Other 4</v>
      </c>
      <c r="HF72" t="s">
        <v>5760</v>
      </c>
    </row>
    <row r="73" ht="15" customHeight="1">
      <c r="HF73" t="s">
        <v>5761</v>
      </c>
    </row>
    <row r="74" ht="15" customHeight="1">
      <c r="HF74" t="s">
        <v>5762</v>
      </c>
    </row>
    <row r="75" ht="15" customHeight="1">
      <c r="HB75" t="s">
        <v>5763</v>
      </c>
      <c r="HF75" t="s">
        <v>5764</v>
      </c>
    </row>
    <row r="76" ht="15" customHeight="1">
      <c r="HB76" t="str">
        <f>'Fannie Historical Ops'!$B$24</f>
        <v>Community Fee</v>
      </c>
      <c r="HF76" t="s">
        <v>5765</v>
      </c>
    </row>
    <row r="77" ht="15" customHeight="1">
      <c r="HB77" t="str">
        <f>'Fannie Historical Ops'!$B$25</f>
        <v>Second Occupant</v>
      </c>
      <c r="HF77" t="s">
        <v>5766</v>
      </c>
    </row>
    <row r="78" ht="15" customHeight="1">
      <c r="HB78" t="str">
        <f>'Fannie Historical Ops'!$B$26</f>
        <v>Respite Care</v>
      </c>
      <c r="HF78" t="s">
        <v>5767</v>
      </c>
    </row>
    <row r="79" ht="15" customHeight="1">
      <c r="HB79" t="str">
        <f>'Fannie Historical Ops'!$B$27</f>
        <v>Support Plans (AL/ALZ)</v>
      </c>
      <c r="HF79" t="s">
        <v>5768</v>
      </c>
    </row>
    <row r="80" ht="15" customHeight="1">
      <c r="HF80" t="s">
        <v>5769</v>
      </c>
    </row>
    <row r="81" ht="15" customHeight="1">
      <c r="HB81" t="s">
        <v>5770</v>
      </c>
      <c r="HF81" t="s">
        <v>5771</v>
      </c>
    </row>
    <row r="82" ht="15" customHeight="1">
      <c r="HB82" t="s">
        <v>1931</v>
      </c>
      <c r="HF82" t="s">
        <v>5772</v>
      </c>
    </row>
    <row r="83" ht="15" customHeight="1">
      <c r="HB83" t="s">
        <v>1932</v>
      </c>
      <c r="HF83" t="s">
        <v>5773</v>
      </c>
    </row>
    <row r="84" ht="15" customHeight="1">
      <c r="HF84" t="s">
        <v>5774</v>
      </c>
    </row>
    <row r="85" ht="15" customHeight="1">
      <c r="HF85" t="s">
        <v>5775</v>
      </c>
    </row>
    <row r="86" ht="15" customHeight="1">
      <c r="HF86" t="s">
        <v>5776</v>
      </c>
    </row>
    <row r="87" ht="15" customHeight="1">
      <c r="HF87" t="s">
        <v>5777</v>
      </c>
    </row>
    <row r="88" ht="15" customHeight="1">
      <c r="HF88" t="s">
        <v>5778</v>
      </c>
    </row>
    <row r="89" ht="15" customHeight="1">
      <c r="HF89" t="s">
        <v>5779</v>
      </c>
    </row>
    <row r="90" ht="15" customHeight="1">
      <c r="HF90" t="s">
        <v>5780</v>
      </c>
    </row>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sheetData>
  <hyperlinks>
    <hyperlink ref="GF9" r:id="rId1" display="tedwards@walkerdunlop.com"/>
  </hyperlinks>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F36388C-D5F4-11DE-33EE-2890C3EA551F}" mc:Ignorable="x14ac xr xr2 xr3">
  <sheetPr>
    <tabColor theme="0" tint="-0.5"/>
  </sheetPr>
  <dimension ref="A1:Q261"/>
  <sheetViews>
    <sheetView topLeftCell="A1" workbookViewId="0">
      <selection activeCell="B1" sqref="B1"/>
    </sheetView>
  </sheetViews>
  <sheetFormatPr defaultRowHeight="14.497499999999997" defaultColWidth="8.8515625" customHeight="1"/>
  <cols>
    <col min="1" max="1" width="37.7109375" customWidth="1"/>
    <col min="2" max="2" width="39.00390625" customWidth="1"/>
    <col min="3" max="3" width="27.57421875" customWidth="1"/>
    <col min="4" max="4" width="18.57421875" customWidth="1"/>
    <col min="5" max="5" width="12.57421875" customWidth="1"/>
    <col min="6" max="6" width="10.57421875" customWidth="1"/>
    <col min="7" max="7" width="17.57421875" customWidth="1"/>
    <col min="9" max="9" width="15.57421875" customWidth="1"/>
    <col min="10" max="10" width="11.57421875" customWidth="1"/>
    <col min="11" max="11" width="17.57421875" customWidth="1"/>
  </cols>
  <sheetData>
    <row r="1" ht="14.25" customHeight="1"/>
    <row r="2" ht="14.25" customHeight="1">
      <c r="A2" t="s">
        <v>5781</v>
      </c>
      <c r="B2" t="str">
        <f t="shared" si="0" ref="B2:B8">PropertyName_DataPageTab</f>
        <v>XXXX</v>
      </c>
    </row>
    <row r="3" ht="14.25" customHeight="1">
      <c r="A3" t="s">
        <v>570</v>
      </c>
      <c r="B3">
        <f>Address_DataPageTab</f>
      </c>
    </row>
    <row r="4" ht="14.25" customHeight="1">
      <c r="A4" t="s">
        <v>581</v>
      </c>
      <c r="B4" t="str">
        <f t="shared" si="1" ref="B4:B9">City_DataPageTab&amp;", "&amp;State_DataPageTab</f>
        <v>City, XX</v>
      </c>
    </row>
    <row r="5" ht="14.25" customHeight="1">
      <c r="A5" t="s">
        <v>680</v>
      </c>
      <c r="B5">
        <f t="shared" si="3" ref="B5:B14">MSA_DataPageTab</f>
      </c>
    </row>
    <row r="6" ht="14.25" customHeight="1">
      <c r="A6" t="s">
        <v>5782</v>
      </c>
      <c r="B6" s="1">
        <f>TODAY()</f>
        <v>45189</v>
      </c>
    </row>
    <row r="7" ht="14.25" customHeight="1"/>
    <row r="8" ht="14.25" customHeight="1">
      <c r="A8" t="s">
        <v>5783</v>
      </c>
      <c r="B8" t="str">
        <f t="shared" si="0"/>
        <v>XXXX</v>
      </c>
    </row>
    <row r="9" ht="14.25" customHeight="1">
      <c r="A9" t="s">
        <v>5784</v>
      </c>
      <c r="B9" t="str">
        <f t="shared" si="1"/>
        <v>City, XX</v>
      </c>
    </row>
    <row r="10" ht="14.25" customHeight="1"/>
    <row r="11" ht="14.25" customHeight="1">
      <c r="A11" t="s">
        <v>189</v>
      </c>
      <c r="B11">
        <f t="shared" si="2" ref="B11:B102">TotalUnits</f>
        <v>85</v>
      </c>
    </row>
    <row r="12" ht="14.25" customHeight="1">
      <c r="A12" t="s">
        <v>5785</v>
      </c>
      <c r="B12">
        <f t="shared" si="2"/>
        <v>85</v>
      </c>
    </row>
    <row r="13" ht="14.25" customHeight="1">
      <c r="A13" t="s">
        <v>660</v>
      </c>
      <c r="B13" t="str">
        <f t="shared" si="4" ref="B13:B79">YearBuilt_DataPageTab</f>
        <v>XXXX</v>
      </c>
    </row>
    <row r="14" ht="14.25" customHeight="1">
      <c r="A14" t="s">
        <v>5786</v>
      </c>
      <c r="B14">
        <f t="shared" si="3"/>
      </c>
    </row>
    <row r="15" ht="14.25" customHeight="1">
      <c r="A15" t="s">
        <v>239</v>
      </c>
      <c r="B15" t="str">
        <f>Sponsor_Name</f>
        <v>XXXX</v>
      </c>
    </row>
    <row r="16" ht="14.25" customHeight="1">
      <c r="A16" t="s">
        <v>248</v>
      </c>
      <c r="B16" t="str">
        <f t="shared" si="7" ref="B16:B169">Management_Company</f>
        <v>XXXX</v>
      </c>
    </row>
    <row r="17" ht="14.25" customHeight="1">
      <c r="A17" t="s">
        <v>572</v>
      </c>
      <c r="B17">
        <f>_xlfn.IFERROR(LoanAmount,0)</f>
        <v>0</v>
      </c>
    </row>
    <row r="18" ht="14.25" customHeight="1">
      <c r="A18" t="s">
        <v>5787</v>
      </c>
      <c r="B18">
        <f>_xlfn.IFERROR('Data Page'!N70,0)</f>
        <v>0</v>
      </c>
    </row>
    <row r="19" ht="14.25" customHeight="1">
      <c r="A19" t="s">
        <v>204</v>
      </c>
      <c r="B19" t="e">
        <f>Requested_Tier</f>
        <v>#NAME?</v>
      </c>
    </row>
    <row r="20" ht="14.25" customHeight="1">
      <c r="A20" t="s">
        <v>5788</v>
      </c>
      <c r="B20" t="str">
        <f>Loan_Purpose</f>
        <v>Refinance</v>
      </c>
    </row>
    <row r="21" ht="14.25" customHeight="1">
      <c r="A21" t="s">
        <v>5789</v>
      </c>
      <c r="B21">
        <f>_xlfn.IFERROR('Data Page'!H31,0)</f>
        <v>0</v>
      </c>
    </row>
    <row r="22" ht="14.25" customHeight="1">
      <c r="A22" t="s">
        <v>5790</v>
      </c>
      <c r="B22">
        <f>_xlfn.IFERROR('Data Page'!K31,0)</f>
        <v>0</v>
      </c>
    </row>
    <row r="23" ht="14.25" customHeight="1">
      <c r="A23" t="s">
        <v>392</v>
      </c>
      <c r="B23" t="str">
        <f>'Data Page'!E45</f>
        <v>Standard</v>
      </c>
    </row>
    <row r="24" ht="14.25" customHeight="1">
      <c r="A24" t="s">
        <v>471</v>
      </c>
      <c r="B24" t="e">
        <f>NoteRate*100</f>
        <v>#NAME?</v>
      </c>
    </row>
    <row r="25" ht="14.25" customHeight="1">
      <c r="A25" t="s">
        <v>950</v>
      </c>
      <c r="B25" t="e">
        <f>FloorRate*100</f>
        <v>#NAME?</v>
      </c>
    </row>
    <row r="26" ht="14.25" customHeight="1">
      <c r="A26" t="s">
        <v>5791</v>
      </c>
      <c r="B26" t="str">
        <f>IF(TX_ESCRW="No","Yes","No")</f>
        <v>No</v>
      </c>
    </row>
    <row r="27" ht="14.25" customHeight="1">
      <c r="A27" t="s">
        <v>5792</v>
      </c>
      <c r="B27" t="str">
        <f>IF(INS_ESCRW="No","Yes","No")</f>
        <v>No</v>
      </c>
    </row>
    <row r="28" ht="14.25" customHeight="1">
      <c r="A28" t="s">
        <v>449</v>
      </c>
      <c r="B28">
        <f>_xlfn.IFERROR(ROUNDDOWN(LTV*100,2),0)</f>
        <v>0</v>
      </c>
    </row>
    <row r="29" ht="14.25" customHeight="1">
      <c r="A29" t="s">
        <v>932</v>
      </c>
      <c r="B29">
        <f>_xlfn.IFERROR(ROUNDDOWN(Tier_Max_LTV*100,2),0)</f>
        <v>75</v>
      </c>
    </row>
    <row r="30" ht="14.25" customHeight="1">
      <c r="A30" t="s">
        <v>5793</v>
      </c>
    </row>
    <row r="31" ht="14.25" customHeight="1">
      <c r="A31" t="s">
        <v>5794</v>
      </c>
    </row>
    <row r="32" ht="14.25" customHeight="1">
      <c r="A32" t="s">
        <v>1394</v>
      </c>
      <c r="B32" t="e">
        <f>Term</f>
        <v>#NAME?</v>
      </c>
    </row>
    <row r="33" ht="14.25" customHeight="1">
      <c r="A33" t="s">
        <v>5795</v>
      </c>
      <c r="B33">
        <f>YieldMaintenance</f>
        <v>9.5</v>
      </c>
    </row>
    <row r="34" ht="14.25" customHeight="1">
      <c r="A34" t="s">
        <v>394</v>
      </c>
      <c r="B34" t="str">
        <f>YM_Type</f>
        <v>YM - Standard</v>
      </c>
    </row>
    <row r="35" ht="14.25" customHeight="1">
      <c r="A35" t="s">
        <v>220</v>
      </c>
      <c r="B35" t="e">
        <f>Amort</f>
        <v>#NAME?</v>
      </c>
    </row>
    <row r="36" ht="14.25" customHeight="1">
      <c r="A36" t="s">
        <v>5796</v>
      </c>
      <c r="B36" t="e">
        <f>InterestOnly</f>
        <v>#NAME?</v>
      </c>
    </row>
    <row r="37" ht="14.25" customHeight="1">
      <c r="A37" t="s">
        <v>383</v>
      </c>
      <c r="B37" t="str">
        <f>Interest_Rate_Type</f>
        <v>Fixed</v>
      </c>
    </row>
    <row r="38" ht="14.25" customHeight="1">
      <c r="A38" t="s">
        <v>5797</v>
      </c>
    </row>
    <row r="39" ht="14.25" customHeight="1">
      <c r="A39" t="s">
        <v>5798</v>
      </c>
      <c r="B39" t="str">
        <f>'Engineering schedule'!F50</f>
        <v>No</v>
      </c>
    </row>
    <row r="40" ht="14.25" customHeight="1">
      <c r="A40" t="s">
        <v>5799</v>
      </c>
      <c r="B40" t="str">
        <f>'Engineering schedule'!F79</f>
        <v>No</v>
      </c>
    </row>
    <row r="41" ht="14.25" customHeight="1">
      <c r="A41" t="s">
        <v>5800</v>
      </c>
      <c r="B41" t="str">
        <f>_xlfn.IFERROR(IF(Loan_Purpose="Refinance","N/A",ROUNDDOWN(Loan_to_Cost*100,2)),0)</f>
        <v>N/A</v>
      </c>
    </row>
    <row r="42" ht="14.25" customHeight="1">
      <c r="A42" t="s">
        <v>417</v>
      </c>
      <c r="B42">
        <f>_xlfn.IFERROR(ROUNDDOWN(Debt_Yield*100,2),"Error")</f>
        <v>0</v>
      </c>
    </row>
    <row r="43" ht="14.25" customHeight="1">
      <c r="A43" t="s">
        <v>372</v>
      </c>
      <c r="B43" t="str">
        <f>Delegated_Level</f>
        <v>Delegated</v>
      </c>
    </row>
    <row r="44" ht="14.25" customHeight="1">
      <c r="A44" t="s">
        <v>5801</v>
      </c>
      <c r="B44" t="str">
        <f>IF(Delegated_Level="Performance Differentiation","Yes","No")</f>
        <v>No</v>
      </c>
    </row>
    <row r="45" ht="14.25" customHeight="1">
      <c r="A45" t="s">
        <v>5802</v>
      </c>
      <c r="B45" t="e">
        <f>ROUNDDOWN(Requested_Floor_UW_DSCR,2)</f>
        <v>#NAME?</v>
      </c>
    </row>
    <row r="46" ht="14.25" customHeight="1">
      <c r="A46" t="s">
        <v>5803</v>
      </c>
      <c r="B46" t="e">
        <f>ROUNDDOWN(Requested_Actual_UW_DSCR,2)</f>
        <v>#NAME?</v>
      </c>
    </row>
    <row r="47" ht="14.25" customHeight="1">
      <c r="A47" t="s">
        <v>5804</v>
      </c>
      <c r="B47">
        <f>_xlfn.IFERROR(ROUNDDOWN(Floor_UW_DSCR,2),"Error")</f>
        <v>0</v>
      </c>
    </row>
    <row r="48" ht="14.25" customHeight="1">
      <c r="A48" t="s">
        <v>5805</v>
      </c>
      <c r="B48">
        <f>_xlfn.IFERROR(ROUNDDOWN(Actual_UW_DSCR,2),"Error")</f>
        <v>0</v>
      </c>
    </row>
    <row r="49" ht="14.25" customHeight="1">
      <c r="A49" t="s">
        <v>5806</v>
      </c>
      <c r="B49" t="s">
        <v>174</v>
      </c>
    </row>
    <row r="50" ht="14.25" customHeight="1">
      <c r="A50" t="s">
        <v>5807</v>
      </c>
      <c r="B50">
        <f>_xlfn.IFERROR(ROUNDDOWN(IO_UW_DSCR,2),"Error")</f>
        <v>0</v>
      </c>
    </row>
    <row r="51" ht="14.25" customHeight="1">
      <c r="A51" t="s">
        <v>5808</v>
      </c>
      <c r="B51" t="str">
        <f>_xlfn.IFERROR(ROUNDDOWN(_xlfn.SINGLE(DataPage_Variable_Min_Stress_UW_DSCR),2),"Error")</f>
        <v>Error</v>
      </c>
    </row>
    <row r="52" ht="14.25" customHeight="1">
      <c r="A52" t="s">
        <v>5810</v>
      </c>
      <c r="B52" t="str">
        <f>_xlfn.IFERROR(ROUNDDOWN(Variable_Min_Pay_UW_DSCR,2),"Error")</f>
        <v>Error</v>
      </c>
    </row>
    <row r="53" ht="14.25" customHeight="1">
      <c r="A53" t="s">
        <v>5811</v>
      </c>
      <c r="B53" t="str">
        <f>_xlfn.IFERROR(ROUNDDOWN(Variable_Requested_Stress_UW_DSCR,2),"Error")</f>
        <v>Error</v>
      </c>
    </row>
    <row r="54" ht="14.25" customHeight="1">
      <c r="A54" t="s">
        <v>5812</v>
      </c>
      <c r="B54" t="str">
        <f>_xlfn.IFERROR(ROUNDDOWN(Variable_Requested_Pay_UW_DSCR,2),"Error")</f>
        <v>Error</v>
      </c>
    </row>
    <row r="55" ht="14.25" customHeight="1">
      <c r="A55" t="s">
        <v>5813</v>
      </c>
      <c r="B55" t="s">
        <v>174</v>
      </c>
    </row>
    <row r="56" ht="14.25" customHeight="1">
      <c r="A56" t="s">
        <v>5814</v>
      </c>
      <c r="B56" t="str">
        <f>_xlfn.IFERROR(ROUNDDOWN(#REF!,2),"Error")</f>
        <v>Error</v>
      </c>
    </row>
    <row r="57" ht="14.25" customHeight="1">
      <c r="A57" t="s">
        <v>5815</v>
      </c>
      <c r="B57">
        <f>_xlfn.IFERROR('Data Page'!AO10,0)</f>
        <v>0</v>
      </c>
    </row>
    <row r="58" ht="14.25" customHeight="1">
      <c r="A58" t="s">
        <v>5816</v>
      </c>
      <c r="B58">
        <f>_xlfn.IFERROR('Data Page'!AO11,0)</f>
        <v>0</v>
      </c>
    </row>
    <row r="59" ht="14.25" customHeight="1">
      <c r="A59" t="s">
        <v>5817</v>
      </c>
      <c r="B59">
        <f>_xlfn.IFERROR('Data Page'!AO14,0)</f>
        <v>0</v>
      </c>
    </row>
    <row r="60" ht="14.25" customHeight="1">
      <c r="A60" t="s">
        <v>5818</v>
      </c>
      <c r="B60" t="str">
        <f>'Data Page'!AK17</f>
        <v>Existing UPB</v>
      </c>
    </row>
    <row r="61" ht="14.25" customHeight="1">
      <c r="A61" t="s">
        <v>5819</v>
      </c>
      <c r="B61">
        <f>'Data Page'!AO17</f>
        <v>0</v>
      </c>
    </row>
    <row r="62" ht="14.25" customHeight="1">
      <c r="A62" t="s">
        <v>5820</v>
      </c>
      <c r="B62">
        <f>IF('Data Page'!H23="If Refinance",'Data Page'!AO18,"N/A")</f>
        <v>0</v>
      </c>
    </row>
    <row r="63" ht="14.25" customHeight="1">
      <c r="A63" t="s">
        <v>5821</v>
      </c>
      <c r="B63">
        <f>'Data Page'!AO30</f>
        <v>0</v>
      </c>
    </row>
    <row r="64" ht="14.25" customHeight="1">
      <c r="A64" t="s">
        <v>5822</v>
      </c>
      <c r="B64" t="str">
        <f>_xlfn.IFERROR('Data Page'!AO21+'Data Page'!AO22,"Error")</f>
        <v>Error</v>
      </c>
    </row>
    <row r="65" ht="14.25" customHeight="1">
      <c r="A65" t="s">
        <v>5823</v>
      </c>
      <c r="B65" t="str">
        <f>TEXT(('Data Page'!AM21+'Data Page'!AM22),"0.00%")</f>
        <v>2.00%</v>
      </c>
    </row>
    <row r="66" ht="14.25" customHeight="1">
      <c r="A66" t="s">
        <v>5824</v>
      </c>
      <c r="B66" t="str">
        <f>TEXT(('Data Page'!AM21+'Data Page'!AM22),"0.00%")</f>
        <v>2.00%</v>
      </c>
    </row>
    <row r="67" ht="14.25" customHeight="1">
      <c r="A67" t="s">
        <v>5825</v>
      </c>
      <c r="B67" t="e">
        <f>GuarantyFee*100</f>
        <v>#NAME?</v>
      </c>
    </row>
    <row r="68" ht="14.25" customHeight="1">
      <c r="A68" t="s">
        <v>5826</v>
      </c>
      <c r="B68" t="e">
        <f>ServicingFee*100</f>
        <v>#NAME?</v>
      </c>
    </row>
    <row r="69" ht="14.25" customHeight="1">
      <c r="A69" t="s">
        <v>5827</v>
      </c>
      <c r="B69">
        <f>'Data Page'!AO23+'Data Page'!AO24+'Data Page'!AO25+'Data Page'!AO26+'Data Page'!AO29+'Data Page'!AO32</f>
        <v>48000</v>
      </c>
    </row>
    <row r="70" ht="14.25" customHeight="1">
      <c r="A70" t="s">
        <v>5828</v>
      </c>
      <c r="B70">
        <f>'Data Page'!AO28</f>
        <v>0</v>
      </c>
    </row>
    <row r="71" ht="14.25" customHeight="1">
      <c r="A71" t="s">
        <v>5829</v>
      </c>
      <c r="B71">
        <f>'Data Page'!AO27</f>
        <v>0</v>
      </c>
    </row>
    <row r="72" ht="14.25" customHeight="1">
      <c r="A72" t="s">
        <v>5830</v>
      </c>
      <c r="B72">
        <f>_xlfn.IFERROR('Data Page'!AO33,0)</f>
        <v>0</v>
      </c>
    </row>
    <row r="73" ht="14.25" customHeight="1">
      <c r="A73" t="s">
        <v>5831</v>
      </c>
      <c r="B73">
        <f>_xlfn.IFERROR('Data Page'!AO35,0)</f>
        <v>0</v>
      </c>
    </row>
    <row r="74" ht="14.25" customHeight="1">
      <c r="A74" t="s">
        <v>5248</v>
      </c>
      <c r="B74">
        <f>IF('Data Page'!I7="MAH","MAH","")</f>
      </c>
    </row>
    <row r="75" ht="14.25" customHeight="1">
      <c r="A75" t="s">
        <v>201</v>
      </c>
      <c r="B75" t="str">
        <f>'Data Page'!J7&amp;IF('Data Page'!I7="MAH"," (MAH)","")</f>
        <v>Multifamily</v>
      </c>
    </row>
    <row r="76" ht="14.25" customHeight="1">
      <c r="A76" t="s">
        <v>5832</v>
      </c>
      <c r="B76" t="str">
        <f>'Data Page'!J7&amp;IF('Data Page'!I7="MAH"," (MAH)","")</f>
        <v>Multifamily</v>
      </c>
    </row>
    <row r="77" ht="14.25" customHeight="1">
      <c r="A77" t="s">
        <v>208</v>
      </c>
      <c r="B77" t="str">
        <f>'Data Page'!J8</f>
        <v>Select</v>
      </c>
    </row>
    <row r="78" ht="14.25" customHeight="1">
      <c r="A78" t="s">
        <v>3984</v>
      </c>
      <c r="B78">
        <f>NumOfBldg_DataPageTab</f>
        <v>24</v>
      </c>
    </row>
    <row r="79" ht="14.25" customHeight="1">
      <c r="A79" t="s">
        <v>5833</v>
      </c>
      <c r="B79" t="str">
        <f t="shared" si="4"/>
        <v>XXXX</v>
      </c>
    </row>
    <row r="80" ht="14.25" customHeight="1">
      <c r="A80" t="s">
        <v>5834</v>
      </c>
      <c r="B80" t="str">
        <f>_xlfn.IFERROR(SARMLibor*100,"Error")</f>
        <v>Error</v>
      </c>
    </row>
    <row r="81" ht="14.25" customHeight="1">
      <c r="A81" t="s">
        <v>453</v>
      </c>
      <c r="B81">
        <f>SARMInvestorSpread*100</f>
        <v>0</v>
      </c>
    </row>
    <row r="82" ht="14.25" customHeight="1">
      <c r="A82" t="s">
        <v>458</v>
      </c>
      <c r="B82">
        <f>SARMGuarantyFee*100</f>
        <v>0</v>
      </c>
    </row>
    <row r="83" ht="14.25" customHeight="1">
      <c r="A83" t="s">
        <v>461</v>
      </c>
      <c r="B83">
        <f>SARMServicingFee*100</f>
        <v>0</v>
      </c>
    </row>
    <row r="84" ht="14.25" customHeight="1">
      <c r="A84" t="s">
        <v>5835</v>
      </c>
      <c r="B84">
        <f>_xlfn.IFERROR(_xlfn.SINGLE(SARMCushion)*100,"Error")</f>
        <v>0</v>
      </c>
    </row>
    <row r="85" ht="14.25" customHeight="1">
      <c r="A85" t="s">
        <v>1621</v>
      </c>
      <c r="B85">
        <f>_xlfn.IFERROR(_xlfn.SINGLE(SARMCapCostFactor)*100,"Error")</f>
        <v>0</v>
      </c>
    </row>
    <row r="86" ht="14.25" customHeight="1">
      <c r="A86" t="s">
        <v>5836</v>
      </c>
      <c r="B86">
        <f>SARMPayRate*100</f>
        <v>0</v>
      </c>
    </row>
    <row r="87" ht="14.25" customHeight="1">
      <c r="A87" t="s">
        <v>3578</v>
      </c>
      <c r="B87">
        <f>ROUNDDOWN(SARMStressRate*100,3)</f>
        <v>0</v>
      </c>
    </row>
    <row r="88" ht="14.25" customHeight="1">
      <c r="A88" t="s">
        <v>5837</v>
      </c>
      <c r="B88">
        <f>ROUNDDOWN(IF(Interest_Rate_Type="Fixed",0,#REF!*100),3)</f>
        <v>0</v>
      </c>
    </row>
    <row r="89" ht="14.25" customHeight="1">
      <c r="A89" t="s">
        <v>5838</v>
      </c>
      <c r="B89">
        <f>ROUNDDOWN(IF(Interest_Rate_Type="Fixed",0,#REF!*100),3)</f>
        <v>0</v>
      </c>
    </row>
    <row r="90" ht="14.25" customHeight="1">
      <c r="A90" t="s">
        <v>5839</v>
      </c>
      <c r="B90">
        <f>ROUNDDOWN(IF(Interest_Rate_Type="Fixed",0,#REF!*100),3)</f>
        <v>0</v>
      </c>
    </row>
    <row r="91" ht="14.25" customHeight="1">
      <c r="A91" t="s">
        <v>5840</v>
      </c>
      <c r="B91">
        <f>IF(Interest_Rate_Type="Fixed",0,_xlfn.IFERROR(FixedPrinPayment*12,0))</f>
        <v>0</v>
      </c>
    </row>
    <row r="92" ht="14.25" customHeight="1"/>
    <row r="93" ht="14.25" customHeight="1"/>
    <row r="94" ht="15" customHeight="1"/>
    <row r="95" ht="14.25" customHeight="1">
      <c r="A95" t="s">
        <v>5841</v>
      </c>
      <c r="B95" t="s">
        <v>1267</v>
      </c>
      <c r="C95" t="s">
        <v>5842</v>
      </c>
      <c r="D95" t="s">
        <v>5843</v>
      </c>
    </row>
    <row r="96" ht="14.25" customHeight="1">
      <c r="A96" t="s">
        <v>203</v>
      </c>
      <c r="B96">
        <f>'Data Page'!L7</f>
        <v>53</v>
      </c>
      <c r="C96">
        <f>ROUNDDOWN('Data Page'!M7,0)</f>
        <v>921</v>
      </c>
      <c r="D96">
        <f>_xlfn.IFERROR(ROUNDDOWN(('Data Page'!L7/TotalUnits)*100,2),"Error")</f>
        <v>62.35</v>
      </c>
    </row>
    <row r="97" ht="14.25" customHeight="1">
      <c r="A97" t="s">
        <v>2529</v>
      </c>
      <c r="B97">
        <f>'Data Page'!L8</f>
        <v>32</v>
      </c>
      <c r="C97">
        <f>ROUNDDOWN('Data Page'!M8,0)</f>
        <v>704</v>
      </c>
      <c r="D97">
        <f>_xlfn.IFERROR(ROUNDDOWN(('Data Page'!L8/TotalUnits)*100,2),"Error")</f>
        <v>37.64</v>
      </c>
    </row>
    <row r="98" ht="14.25" customHeight="1">
      <c r="A98" t="s">
        <v>5844</v>
      </c>
      <c r="B98">
        <f>'Data Page'!L9</f>
        <v>0</v>
      </c>
      <c r="C98">
        <f>ROUNDDOWN('Data Page'!M9,0)</f>
        <v>0</v>
      </c>
      <c r="D98">
        <f>_xlfn.IFERROR(ROUNDDOWN(('Data Page'!L9/TotalUnits)*100,2),"Error")</f>
        <v>0</v>
      </c>
    </row>
    <row r="99" ht="14.25" customHeight="1">
      <c r="A99" t="s">
        <v>5845</v>
      </c>
      <c r="B99">
        <f>'Data Page'!L10</f>
        <v>0</v>
      </c>
      <c r="C99">
        <f>ROUNDDOWN('Data Page'!M10,0)</f>
        <v>0</v>
      </c>
      <c r="D99">
        <f>_xlfn.IFERROR(ROUNDDOWN(('Data Page'!L10/TotalUnits)*100,2),"Error")</f>
        <v>0</v>
      </c>
    </row>
    <row r="100" ht="14.25" customHeight="1">
      <c r="A100" t="s">
        <v>5846</v>
      </c>
      <c r="B100">
        <f>'Data Page'!L11</f>
        <v>0</v>
      </c>
      <c r="C100">
        <f>ROUNDDOWN('Data Page'!M11,0)</f>
        <v>0</v>
      </c>
      <c r="D100">
        <f>_xlfn.IFERROR(ROUNDDOWN(('Data Page'!L11/TotalUnits)*100,2),"Error")</f>
        <v>0</v>
      </c>
    </row>
    <row r="101" ht="14.25" customHeight="1">
      <c r="A101" t="s">
        <v>5847</v>
      </c>
      <c r="B101">
        <f>'Data Page'!L12</f>
        <v>0</v>
      </c>
      <c r="C101">
        <f>ROUNDDOWN('Data Page'!M12,0)</f>
        <v>0</v>
      </c>
      <c r="D101">
        <f>_xlfn.IFERROR(ROUNDDOWN(('Data Page'!L12/TotalUnits)*100,2),"Error")</f>
        <v>0</v>
      </c>
    </row>
    <row r="102" ht="14.25" customHeight="1">
      <c r="A102" t="s">
        <v>5848</v>
      </c>
      <c r="B102">
        <f t="shared" si="2"/>
        <v>85</v>
      </c>
      <c r="C102">
        <f>ROUNDDOWN('Data Page'!M13,0)</f>
        <v>839</v>
      </c>
    </row>
    <row r="103" ht="14.25" customHeight="1">
      <c r="A103" t="s">
        <v>5849</v>
      </c>
      <c r="B103">
        <f>NRA</f>
        <v>84991</v>
      </c>
    </row>
    <row r="104" ht="14.25" customHeight="1">
      <c r="A104" t="s">
        <v>5850</v>
      </c>
      <c r="B104">
        <f>'Data Page'!M13</f>
        <v>839.7058823529412</v>
      </c>
    </row>
    <row r="105" ht="14.25" customHeight="1">
      <c r="A105" t="s">
        <v>5851</v>
      </c>
      <c r="B105">
        <f>'Data Page'!J12</f>
        <v>0</v>
      </c>
    </row>
    <row r="106" ht="14.25" customHeight="1">
      <c r="A106" t="s">
        <v>5852</v>
      </c>
      <c r="B106">
        <f>_xlfn.IFERROR(ROUNDDOWN('Data Page'!J13*100,2),"Error")</f>
        <v>0</v>
      </c>
    </row>
    <row r="107" ht="14.25" customHeight="1">
      <c r="A107" t="s">
        <v>5853</v>
      </c>
    </row>
    <row r="108" ht="14.25" customHeight="1">
      <c r="A108" t="s">
        <v>5854</v>
      </c>
      <c r="B108" t="str">
        <f>'Engineering schedule'!J1</f>
        <v>XXXX</v>
      </c>
    </row>
    <row r="109" ht="14.25" customHeight="1">
      <c r="A109" t="s">
        <v>5855</v>
      </c>
      <c r="B109">
        <f>_xlfn.IFERROR('Engineering schedule'!G44,0)</f>
        <v>0</v>
      </c>
    </row>
    <row r="110" ht="14.25" customHeight="1">
      <c r="A110" t="s">
        <v>5856</v>
      </c>
      <c r="B110">
        <f>IF('Engineering schedule'!F79="Yes","Waived",'Engineering schedule'!F78)</f>
        <v>0</v>
      </c>
    </row>
    <row r="111" ht="14.25" customHeight="1">
      <c r="A111" t="s">
        <v>5857</v>
      </c>
      <c r="B111" t="str">
        <f>IF('Engineering schedule'!F79="Yes"," ","(at "&amp;ROUNDDOWN('Engineering schedule'!E78*100,2)&amp;"%)")</f>
        <v>(at 0%)</v>
      </c>
    </row>
    <row r="112" ht="15" customHeight="1">
      <c r="A112" t="s">
        <v>5859</v>
      </c>
      <c r="B112" t="str">
        <f>'Engineering schedule'!J1</f>
        <v>XXXX</v>
      </c>
    </row>
    <row r="113" ht="15" customHeight="1">
      <c r="A113" t="s">
        <v>5860</v>
      </c>
      <c r="B113" t="str">
        <f>'Engineering schedule'!J1</f>
        <v>XXXX</v>
      </c>
    </row>
    <row r="114" ht="15" customHeight="1">
      <c r="A114" t="s">
        <v>5861</v>
      </c>
      <c r="B114" t="str">
        <f>'Engineering schedule'!J1</f>
        <v>XXXX</v>
      </c>
    </row>
    <row r="115" ht="15" customHeight="1">
      <c r="A115" t="s">
        <v>5862</v>
      </c>
      <c r="B115" t="str">
        <f>'Engineering schedule'!J1</f>
        <v>XXXX</v>
      </c>
    </row>
    <row r="116" ht="14.25" customHeight="1">
      <c r="A116" t="s">
        <v>5863</v>
      </c>
      <c r="B116" t="str">
        <f>'Engineering schedule'!J2</f>
        <v>XX/XX/XX</v>
      </c>
    </row>
    <row r="117" ht="14.25" customHeight="1">
      <c r="A117" t="s">
        <v>5864</v>
      </c>
      <c r="B117" t="str">
        <f>'Engineering schedule'!J2</f>
        <v>XX/XX/XX</v>
      </c>
    </row>
    <row r="118" ht="14.25" customHeight="1"/>
    <row r="119" ht="14.25" customHeight="1">
      <c r="A119" t="s">
        <v>5865</v>
      </c>
    </row>
    <row r="120" ht="14.25" customHeight="1">
      <c r="B120" t="s">
        <v>5866</v>
      </c>
      <c r="C120" t="s">
        <v>5867</v>
      </c>
      <c r="D120" t="s">
        <v>5868</v>
      </c>
    </row>
    <row r="121" ht="14.25" customHeight="1">
      <c r="A121" t="s">
        <v>5869</v>
      </c>
      <c r="B121" t="str">
        <f>_xlfn.IFERROR(ROUNDDOWN(#REF!*100,2),"Error")</f>
        <v>Error</v>
      </c>
      <c r="C121" t="str">
        <f>_xlfn.IFERROR(ROUNDDOWN(#REF!*100,2),"Error")</f>
        <v>Error</v>
      </c>
      <c r="D121" t="str">
        <f>_xlfn.IFERROR(ROUNDDOWN(#REF!*100,2),"Error")</f>
        <v>Error</v>
      </c>
    </row>
    <row r="122" ht="14.25" customHeight="1">
      <c r="A122" t="s">
        <v>5870</v>
      </c>
      <c r="B122">
        <f>_xlfn.IFERROR(ROUNDDOWN(#REF!,0),0)</f>
        <v>0</v>
      </c>
      <c r="C122">
        <f>_xlfn.IFERROR(ROUNDDOWN(#REF!,0),0)</f>
        <v>0</v>
      </c>
      <c r="D122">
        <f>_xlfn.IFERROR(ROUNDDOWN(#REF!,0),0)</f>
        <v>0</v>
      </c>
    </row>
    <row r="123" ht="14.25" customHeight="1">
      <c r="A123" t="str">
        <f t="shared" si="5" ref="A123:A135">A122&amp;" ($/SF)"</f>
        <v>Broken Cell Equation from Fannie version 1 ($/SF)</v>
      </c>
      <c r="B123">
        <f>_xlfn.IFERROR(ROUNDDOWN(#REF!,2),0)</f>
        <v>0</v>
      </c>
      <c r="C123">
        <f>_xlfn.IFERROR(ROUNDDOWN(#REF!,2),0)</f>
        <v>0</v>
      </c>
      <c r="D123">
        <f>_xlfn.IFERROR(ROUNDDOWN(#REF!,2),0)</f>
        <v>0</v>
      </c>
    </row>
    <row r="124" ht="14.25" customHeight="1">
      <c r="A124" t="s">
        <v>5872</v>
      </c>
      <c r="B124">
        <f>_xlfn.IFERROR(ROUNDDOWN(#REF!,0),0)</f>
        <v>0</v>
      </c>
      <c r="C124">
        <f>_xlfn.IFERROR(ROUNDDOWN(#REF!,0),0)</f>
        <v>0</v>
      </c>
      <c r="D124">
        <f>_xlfn.IFERROR(ROUNDDOWN(#REF!,0),0)</f>
        <v>0</v>
      </c>
    </row>
    <row r="125" ht="14.25" customHeight="1">
      <c r="A125" t="str">
        <f t="shared" si="5"/>
        <v>Broken Cell Equation from Fannie version 2 ($/SF)</v>
      </c>
      <c r="B125">
        <f>_xlfn.IFERROR(ROUNDDOWN(#REF!,2),0)</f>
        <v>0</v>
      </c>
      <c r="C125">
        <f>_xlfn.IFERROR(ROUNDDOWN(#REF!,2),0)</f>
        <v>0</v>
      </c>
      <c r="D125">
        <f>_xlfn.IFERROR(ROUNDDOWN(#REF!,2),0)</f>
        <v>0</v>
      </c>
    </row>
    <row r="126" ht="14.25" customHeight="1">
      <c r="A126" t="s">
        <v>5874</v>
      </c>
      <c r="B126">
        <f>_xlfn.IFERROR(ROUNDDOWN(#REF!,0),0)</f>
        <v>0</v>
      </c>
      <c r="C126">
        <f>_xlfn.IFERROR(ROUNDDOWN(#REF!,0),0)</f>
        <v>0</v>
      </c>
      <c r="D126">
        <f>_xlfn.IFERROR(ROUNDDOWN(#REF!,0),0)</f>
        <v>0</v>
      </c>
    </row>
    <row r="127" ht="14.25" customHeight="1">
      <c r="A127" t="str">
        <f t="shared" si="5"/>
        <v>Broken Cell Equation from Fannie version 3 ($/SF)</v>
      </c>
      <c r="B127">
        <f>_xlfn.IFERROR(ROUNDDOWN(#REF!,2),0)</f>
        <v>0</v>
      </c>
      <c r="C127">
        <f>_xlfn.IFERROR(ROUNDDOWN(#REF!,2),0)</f>
        <v>0</v>
      </c>
      <c r="D127">
        <f>_xlfn.IFERROR(ROUNDDOWN(#REF!,2),0)</f>
        <v>0</v>
      </c>
    </row>
    <row r="128" ht="14.25" customHeight="1">
      <c r="A128" t="s">
        <v>5876</v>
      </c>
      <c r="B128">
        <f>_xlfn.IFERROR(ROUNDDOWN(#REF!,0),0)</f>
        <v>0</v>
      </c>
      <c r="C128">
        <f>_xlfn.IFERROR(ROUNDDOWN(#REF!,0),0)</f>
        <v>0</v>
      </c>
      <c r="D128">
        <f>_xlfn.IFERROR(ROUNDDOWN(#REF!,0),0)</f>
        <v>0</v>
      </c>
    </row>
    <row r="129" ht="14.25" customHeight="1">
      <c r="A129" t="str">
        <f t="shared" si="5"/>
        <v>Broken Cell Equation from Fannie version 4 ($/SF)</v>
      </c>
      <c r="B129">
        <f>_xlfn.IFERROR(ROUNDDOWN(#REF!,2),0)</f>
        <v>0</v>
      </c>
      <c r="C129">
        <f>_xlfn.IFERROR(ROUNDDOWN(#REF!,2),0)</f>
        <v>0</v>
      </c>
      <c r="D129">
        <f>_xlfn.IFERROR(ROUNDDOWN(#REF!,2),0)</f>
        <v>0</v>
      </c>
    </row>
    <row r="130" ht="14.25" customHeight="1">
      <c r="A130" t="s">
        <v>5878</v>
      </c>
      <c r="B130">
        <f>_xlfn.IFERROR(ROUNDDOWN(#REF!,0),0)</f>
        <v>0</v>
      </c>
      <c r="C130">
        <f>_xlfn.IFERROR(ROUNDDOWN(#REF!,0),0)</f>
        <v>0</v>
      </c>
      <c r="D130">
        <f>_xlfn.IFERROR(ROUNDDOWN(#REF!,0),0)</f>
        <v>0</v>
      </c>
    </row>
    <row r="131" ht="14.25" customHeight="1">
      <c r="A131" t="str">
        <f t="shared" si="5"/>
        <v>Broken Cell Equation from Fannie version 5 ($/SF)</v>
      </c>
      <c r="B131">
        <f>_xlfn.IFERROR(ROUNDDOWN(#REF!,2),0)</f>
        <v>0</v>
      </c>
      <c r="C131">
        <f>_xlfn.IFERROR(ROUNDDOWN(#REF!,2),0)</f>
        <v>0</v>
      </c>
      <c r="D131">
        <f>_xlfn.IFERROR(ROUNDDOWN(#REF!,2),0)</f>
        <v>0</v>
      </c>
    </row>
    <row r="132" ht="14.25" customHeight="1">
      <c r="A132" t="s">
        <v>5880</v>
      </c>
      <c r="B132">
        <f>_xlfn.IFERROR(ROUNDDOWN(#REF!,0),0)</f>
        <v>0</v>
      </c>
      <c r="C132">
        <f>_xlfn.IFERROR(ROUNDDOWN(#REF!,0),0)</f>
        <v>0</v>
      </c>
      <c r="D132">
        <f>_xlfn.IFERROR(ROUNDDOWN(#REF!,0),0)</f>
        <v>0</v>
      </c>
    </row>
    <row r="133" ht="14.25" customHeight="1">
      <c r="A133" t="str">
        <f t="shared" si="5"/>
        <v>Broken Cell Equation from Fannie version 6 ($/SF)</v>
      </c>
      <c r="B133">
        <f>_xlfn.IFERROR(ROUNDDOWN(#REF!,2),0)</f>
        <v>0</v>
      </c>
      <c r="C133">
        <f>_xlfn.IFERROR(ROUNDDOWN(#REF!,2),0)</f>
        <v>0</v>
      </c>
      <c r="D133">
        <f>_xlfn.IFERROR(ROUNDDOWN(#REF!,2),0)</f>
        <v>0</v>
      </c>
    </row>
    <row r="134" ht="14.25" customHeight="1">
      <c r="A134" t="s">
        <v>5882</v>
      </c>
      <c r="B134">
        <f>_xlfn.IFERROR(ROUNDDOWN(#REF!,0),0)</f>
        <v>0</v>
      </c>
      <c r="C134">
        <f>_xlfn.IFERROR(ROUNDDOWN(#REF!,0),0)</f>
        <v>0</v>
      </c>
      <c r="D134">
        <f>_xlfn.IFERROR(ROUNDDOWN(#REF!,0),0)</f>
        <v>0</v>
      </c>
    </row>
    <row r="135" ht="14.25" customHeight="1">
      <c r="A135" t="str">
        <f t="shared" si="5"/>
        <v>Broken Cell Equation from Fannie version 7 ($/SF)</v>
      </c>
      <c r="B135">
        <f>_xlfn.IFERROR(ROUNDDOWN(#REF!,2),0)</f>
        <v>0</v>
      </c>
      <c r="C135">
        <f>_xlfn.IFERROR(ROUNDDOWN(#REF!,2),0)</f>
        <v>0</v>
      </c>
      <c r="D135">
        <f>_xlfn.IFERROR(ROUNDDOWN(#REF!,2),0)</f>
        <v>0</v>
      </c>
    </row>
    <row r="136" ht="14.25" customHeight="1">
      <c r="A136" t="s">
        <v>5884</v>
      </c>
      <c r="B136">
        <f>_xlfn.IFERROR(ROUNDDOWN(#REF!,0),0)</f>
        <v>0</v>
      </c>
      <c r="C136">
        <f>_xlfn.IFERROR(ROUNDDOWN('Unit Mix'!M149,0),0)</f>
        <v>1272</v>
      </c>
      <c r="D136">
        <f>_xlfn.IFERROR(ROUNDDOWN('Unit Mix'!J149,0),0)</f>
        <v>1302</v>
      </c>
    </row>
    <row r="137" ht="14.25" customHeight="1">
      <c r="A137" t="s">
        <v>5885</v>
      </c>
      <c r="B137">
        <f>_xlfn.IFERROR(ROUNDDOWN(#REF!,2),0)</f>
        <v>0</v>
      </c>
      <c r="C137">
        <f>_xlfn.IFERROR(ROUNDDOWN('Unit Mix'!O149,2),0)</f>
        <v>1.52</v>
      </c>
      <c r="D137">
        <f>_xlfn.IFERROR(ROUNDDOWN('Unit Mix'!K149,2),0)</f>
        <v>1.54</v>
      </c>
    </row>
    <row r="138" ht="14.25" customHeight="1"/>
    <row r="139" ht="14.25" customHeight="1">
      <c r="A139" t="s">
        <v>5886</v>
      </c>
      <c r="B139" t="str">
        <f>IF(OR('Bor-KP-Prin'!B46="No",'Bor-KP-Prin'!C46="No",'Bor-KP-Prin'!D46="No",'Bor-KP-Prin'!E46="No",'Bor-KP-Prin'!F46="No",'Bor-KP-Prin'!G46="No",'Bor-KP-Prin'!H46="No",'Bor-KP-Prin'!I46="No",'Bor-KP-Prin'!J46="No",'Bor-KP-Prin'!K46="No"),"No","Yes")</f>
        <v>Yes</v>
      </c>
    </row>
    <row r="140" ht="14.25" customHeight="1">
      <c r="A140" t="s">
        <v>5887</v>
      </c>
      <c r="B140" t="str">
        <f>IF(OR('Bor-KP-Prin'!B69="No",'Bor-KP-Prin'!C69="No",'Bor-KP-Prin'!D69="No",'Bor-KP-Prin'!E69="No",'Bor-KP-Prin'!F69="No",'Bor-KP-Prin'!G69="No",'Bor-KP-Prin'!H69="No",'Bor-KP-Prin'!I69="No",'Bor-KP-Prin'!J69="No",'Bor-KP-Prin'!K69="No"),"No","Yes")</f>
        <v>Yes</v>
      </c>
    </row>
    <row r="141" ht="14.25" customHeight="1"/>
    <row r="142" ht="14.25" customHeight="1">
      <c r="A142" t="s">
        <v>5888</v>
      </c>
      <c r="B142">
        <f>'Data Page'!AT24</f>
        <v>0</v>
      </c>
    </row>
    <row r="143" ht="14.25" customHeight="1">
      <c r="A143" t="s">
        <v>325</v>
      </c>
      <c r="B143">
        <f>'Data Page'!AT25</f>
        <v>0</v>
      </c>
    </row>
    <row r="144" ht="14.25" customHeight="1">
      <c r="A144" t="s">
        <v>5889</v>
      </c>
      <c r="B144">
        <f>'Data Page'!AT26</f>
        <v>0</v>
      </c>
    </row>
    <row r="145" ht="14.25" customHeight="1">
      <c r="A145" t="s">
        <v>5890</v>
      </c>
      <c r="B145">
        <f>'Data Page'!AT28</f>
        <v>0</v>
      </c>
    </row>
    <row r="146" ht="14.25" customHeight="1"/>
    <row r="147" ht="14.25" customHeight="1">
      <c r="A147" t="s">
        <v>5891</v>
      </c>
    </row>
    <row r="148" ht="14.25" customHeight="1">
      <c r="B148" t="str">
        <f>Guarantor_KP_1</f>
        <v>KP #1</v>
      </c>
      <c r="C148" t="str">
        <f>Guarantor_KP_2</f>
        <v>KP #2</v>
      </c>
      <c r="D148" t="str">
        <f>Guarantor_KP_3</f>
        <v>KP #3</v>
      </c>
      <c r="E148" t="str">
        <f>Guarantor_KP_4</f>
        <v>KP #4</v>
      </c>
      <c r="F148" t="str">
        <f>Guarantor_KP_5</f>
        <v>KP #5</v>
      </c>
      <c r="G148" t="str">
        <f>Guarantor_KP_6</f>
        <v>KP #6</v>
      </c>
      <c r="H148" t="str">
        <f>Guarantor_KP_7</f>
        <v>KP #7</v>
      </c>
      <c r="I148" t="str">
        <f>Guarantor_KP_8</f>
        <v>KP #8</v>
      </c>
    </row>
    <row r="149" ht="14.25" customHeight="1">
      <c r="A149" t="s">
        <v>2962</v>
      </c>
      <c r="B149" t="str">
        <f>'Bor-KP-Prin'!L6</f>
        <v>XXXX</v>
      </c>
      <c r="C149" t="str">
        <f>'Bor-KP-Prin'!M6</f>
        <v>XXXX</v>
      </c>
      <c r="D149" t="str">
        <f>'Bor-KP-Prin'!N6</f>
        <v>XXXX</v>
      </c>
      <c r="E149" t="str">
        <f>'Bor-KP-Prin'!O6</f>
        <v>XXXX</v>
      </c>
      <c r="F149" t="str">
        <f>'Bor-KP-Prin'!P6</f>
        <v>XXXX</v>
      </c>
      <c r="G149" t="str">
        <f>'Bor-KP-Prin'!Q6</f>
        <v>XXXX</v>
      </c>
      <c r="H149" t="str">
        <f>'Bor-KP-Prin'!R6</f>
        <v>XXXX</v>
      </c>
      <c r="I149" t="str">
        <f>'Bor-KP-Prin'!S6</f>
        <v>XXXX</v>
      </c>
    </row>
    <row r="150" ht="14.25" customHeight="1">
      <c r="A150" t="s">
        <v>5892</v>
      </c>
      <c r="B150">
        <f>'Bor-KP-Prin'!L54</f>
        <v>0</v>
      </c>
      <c r="C150">
        <f>'Bor-KP-Prin'!M54</f>
        <v>0</v>
      </c>
      <c r="D150">
        <f>'Bor-KP-Prin'!N54</f>
        <v>0</v>
      </c>
      <c r="E150">
        <f>'Bor-KP-Prin'!O54</f>
        <v>0</v>
      </c>
      <c r="F150">
        <f>'Bor-KP-Prin'!P54</f>
        <v>0</v>
      </c>
      <c r="G150">
        <f>'Bor-KP-Prin'!Q54</f>
        <v>0</v>
      </c>
      <c r="H150">
        <f>'Bor-KP-Prin'!R54</f>
        <v>0</v>
      </c>
      <c r="I150">
        <f>'Bor-KP-Prin'!S54</f>
        <v>0</v>
      </c>
    </row>
    <row r="151" ht="14.25" customHeight="1">
      <c r="A151" t="s">
        <v>5893</v>
      </c>
      <c r="B151" t="str">
        <f t="shared" si="6" ref="B151:I151">IF(ISNUMBER(SEARCH("Guarantor",B148)),"Yes","No")</f>
        <v>No</v>
      </c>
      <c r="C151" t="str">
        <f t="shared" si="6"/>
        <v>No</v>
      </c>
      <c r="D151" t="str">
        <f t="shared" si="6"/>
        <v>No</v>
      </c>
      <c r="E151" t="str">
        <f t="shared" si="6"/>
        <v>No</v>
      </c>
      <c r="F151" t="str">
        <f t="shared" si="6"/>
        <v>No</v>
      </c>
      <c r="G151" t="str">
        <f t="shared" si="6"/>
        <v>No</v>
      </c>
      <c r="H151" t="str">
        <f t="shared" si="6"/>
        <v>No</v>
      </c>
      <c r="I151" t="str">
        <f t="shared" si="6"/>
        <v>No</v>
      </c>
    </row>
    <row r="152" ht="14.25" customHeight="1">
      <c r="A152" t="s">
        <v>5894</v>
      </c>
      <c r="B152">
        <f>'Bor-KP-Prin'!L32</f>
        <v>0</v>
      </c>
      <c r="C152">
        <f>'Bor-KP-Prin'!M32</f>
        <v>0</v>
      </c>
      <c r="D152">
        <f>'Bor-KP-Prin'!N32</f>
        <v>0</v>
      </c>
      <c r="E152">
        <f>'Bor-KP-Prin'!O32</f>
        <v>0</v>
      </c>
      <c r="F152">
        <f>'Bor-KP-Prin'!P32</f>
        <v>0</v>
      </c>
      <c r="G152">
        <f>'Bor-KP-Prin'!Q32</f>
        <v>0</v>
      </c>
      <c r="H152">
        <f>'Bor-KP-Prin'!R32</f>
        <v>0</v>
      </c>
      <c r="I152">
        <f>'Bor-KP-Prin'!S32</f>
        <v>0</v>
      </c>
    </row>
    <row r="153" ht="14.25" customHeight="1">
      <c r="A153" t="s">
        <v>5895</v>
      </c>
      <c r="B153">
        <f>'Bor-KP-Prin'!L12</f>
        <v>0</v>
      </c>
      <c r="C153">
        <f>'Bor-KP-Prin'!M12</f>
        <v>0</v>
      </c>
      <c r="D153">
        <f>'Bor-KP-Prin'!N12</f>
        <v>0</v>
      </c>
      <c r="E153">
        <f>'Bor-KP-Prin'!O12</f>
        <v>0</v>
      </c>
      <c r="F153">
        <f>'Bor-KP-Prin'!P12</f>
        <v>0</v>
      </c>
      <c r="G153">
        <f>'Bor-KP-Prin'!Q12</f>
        <v>0</v>
      </c>
      <c r="H153">
        <f>'Bor-KP-Prin'!R12</f>
        <v>0</v>
      </c>
      <c r="I153">
        <f>'Bor-KP-Prin'!S12</f>
        <v>0</v>
      </c>
    </row>
    <row r="154" ht="14.25" customHeight="1">
      <c r="A154" t="s">
        <v>5896</v>
      </c>
      <c r="B154" t="str">
        <f>'Bor-KP-Prin'!L69</f>
        <v>TBD</v>
      </c>
      <c r="C154" t="str">
        <f>'Bor-KP-Prin'!M69</f>
        <v>TBD</v>
      </c>
      <c r="D154" t="str">
        <f>'Bor-KP-Prin'!N69</f>
        <v>TBD</v>
      </c>
      <c r="E154" t="str">
        <f>'Bor-KP-Prin'!O69</f>
        <v>TBD</v>
      </c>
      <c r="F154" t="str">
        <f>'Bor-KP-Prin'!P69</f>
        <v>TBD</v>
      </c>
      <c r="G154" t="str">
        <f>'Bor-KP-Prin'!Q69</f>
        <v>TBD</v>
      </c>
      <c r="H154" t="str">
        <f>'Bor-KP-Prin'!R69</f>
        <v>TBD</v>
      </c>
      <c r="I154" t="str">
        <f>'Bor-KP-Prin'!S69</f>
        <v>TBD</v>
      </c>
    </row>
    <row r="155" ht="14.25" customHeight="1">
      <c r="A155" t="s">
        <v>5897</v>
      </c>
      <c r="B155">
        <f>_xlfn.IFERROR(ROUNDDOWN('SREO 1'!AC126*100,2),"Error")</f>
        <v>0</v>
      </c>
      <c r="C155">
        <f>_xlfn.IFERROR(ROUNDDOWN('SREO 2'!AC126*100,2),"Error")</f>
        <v>0</v>
      </c>
      <c r="D155">
        <f>_xlfn.IFERROR(ROUNDDOWN('SREO 3'!AC126*100,2),"Error")</f>
        <v>0</v>
      </c>
      <c r="E155">
        <f>_xlfn.IFERROR(ROUNDDOWN('SREO 4'!AC126*100,2),"Error")</f>
        <v>0</v>
      </c>
      <c r="F155">
        <f>_xlfn.IFERROR(ROUNDDOWN('SREO 5'!AC126*100,2),"Error")</f>
        <v>0</v>
      </c>
      <c r="G155">
        <f>_xlfn.IFERROR(ROUNDDOWN('SREO 6'!AC126*100,2),"Error")</f>
        <v>0</v>
      </c>
      <c r="H155">
        <f>_xlfn.IFERROR(ROUNDDOWN('SREO 7'!AC126*100,2),"Error")</f>
        <v>0</v>
      </c>
      <c r="I155">
        <f>_xlfn.IFERROR(ROUNDDOWN('SREO 8'!AC126*100,2),"Error")</f>
        <v>0</v>
      </c>
    </row>
    <row r="156" ht="14.25" customHeight="1">
      <c r="A156" t="s">
        <v>5898</v>
      </c>
      <c r="B156">
        <f>_xlfn.IFERROR(ROUNDDOWN('SREO 1'!Y126,2),"Error")</f>
        <v>0</v>
      </c>
      <c r="C156">
        <f>_xlfn.IFERROR(ROUNDDOWN('SREO 2'!Y126,2),"Error")</f>
        <v>0</v>
      </c>
      <c r="D156">
        <f>_xlfn.IFERROR(ROUNDDOWN('SREO 3'!Y126,2),"Error")</f>
        <v>0</v>
      </c>
      <c r="E156">
        <f>_xlfn.IFERROR(ROUNDDOWN('SREO 4'!Y126,2),"Error")</f>
        <v>0</v>
      </c>
      <c r="F156">
        <f>_xlfn.IFERROR(ROUNDDOWN('SREO 5'!Y126,2),"Error")</f>
        <v>0</v>
      </c>
      <c r="G156">
        <f>_xlfn.IFERROR(ROUNDDOWN('SREO 6'!Y126,2),"Error")</f>
        <v>0</v>
      </c>
      <c r="H156">
        <f>_xlfn.IFERROR(ROUNDDOWN('SREO 7'!Y126,2),"Error")</f>
        <v>0</v>
      </c>
      <c r="I156">
        <f>_xlfn.IFERROR(ROUNDDOWN('SREO 8'!Y126,2),"Error")</f>
        <v>0</v>
      </c>
    </row>
    <row r="157" ht="14.25" customHeight="1">
      <c r="A157" t="s">
        <v>5899</v>
      </c>
      <c r="B157">
        <f>_xlfn.IFERROR(ROUNDDOWN('SREO 1'!AC38*100,2),"Error")</f>
        <v>0</v>
      </c>
      <c r="C157">
        <f>_xlfn.IFERROR(ROUNDDOWN('SREO 2'!AC38*100,2),"Error")</f>
        <v>0</v>
      </c>
      <c r="D157">
        <f>_xlfn.IFERROR(ROUNDDOWN('SREO 3'!AC38*100,2),"Error")</f>
        <v>0</v>
      </c>
      <c r="E157">
        <f>_xlfn.IFERROR(ROUNDDOWN('SREO 4'!AC38*100,2),"Error")</f>
        <v>0</v>
      </c>
      <c r="F157">
        <f>_xlfn.IFERROR(ROUNDDOWN('SREO 5'!AC38*100,2),"Error")</f>
        <v>0</v>
      </c>
      <c r="G157">
        <f>_xlfn.IFERROR(ROUNDDOWN('SREO 6'!AC38*100,2),"Error")</f>
        <v>0</v>
      </c>
      <c r="H157">
        <f>_xlfn.IFERROR(ROUNDDOWN('SREO 7'!AC38*100,2),"Error")</f>
        <v>0</v>
      </c>
      <c r="I157">
        <f>_xlfn.IFERROR(ROUNDDOWN('SREO 8'!AC38*100,2),"Error")</f>
        <v>0</v>
      </c>
    </row>
    <row r="158" ht="14.25" customHeight="1">
      <c r="A158" t="s">
        <v>5900</v>
      </c>
      <c r="B158">
        <f>_xlfn.IFERROR(ROUNDDOWN('SREO 1'!Y38,2),"Error")</f>
        <v>0</v>
      </c>
      <c r="C158">
        <f>_xlfn.IFERROR(ROUNDDOWN('SREO 2'!Y38,2),"Error")</f>
        <v>0</v>
      </c>
      <c r="D158">
        <f>_xlfn.IFERROR(ROUNDDOWN('SREO 3'!Y38,2),"Error")</f>
        <v>0</v>
      </c>
      <c r="E158">
        <f>_xlfn.IFERROR(ROUNDDOWN('SREO 4'!Y38,2),"Error")</f>
        <v>0</v>
      </c>
      <c r="F158">
        <f>_xlfn.IFERROR(ROUNDDOWN('SREO 5'!Y38,2),"Error")</f>
        <v>0</v>
      </c>
      <c r="G158">
        <f>_xlfn.IFERROR(ROUNDDOWN('SREO 6'!Y38,2),"Error")</f>
        <v>0</v>
      </c>
      <c r="H158">
        <f>_xlfn.IFERROR(ROUNDDOWN('SREO 7'!Y38,2),"Error")</f>
        <v>0</v>
      </c>
      <c r="I158">
        <f>_xlfn.IFERROR(ROUNDDOWN('SREO 8'!Y38,2),"Error")</f>
        <v>0</v>
      </c>
    </row>
    <row r="159" ht="14.25" customHeight="1">
      <c r="A159" t="s">
        <v>5901</v>
      </c>
      <c r="B159">
        <f>_xlfn.IFERROR('SREO 1'!AI126,0)</f>
        <v>0</v>
      </c>
      <c r="C159">
        <f>_xlfn.IFERROR('SREO 2'!AI126,0)</f>
        <v>0</v>
      </c>
      <c r="D159">
        <f>_xlfn.IFERROR('SREO 3'!AI126,0)</f>
        <v>0</v>
      </c>
      <c r="E159">
        <f>_xlfn.IFERROR('SREO 4'!AI126,0)</f>
        <v>0</v>
      </c>
      <c r="F159">
        <f>_xlfn.IFERROR('SREO 5'!AI126,0)</f>
        <v>0</v>
      </c>
      <c r="G159">
        <f>_xlfn.IFERROR('SREO 6'!AI126,0)</f>
        <v>0</v>
      </c>
      <c r="H159">
        <f>_xlfn.IFERROR('SREO 7'!AI126,0)</f>
        <v>0</v>
      </c>
      <c r="I159">
        <f>_xlfn.IFERROR('SREO 8'!AI126,0)</f>
        <v>0</v>
      </c>
    </row>
    <row r="160" ht="14.25" customHeight="1"/>
    <row r="161" ht="14.25" customHeight="1">
      <c r="A161" t="s">
        <v>5902</v>
      </c>
      <c r="B161">
        <f>'Bor-KP-Prin'!B71</f>
        <v>0</v>
      </c>
    </row>
    <row r="162" ht="14.25" customHeight="1">
      <c r="A162" t="s">
        <v>5903</v>
      </c>
      <c r="B162">
        <f>_xlfn.IFERROR(ROUNDDOWN(_xlfn.IFERROR('Bor-KP-Prin'!B71/LoanAmount,0)*100,2),"Error")</f>
        <v>0</v>
      </c>
    </row>
    <row r="163" ht="14.25" customHeight="1">
      <c r="A163" t="s">
        <v>5904</v>
      </c>
      <c r="B163">
        <f>'Bor-KP-Prin'!B72</f>
        <v>0</v>
      </c>
    </row>
    <row r="164" ht="14.25" customHeight="1">
      <c r="A164" t="s">
        <v>5905</v>
      </c>
      <c r="B164">
        <f>_xlfn.IFERROR(ROUNDDOWN(_xlfn.IFERROR('Bor-KP-Prin'!B72/LoanAmount,0)*100,2),"Error")</f>
        <v>0</v>
      </c>
    </row>
    <row r="165" ht="14.25" customHeight="1"/>
    <row r="166" ht="14.25" customHeight="1">
      <c r="A166" t="s">
        <v>5906</v>
      </c>
      <c r="B166">
        <f>CONCATENATE(IF('Bor-KP-Prin'!T6="XXXX","",'Bor-KP-Prin'!T6),IF('Bor-KP-Prin'!U6="XXXX","",IF('Bor-KP-Prin'!T6="XXXX","",", ")&amp;'Bor-KP-Prin'!U6),IF('Bor-KP-Prin'!V6="XXXX","",", "&amp;'Bor-KP-Prin'!V6),IF('Bor-KP-Prin'!W6="XXXX","",", "&amp;'Bor-KP-Prin'!W6),IF('Bor-KP-Prin'!X6="XXXX","",", "&amp;'Bor-KP-Prin'!X6),IF('Bor-KP-Prin'!Y6="XXXX","",", "&amp;'Bor-KP-Prin'!Y6),IF('Bor-KP-Prin'!Z6="XXXX","",", "&amp;'Bor-KP-Prin'!Z6),IF('Bor-KP-Prin'!AA6="XXXX","",", "&amp;'Bor-KP-Prin'!AA6),IF('Bor-KP-Prin'!AB6="XXXX","",", "&amp;'Bor-KP-Prin'!AB6),IF('Bor-KP-Prin'!AC6="XXXX","",", "&amp;'Bor-KP-Prin'!AC6),IF('Bor-KP-Prin'!AD6="XXXX","",", "&amp;'Bor-KP-Prin'!AD6),IF('Bor-KP-Prin'!AE6="XXXX","",", "&amp;'Bor-KP-Prin'!AE6),IF('Bor-KP-Prin'!AF6="XXXX","",", "&amp;'Bor-KP-Prin'!AF6),IF('Bor-KP-Prin'!AG6="XXXX","",", "&amp;'Bor-KP-Prin'!AG6),IF('Bor-KP-Prin'!AH6="XXXX","",", "&amp;'Bor-KP-Prin'!AH6))</f>
      </c>
      <c r="C166">
        <v>1</v>
      </c>
      <c r="D166">
        <v>2</v>
      </c>
      <c r="E166">
        <v>3</v>
      </c>
      <c r="F166">
        <v>4</v>
      </c>
      <c r="G166">
        <v>5</v>
      </c>
      <c r="H166">
        <v>6</v>
      </c>
      <c r="I166">
        <v>7</v>
      </c>
      <c r="J166">
        <v>8</v>
      </c>
      <c r="K166">
        <v>9</v>
      </c>
      <c r="L166">
        <v>10</v>
      </c>
      <c r="M166">
        <v>11</v>
      </c>
      <c r="N166">
        <v>12</v>
      </c>
      <c r="O166">
        <v>13</v>
      </c>
      <c r="P166">
        <v>14</v>
      </c>
      <c r="Q166">
        <v>15</v>
      </c>
    </row>
    <row r="167" ht="14.25" customHeight="1">
      <c r="A167" t="s">
        <v>5896</v>
      </c>
      <c r="B167" t="str">
        <f>IF(OR(C167="No",D167="No",E167="No",F167="No",G167="No",H167="No",I167="No",J167="No",K167="No",L167="No",M167="No",N167="No",O167="No",P167="No",Q167="No"),"No",IF(OR(C167="TBD",D167="TBD",E167="TBD",F167="TBD",G167="TBD",H167="TBD",I167="TBD",J167="TBD",K167="TBD",L167="TBD",M167="TBD",N167="TBD",O167="TBD",P167="TBD",Q167="TBD"),"TBD","Yes"))</f>
        <v>Yes</v>
      </c>
      <c r="C167">
        <f>IF('Bor-KP-Prin'!T69="No","No",IF('Bor-KP-Prin'!T6="XXXX","",IF('Bor-KP-Prin'!T69="TBD","TBD","Yes")))</f>
      </c>
      <c r="D167">
        <f>IF('Bor-KP-Prin'!U69="No","No",IF('Bor-KP-Prin'!U6="XXXX","",IF('Bor-KP-Prin'!U69="TBD","TBD","Yes")))</f>
      </c>
      <c r="E167">
        <f>IF('Bor-KP-Prin'!V69="No","No",IF('Bor-KP-Prin'!V6="XXXX","",IF('Bor-KP-Prin'!V69="TBD","TBD","Yes")))</f>
      </c>
      <c r="F167">
        <f>IF('Bor-KP-Prin'!W69="No","No",IF('Bor-KP-Prin'!W6="XXXX","",IF('Bor-KP-Prin'!W69="TBD","TBD","Yes")))</f>
      </c>
      <c r="G167">
        <f>IF('Bor-KP-Prin'!X69="No","No",IF('Bor-KP-Prin'!X6="XXXX","",IF('Bor-KP-Prin'!X69="TBD","TBD","Yes")))</f>
      </c>
      <c r="H167">
        <f>IF('Bor-KP-Prin'!Y69="No","No",IF('Bor-KP-Prin'!Y6="XXXX","",IF('Bor-KP-Prin'!Y69="TBD","TBD","Yes")))</f>
      </c>
      <c r="I167">
        <f>IF('Bor-KP-Prin'!Z69="No","No",IF('Bor-KP-Prin'!Z6="XXXX","",IF('Bor-KP-Prin'!Z69="TBD","TBD","Yes")))</f>
      </c>
      <c r="J167">
        <f>IF('Bor-KP-Prin'!AA69="No","No",IF('Bor-KP-Prin'!AA6="XXXX","",IF('Bor-KP-Prin'!AA69="TBD","TBD","Yes")))</f>
      </c>
      <c r="K167">
        <f>IF('Bor-KP-Prin'!AB69="No","No",IF('Bor-KP-Prin'!AB6="XXXX","",IF('Bor-KP-Prin'!AB69="TBD","TBD","Yes")))</f>
      </c>
      <c r="L167">
        <f>IF('Bor-KP-Prin'!AC69="No","No",IF('Bor-KP-Prin'!AC6="XXXX","",IF('Bor-KP-Prin'!AC69="TBD","TBD","Yes")))</f>
      </c>
      <c r="M167">
        <f>IF('Bor-KP-Prin'!AD69="No","No",IF('Bor-KP-Prin'!AD6="XXXX","",IF('Bor-KP-Prin'!AD69="TBD","TBD","Yes")))</f>
      </c>
      <c r="N167">
        <f>IF('Bor-KP-Prin'!AE69="No","No",IF('Bor-KP-Prin'!AE6="XXXX","",IF('Bor-KP-Prin'!AE69="TBD","TBD","Yes")))</f>
      </c>
      <c r="O167">
        <f>IF('Bor-KP-Prin'!AF69="No","No",IF('Bor-KP-Prin'!AF6="XXXX","",IF('Bor-KP-Prin'!AF69="TBD","TBD","Yes")))</f>
      </c>
      <c r="P167">
        <f>IF('Bor-KP-Prin'!AG69="No","No",IF('Bor-KP-Prin'!AG6="XXXX","",IF('Bor-KP-Prin'!AG69="TBD","TBD","Yes")))</f>
      </c>
      <c r="Q167">
        <f>IF('Bor-KP-Prin'!AH69="No","No",IF('Bor-KP-Prin'!AH6="XXXX","",IF('Bor-KP-Prin'!AH69="TBD","TBD","Yes")))</f>
      </c>
    </row>
    <row r="168" ht="14.25" customHeight="1"/>
    <row r="169" ht="14.25" customHeight="1">
      <c r="A169" t="s">
        <v>248</v>
      </c>
      <c r="B169" t="str">
        <f t="shared" si="7"/>
        <v>XXXX</v>
      </c>
    </row>
    <row r="170" ht="14.25" customHeight="1">
      <c r="A170" t="s">
        <v>5907</v>
      </c>
      <c r="B170" t="str">
        <f>Appraisal_Company</f>
        <v>XXXX</v>
      </c>
    </row>
    <row r="171" ht="14.25" customHeight="1">
      <c r="A171" t="s">
        <v>5908</v>
      </c>
      <c r="B171" t="str">
        <f>Appraisal_Date</f>
        <v>XX/XX/XX</v>
      </c>
    </row>
    <row r="172" ht="14.25" customHeight="1">
      <c r="A172" t="s">
        <v>5909</v>
      </c>
      <c r="B172">
        <f>Appraised_Cap*100</f>
        <v>5</v>
      </c>
    </row>
    <row r="173" ht="14.25" customHeight="1">
      <c r="A173" t="s">
        <v>381</v>
      </c>
      <c r="B173">
        <f>Appraised_Value</f>
        <v>-34419044.199999996</v>
      </c>
    </row>
    <row r="174" ht="14.25" customHeight="1">
      <c r="A174" t="s">
        <v>5910</v>
      </c>
      <c r="B174">
        <f>_xlfn.IFERROR(ROUNDUP(AppraisedValuePerUnit,0),0)</f>
        <v>-404930</v>
      </c>
    </row>
    <row r="175" ht="14.25" customHeight="1">
      <c r="A175" t="s">
        <v>5911</v>
      </c>
      <c r="B175">
        <f>UW_Value</f>
        <v>-34419044.199999996</v>
      </c>
    </row>
    <row r="176" ht="14.25" customHeight="1">
      <c r="A176" t="s">
        <v>2418</v>
      </c>
      <c r="B176">
        <f>_xlfn.IFERROR(ROUNDUP(UWValuePerUnit,0),0)</f>
        <v>-404930</v>
      </c>
    </row>
    <row r="177" ht="14.25" customHeight="1">
      <c r="A177" t="s">
        <v>449</v>
      </c>
      <c r="B177">
        <f>_xlfn.IFERROR(ROUNDUP(LTV*100,2),"Error")</f>
        <v>0</v>
      </c>
    </row>
    <row r="178" ht="14.25" customHeight="1">
      <c r="A178" t="s">
        <v>5912</v>
      </c>
      <c r="B178" t="str">
        <f>'NRI Analysis'!X78</f>
        <v>TBD</v>
      </c>
    </row>
    <row r="179" ht="14.25" customHeight="1">
      <c r="A179" t="s">
        <v>5913</v>
      </c>
      <c r="B179" t="str">
        <f>'Summary OPS'!Y4</f>
        <v>TR-12 Statement (9/2022)</v>
      </c>
    </row>
    <row r="180" ht="14.25" customHeight="1">
      <c r="A180" t="s">
        <v>5914</v>
      </c>
      <c r="B180" t="str">
        <f>'Summary OPS'!Y4</f>
        <v>TR-12 Statement (9/2022)</v>
      </c>
    </row>
    <row r="181" ht="14.25" customHeight="1">
      <c r="A181" t="s">
        <v>5915</v>
      </c>
      <c r="B181" t="str">
        <f>'Summary OPS'!Y4</f>
        <v>TR-12 Statement (9/2022)</v>
      </c>
    </row>
    <row r="182" ht="14.25" customHeight="1">
      <c r="A182" t="s">
        <v>5916</v>
      </c>
      <c r="B182" t="str">
        <f>'Summary OPS'!Y4</f>
        <v>TR-12 Statement (9/2022)</v>
      </c>
    </row>
    <row r="183" ht="14.25" customHeight="1">
      <c r="A183" t="s">
        <v>5917</v>
      </c>
      <c r="B183">
        <f>'Summary OPS'!Y6</f>
        <v>2022</v>
      </c>
    </row>
    <row r="184" ht="14.25" customHeight="1"/>
    <row r="185" ht="14.25" customHeight="1">
      <c r="A185" t="s">
        <v>5918</v>
      </c>
    </row>
    <row r="186" ht="14.25" customHeight="1">
      <c r="B186">
        <f>'Summary OPS'!G6</f>
        <v>2020</v>
      </c>
      <c r="C186">
        <f>'Summary OPS'!J6</f>
        <v>2021</v>
      </c>
      <c r="D186" t="s">
        <v>1767</v>
      </c>
      <c r="E186" t="str">
        <f>'Summary OPS'!Y4&amp;", "&amp;'Summary OPS'!Y6</f>
        <v>TR-12 Statement (9/2022), 2022</v>
      </c>
      <c r="F186" t="s">
        <v>1767</v>
      </c>
      <c r="G186" t="s">
        <v>5920</v>
      </c>
      <c r="H186" t="s">
        <v>5921</v>
      </c>
      <c r="I186" t="s">
        <v>5922</v>
      </c>
      <c r="J186" t="s">
        <v>5923</v>
      </c>
      <c r="K186" t="s">
        <v>5924</v>
      </c>
    </row>
    <row r="187" ht="14.25" customHeight="1">
      <c r="A187" t="s">
        <v>5925</v>
      </c>
      <c r="B187">
        <f>ROUNDDOWN('Summary OPS'!H9,0)</f>
        <v>0</v>
      </c>
      <c r="C187">
        <f>ROUNDDOWN('Summary OPS'!K9,0)</f>
        <v>0</v>
      </c>
      <c r="D187">
        <f>_xlfn.IFERROR(ROUNDDOWN('Summary OPS'!G90*100,1),"N/A")</f>
        <v>0</v>
      </c>
      <c r="E187">
        <f>ROUNDDOWN('Summary OPS'!Z9,0)</f>
        <v>4929</v>
      </c>
      <c r="F187">
        <f>_xlfn.IFERROR(ROUNDDOWN('Summary OPS'!J90*100,1),"N/A")</f>
        <v>0</v>
      </c>
      <c r="G187">
        <f>ROUNDDOWN('Summary OPS'!AC9,0)</f>
        <v>0</v>
      </c>
      <c r="H187">
        <f>ROUNDDOWN('Summary OPS'!AF9,0)</f>
        <v>0</v>
      </c>
      <c r="I187" t="s">
        <v>174</v>
      </c>
      <c r="J187">
        <f>ROUNDDOWN('Summary OPS'!AV9,0)</f>
        <v>1526</v>
      </c>
      <c r="K187">
        <f>_xlfn.IFERROR(ROUNDDOWN('Summary OPS'!AU90*100,1),"N/A")</f>
        <v>-69</v>
      </c>
    </row>
    <row r="188" ht="14.25" customHeight="1">
      <c r="A188" t="s">
        <v>1742</v>
      </c>
      <c r="B188">
        <f>ROUNDDOWN('Summary OPS'!H10*100,2)</f>
        <v>0</v>
      </c>
      <c r="C188">
        <f>ROUNDDOWN('Summary OPS'!K10*100,2)</f>
        <v>0</v>
      </c>
      <c r="E188">
        <f>ROUNDDOWN('Summary OPS'!Z10*100,2)</f>
        <v>3.47</v>
      </c>
      <c r="G188">
        <f>ROUNDDOWN('Summary OPS'!AC10*100,2)</f>
        <v>0</v>
      </c>
      <c r="H188">
        <f>ROUNDDOWN('Summary OPS'!AF10*100,2)</f>
        <v>0</v>
      </c>
      <c r="J188">
        <f>ROUNDDOWN('Summary OPS'!AV10*100,2)</f>
        <v>11.96</v>
      </c>
    </row>
    <row r="189" ht="14.25" customHeight="1">
      <c r="A189" t="s">
        <v>2732</v>
      </c>
      <c r="B189">
        <f>ROUNDDOWN('Summary OPS'!H12*100,2)</f>
        <v>0</v>
      </c>
      <c r="C189">
        <f>ROUNDDOWN('Summary OPS'!K12*100,2)</f>
        <v>0</v>
      </c>
      <c r="E189">
        <f>ROUNDDOWN('Summary OPS'!Z12*100,2)</f>
        <v>0</v>
      </c>
      <c r="G189">
        <f>ROUNDDOWN('Summary OPS'!AC12*100,2)</f>
        <v>0</v>
      </c>
      <c r="H189">
        <f>ROUNDDOWN('Summary OPS'!AF12*100,2)</f>
        <v>0</v>
      </c>
      <c r="J189">
        <f>ROUNDDOWN('Summary OPS'!AV12*100,2)</f>
        <v>0</v>
      </c>
    </row>
    <row r="190" ht="14.25" customHeight="1">
      <c r="A190" t="s">
        <v>3024</v>
      </c>
      <c r="B190">
        <f>ROUNDDOWN('Summary OPS'!H11*100,2)</f>
        <v>0</v>
      </c>
      <c r="C190">
        <f>ROUNDDOWN('Summary OPS'!K11*100,2)</f>
        <v>0</v>
      </c>
      <c r="E190">
        <f>ROUNDDOWN('Summary OPS'!Z11*100,2)</f>
        <v>0.92</v>
      </c>
      <c r="G190">
        <f>ROUNDDOWN('Summary OPS'!AC11*100,2)</f>
        <v>0</v>
      </c>
      <c r="H190">
        <f>ROUNDDOWN('Summary OPS'!AF11*100,2)</f>
        <v>0</v>
      </c>
      <c r="J190">
        <f>ROUNDDOWN('Summary OPS'!AV11*100,2)</f>
        <v>2.86</v>
      </c>
    </row>
    <row r="191" ht="14.25" customHeight="1">
      <c r="A191" t="s">
        <v>1888</v>
      </c>
      <c r="B191">
        <f>ROUNDDOWN('Summary OPS'!H14*100,2)</f>
        <v>0</v>
      </c>
      <c r="C191">
        <f>ROUNDDOWN('Summary OPS'!K14*100,2)</f>
        <v>0</v>
      </c>
      <c r="D191">
        <f>_xlfn.IFERROR(ROUNDDOWN('Summary OPS'!G91*100,1),"N/A")</f>
        <v>0</v>
      </c>
      <c r="E191">
        <f>ROUNDDOWN('Summary OPS'!Z14*100,2)</f>
        <v>4.39</v>
      </c>
      <c r="F191">
        <f>_xlfn.IFERROR(ROUNDDOWN('Summary OPS'!J91*100,1),"N/A")</f>
        <v>0</v>
      </c>
      <c r="G191">
        <f>ROUNDDOWN('Summary OPS'!AC14*100,2)</f>
        <v>0</v>
      </c>
      <c r="H191">
        <f>ROUNDDOWN('Summary OPS'!AF14*100,2)</f>
        <v>0</v>
      </c>
      <c r="I191" t="s">
        <v>174</v>
      </c>
      <c r="J191">
        <f>ROUNDDOWN('Summary OPS'!AV14*100,2)</f>
        <v>14.82</v>
      </c>
      <c r="K191">
        <f>_xlfn.IFERROR(ROUNDDOWN('Summary OPS'!AU91*100,1),"N/A")</f>
        <v>-72.4</v>
      </c>
    </row>
    <row r="192" ht="14.25" customHeight="1">
      <c r="A192" t="s">
        <v>5926</v>
      </c>
      <c r="B192">
        <f>ROUNDDOWN('Summary OPS'!H31,0)</f>
        <v>0</v>
      </c>
      <c r="C192">
        <f>ROUNDDOWN('Summary OPS'!K31,0)</f>
        <v>0</v>
      </c>
      <c r="D192">
        <f>_xlfn.IFERROR(ROUNDDOWN('Summary OPS'!G92*100,1),"N/A")</f>
        <v>0</v>
      </c>
      <c r="E192">
        <f>ROUNDDOWN('Summary OPS'!Z31,0)</f>
        <v>4501</v>
      </c>
      <c r="F192">
        <f>_xlfn.IFERROR(ROUNDDOWN('Summary OPS'!J92*100,1),"N/A")</f>
        <v>0</v>
      </c>
      <c r="G192">
        <f>ROUNDDOWN('Summary OPS'!AC31,0)</f>
        <v>0</v>
      </c>
      <c r="H192">
        <f>ROUNDDOWN('Summary OPS'!AF31,0)</f>
        <v>0</v>
      </c>
      <c r="I192">
        <f>_xlfn.IFERROR(ROUNDDOWN('Expense Comps.'!L215/12,0),0)</f>
        <v>0</v>
      </c>
      <c r="J192">
        <f>ROUNDDOWN('Summary OPS'!AV31,0)</f>
        <v>1088</v>
      </c>
      <c r="K192">
        <f>_xlfn.IFERROR(ROUNDDOWN('Summary OPS'!AU92*100,1),"N/A")</f>
        <v>-75.8</v>
      </c>
    </row>
    <row r="193" ht="14.25" customHeight="1">
      <c r="A193" t="s">
        <v>5927</v>
      </c>
      <c r="B193">
        <f>ROUNDDOWN('Summary OPS'!H46,0)</f>
        <v>0</v>
      </c>
      <c r="C193">
        <f>ROUNDDOWN('Summary OPS'!K46,0)</f>
        <v>0</v>
      </c>
      <c r="E193">
        <f>ROUNDDOWN('Summary OPS'!Z46,0)</f>
        <v>11838</v>
      </c>
      <c r="G193">
        <f>ROUNDDOWN('Summary OPS'!AC46,0)</f>
        <v>0</v>
      </c>
      <c r="H193">
        <f>ROUNDDOWN('Summary OPS'!AF46,0)</f>
        <v>0</v>
      </c>
      <c r="I193">
        <f>ROUNDDOWN('Expense Comps.'!W215,0)</f>
        <v>0</v>
      </c>
      <c r="J193">
        <f>ROUNDDOWN('Summary OPS'!AV46,0)</f>
        <v>12193</v>
      </c>
    </row>
    <row r="194" ht="14.25" customHeight="1">
      <c r="A194" t="s">
        <v>5928</v>
      </c>
      <c r="B194">
        <f>ROUNDDOWN('Summary OPS'!H45,0)</f>
        <v>0</v>
      </c>
      <c r="C194">
        <f>ROUNDDOWN('Summary OPS'!K45,0)</f>
        <v>0</v>
      </c>
      <c r="E194">
        <f>ROUNDDOWN('Summary OPS'!Z45,0)</f>
        <v>2860</v>
      </c>
      <c r="G194">
        <f>ROUNDDOWN('Summary OPS'!AC45,0)</f>
        <v>0</v>
      </c>
      <c r="H194">
        <f>ROUNDDOWN('Summary OPS'!AF45,0)</f>
        <v>0</v>
      </c>
      <c r="I194">
        <f>ROUNDDOWN('Expense Comps.'!V215,0)</f>
        <v>0</v>
      </c>
      <c r="J194">
        <f>ROUNDDOWN('Summary OPS'!AV45,0)</f>
        <v>2946</v>
      </c>
    </row>
    <row r="195" ht="14.25" customHeight="1">
      <c r="A195" t="s">
        <v>5929</v>
      </c>
      <c r="B195">
        <f>ROUNDDOWN('Summary OPS'!H42,0)</f>
        <v>0</v>
      </c>
      <c r="C195">
        <f>ROUNDDOWN('Summary OPS'!K42,0)</f>
        <v>0</v>
      </c>
      <c r="E195">
        <f>ROUNDDOWN('Summary OPS'!Z42,0)</f>
        <v>2091</v>
      </c>
      <c r="G195">
        <f>ROUNDDOWN('Summary OPS'!AC42,0)</f>
        <v>0</v>
      </c>
      <c r="H195">
        <f>ROUNDDOWN('Summary OPS'!AF42,0)</f>
        <v>0</v>
      </c>
      <c r="I195">
        <f>ROUNDDOWN('Expense Comps.'!S215,0)</f>
        <v>0</v>
      </c>
      <c r="J195">
        <f>ROUNDDOWN('Summary OPS'!AV42,0)</f>
        <v>2154</v>
      </c>
    </row>
    <row r="196" ht="14.25" customHeight="1">
      <c r="A196" t="s">
        <v>5930</v>
      </c>
      <c r="B196">
        <f>ROUNDDOWN('Summary OPS'!H43,0)</f>
        <v>0</v>
      </c>
      <c r="C196">
        <f>ROUNDDOWN('Summary OPS'!K43,0)</f>
        <v>0</v>
      </c>
      <c r="E196">
        <f>ROUNDDOWN('Summary OPS'!Z43,0)</f>
        <v>1343</v>
      </c>
      <c r="G196">
        <f>ROUNDDOWN('Summary OPS'!AC43,0)</f>
        <v>0</v>
      </c>
      <c r="H196">
        <f>ROUNDDOWN('Summary OPS'!AF43,0)</f>
        <v>0</v>
      </c>
      <c r="I196">
        <f>ROUNDDOWN('Expense Comps.'!T215,0)</f>
        <v>0</v>
      </c>
      <c r="J196">
        <f>ROUNDDOWN('Summary OPS'!AV43,0)</f>
        <v>1384</v>
      </c>
    </row>
    <row r="197" ht="14.25" customHeight="1">
      <c r="A197" t="s">
        <v>5931</v>
      </c>
      <c r="B197">
        <f>ROUNDDOWN('Summary OPS'!H44,0)</f>
        <v>0</v>
      </c>
      <c r="C197">
        <f>ROUNDDOWN('Summary OPS'!K44,0)</f>
        <v>0</v>
      </c>
      <c r="E197">
        <f>ROUNDDOWN('Summary OPS'!Z44,0)</f>
        <v>4520</v>
      </c>
      <c r="G197">
        <f>ROUNDDOWN('Summary OPS'!AC44,0)</f>
        <v>0</v>
      </c>
      <c r="H197">
        <f>ROUNDDOWN('Summary OPS'!AF44,0)</f>
        <v>0</v>
      </c>
      <c r="I197">
        <f>ROUNDDOWN('Expense Comps.'!U215,0)</f>
        <v>0</v>
      </c>
      <c r="J197">
        <f>ROUNDDOWN('Summary OPS'!AV44,0)</f>
        <v>4656</v>
      </c>
    </row>
    <row r="198" ht="14.25" customHeight="1">
      <c r="A198" t="s">
        <v>5932</v>
      </c>
      <c r="B198">
        <f>_xlfn.IFERROR(ROUNDDOWN('Summary OPS'!H35*100,2),0)</f>
        <v>0</v>
      </c>
      <c r="C198">
        <f>ROUNDDOWN('Summary OPS'!K35,0)</f>
        <v>0</v>
      </c>
      <c r="E198">
        <f>ROUNDDOWN('Summary OPS'!Z35,0)</f>
        <v>0</v>
      </c>
      <c r="G198">
        <f>ROUNDDOWN('Summary OPS'!AC35,0)</f>
        <v>0</v>
      </c>
      <c r="H198">
        <f>ROUNDDOWN('Summary OPS'!AF35,0)</f>
        <v>0</v>
      </c>
      <c r="I198">
        <f>ROUNDDOWN('Expense Comps.'!M215,0)</f>
        <v>0</v>
      </c>
      <c r="J198">
        <f>ROUNDDOWN('Summary OPS'!AV35,0)</f>
        <v>0</v>
      </c>
    </row>
    <row r="199" ht="14.25" customHeight="1">
      <c r="A199" t="s">
        <v>5933</v>
      </c>
      <c r="B199">
        <f>ROUNDDOWN('Summary OPS'!H41,0)</f>
        <v>0</v>
      </c>
      <c r="C199">
        <f>ROUNDDOWN('Summary OPS'!K41,0)</f>
        <v>0</v>
      </c>
      <c r="E199">
        <f>ROUNDDOWN('Summary OPS'!Z41,0)</f>
        <v>5625</v>
      </c>
      <c r="G199">
        <f>ROUNDDOWN('Summary OPS'!AC41,0)</f>
        <v>0</v>
      </c>
      <c r="H199">
        <f>ROUNDDOWN('Summary OPS'!AF41,0)</f>
        <v>0</v>
      </c>
      <c r="I199">
        <f>ROUNDDOWN('Expense Comps.'!R215,0)</f>
        <v>0</v>
      </c>
      <c r="J199">
        <f>ROUNDDOWN('Summary OPS'!AV41,0)</f>
        <v>5794</v>
      </c>
    </row>
    <row r="200" ht="14.25" customHeight="1">
      <c r="A200" t="s">
        <v>5934</v>
      </c>
      <c r="B200">
        <f>ROUNDDOWN('Summary OPS'!H36+'Summary OPS'!H37+'Summary OPS'!H38,0)</f>
        <v>0</v>
      </c>
      <c r="C200">
        <f>ROUNDDOWN('Summary OPS'!K36+'Summary OPS'!K37+'Summary OPS'!K38,0)</f>
        <v>0</v>
      </c>
      <c r="E200">
        <f>ROUNDDOWN('Summary OPS'!Z36+'Summary OPS'!Z37+'Summary OPS'!Z38,0)</f>
        <v>3369</v>
      </c>
      <c r="G200">
        <f>ROUNDDOWN('Summary OPS'!AC36+'Summary OPS'!AC37+'Summary OPS'!AC38,0)</f>
        <v>0</v>
      </c>
      <c r="H200">
        <f>ROUNDDOWN('Summary OPS'!AF36+'Summary OPS'!AF37+'Summary OPS'!AF38,0)</f>
        <v>0</v>
      </c>
      <c r="I200">
        <f>ROUNDDOWN('Expense Comps.'!Q215,0)</f>
        <v>0</v>
      </c>
      <c r="J200">
        <f>ROUNDDOWN('Summary OPS'!AV36+'Summary OPS'!AV37+'Summary OPS'!AV38,0)</f>
        <v>3470</v>
      </c>
    </row>
    <row r="201" ht="14.25" customHeight="1">
      <c r="A201" t="s">
        <v>5935</v>
      </c>
      <c r="B201">
        <f>ROUNDDOWN('Summary OPS'!H39+'Summary OPS'!H40,0)</f>
        <v>0</v>
      </c>
      <c r="C201">
        <f>ROUNDDOWN('Summary OPS'!K39+'Summary OPS'!K40,0)</f>
        <v>0</v>
      </c>
      <c r="E201">
        <f>ROUNDDOWN('Summary OPS'!Z39+'Summary OPS'!Z40,0)</f>
        <v>0</v>
      </c>
      <c r="G201">
        <f>ROUNDDOWN('Summary OPS'!AC39+'Summary OPS'!AC40,0)</f>
        <v>0</v>
      </c>
      <c r="H201">
        <f>ROUNDDOWN('Summary OPS'!AF39+'Summary OPS'!AF40,0)</f>
        <v>0</v>
      </c>
      <c r="J201">
        <f>ROUNDDOWN('Summary OPS'!AV39+'Summary OPS'!AV40,0)</f>
        <v>0</v>
      </c>
    </row>
    <row r="202" ht="14.25" customHeight="1">
      <c r="A202" t="s">
        <v>5936</v>
      </c>
      <c r="B202">
        <f>ROUNDDOWN('Summary OPS'!H47+'Summary OPS'!H48,0)</f>
        <v>0</v>
      </c>
      <c r="C202">
        <f>ROUNDDOWN('Summary OPS'!K47+'Summary OPS'!K48,0)</f>
        <v>0</v>
      </c>
      <c r="E202">
        <f>ROUNDDOWN('Summary OPS'!Z47+'Summary OPS'!Z48,0)</f>
        <v>0</v>
      </c>
      <c r="G202">
        <f>ROUNDDOWN('Summary OPS'!AC47+'Summary OPS'!AC48,0)</f>
        <v>0</v>
      </c>
      <c r="H202">
        <f>ROUNDDOWN('Summary OPS'!AF47+'Summary OPS'!AF48,0)</f>
        <v>0</v>
      </c>
      <c r="J202">
        <f>ROUNDDOWN('Summary OPS'!AV47+'Summary OPS'!AV48,0)</f>
        <v>0</v>
      </c>
    </row>
    <row r="203" ht="14.25" customHeight="1">
      <c r="A203" t="s">
        <v>5937</v>
      </c>
      <c r="B203">
        <f>ROUNDDOWN('Summary OPS'!H51,0)</f>
        <v>0</v>
      </c>
      <c r="C203">
        <f>ROUNDDOWN('Summary OPS'!K51,0)</f>
        <v>0</v>
      </c>
      <c r="E203">
        <f>ROUNDDOWN('Summary OPS'!Z51,0)</f>
        <v>0</v>
      </c>
      <c r="G203">
        <f>ROUNDDOWN('Summary OPS'!AC51,0)</f>
        <v>0</v>
      </c>
      <c r="H203">
        <f>ROUNDDOWN('Summary OPS'!AF51,0)</f>
        <v>0</v>
      </c>
      <c r="I203">
        <f>ROUNDDOWN('Expense Comps.'!X215,0)</f>
        <v>0</v>
      </c>
      <c r="J203">
        <f>ROUNDDOWN('Summary OPS'!AV51,0)</f>
        <v>250</v>
      </c>
    </row>
    <row r="204" ht="14.25" customHeight="1">
      <c r="A204" t="s">
        <v>5938</v>
      </c>
      <c r="B204">
        <f>ROUNDDOWN('Summary OPS'!H53-'Summary OPS'!H46-'Summary OPS'!H51,0)</f>
        <v>0</v>
      </c>
      <c r="C204">
        <f>ROUNDDOWN('Summary OPS'!K53-'Summary OPS'!K46-'Summary OPS'!K51,0)</f>
        <v>0</v>
      </c>
      <c r="D204">
        <f>_xlfn.IFERROR(ROUNDDOWN('Summary OPS'!G93*100,1),"N/A")</f>
        <v>0</v>
      </c>
      <c r="E204">
        <f>ROUNDDOWN('Summary OPS'!Z53-'Summary OPS'!Z46-'Summary OPS'!Z51,0)</f>
        <v>21851</v>
      </c>
      <c r="F204">
        <f>_xlfn.IFERROR(ROUNDDOWN('Summary OPS'!J93*100,1),"N/A")</f>
        <v>0</v>
      </c>
      <c r="G204">
        <f>ROUNDDOWN('Summary OPS'!AC53-'Summary OPS'!AC46-'Summary OPS'!AC51,0)</f>
        <v>0</v>
      </c>
      <c r="H204">
        <f>ROUNDDOWN('Summary OPS'!AF53-'Summary OPS'!AF46-'Summary OPS'!AF51,0)</f>
        <v>0</v>
      </c>
      <c r="I204">
        <f>_xlfn.IFERROR(ROUNDDOWN('Expense Comps.'!Z215,0),0)</f>
        <v>0</v>
      </c>
      <c r="J204">
        <f>_xlfn.IFERROR(ROUNDDOWN('Summary OPS'!AV53-'Summary OPS'!AV46-'Summary OPS'!AV51,0),0)</f>
        <v>20860</v>
      </c>
      <c r="K204">
        <f>_xlfn.IFERROR(ROUNDDOWN('Summary OPS'!AU93*100,1),"N/A")</f>
        <v>-1.1</v>
      </c>
    </row>
    <row r="205" ht="14.25" customHeight="1"/>
    <row r="206" ht="14.25" customHeight="1">
      <c r="A206" t="s">
        <v>5939</v>
      </c>
    </row>
    <row r="207" ht="14.25" customHeight="1">
      <c r="A207" t="s">
        <v>5940</v>
      </c>
      <c r="B207">
        <f>_xlfn.IFERROR(ROUNDDOWN(T3_Annualized_NRI/TotalUnits,0),0)</f>
        <v>57704</v>
      </c>
    </row>
    <row r="208" ht="14.25" customHeight="1">
      <c r="A208" t="s">
        <v>5941</v>
      </c>
      <c r="B208">
        <f>_xlfn.IFERROR(ROUNDDOWN(T3_vs_T6*100,2),"Error")</f>
        <v>-0.08</v>
      </c>
    </row>
    <row r="209" ht="14.25" customHeight="1">
      <c r="A209" t="s">
        <v>5942</v>
      </c>
      <c r="B209">
        <f>_xlfn.IFERROR(ROUNDDOWN(T3_vs_T12*100,2),"Error")</f>
        <v>2.03</v>
      </c>
    </row>
    <row r="210" ht="14.25" customHeight="1">
      <c r="A210" t="s">
        <v>5943</v>
      </c>
      <c r="B210">
        <f>_xlfn.IFERROR(ROUNDDOWN('NRI Analysis'!H91*100,2),"Error")</f>
        <v>-72.96</v>
      </c>
    </row>
    <row r="211" ht="14.25" customHeight="1"/>
    <row r="212" ht="14.25" customHeight="1">
      <c r="A212" t="s">
        <v>2433</v>
      </c>
      <c r="B212">
        <f>T1_Annualized_NRI</f>
        <v>4823412</v>
      </c>
    </row>
    <row r="213" ht="14.25" customHeight="1">
      <c r="A213" t="s">
        <v>1752</v>
      </c>
      <c r="B213">
        <f>T3_Annualized_NRI</f>
        <v>4904876</v>
      </c>
    </row>
    <row r="214" ht="14.25" customHeight="1">
      <c r="A214" t="s">
        <v>2429</v>
      </c>
      <c r="B214">
        <f>T6_Annualized_NRI</f>
        <v>4908984</v>
      </c>
    </row>
    <row r="215" ht="14.25" customHeight="1">
      <c r="A215" t="s">
        <v>1738</v>
      </c>
      <c r="B215">
        <f>T12_Annualized_NRI</f>
        <v>4807132</v>
      </c>
    </row>
    <row r="216" ht="14.25" customHeight="1">
      <c r="A216" t="s">
        <v>5944</v>
      </c>
      <c r="B216">
        <f>SOps_UnderwrittenNRI</f>
        <v>1325888</v>
      </c>
    </row>
    <row r="217" ht="14.25" customHeight="1"/>
    <row r="218" ht="14.25" customHeight="1">
      <c r="A218" t="s">
        <v>5945</v>
      </c>
    </row>
    <row r="219" ht="14.25" customHeight="1">
      <c r="A219" t="s">
        <v>5946</v>
      </c>
      <c r="B219">
        <f>'FNM Exit Strategy'!E7*100</f>
        <v>0</v>
      </c>
    </row>
    <row r="220" ht="14.25" customHeight="1">
      <c r="A220" t="s">
        <v>5947</v>
      </c>
      <c r="B220">
        <f>'FNM Exit Strategy'!F7*100</f>
        <v>0</v>
      </c>
    </row>
    <row r="221" ht="14.25" customHeight="1">
      <c r="A221" t="s">
        <v>5948</v>
      </c>
      <c r="B221">
        <f>'FNM Exit Strategy'!G7*100</f>
        <v>0</v>
      </c>
    </row>
    <row r="222" ht="14.25" customHeight="1">
      <c r="A222" t="s">
        <v>5949</v>
      </c>
      <c r="B222">
        <f>'FNM Exit Strategy'!H7*100</f>
        <v>0</v>
      </c>
    </row>
    <row r="223" ht="14.25" customHeight="1">
      <c r="A223" t="s">
        <v>5950</v>
      </c>
      <c r="B223">
        <f>'FNM Exit Strategy'!I7*100</f>
        <v>0</v>
      </c>
    </row>
    <row r="224" ht="14.25" customHeight="1">
      <c r="A224" t="s">
        <v>985</v>
      </c>
      <c r="B224">
        <f>_xlfn.IFERROR(ROUNDDOWN('FNM Exit Strategy'!AL15*100,2),"Error")</f>
        <v>0</v>
      </c>
    </row>
    <row r="225" ht="14.25" customHeight="1">
      <c r="A225" t="s">
        <v>5951</v>
      </c>
      <c r="B225">
        <f>_xlfn.IFERROR(ROUNDDOWN('FNM Exit Strategy'!AL23*100,2),"Error")</f>
        <v>0</v>
      </c>
    </row>
    <row r="226" ht="14.25" customHeight="1">
      <c r="A226" t="s">
        <v>1418</v>
      </c>
      <c r="B226">
        <f>_xlfn.IFERROR(ROUNDDOWN('FNM Exit Strategy'!AL22*100,2),"Error")</f>
        <v>80</v>
      </c>
    </row>
    <row r="227" ht="14.25" customHeight="1">
      <c r="A227" t="s">
        <v>5952</v>
      </c>
      <c r="B227">
        <f>_xlfn.IFERROR(ROUNDDOWN('FNM Exit Strategy'!AL21*100,2),"Error")</f>
        <v>0</v>
      </c>
    </row>
    <row r="228" ht="14.25" customHeight="1">
      <c r="A228" t="s">
        <v>1415</v>
      </c>
      <c r="B228">
        <f>_xlfn.IFERROR(ROUNDDOWN('FNM Exit Strategy'!AL20*100,2),"Error")</f>
        <v>7</v>
      </c>
    </row>
    <row r="229" ht="14.25" customHeight="1">
      <c r="A229" t="s">
        <v>5953</v>
      </c>
      <c r="B229">
        <f>_xlfn.IFERROR(ROUNDDOWN('FNM Exit Strategy'!AL25*100,2),"Error")</f>
        <v>0</v>
      </c>
    </row>
    <row r="230" ht="14.25" customHeight="1">
      <c r="A230" t="s">
        <v>5954</v>
      </c>
      <c r="B230">
        <f>_xlfn.IFERROR(ROUNDDOWN('FNM Exit Strategy'!AL32,2),"Error")</f>
        <v>0</v>
      </c>
    </row>
    <row r="231" ht="14.25" customHeight="1">
      <c r="A231" t="s">
        <v>5955</v>
      </c>
      <c r="B231">
        <f>_xlfn.IFERROR(ROUNDDOWN('FNM Exit Strategy'!AL30*100,2),"Error")</f>
        <v>7.5</v>
      </c>
    </row>
    <row r="232" ht="14.25" customHeight="1"/>
    <row r="233" ht="14.25" customHeight="1">
      <c r="A233" t="s">
        <v>5956</v>
      </c>
    </row>
    <row r="234" ht="14.25" customHeight="1">
      <c r="A234" t="s">
        <v>985</v>
      </c>
      <c r="B234">
        <f>_xlfn.IFERROR(ROUNDDOWN('FNM Exit Strategy'!AM15*100,2),"Error")</f>
        <v>0</v>
      </c>
    </row>
    <row r="235" ht="14.25" customHeight="1">
      <c r="A235" t="s">
        <v>5951</v>
      </c>
      <c r="B235">
        <f>_xlfn.IFERROR(ROUNDDOWN('FNM Exit Strategy'!AM23*100,2),"Error")</f>
        <v>0</v>
      </c>
    </row>
    <row r="236" ht="14.25" customHeight="1">
      <c r="A236" t="s">
        <v>1418</v>
      </c>
      <c r="B236">
        <f>_xlfn.IFERROR(ROUNDDOWN('FNM Exit Strategy'!AM22*100,2),"Error")</f>
        <v>80</v>
      </c>
    </row>
    <row r="237" ht="14.25" customHeight="1">
      <c r="A237" t="s">
        <v>5952</v>
      </c>
      <c r="B237">
        <f>_xlfn.IFERROR(ROUNDDOWN('FNM Exit Strategy'!AM21*100,2),"Error")</f>
        <v>0</v>
      </c>
    </row>
    <row r="238" ht="14.25" customHeight="1">
      <c r="A238" t="s">
        <v>1415</v>
      </c>
      <c r="B238">
        <f>_xlfn.IFERROR(ROUNDDOWN('FNM Exit Strategy'!AM20*100,2),"Error")</f>
        <v>7</v>
      </c>
    </row>
    <row r="239" ht="14.25" customHeight="1">
      <c r="A239" t="s">
        <v>5953</v>
      </c>
      <c r="B239">
        <f>_xlfn.IFERROR(ROUNDDOWN('FNM Exit Strategy'!AM25*100,2),"Error")</f>
        <v>0</v>
      </c>
    </row>
    <row r="240" ht="14.25" customHeight="1">
      <c r="A240" t="s">
        <v>5954</v>
      </c>
      <c r="B240">
        <f>_xlfn.IFERROR(ROUNDDOWN('FNM Exit Strategy'!AM32,2),"Error")</f>
        <v>0</v>
      </c>
    </row>
    <row r="241" ht="14.25" customHeight="1">
      <c r="A241" t="s">
        <v>5955</v>
      </c>
      <c r="B241">
        <f>_xlfn.IFERROR(ROUNDDOWN('FNM Exit Strategy'!AL30*100,2),"Error")</f>
        <v>7.5</v>
      </c>
    </row>
    <row r="242" ht="14.25" customHeight="1"/>
    <row r="243" ht="14.25" customHeight="1">
      <c r="A243" t="s">
        <v>5957</v>
      </c>
      <c r="B243">
        <f>_xlfn.IFERROR(ROUNDDOWN(DataPage_PcntOfUnits_LTE_120PcntOfAMI*100,2),0)</f>
        <v>0</v>
      </c>
    </row>
    <row r="244" ht="14.25" customHeight="1">
      <c r="A244" t="s">
        <v>5958</v>
      </c>
      <c r="B244">
        <f>_xlfn.IFERROR(ROUNDDOWN(DataPage_PcntOfUnits_LTE_100PcntOfAMI*100,2),0)</f>
        <v>0</v>
      </c>
    </row>
    <row r="245" ht="14.25" customHeight="1">
      <c r="A245" t="s">
        <v>5959</v>
      </c>
      <c r="B245">
        <f>_xlfn.IFERROR(ROUNDDOWN(DataPage_PcntOfUnits_LTE_80PcntOfAMI*100,2),0)</f>
        <v>0</v>
      </c>
    </row>
    <row r="246" ht="14.25" customHeight="1">
      <c r="A246" t="s">
        <v>5960</v>
      </c>
      <c r="B246">
        <f>_xlfn.IFERROR(ROUNDDOWN(DataPage_PcntOfUnits_LTE_60PcntOfAMI*100,2),0)</f>
        <v>0</v>
      </c>
    </row>
    <row r="247" ht="14.25" customHeight="1">
      <c r="A247" t="s">
        <v>5961</v>
      </c>
      <c r="B247">
        <f>_xlfn.IFERROR(ROUNDDOWN(DataPage_PcntOfUnits_LTE_50PcntOfAMI*100,2),0)</f>
        <v>0</v>
      </c>
    </row>
    <row r="248" ht="14.25" customHeight="1">
      <c r="A248" t="s">
        <v>5962</v>
      </c>
      <c r="B248">
        <f>_xlfn.IFERROR(ROUNDDOWN(DataPage_PcntExcludedFromCap*100,2),0)</f>
        <v>0</v>
      </c>
    </row>
    <row r="249" ht="14.25" customHeight="1"/>
    <row r="250" ht="14.25" customHeight="1">
      <c r="A250" t="s">
        <v>5963</v>
      </c>
    </row>
    <row r="251" ht="14.25" customHeight="1">
      <c r="A251" t="s">
        <v>5964</v>
      </c>
      <c r="B251" t="e">
        <f>IF('Data Page'!I7="MAH",IF(MSA_Type="MSA (Strong Market)",IF(LoanAmount&gt;=55000000,"Meets standards","Does not meet standards"),IF(TIER=4,55000000,IF(TIER=3,40000000,30000000))),IF(AND(LoanAmount&gt;5000000,LoanAmount&lt;=75000000),"Meets standards","Does not meet standards"))</f>
        <v>#NAME?</v>
      </c>
    </row>
    <row r="252" ht="14.25" customHeight="1">
      <c r="A252" t="s">
        <v>5965</v>
      </c>
      <c r="B252" t="str">
        <f>IF('Data Page'!I7="MAH","Exclusions: Limited to LHTC (immediate-fixed), Preservation (Fixed), Fixed Rate Bond, ARM 7-6)","Exclusions: MAH, Seniors, Structured, Small Loans")</f>
        <v>Exclusions: MAH, Seniors, Structured, Small Loans</v>
      </c>
    </row>
    <row r="253" ht="14.25" customHeight="1">
      <c r="A253" t="s">
        <v>932</v>
      </c>
      <c r="B253" t="str">
        <f>IF(LTV&gt;Tier_Max_LTV,ROUNDDOWN(LTV*100,2)&amp;"% does not meet PD requirements",ROUNDDOWN(LTV*100,2)&amp;"% meets PD requirements")</f>
        <v>0% meets PD requirements</v>
      </c>
    </row>
    <row r="254" ht="14.25" customHeight="1">
      <c r="A254" t="s">
        <v>1372</v>
      </c>
      <c r="B254" t="e">
        <f>IF(Actual_UW_DSCR&lt;Tier_Min_Actual_UW_DSCR,ROUNDDOWN(UW_DSCR,2)&amp;"x does not meet PD requirements",ROUNDDOWN(UW_DSCR,2)&amp;"x meets PD requirements")</f>
        <v>#NAME?</v>
      </c>
    </row>
    <row r="255" ht="14.25" customHeight="1">
      <c r="A255" t="s">
        <v>5968</v>
      </c>
      <c r="B255" t="s">
        <v>174</v>
      </c>
      <c r="D255" t="str">
        <f>IF(Debt_Yield&lt;7.25%,ROUNDDOWN(Debt_Yield*100,2)&amp;"% does not meet PD requirements",ROUNDDOWN(Debt_Yield*100,2)&amp;"% meets PD requirements")</f>
        <v>0% does not meet PD requirements</v>
      </c>
    </row>
    <row r="256" ht="14.25" customHeight="1">
      <c r="A256" t="s">
        <v>5970</v>
      </c>
      <c r="B256" t="e">
        <f>IF(MSA_Type="MSA (Pre-Review Market)","Pre-Review Market: No PD Allowed",ROUNDDOWN(Exit_Rate_Standard*100,2)&amp;IF('Data Page'!J51="PD: Fail","% does not meet PD requirements","% meets PD requirements"))</f>
        <v>#NAME?</v>
      </c>
    </row>
    <row r="257" ht="14.25" customHeight="1">
      <c r="A257" t="s">
        <v>5971</v>
      </c>
      <c r="B257" t="str">
        <f>IF('Data Page'!I7="MAH","DSC, IO, LTV, Amortization (15 yrs for loan terms ≥ 10 yrs","Large Loans, DSC, IO, LTC, SARM's (SARM's delegated to Priority Borrowers with specified interest rate cap terms for volume above $10M)")</f>
        <v>Large Loans, DSC, IO, LTC, SARM's (SARM's delegated to Priority Borrowers with specified interest rate cap terms for volume above $10M)</v>
      </c>
    </row>
    <row r="258" ht="14.25" customHeight="1"/>
    <row r="259" ht="14.25" customHeight="1">
      <c r="A259" t="s">
        <v>5973</v>
      </c>
    </row>
    <row r="260" ht="14.25" customHeight="1">
      <c r="A260" t="s">
        <v>5974</v>
      </c>
    </row>
    <row r="261" ht="14.25" customHeight="1">
      <c r="A261" t="s">
        <v>5975</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389D5A32-5637-EAEF-F192-385E18B801CD}" mc:Ignorable="x14ac xr xr2 xr3">
  <dimension ref="A1:I40"/>
  <sheetViews>
    <sheetView topLeftCell="A1" workbookViewId="0">
      <selection activeCell="A1" sqref="A1"/>
    </sheetView>
  </sheetViews>
  <sheetFormatPr defaultRowHeight="15" defaultColWidth="9.140625" customHeight="1"/>
  <cols>
    <col min="1" max="1" width="4.28125" customWidth="1"/>
    <col min="2" max="2" width="15.00390625" customWidth="1"/>
    <col min="3" max="3" width="31.28125" customWidth="1"/>
    <col min="4" max="4" width="15.57421875" customWidth="1"/>
    <col min="5" max="5" width="15.8515625" customWidth="1"/>
    <col min="6" max="6" width="17.57421875" customWidth="1"/>
    <col min="7" max="7" width="15.8515625" customWidth="1"/>
    <col min="8" max="8" width="17.57421875" customWidth="1"/>
    <col min="9" max="9" width="4.28125" customWidth="1"/>
  </cols>
  <sheetData>
    <row r="2" ht="15" customHeight="1">
      <c r="B2" t="s">
        <v>5976</v>
      </c>
    </row>
    <row r="3" ht="31.5" customHeight="1"/>
    <row r="4" ht="15" customHeight="1">
      <c r="C4" t="s">
        <v>5977</v>
      </c>
    </row>
    <row r="5" ht="15" customHeight="1">
      <c r="C5" t="s">
        <v>5978</v>
      </c>
      <c r="E5" t="s">
        <v>5979</v>
      </c>
      <c r="G5" t="s">
        <v>5980</v>
      </c>
    </row>
    <row r="6" ht="15" customHeight="1">
      <c r="B6">
        <v>1</v>
      </c>
      <c r="C6" t="s">
        <v>5981</v>
      </c>
      <c r="E6" t="s">
        <v>5982</v>
      </c>
      <c r="G6" t="s">
        <v>5982</v>
      </c>
    </row>
    <row r="7" ht="15" customHeight="1">
      <c r="B7">
        <v>2</v>
      </c>
      <c r="C7" t="s">
        <v>5983</v>
      </c>
      <c r="E7" t="s">
        <v>5984</v>
      </c>
      <c r="G7" t="s">
        <v>5985</v>
      </c>
    </row>
    <row r="8" ht="15" customHeight="1">
      <c r="B8">
        <v>3</v>
      </c>
      <c r="C8" t="s">
        <v>5986</v>
      </c>
      <c r="E8" t="s">
        <v>5987</v>
      </c>
      <c r="G8" t="s">
        <v>5988</v>
      </c>
    </row>
    <row r="9" ht="15" customHeight="1">
      <c r="B9">
        <v>4</v>
      </c>
      <c r="C9" t="s">
        <v>5989</v>
      </c>
      <c r="E9" t="s">
        <v>5990</v>
      </c>
      <c r="G9" t="s">
        <v>5991</v>
      </c>
    </row>
    <row r="10" ht="15" customHeight="1">
      <c r="B10">
        <v>5</v>
      </c>
      <c r="C10" t="s">
        <v>5992</v>
      </c>
      <c r="E10" t="s">
        <v>5993</v>
      </c>
      <c r="G10" t="s">
        <v>5994</v>
      </c>
    </row>
    <row r="11" ht="15" customHeight="1">
      <c r="B11">
        <v>6</v>
      </c>
      <c r="C11" t="s">
        <v>5995</v>
      </c>
      <c r="E11" t="s">
        <v>5996</v>
      </c>
      <c r="G11" t="s">
        <v>5997</v>
      </c>
    </row>
    <row r="12" ht="15" customHeight="1">
      <c r="B12">
        <v>7</v>
      </c>
      <c r="C12" t="s">
        <v>5998</v>
      </c>
      <c r="E12" t="s">
        <v>571</v>
      </c>
      <c r="G12" t="s">
        <v>571</v>
      </c>
    </row>
    <row r="13" ht="15" customHeight="1">
      <c r="B13">
        <v>8</v>
      </c>
      <c r="C13" t="s">
        <v>5999</v>
      </c>
      <c r="E13" t="s">
        <v>6000</v>
      </c>
      <c r="G13" t="s">
        <v>6001</v>
      </c>
    </row>
    <row r="14" ht="15" customHeight="1">
      <c r="B14">
        <v>9</v>
      </c>
      <c r="C14" t="s">
        <v>6002</v>
      </c>
      <c r="E14" t="s">
        <v>6003</v>
      </c>
      <c r="G14" t="s">
        <v>6004</v>
      </c>
    </row>
    <row r="15" ht="15" customHeight="1">
      <c r="B15">
        <v>10</v>
      </c>
      <c r="C15" t="s">
        <v>6005</v>
      </c>
      <c r="E15">
        <f t="shared" si="0" ref="E15:G15">COUNTIF(F24:F39,FALSE)</f>
        <v>15</v>
      </c>
      <c r="G15">
        <f t="shared" si="0"/>
        <v>15</v>
      </c>
    </row>
    <row r="17" ht="15" customHeight="1">
      <c r="B17" t="s">
        <v>6006</v>
      </c>
      <c r="C17" t="s">
        <v>572</v>
      </c>
      <c r="E17">
        <v>3180000</v>
      </c>
      <c r="G17">
        <v>9347000</v>
      </c>
    </row>
    <row r="18" ht="15" customHeight="1">
      <c r="C18" t="s">
        <v>6007</v>
      </c>
      <c r="E18">
        <v>120</v>
      </c>
      <c r="G18">
        <v>120</v>
      </c>
    </row>
    <row r="19" ht="15" customHeight="1">
      <c r="C19" t="s">
        <v>6008</v>
      </c>
      <c r="E19">
        <v>60</v>
      </c>
      <c r="G19">
        <v>60</v>
      </c>
    </row>
    <row r="22" ht="15" customHeight="1">
      <c r="C22" t="s">
        <v>6009</v>
      </c>
    </row>
    <row r="23" ht="15" customHeight="1">
      <c r="B23" t="s">
        <v>6010</v>
      </c>
      <c r="C23" t="s">
        <v>6011</v>
      </c>
      <c r="D23" t="s">
        <v>773</v>
      </c>
      <c r="E23" t="s">
        <v>6012</v>
      </c>
      <c r="F23" t="s">
        <v>6013</v>
      </c>
      <c r="G23" t="s">
        <v>6012</v>
      </c>
      <c r="H23" t="s">
        <v>6013</v>
      </c>
    </row>
    <row r="24" ht="15" customHeight="1">
      <c r="B24" t="s">
        <v>5240</v>
      </c>
      <c r="C24" t="s">
        <v>2738</v>
      </c>
      <c r="D24">
        <f>'Rent Roll'!FA126</f>
        <v>7542</v>
      </c>
      <c r="E24">
        <v>6515</v>
      </c>
      <c r="F24" t="b">
        <f t="shared" si="1" ref="F24:H38">_xlfn.IFERROR($D24=E24,FALSE)</f>
        <v>0</v>
      </c>
      <c r="G24">
        <v>24312</v>
      </c>
      <c r="H24" t="b">
        <f t="shared" si="1"/>
        <v>0</v>
      </c>
    </row>
    <row r="25" ht="15" customHeight="1">
      <c r="B25" t="s">
        <v>5240</v>
      </c>
      <c r="C25" t="s">
        <v>6014</v>
      </c>
      <c r="D25">
        <f>'Rent Roll'!FC126</f>
        <v>131597</v>
      </c>
      <c r="E25">
        <v>307916</v>
      </c>
      <c r="F25" t="b">
        <f t="shared" si="1"/>
        <v>0</v>
      </c>
      <c r="G25">
        <v>488192</v>
      </c>
      <c r="H25" t="b">
        <f t="shared" si="1"/>
        <v>0</v>
      </c>
    </row>
    <row r="26" ht="15" customHeight="1">
      <c r="B26" t="s">
        <v>6015</v>
      </c>
      <c r="C26" t="s">
        <v>6016</v>
      </c>
      <c r="D26">
        <f>'Unit Mix'!E149</f>
        <v>101</v>
      </c>
      <c r="E26">
        <v>252</v>
      </c>
      <c r="F26" t="b">
        <f t="shared" si="1"/>
        <v>0</v>
      </c>
      <c r="G26">
        <v>321</v>
      </c>
      <c r="H26" t="b">
        <f t="shared" si="1"/>
        <v>0</v>
      </c>
    </row>
    <row r="27" ht="15" customHeight="1">
      <c r="B27" t="s">
        <v>6015</v>
      </c>
      <c r="C27" t="s">
        <v>6017</v>
      </c>
      <c r="D27">
        <f>'Unit Mix'!R149</f>
        <v>0.04950495049504951</v>
      </c>
      <c r="E27">
        <v>0.023809523809523808</v>
      </c>
      <c r="F27" t="b">
        <f t="shared" si="1"/>
        <v>0</v>
      </c>
      <c r="G27">
        <v>0.04984423676012461</v>
      </c>
      <c r="H27" t="b">
        <f t="shared" si="1"/>
        <v>0</v>
      </c>
    </row>
    <row r="28" ht="15" customHeight="1">
      <c r="B28" t="s">
        <v>6015</v>
      </c>
      <c r="C28" t="s">
        <v>6018</v>
      </c>
      <c r="D28">
        <f>'Unit Mix'!I151</f>
        <v>84991</v>
      </c>
      <c r="E28">
        <v>256836</v>
      </c>
      <c r="F28" t="b">
        <f t="shared" si="1"/>
        <v>0</v>
      </c>
      <c r="G28">
        <v>262688</v>
      </c>
      <c r="H28" t="b">
        <f t="shared" si="1"/>
        <v>0</v>
      </c>
    </row>
    <row r="29" ht="15" customHeight="1">
      <c r="B29" t="s">
        <v>6015</v>
      </c>
      <c r="C29" t="s">
        <v>3147</v>
      </c>
      <c r="D29">
        <f>'Unit Mix'!P149</f>
        <v>96</v>
      </c>
      <c r="E29">
        <v>246</v>
      </c>
      <c r="F29" t="b">
        <f t="shared" si="1"/>
        <v>0</v>
      </c>
      <c r="G29">
        <v>305</v>
      </c>
      <c r="H29" t="b">
        <f t="shared" si="1"/>
        <v>0</v>
      </c>
    </row>
    <row r="30" ht="15" customHeight="1">
      <c r="B30" t="s">
        <v>6015</v>
      </c>
      <c r="C30" t="s">
        <v>6019</v>
      </c>
      <c r="D30">
        <f>SUM('Unit Mix'!D149:S149)</f>
        <v>127068.83265452416</v>
      </c>
      <c r="E30">
        <v>270639.7724480442</v>
      </c>
      <c r="F30" t="b">
        <f t="shared" si="1"/>
        <v>0</v>
      </c>
      <c r="G30">
        <v>406137.0947188281</v>
      </c>
      <c r="H30" t="b">
        <f t="shared" si="1"/>
        <v>0</v>
      </c>
    </row>
    <row r="31" ht="15" customHeight="1">
      <c r="B31" t="s">
        <v>6015</v>
      </c>
      <c r="C31" t="s">
        <v>6020</v>
      </c>
      <c r="D31">
        <f>SUM('Unit Mix'!E173:J173)</f>
        <v>73650.49176470588</v>
      </c>
      <c r="E31">
        <v>259431.87059911684</v>
      </c>
      <c r="F31" t="b">
        <f t="shared" si="1"/>
        <v>0</v>
      </c>
      <c r="G31">
        <v>265446.89594809304</v>
      </c>
      <c r="H31" t="b">
        <f t="shared" si="1"/>
        <v>0</v>
      </c>
    </row>
    <row r="32" ht="15" customHeight="1">
      <c r="B32" t="s">
        <v>6015</v>
      </c>
      <c r="C32" t="s">
        <v>6021</v>
      </c>
      <c r="D32">
        <f>SUM('Unit Mix'!E377:I377)</f>
        <v>207366</v>
      </c>
      <c r="E32">
        <v>523072</v>
      </c>
      <c r="F32" t="b">
        <f t="shared" si="1"/>
        <v>0</v>
      </c>
      <c r="G32">
        <v>663852</v>
      </c>
      <c r="H32" t="b">
        <f t="shared" si="1"/>
        <v>0</v>
      </c>
    </row>
    <row r="33" ht="15" customHeight="1">
      <c r="B33" t="s">
        <v>6022</v>
      </c>
      <c r="C33" t="s">
        <v>6023</v>
      </c>
      <c r="D33">
        <f>SUM('Fannie Historical Ops'!D77:BN77)</f>
        <v>23034944.615974024</v>
      </c>
      <c r="E33">
        <v>39611101.13051948</v>
      </c>
      <c r="F33" t="b">
        <f t="shared" si="1"/>
        <v>0</v>
      </c>
      <c r="G33">
        <v>17406195.41073593</v>
      </c>
      <c r="H33" t="b">
        <f t="shared" si="1"/>
        <v>0</v>
      </c>
    </row>
    <row r="34" ht="15" customHeight="1">
      <c r="B34" t="s">
        <v>2436</v>
      </c>
      <c r="C34" t="s">
        <v>6024</v>
      </c>
      <c r="D34">
        <f>SUM('Expense Comps.'!Z217:AO217)</f>
        <v>-398167.161013354</v>
      </c>
      <c r="E34">
        <v>203472.18103992866</v>
      </c>
      <c r="F34" t="b">
        <f t="shared" si="1"/>
        <v>0</v>
      </c>
      <c r="G34">
        <v>294579.2920272773</v>
      </c>
      <c r="H34" t="b">
        <f t="shared" si="1"/>
        <v>0</v>
      </c>
    </row>
    <row r="35" ht="15" customHeight="1">
      <c r="B35" t="s">
        <v>6025</v>
      </c>
      <c r="C35" t="s">
        <v>6026</v>
      </c>
      <c r="D35" t="e">
        <f>'FNM Exit Strategy'!AL13</f>
        <v>#NAME?</v>
      </c>
      <c r="E35">
        <v>1851172</v>
      </c>
      <c r="F35" t="b">
        <f t="shared" si="1"/>
        <v>0</v>
      </c>
      <c r="G35">
        <v>3951096</v>
      </c>
      <c r="H35" t="b">
        <f t="shared" si="1"/>
        <v>0</v>
      </c>
    </row>
    <row r="36" ht="15" customHeight="1">
      <c r="B36" t="s">
        <v>6025</v>
      </c>
      <c r="C36" t="s">
        <v>6027</v>
      </c>
      <c r="D36" t="e">
        <f>'FNM Exit Strategy'!AM13</f>
        <v>#NAME?</v>
      </c>
      <c r="E36">
        <v>2659225.0920554316</v>
      </c>
      <c r="F36" t="b">
        <f t="shared" si="1"/>
        <v>0</v>
      </c>
      <c r="G36">
        <v>5164482.036467579</v>
      </c>
      <c r="H36" t="b">
        <f t="shared" si="1"/>
        <v>0</v>
      </c>
    </row>
    <row r="37" ht="15" customHeight="1">
      <c r="B37" t="s">
        <v>6028</v>
      </c>
      <c r="C37" t="s">
        <v>6029</v>
      </c>
      <c r="D37">
        <f>SBL_CensusTractNmbr</f>
        <v>0</v>
      </c>
      <c r="E37">
        <v>22033003913</v>
      </c>
      <c r="F37" t="b">
        <f t="shared" si="1"/>
        <v>0</v>
      </c>
      <c r="G37">
        <v>47125100602</v>
      </c>
      <c r="H37" t="b">
        <f t="shared" si="1"/>
        <v>0</v>
      </c>
    </row>
    <row r="38" ht="15" customHeight="1">
      <c r="B38" t="s">
        <v>6028</v>
      </c>
      <c r="C38" t="s">
        <v>6030</v>
      </c>
      <c r="D38">
        <f>MSA</f>
      </c>
      <c r="E38" t="s">
        <v>6031</v>
      </c>
      <c r="F38" t="b">
        <f t="shared" si="1"/>
        <v>0</v>
      </c>
      <c r="G38" t="s">
        <v>6032</v>
      </c>
      <c r="H38" t="b">
        <f t="shared" si="1"/>
        <v>0</v>
      </c>
    </row>
    <row r="39" ht="15" customHeight="1">
      <c r="C39" t="s">
        <v>6033</v>
      </c>
      <c r="E39" t="s">
        <v>6034</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18876F32-788C-5ABE-4A1D-BBDD7A299D9F}" mc:Ignorable="x14ac xr xr2 xr3">
  <sheetPr>
    <tabColor theme="0" tint="-0.5"/>
  </sheetPr>
  <dimension ref="A1:G37"/>
  <sheetViews>
    <sheetView topLeftCell="A1" zoomScale="90" workbookViewId="0">
      <selection activeCell="B1" sqref="B1"/>
    </sheetView>
  </sheetViews>
  <sheetFormatPr defaultRowHeight="14.497499999999997" defaultColWidth="8.8515625" customHeight="1"/>
  <cols>
    <col min="1" max="1" width="42.28125" customWidth="1"/>
    <col min="2" max="2" width="35.7109375" customWidth="1"/>
    <col min="3" max="3" width="14.57421875" customWidth="1"/>
    <col min="4" max="4" width="35.7109375" customWidth="1"/>
    <col min="5" max="5" width="14.57421875" customWidth="1"/>
    <col min="6" max="6" width="58.00390625" customWidth="1"/>
    <col min="7" max="7" width="6.7109375" customWidth="1"/>
  </cols>
  <sheetData>
    <row r="1" ht="15" customHeight="1">
      <c r="A1" t="s">
        <v>5981</v>
      </c>
      <c r="B1" t="s">
        <v>5982</v>
      </c>
    </row>
    <row r="2" ht="15" customHeight="1">
      <c r="A2" t="s">
        <v>5983</v>
      </c>
      <c r="B2" t="s">
        <v>6035</v>
      </c>
    </row>
    <row r="3" ht="15" customHeight="1">
      <c r="A3" t="s">
        <v>5986</v>
      </c>
      <c r="B3" t="s">
        <v>6036</v>
      </c>
      <c r="C3" s="1">
        <v>45184.33871527778</v>
      </c>
      <c r="D3" t="s">
        <v>6036</v>
      </c>
      <c r="E3" t="s">
        <v>6037</v>
      </c>
      <c r="F3" t="str">
        <f>CONCATENATE(EnodoConfig_EnodoUrl,"/rent_roll/",EnodoConfig_RRId,"/analysis")</f>
        <v>https://beta.enodoinc.com/rent_roll/02f77506-7855-4b81-a0bd-4684d864ecbe/analysis</v>
      </c>
      <c r="G3" t="str">
        <f t="shared" si="0" ref="G3:G7">HYPERLINK(F3,E3)</f>
        <v>Enodo it!</v>
      </c>
    </row>
    <row r="4" ht="15" customHeight="1">
      <c r="A4" t="s">
        <v>5989</v>
      </c>
      <c r="B4" t="s">
        <v>6039</v>
      </c>
      <c r="C4" s="1">
        <v>45184.33875</v>
      </c>
      <c r="D4" t="s">
        <v>6039</v>
      </c>
      <c r="E4" t="s">
        <v>6037</v>
      </c>
      <c r="F4" t="str">
        <f>CONCATENATE(EnodoConfig_EnodoUrl,"/operating_statement/",EnodoConfig_T12_1,"/analysis")</f>
        <v>https://beta.enodoinc.com/operating_statement/d729b2ab-6c65-48b6-8c8f-f855531bd453/analysis</v>
      </c>
      <c r="G4" t="str">
        <f t="shared" si="0"/>
        <v>Enodo it!</v>
      </c>
    </row>
    <row r="5" ht="15" customHeight="1">
      <c r="A5" t="s">
        <v>5992</v>
      </c>
      <c r="B5" t="s">
        <v>571</v>
      </c>
      <c r="E5" t="s">
        <v>6037</v>
      </c>
      <c r="F5" t="str">
        <f>CONCATENATE(EnodoConfig_EnodoUrl,"/operating_statement/",EnodoConfig_T12_2,"/analysis")</f>
        <v>https://beta.enodoinc.com/operating_statement//analysis</v>
      </c>
      <c r="G5" t="str">
        <f t="shared" si="0"/>
        <v>Enodo it!</v>
      </c>
    </row>
    <row r="6" ht="15" customHeight="1">
      <c r="A6" t="s">
        <v>5995</v>
      </c>
      <c r="B6" t="s">
        <v>571</v>
      </c>
      <c r="E6" t="s">
        <v>6037</v>
      </c>
      <c r="F6" t="str">
        <f>CONCATENATE(EnodoConfig_EnodoUrl,"/operating_statement/",EnodoConfig_T12_3,"/analysis")</f>
        <v>https://beta.enodoinc.com/operating_statement//analysis</v>
      </c>
      <c r="G6" t="str">
        <f t="shared" si="0"/>
        <v>Enodo it!</v>
      </c>
    </row>
    <row r="7" ht="15" customHeight="1">
      <c r="A7" t="s">
        <v>5998</v>
      </c>
      <c r="B7" t="s">
        <v>571</v>
      </c>
      <c r="E7" t="s">
        <v>6037</v>
      </c>
      <c r="F7" t="str">
        <f>CONCATENATE(EnodoConfig_EnodoUrl,"/operating_statement/",EnodoConfig_T12_4,"/analysis")</f>
        <v>https://beta.enodoinc.com/operating_statement//analysis</v>
      </c>
      <c r="G7" t="str">
        <f t="shared" si="0"/>
        <v>Enodo it!</v>
      </c>
    </row>
    <row r="8" ht="15" customHeight="1">
      <c r="A8" t="s">
        <v>5999</v>
      </c>
      <c r="B8" t="s">
        <v>571</v>
      </c>
    </row>
    <row r="9" ht="15" customHeight="1">
      <c r="A9" t="s">
        <v>6042</v>
      </c>
      <c r="B9" t="s">
        <v>571</v>
      </c>
    </row>
    <row r="10" ht="15" customHeight="1">
      <c r="A10" t="s">
        <v>6043</v>
      </c>
      <c r="B10">
        <f>COUNTIF(B3:B7,"*-*")</f>
        <v>2</v>
      </c>
    </row>
    <row r="11" ht="15" customHeight="1">
      <c r="A11" t="s">
        <v>6044</v>
      </c>
      <c r="B11" t="s">
        <v>6045</v>
      </c>
    </row>
    <row r="12" ht="14.25" customHeight="1">
      <c r="A12" t="s">
        <v>6002</v>
      </c>
      <c r="B12" t="s">
        <v>571</v>
      </c>
    </row>
    <row r="13" ht="14.25" customHeight="1">
      <c r="A13" t="s">
        <v>6046</v>
      </c>
      <c r="B13" t="s">
        <v>571</v>
      </c>
    </row>
    <row r="14" ht="14.25" customHeight="1">
      <c r="A14" t="s">
        <v>6047</v>
      </c>
      <c r="B14" t="b">
        <v>1</v>
      </c>
    </row>
    <row r="15" ht="14.25" customHeight="1">
      <c r="A15" t="s">
        <v>6048</v>
      </c>
    </row>
    <row r="16" ht="14.25" customHeight="1">
      <c r="A16" t="s">
        <v>6049</v>
      </c>
    </row>
    <row r="17" ht="14.25" customHeight="1">
      <c r="A17" t="s">
        <v>6050</v>
      </c>
    </row>
    <row r="18" ht="14.25" customHeight="1">
      <c r="A18" t="s">
        <v>6051</v>
      </c>
    </row>
    <row r="20" ht="14.25" customHeight="1">
      <c r="A20" t="s">
        <v>6052</v>
      </c>
      <c r="B20" t="s">
        <v>8</v>
      </c>
    </row>
    <row r="21" ht="14.25" customHeight="1">
      <c r="A21" t="s">
        <v>6053</v>
      </c>
      <c r="B21" s="1">
        <v>45183</v>
      </c>
    </row>
    <row r="22" ht="14.25" customHeight="1">
      <c r="A22" t="s">
        <v>6054</v>
      </c>
      <c r="B22" t="s">
        <v>1055</v>
      </c>
    </row>
    <row r="23" ht="14.25" customHeight="1">
      <c r="A23" t="s">
        <v>6055</v>
      </c>
      <c r="B23" t="s">
        <v>5295</v>
      </c>
      <c r="C23">
        <v>2</v>
      </c>
    </row>
    <row r="24" ht="14.25" customHeight="1">
      <c r="B24" t="s">
        <v>5518</v>
      </c>
      <c r="C24">
        <v>13</v>
      </c>
    </row>
    <row r="25" ht="14.25" customHeight="1"/>
    <row r="26" ht="14.25" customHeight="1"/>
    <row r="27" ht="14.25" customHeight="1">
      <c r="A27" t="s">
        <v>6056</v>
      </c>
      <c r="B27" t="str">
        <f>IF(LEN(EnodoConfig_UniqueId)&gt;0,EnodoConfig_UniqueId,IF(LEN(B28)&gt;1,B28,EnodoConfig_Token&amp;TEXT(NOW(),"YYYYMMDD.HH")))</f>
        <v>88f-f2vNZac8bg20230920.15</v>
      </c>
    </row>
    <row r="28" ht="14.25" customHeight="1">
      <c r="A28" t="s">
        <v>6058</v>
      </c>
      <c r="B28" t="str">
        <f>_xlfn.LET(_xlpm.property_nme,IF(property_name="XXXX","",property_name),_xlpm.property_street,address,_xlpm.property_zipcode,IF(SBL_ZipCode="XXXXX","",SBL_ZipCode),_xlpm.id,_xlfn.IFERROR(_xlpm.property_nme&amp;_xlpm.property_street&amp;_xlpm.property_zipcode,""),IF(LEN(_xlpm.id)&gt;0,_xlpm.id,"-"))</f>
        <v>-</v>
      </c>
    </row>
    <row r="30" ht="14.25" customHeight="1">
      <c r="A30" t="s">
        <v>6059</v>
      </c>
    </row>
    <row r="31" ht="14.25" customHeight="1">
      <c r="A31" t="s">
        <v>6060</v>
      </c>
      <c r="B31" t="s">
        <v>6061</v>
      </c>
    </row>
    <row r="32" ht="14.25" customHeight="1">
      <c r="A32" t="s">
        <v>6062</v>
      </c>
      <c r="B32" t="s">
        <v>6063</v>
      </c>
    </row>
    <row r="33" ht="14.25" customHeight="1">
      <c r="A33" t="s">
        <v>6064</v>
      </c>
      <c r="B33" t="s">
        <v>6065</v>
      </c>
    </row>
    <row r="34" ht="14.25" customHeight="1">
      <c r="A34" t="s">
        <v>6066</v>
      </c>
      <c r="B34" t="s">
        <v>6067</v>
      </c>
    </row>
    <row r="35" ht="14.25" customHeight="1">
      <c r="A35" t="s">
        <v>6068</v>
      </c>
      <c r="B35" t="s">
        <v>6069</v>
      </c>
    </row>
    <row r="36" ht="14.25" customHeight="1">
      <c r="A36" t="s">
        <v>6070</v>
      </c>
      <c r="B36" t="s">
        <v>6071</v>
      </c>
    </row>
    <row r="37" ht="14.25" customHeight="1">
      <c r="A37" t="s">
        <v>6072</v>
      </c>
      <c r="B37" t="s">
        <v>6073</v>
      </c>
    </row>
  </sheetData>
  <printOptions/>
  <pageMargins left="0.7" right="0.7" top="0.75" bottom="0.75" header="0.3" footer="0.3"/>
  <pageSetup paperSize="1" useFirstPageNumber="1" firstPageNumber="1" pageOrder="downThenOver" orientation="portrait"/>
  <headerFooter>
    <oddHeader>&amp;L&amp;C&amp;R</oddHeader>
    <oddFooter>&amp;L&amp;C&amp;R</oddFooter>
  </headerFooter>
  <extLst/>
</worksheet>
</file>

<file path=docProps/app.xml><?xml version="1.0" encoding="utf-8"?>
<Properties xmlns="http://schemas.openxmlformats.org/officeDocument/2006/extended-properties" xmlns:vt="http://schemas.openxmlformats.org/officeDocument/2006/docPropsVTypes">
  <HeadingPairs>
    <vt:vector size="4" baseType="variant">
      <vt:variant>
        <vt:lpstr>Worksheets</vt:lpstr>
      </vt:variant>
      <vt:variant>
        <vt:i4>51</vt:i4>
      </vt:variant>
      <vt:variant>
        <vt:lpstr>Named Ranges</vt:lpstr>
      </vt:variant>
      <vt:variant>
        <vt:i4>2444</vt:i4>
      </vt:variant>
    </vt:vector>
  </HeadingPairs>
  <TitlesOfParts>
    <vt:vector size="2495" baseType="lpstr">
      <vt:lpstr>Setup</vt:lpstr>
      <vt:lpstr>Data Page</vt:lpstr>
      <vt:lpstr>SBL Quotes</vt:lpstr>
      <vt:lpstr>Screening &amp; Credit Risks</vt:lpstr>
      <vt:lpstr>PD</vt:lpstr>
      <vt:lpstr>FNM Loan Terms</vt:lpstr>
      <vt:lpstr>FNM Exit Strategy</vt:lpstr>
      <vt:lpstr>DUS Gateway Data</vt:lpstr>
      <vt:lpstr>Freddie I&amp;E</vt:lpstr>
      <vt:lpstr>Fannie Historical Ops</vt:lpstr>
      <vt:lpstr>Kick-Off Memo</vt:lpstr>
      <vt:lpstr>Quote Letter</vt:lpstr>
      <vt:lpstr>Quote</vt:lpstr>
      <vt:lpstr>FRE_PricingAdjTables</vt:lpstr>
      <vt:lpstr>FRE_App</vt:lpstr>
      <vt:lpstr>FRE_App Print History</vt:lpstr>
      <vt:lpstr>FNM_APP</vt:lpstr>
      <vt:lpstr>FRE B2B Submission</vt:lpstr>
      <vt:lpstr>Summary OPS</vt:lpstr>
      <vt:lpstr>Rent Roll</vt:lpstr>
      <vt:lpstr>OS Analysis</vt:lpstr>
      <vt:lpstr>NRI Analysis</vt:lpstr>
      <vt:lpstr>Expense Comps.</vt:lpstr>
      <vt:lpstr>Unit Mix</vt:lpstr>
      <vt:lpstr>Bor-KP-Prin</vt:lpstr>
      <vt:lpstr>SREO 1</vt:lpstr>
      <vt:lpstr>SREO 2</vt:lpstr>
      <vt:lpstr>SREO 3</vt:lpstr>
      <vt:lpstr>SREO 4</vt:lpstr>
      <vt:lpstr>SREO 5</vt:lpstr>
      <vt:lpstr>SREO 6</vt:lpstr>
      <vt:lpstr>SREO 7</vt:lpstr>
      <vt:lpstr>SREO 8</vt:lpstr>
      <vt:lpstr>Rent Comps</vt:lpstr>
      <vt:lpstr>Sales Comps</vt:lpstr>
      <vt:lpstr>Engineering schedule</vt:lpstr>
      <vt:lpstr>Form 4662</vt:lpstr>
      <vt:lpstr>Trade Sheet</vt:lpstr>
      <vt:lpstr>C&amp;D Data Inputs</vt:lpstr>
      <vt:lpstr>VData</vt:lpstr>
      <vt:lpstr>HData</vt:lpstr>
      <vt:lpstr>Property Collateral</vt:lpstr>
      <vt:lpstr>Participants</vt:lpstr>
      <vt:lpstr>DailyPricing</vt:lpstr>
      <vt:lpstr>Lists</vt:lpstr>
      <vt:lpstr>MappingTables</vt:lpstr>
      <vt:lpstr>Boilerplate</vt:lpstr>
      <vt:lpstr>Dropdowns (DNP)</vt:lpstr>
      <vt:lpstr>Narrative Link (Do not Delete)</vt:lpstr>
      <vt:lpstr>Enodo Regression Testing</vt:lpstr>
      <vt:lpstr>EnodoConfig</vt:lpstr>
      <vt:lpstr>ACTL_DSCR</vt:lpstr>
      <vt:lpstr>ACTL_RT</vt:lpstr>
      <vt:lpstr>Actual_UW_DSCR</vt:lpstr>
      <vt:lpstr>address</vt:lpstr>
      <vt:lpstr>Address_DataPageTab</vt:lpstr>
      <vt:lpstr>Affordability_End</vt:lpstr>
      <vt:lpstr>Affordability_Start</vt:lpstr>
      <vt:lpstr>AGE_RESTR</vt:lpstr>
      <vt:lpstr>AMI_CalcsIncludeUtilities</vt:lpstr>
      <vt:lpstr>AMI_CostBurden</vt:lpstr>
      <vt:lpstr>AMI_HighNeedsRural_Marker</vt:lpstr>
      <vt:lpstr>AMI_IsRural</vt:lpstr>
      <vt:lpstr>AMI_MissionDriven_Discount_Addnl60</vt:lpstr>
      <vt:lpstr>AMI_MissionDriven_Discount_Addnl80</vt:lpstr>
      <vt:lpstr>AMI_MissionDriven_Discount_Afford40</vt:lpstr>
      <vt:lpstr>AMI_MissionDriven_Discount_Afford50</vt:lpstr>
      <vt:lpstr>AMI_MissionDriven_Discount_Afford80</vt:lpstr>
      <vt:lpstr>AMI_MissionDriven_UnitCount_PerFannie</vt:lpstr>
      <vt:lpstr>AMI_MissionDriven_UnitCount_PerFreddie</vt:lpstr>
      <vt:lpstr>AMI_PercentagesFromServer</vt:lpstr>
      <vt:lpstr>AMI_ReportMatchesServer</vt:lpstr>
      <vt:lpstr>AMI_UnitCount_100</vt:lpstr>
      <vt:lpstr>AMI_UnitCount_120</vt:lpstr>
      <vt:lpstr>AMI_UnitCount_40</vt:lpstr>
      <vt:lpstr>AMI_UnitCount_50</vt:lpstr>
      <vt:lpstr>AMI_UnitCount_60</vt:lpstr>
      <vt:lpstr>AMI_UnitCount_80</vt:lpstr>
      <vt:lpstr>Amort</vt:lpstr>
      <vt:lpstr>AmortizingDebtService</vt:lpstr>
      <vt:lpstr>Analyst_Name</vt:lpstr>
      <vt:lpstr>EnodoConfig!apiendpoints</vt:lpstr>
      <vt:lpstr>EnodoConfig!apiendpoints_pricing_daily_rates</vt:lpstr>
      <vt:lpstr>EnodoConfig!apiendpoints_pricing_daily_rates_dates</vt:lpstr>
      <vt:lpstr>EnodoConfig!apiendpoints_pricing_freddie_sbl_rates</vt:lpstr>
      <vt:lpstr>EnodoConfig!apiendpoints_pricing_freddie_sbl_rates_dates</vt:lpstr>
      <vt:lpstr>EnodoConfig!apiendpoints_pricing_treasury_rates</vt:lpstr>
      <vt:lpstr>EnodoConfig!apiendpoints_pricing_treasury_rates_dates</vt:lpstr>
      <vt:lpstr>APP_LN_AMT</vt:lpstr>
      <vt:lpstr>ApplicationLoan</vt:lpstr>
      <vt:lpstr>Appraisal_Company</vt:lpstr>
      <vt:lpstr>Appraisal_Date</vt:lpstr>
      <vt:lpstr>Appraised_Cap</vt:lpstr>
      <vt:lpstr>Appraised_LTV</vt:lpstr>
      <vt:lpstr>Appraised_Value</vt:lpstr>
      <vt:lpstr>AppraisedValuePerUnit</vt:lpstr>
      <vt:lpstr>B2B_ApplicableIndexType_List</vt:lpstr>
      <vt:lpstr>B2B_BuyUpPercentages_List</vt:lpstr>
      <vt:lpstr>B2B_DeliveryType_List</vt:lpstr>
      <vt:lpstr>B2B_ERL_FundingTiming_List</vt:lpstr>
      <vt:lpstr>B2B_HedgeProtection_List</vt:lpstr>
      <vt:lpstr>B2B_InterestCalc_List</vt:lpstr>
      <vt:lpstr>B2B_InterestType_List</vt:lpstr>
      <vt:lpstr>'FRE B2B Submission'!B2B_JsonOutput</vt:lpstr>
      <vt:lpstr>B2B_PropertyType_List</vt:lpstr>
      <vt:lpstr>'FRE B2B Submission'!B2B_SelectedOptionNumber</vt:lpstr>
      <vt:lpstr>B2B_YieldMaintenanceTreasuriesPlus_List</vt:lpstr>
      <vt:lpstr>B2BData</vt:lpstr>
      <vt:lpstr>B2BLink_InvalidValuesCount</vt:lpstr>
      <vt:lpstr>B2BLink_NumberOfUnits</vt:lpstr>
      <vt:lpstr>B2BLink_PropertyName</vt:lpstr>
      <vt:lpstr>B2BLink_ZipCode</vt:lpstr>
      <vt:lpstr>'Bor-KP-Prin'!BKP_Borrowers</vt:lpstr>
      <vt:lpstr>'Bor-KP-Prin'!BKP_CombinedKPs_Liquidity</vt:lpstr>
      <vt:lpstr>'Bor-KP-Prin'!BKP_CombinedKPs_NetWorth</vt:lpstr>
      <vt:lpstr>'Bor-KP-Prin'!BKP_CombinedKPsLiquidityAsPcntOfLoan</vt:lpstr>
      <vt:lpstr>'Bor-KP-Prin'!BKP_CombinedKPsNetWorthAsPcntOfLoan</vt:lpstr>
      <vt:lpstr>'Bor-KP-Prin'!BKP_KPGs</vt:lpstr>
      <vt:lpstr>'Bor-KP-Prin'!BKP_LoanAmount</vt:lpstr>
      <vt:lpstr>'Bor-KP-Prin'!BKP_LRHcell</vt:lpstr>
      <vt:lpstr>BKP_NmbrOfBorrowers</vt:lpstr>
      <vt:lpstr>BKP_NmbrOfKPs_Guarantors</vt:lpstr>
      <vt:lpstr>BKP_NmbrOfPrincipals</vt:lpstr>
      <vt:lpstr>'Bor-KP-Prin'!BKP_OtherPrincipals</vt:lpstr>
      <vt:lpstr>'Bor-KP-Prin'!BKP_Row_AmountOfLiquidityVerified</vt:lpstr>
      <vt:lpstr>'Bor-KP-Prin'!BKP_Row_ApproxCashFlowFromRealEstate</vt:lpstr>
      <vt:lpstr>'Bor-KP-Prin'!BKP_Row_Assets_AccountsReceivable</vt:lpstr>
      <vt:lpstr>'Bor-KP-Prin'!BKP_Row_Assets_BankCashAndCDs</vt:lpstr>
      <vt:lpstr>'Bor-KP-Prin'!BKP_Row_Assets_IRAsAndLifeInsurance</vt:lpstr>
      <vt:lpstr>'Bor-KP-Prin'!BKP_Row_Assets_MarketableSecurities</vt:lpstr>
      <vt:lpstr>'Bor-KP-Prin'!BKP_Row_Assets_NotesReceivable</vt:lpstr>
      <vt:lpstr>'Bor-KP-Prin'!BKP_Row_Assets_OtherAssets</vt:lpstr>
      <vt:lpstr>'Bor-KP-Prin'!BKP_Row_Assets_OtherRealEstate</vt:lpstr>
      <vt:lpstr>'Bor-KP-Prin'!BKP_Row_Assets_PersonalResidences</vt:lpstr>
      <vt:lpstr>'Bor-KP-Prin'!BKP_Row_Assets_UnlistedStock</vt:lpstr>
      <vt:lpstr>'Bor-KP-Prin'!BKP_Row_ContingentLiabilities</vt:lpstr>
      <vt:lpstr>'Bor-KP-Prin'!BKP_Row_CreditCheck_CourtlinkSearch</vt:lpstr>
      <vt:lpstr>'Bor-KP-Prin'!BKP_Row_CreditCheck_DateOfAEC</vt:lpstr>
      <vt:lpstr>'Bor-KP-Prin'!BKP_Row_CreditCheck_DateOfCreditReport</vt:lpstr>
      <vt:lpstr>'Bor-KP-Prin'!BKP_Row_CreditCheck_DateOfLDP</vt:lpstr>
      <vt:lpstr>'Bor-KP-Prin'!BKP_Row_CreditCheck_DateOfLexisNexis</vt:lpstr>
      <vt:lpstr>'Bor-KP-Prin'!BKP_Row_CreditCheck_DateOfOFAC</vt:lpstr>
      <vt:lpstr>'Bor-KP-Prin'!BKP_Row_CreditCheck_DateOfSAM</vt:lpstr>
      <vt:lpstr>'Bor-KP-Prin'!BKP_Row_CreditCheck_DateOfSearchEngineSearch</vt:lpstr>
      <vt:lpstr>'Bor-KP-Prin'!BKP_Row_CreditCheck_DateOfSuspendedCP</vt:lpstr>
      <vt:lpstr>'Bor-KP-Prin'!BKP_Row_CreditCheck_FicoScore</vt:lpstr>
      <vt:lpstr>'Bor-KP-Prin'!BKP_Row_CreditCheck_FRMReport</vt:lpstr>
      <vt:lpstr>'Bor-KP-Prin'!BKP_Row_CreditCheck_IsAcceptable</vt:lpstr>
      <vt:lpstr>'Bor-KP-Prin'!BKP_Row_CurrentLiabilities</vt:lpstr>
      <vt:lpstr>'Bor-KP-Prin'!BKP_Row_DateFormed</vt:lpstr>
      <vt:lpstr>'Bor-KP-Prin'!BKP_Row_DateOfFinancialInformation</vt:lpstr>
      <vt:lpstr>'Bor-KP-Prin'!BKP_Row_Entity_Address</vt:lpstr>
      <vt:lpstr>'Bor-KP-Prin'!BKP_Row_Entity_City</vt:lpstr>
      <vt:lpstr>'Bor-KP-Prin'!BKP_Row_Entity_State</vt:lpstr>
      <vt:lpstr>'Bor-KP-Prin'!BKP_Row_Entity_Zipcode</vt:lpstr>
      <vt:lpstr>'Bor-KP-Prin'!BKP_Row_EntityInfo</vt:lpstr>
      <vt:lpstr>'Bor-KP-Prin'!BKP_Row_EntityName</vt:lpstr>
      <vt:lpstr>'Bor-KP-Prin'!BKP_Row_FinancialInformationWaived</vt:lpstr>
      <vt:lpstr>'Bor-KP-Prin'!BKP_Row_IsDomesticBorrower</vt:lpstr>
      <vt:lpstr>'Bor-KP-Prin'!BKP_Row_IsSingleAssetEntity</vt:lpstr>
      <vt:lpstr>'Bor-KP-Prin'!BKP_Row_Liabilities_AccountsPayable</vt:lpstr>
      <vt:lpstr>'Bor-KP-Prin'!BKP_Row_Liabilities_NotesPayable</vt:lpstr>
      <vt:lpstr>'Bor-KP-Prin'!BKP_Row_Liabilities_OtherLiabilities</vt:lpstr>
      <vt:lpstr>'Bor-KP-Prin'!BKP_Row_Liabilities_SecuredByOtherRealEstateOwned</vt:lpstr>
      <vt:lpstr>'Bor-KP-Prin'!BKP_Row_Liabilities_SecuredByPersonalResidences</vt:lpstr>
      <vt:lpstr>'Bor-KP-Prin'!BKP_Row_LiquidityRatio</vt:lpstr>
      <vt:lpstr>'Bor-KP-Prin'!BKP_Row_NetWorth</vt:lpstr>
      <vt:lpstr>'Bor-KP-Prin'!BKP_Row_ParticipantRole</vt:lpstr>
      <vt:lpstr>'Bor-KP-Prin'!BKP_Row_PercentOfLiquidityVerified</vt:lpstr>
      <vt:lpstr>'Bor-KP-Prin'!BKP_Row_PercentOwnership</vt:lpstr>
      <vt:lpstr>'Bor-KP-Prin'!BKP_Row_PortfolioDSCR</vt:lpstr>
      <vt:lpstr>'Bor-KP-Prin'!BKP_Row_PriorExperience_FNM</vt:lpstr>
      <vt:lpstr>'Bor-KP-Prin'!BKP_Row_PriorExperience_WD</vt:lpstr>
      <vt:lpstr>'Bor-KP-Prin'!BKP_Row_StateOfFormation</vt:lpstr>
      <vt:lpstr>'Bor-KP-Prin'!BKP_Row_TangibleNetWorthRatio</vt:lpstr>
      <vt:lpstr>'Bor-KP-Prin'!BKP_Row_TotalAssets</vt:lpstr>
      <vt:lpstr>'Bor-KP-Prin'!BKP_Row_TotalAssets_Liquid</vt:lpstr>
      <vt:lpstr>'Bor-KP-Prin'!BKP_Row_TotalAssets_Other</vt:lpstr>
      <vt:lpstr>'Bor-KP-Prin'!BKP_Row_TotalAssets_RealEstate</vt:lpstr>
      <vt:lpstr>'Bor-KP-Prin'!BKP_Row_TotalLiabilities</vt:lpstr>
      <vt:lpstr>'Bor-KP-Prin'!BKP_Row_TotalLiabilities_Other</vt:lpstr>
      <vt:lpstr>'Bor-KP-Prin'!BKP_Row_TotalLiabilities_RealEstate</vt:lpstr>
      <vt:lpstr>'Bor-KP-Prin'!BKP_Row_TypeOfEntity</vt:lpstr>
      <vt:lpstr>'Bor-KP-Prin'!BKP_Row_YearsOfManagementExperience_ThisMarket</vt:lpstr>
      <vt:lpstr>'Bor-KP-Prin'!BKP_Row_YearsOfOwnershipManagementExperience</vt:lpstr>
      <vt:lpstr>'Bor-KP-Prin'!BKP_Tbl_AllData</vt:lpstr>
      <vt:lpstr>BLDG_CNT</vt:lpstr>
      <vt:lpstr>BLDG_TYP</vt:lpstr>
      <vt:lpstr>BorrowerPriority</vt:lpstr>
      <vt:lpstr>Borrowing_Entity_1</vt:lpstr>
      <vt:lpstr>Borrowing_Entity_10</vt:lpstr>
      <vt:lpstr>Borrowing_Entity_2</vt:lpstr>
      <vt:lpstr>Borrowing_Entity_3</vt:lpstr>
      <vt:lpstr>Borrowing_Entity_4</vt:lpstr>
      <vt:lpstr>Borrowing_Entity_5</vt:lpstr>
      <vt:lpstr>Borrowing_Entity_6</vt:lpstr>
      <vt:lpstr>Borrowing_Entity_7</vt:lpstr>
      <vt:lpstr>Borrowing_Entity_8</vt:lpstr>
      <vt:lpstr>Borrowing_Entity_9</vt:lpstr>
      <vt:lpstr>Breakeven_Occupancy</vt:lpstr>
      <vt:lpstr>BSB_PrepayType_List</vt:lpstr>
      <vt:lpstr>Building_Type</vt:lpstr>
      <vt:lpstr>CAP_COST_FCTR</vt:lpstr>
      <vt:lpstr>City_DataPageTab</vt:lpstr>
      <vt:lpstr>CMT_NBR</vt:lpstr>
      <vt:lpstr>COOP_NCF</vt:lpstr>
      <vt:lpstr>Cost_Approach</vt:lpstr>
      <vt:lpstr>CostApproachPerUnit</vt:lpstr>
      <vt:lpstr>County_DataPageTab</vt:lpstr>
      <vt:lpstr>CUW_SIGN</vt:lpstr>
      <vt:lpstr>CUW_SIGN_DT</vt:lpstr>
      <vt:lpstr>DailyPricingImportedData</vt:lpstr>
      <vt:lpstr>DailyPricingTbl</vt:lpstr>
      <vt:lpstr>DailyPricingTblDataIsStale</vt:lpstr>
      <vt:lpstr>DailyPricingUpdateTimestamp</vt:lpstr>
      <vt:lpstr>DataPage_AMI_CalcMethod</vt:lpstr>
      <vt:lpstr>DataPage_AMI_Percentages</vt:lpstr>
      <vt:lpstr>DataPage_IsSendable_CPF</vt:lpstr>
      <vt:lpstr>DataPage_IsSendable_ILP</vt:lpstr>
      <vt:lpstr>DataPage_IsSendable_WDIP</vt:lpstr>
      <vt:lpstr>DataPage_LoanInfoTable</vt:lpstr>
      <vt:lpstr>DataPage_MaxApprovedLoanAmount</vt:lpstr>
      <vt:lpstr>DataPage_MSA_Type_List</vt:lpstr>
      <vt:lpstr>DataPage_NonGSELoanSummaryData</vt:lpstr>
      <vt:lpstr>DataPage_NotifyCriteria_CPF</vt:lpstr>
      <vt:lpstr>DataPage_NotifyCriteria_ILP</vt:lpstr>
      <vt:lpstr>DataPage_NotifyCriteria_Text</vt:lpstr>
      <vt:lpstr>DataPage_NotifyCriteria_WDIP</vt:lpstr>
      <vt:lpstr>DataPage_NotifyCriteriaParams_CPF</vt:lpstr>
      <vt:lpstr>DataPage_NotifyCriteriaParams_ILP</vt:lpstr>
      <vt:lpstr>DataPage_NotifyCriteriaParams_WDIP</vt:lpstr>
      <vt:lpstr>DataPage_OtherBondFeesPcnt</vt:lpstr>
      <vt:lpstr>DataPage_PcntExcludedFromCap</vt:lpstr>
      <vt:lpstr>DataPage_PcntOfUnits_LTE_100PcntOfAMI</vt:lpstr>
      <vt:lpstr>DataPage_PcntOfUnits_LTE_120PcntOfAMI</vt:lpstr>
      <vt:lpstr>DataPage_PcntOfUnits_LTE_50PcntOfAMI</vt:lpstr>
      <vt:lpstr>DataPage_PcntOfUnits_LTE_60PcntOfAMI</vt:lpstr>
      <vt:lpstr>DataPage_PcntOfUnits_LTE_80PcntOfAMI</vt:lpstr>
      <vt:lpstr>DataPage_RefiClosingDate</vt:lpstr>
      <vt:lpstr>DataPage_SARM_FixedLoanAmount</vt:lpstr>
      <vt:lpstr>DataPage_Variable_Min_Stress_UW_DSCR</vt:lpstr>
      <vt:lpstr>DataPage_View</vt:lpstr>
      <vt:lpstr>DCU_Name</vt:lpstr>
      <vt:lpstr>Debt_Yield</vt:lpstr>
      <vt:lpstr>Delegated_Level</vt:lpstr>
      <vt:lpstr>DL_NM</vt:lpstr>
      <vt:lpstr>'Data Page'!DP_LoanStructureInfo</vt:lpstr>
      <vt:lpstr>'Data Page'!DP_LocationInfo</vt:lpstr>
      <vt:lpstr>Dropdown_ILPSizerLenderList</vt:lpstr>
      <vt:lpstr>Dropdowns_AMI_SelectorList</vt:lpstr>
      <vt:lpstr>Dropdowns_BorrowerPriority</vt:lpstr>
      <vt:lpstr>Dropdowns_BusinessPlanList</vt:lpstr>
      <vt:lpstr>Dropdowns_DelegatedLevel</vt:lpstr>
      <vt:lpstr>Dropdowns_DeputyChiefUnderwriters</vt:lpstr>
      <vt:lpstr>DropDowns_FNM_LoanOptions</vt:lpstr>
      <vt:lpstr>Dropdowns_FNM_TermOptions</vt:lpstr>
      <vt:lpstr>DropDowns_FRE_LoanOptions</vt:lpstr>
      <vt:lpstr>Dropdowns_LineItemList</vt:lpstr>
      <vt:lpstr>Dropdowns_ListOfStates</vt:lpstr>
      <vt:lpstr>DropDowns_PC_LoanOptions</vt:lpstr>
      <vt:lpstr>Dropdowns_ProducerContactInfo</vt:lpstr>
      <vt:lpstr>DropDowns_ProducerNames</vt:lpstr>
      <vt:lpstr>Dropdowns_ProducersContactInfo</vt:lpstr>
      <vt:lpstr>DUS_Gateway_Data</vt:lpstr>
      <vt:lpstr>DUS_Gateway_ErrorCount</vt:lpstr>
      <vt:lpstr>DUS_Gateway_LoanAmounts</vt:lpstr>
      <vt:lpstr>EnodoChartOfAccountsOptions</vt:lpstr>
      <vt:lpstr>EnodoConfig_AddinFunction</vt:lpstr>
      <vt:lpstr>EnodoConfig_AddinFunctionParameter1</vt:lpstr>
      <vt:lpstr>EnodoConfig_AllParameters</vt:lpstr>
      <vt:lpstr>EnodoConfig_ApplicableCOAs</vt:lpstr>
      <vt:lpstr>EnodoConfig_Budget</vt:lpstr>
      <vt:lpstr>EnodoConfig_CountFiles</vt:lpstr>
      <vt:lpstr>EnodoConfig_DealID</vt:lpstr>
      <vt:lpstr>EnodoConfig_DealIdentifier</vt:lpstr>
      <vt:lpstr>EnodoConfig_DealName</vt:lpstr>
      <vt:lpstr>EnodoConfig_EnodoUrl</vt:lpstr>
      <vt:lpstr>EnodoConfig_FreddieMacLoanId</vt:lpstr>
      <vt:lpstr>EnodoConfig_InitialLoadCompleted</vt:lpstr>
      <vt:lpstr>EnodoConfig_LoadedBudget</vt:lpstr>
      <vt:lpstr>EnodoConfig_LoadedInputFiles</vt:lpstr>
      <vt:lpstr>EnodoConfig_LoadedRRId</vt:lpstr>
      <vt:lpstr>EnodoConfig_LoadedT12_1</vt:lpstr>
      <vt:lpstr>EnodoConfig_LoadedT12_2</vt:lpstr>
      <vt:lpstr>EnodoConfig_LoadedT12_3</vt:lpstr>
      <vt:lpstr>EnodoConfig_LoadedT12_4</vt:lpstr>
      <vt:lpstr>EnodoConfig_ReleaseDate</vt:lpstr>
      <vt:lpstr>EnodoConfig_RRId</vt:lpstr>
      <vt:lpstr>EnodoConfig_SalesforceOpportunityNmbr</vt:lpstr>
      <vt:lpstr>EnodoConfig_ServerURL</vt:lpstr>
      <vt:lpstr>EnodoConfig_SizerSubType</vt:lpstr>
      <vt:lpstr>EnodoConfig_SizerType</vt:lpstr>
      <vt:lpstr>EnodoConfig_T12_1</vt:lpstr>
      <vt:lpstr>EnodoConfig_T12_2</vt:lpstr>
      <vt:lpstr>EnodoConfig_T12_3</vt:lpstr>
      <vt:lpstr>EnodoConfig_T12_4</vt:lpstr>
      <vt:lpstr>EnodoConfig_Token</vt:lpstr>
      <vt:lpstr>EnodoConfig_UniqueId</vt:lpstr>
      <vt:lpstr>EnodoConfig_Version</vt:lpstr>
      <vt:lpstr>EnodoSizerType</vt:lpstr>
      <vt:lpstr>ERents_RentRoll</vt:lpstr>
      <vt:lpstr>Exit_LoanAmount</vt:lpstr>
      <vt:lpstr>Exit_LoanStartDate</vt:lpstr>
      <vt:lpstr>Exit_LoanTerm</vt:lpstr>
      <vt:lpstr>Exit_LTV_Alternative</vt:lpstr>
      <vt:lpstr>Exit_LTV_Standard</vt:lpstr>
      <vt:lpstr>Exit_Rate_Alternative</vt:lpstr>
      <vt:lpstr>Exit_Rate_Standard</vt:lpstr>
      <vt:lpstr>Exit_YearsIO</vt:lpstr>
      <vt:lpstr>'FNM Exit Strategy'!ExitStrategy_DefaultStdRentGrowthRate</vt:lpstr>
      <vt:lpstr>'FNM Exit Strategy'!ExitStrategy_IsStudentOrSeniors</vt:lpstr>
      <vt:lpstr>ExitStrategy_LastYearToShow</vt:lpstr>
      <vt:lpstr>'FNM Exit Strategy'!ExitStrategy_StdGrowthRates_Expenses</vt:lpstr>
      <vt:lpstr>'FNM Exit Strategy'!ExitStrategy_StdGrowthRates_IncomeHeader</vt:lpstr>
      <vt:lpstr>'FNM Exit Strategy'!ExitStrategy_StdGrowthRates_Rent</vt:lpstr>
      <vt:lpstr>'FNM Exit Strategy'!ExitStrategy_StdYearsHeader</vt:lpstr>
      <vt:lpstr>ExpectedClose_IfSupp</vt:lpstr>
      <vt:lpstr>FannieMaeFees</vt:lpstr>
      <vt:lpstr>FannieMaeLargeLoanFee</vt:lpstr>
      <vt:lpstr>FirstActual_UW_DSCR_IfSupp</vt:lpstr>
      <vt:lpstr>FirstAmort_IfSupp</vt:lpstr>
      <vt:lpstr>FirstConstant_IfSupp</vt:lpstr>
      <vt:lpstr>FirstCoterminous_IfSupp</vt:lpstr>
      <vt:lpstr>FirstDebtService_IfSupp</vt:lpstr>
      <vt:lpstr>FirstFloor_UW_DSCR_IfSupp</vt:lpstr>
      <vt:lpstr>FirstIO_IfSupp</vt:lpstr>
      <vt:lpstr>FirstMaturity_IfSupp</vt:lpstr>
      <vt:lpstr>FirstOrigLoan_IfSupp</vt:lpstr>
      <vt:lpstr>FirstRate_IfSupp</vt:lpstr>
      <vt:lpstr>FirstRemIO_IfSupp</vt:lpstr>
      <vt:lpstr>FirstRemTerm_IfSupp</vt:lpstr>
      <vt:lpstr>FirstTerm_IfSupp</vt:lpstr>
      <vt:lpstr>FirstTier_IfSupp</vt:lpstr>
      <vt:lpstr>FirstUPB_IfSupp</vt:lpstr>
      <vt:lpstr>FirstYMEnd_IfSupp</vt:lpstr>
      <vt:lpstr>FixedPrinPayment</vt:lpstr>
      <vt:lpstr>Floor_UW_DSCR</vt:lpstr>
      <vt:lpstr>FloorConstant</vt:lpstr>
      <vt:lpstr>FloorRate</vt:lpstr>
      <vt:lpstr>FNM_Hdr_AcceptanceDisclaimer</vt:lpstr>
      <vt:lpstr>FNM_Hdr_ApplicationDeposit</vt:lpstr>
      <vt:lpstr>FNM_Hdr_FHFA_OFAC_Certification</vt:lpstr>
      <vt:lpstr>FNM_TierTbl</vt:lpstr>
      <vt:lpstr>FNMRentRoll_End</vt:lpstr>
      <vt:lpstr>FNMRentRoll_Start</vt:lpstr>
      <vt:lpstr>FormVersion</vt:lpstr>
      <vt:lpstr>FRE_App_EntireDocToPrint</vt:lpstr>
      <vt:lpstr>FRE_APP_History_Hdr</vt:lpstr>
      <vt:lpstr>FRE_App_IOPeriodInMonths</vt:lpstr>
      <vt:lpstr>FRE_App_LoanAmount</vt:lpstr>
      <vt:lpstr>FRE_App_MaximumLTV</vt:lpstr>
      <vt:lpstr>FRE_App_MinimumDSCR</vt:lpstr>
      <vt:lpstr>FRE_Hdr_AcceptanceDisclaimer</vt:lpstr>
      <vt:lpstr>FRE_Hdr_ApplicationDeposit</vt:lpstr>
      <vt:lpstr>FRE_Hdr_Attachments</vt:lpstr>
      <vt:lpstr>FRE_Hdr_FHFA_OFAC_Certification</vt:lpstr>
      <vt:lpstr>FRE_Hdr_MaximumLTV</vt:lpstr>
      <vt:lpstr>FRE_Hdr_PeriodicAdjustmentOfInterestRate</vt:lpstr>
      <vt:lpstr>FRE_Hdr_PrepaymentSchedule</vt:lpstr>
      <vt:lpstr>FRE_Hdr_ScheduleA</vt:lpstr>
      <vt:lpstr>FRE_Hdr_ScheduleB</vt:lpstr>
      <vt:lpstr>FRE_Hdr_ScheduleC</vt:lpstr>
      <vt:lpstr>FRE_PrepayOptions_10YrFixed</vt:lpstr>
      <vt:lpstr>FRE_PrepayOptions_3YrFloating</vt:lpstr>
      <vt:lpstr>FRE_PrepayOptions_5YrFixed</vt:lpstr>
      <vt:lpstr>FRE_PrepayOptions_7YrFixed</vt:lpstr>
      <vt:lpstr>FreddieIE_ExpenseGrowthRate</vt:lpstr>
      <vt:lpstr>FreddieIE_GPR_YTD</vt:lpstr>
      <vt:lpstr>FreddieIE_SourceDataRng</vt:lpstr>
      <vt:lpstr>FreddieIE_SourceHeaderRng</vt:lpstr>
      <vt:lpstr>GBA</vt:lpstr>
      <vt:lpstr>GR_Amort</vt:lpstr>
      <vt:lpstr>GR_InterestOnly</vt:lpstr>
      <vt:lpstr>GR_Term</vt:lpstr>
      <vt:lpstr>GR_YieldMaintenance</vt:lpstr>
      <vt:lpstr>GRS_SPRD</vt:lpstr>
      <vt:lpstr>Guarantor_KP_1</vt:lpstr>
      <vt:lpstr>Guarantor_KP_2</vt:lpstr>
      <vt:lpstr>Guarantor_KP_3</vt:lpstr>
      <vt:lpstr>Guarantor_KP_4</vt:lpstr>
      <vt:lpstr>Guarantor_KP_5</vt:lpstr>
      <vt:lpstr>Guarantor_KP_6</vt:lpstr>
      <vt:lpstr>Guarantor_KP_7</vt:lpstr>
      <vt:lpstr>Guarantor_KP_8</vt:lpstr>
      <vt:lpstr>GuarantyFee</vt:lpstr>
      <vt:lpstr>HAP_REM_TRM</vt:lpstr>
      <vt:lpstr>hiddenctr</vt:lpstr>
      <vt:lpstr>HOps_1YrBack</vt:lpstr>
      <vt:lpstr>HOps_2YrsBack</vt:lpstr>
      <vt:lpstr>HOps_3YrsBack</vt:lpstr>
      <vt:lpstr>'Fannie Historical Ops'!HOps_AllData</vt:lpstr>
      <vt:lpstr>'Fannie Historical Ops'!HOps_AppraisalAdjusted</vt:lpstr>
      <vt:lpstr>'Fannie Historical Ops'!HOps_AppraisalYear1</vt:lpstr>
      <vt:lpstr>HOps_Budget</vt:lpstr>
      <vt:lpstr>HOps_CapExps</vt:lpstr>
      <vt:lpstr>HOps_CurrentYear</vt:lpstr>
      <vt:lpstr>HOps_ExpenseGrowthRate</vt:lpstr>
      <vt:lpstr>HOps_LenderProforma</vt:lpstr>
      <vt:lpstr>HOps_ManagementFee</vt:lpstr>
      <vt:lpstr>HOps_NetCashFlow</vt:lpstr>
      <vt:lpstr>HOps_Quote</vt:lpstr>
      <vt:lpstr>HOps_Quote_NetCashFlow</vt:lpstr>
      <vt:lpstr>'Fannie Historical Ops'!HOps_Row_Advertising_Marketing</vt:lpstr>
      <vt:lpstr>'Fannie Historical Ops'!HOps_Row_Apartment_Allowances</vt:lpstr>
      <vt:lpstr>'Fannie Historical Ops'!HOps_Row_App_Fee</vt:lpstr>
      <vt:lpstr>'Fannie Historical Ops'!HOps_Row_Benefits_Payroll_Taxes</vt:lpstr>
      <vt:lpstr>'Fannie Historical Ops'!HOps_Row_BL_Capital_Expenditures</vt:lpstr>
      <vt:lpstr>'Fannie Historical Ops'!HOps_Row_BL_Depreciation</vt:lpstr>
      <vt:lpstr>'Fannie Historical Ops'!HOps_Row_BL_Interest</vt:lpstr>
      <vt:lpstr>'Fannie Historical Ops'!HOps_Row_BL_Other_1</vt:lpstr>
      <vt:lpstr>'Fannie Historical Ops'!HOps_Row_BL_Other_2</vt:lpstr>
      <vt:lpstr>'Fannie Historical Ops'!HOps_Row_BL_Other_3</vt:lpstr>
      <vt:lpstr>'Fannie Historical Ops'!HOps_Row_BL_Other_4</vt:lpstr>
      <vt:lpstr>'Fannie Historical Ops'!HOps_Row_BL_Principal</vt:lpstr>
      <vt:lpstr>'Fannie Historical Ops'!HOps_Row_Bldg._Maint._Repair</vt:lpstr>
      <vt:lpstr>'Fannie Historical Ops'!HOps_Row_Bonuses_Commissions_Other</vt:lpstr>
      <vt:lpstr>'Fannie Historical Ops'!HOps_Row_Capital_Expenditures</vt:lpstr>
      <vt:lpstr>'Fannie Historical Ops'!HOps_Row_Corporate_Prem.</vt:lpstr>
      <vt:lpstr>'Fannie Historical Ops'!HOps_Row_Difference_NCF_vs_OS</vt:lpstr>
      <vt:lpstr>'Fannie Historical Ops'!HOps_Row_Economic_Vacancy</vt:lpstr>
      <vt:lpstr>'Fannie Historical Ops'!HOps_Row_EGI</vt:lpstr>
      <vt:lpstr>'Fannie Historical Ops'!HOps_Row_Electricity</vt:lpstr>
      <vt:lpstr>'Fannie Historical Ops'!HOps_Row_Elevator_Maintenance</vt:lpstr>
      <vt:lpstr>'Fannie Historical Ops'!HOps_Row_Excluded_Expense_Items</vt:lpstr>
      <vt:lpstr>'Fannie Historical Ops'!HOps_Row_Excluded_Income_Items</vt:lpstr>
      <vt:lpstr>'Fannie Historical Ops'!HOps_Row_Forfeit_Deposits</vt:lpstr>
      <vt:lpstr>'Fannie Historical Ops'!HOps_Row_Gardening_Landscape</vt:lpstr>
      <vt:lpstr>'Fannie Historical Ops'!HOps_Row_Gas_Fuel_Other</vt:lpstr>
      <vt:lpstr>'Fannie Historical Ops'!HOps_Row_General_Administrative</vt:lpstr>
      <vt:lpstr>'Fannie Historical Ops'!HOps_Row_Gross_Potential_Rent</vt:lpstr>
      <vt:lpstr>'Fannie Historical Ops'!HOps_Row_Ground_Rent</vt:lpstr>
      <vt:lpstr>'Fannie Historical Ops'!HOps_Row_Late_Early_Term_Fees</vt:lpstr>
      <vt:lpstr>'Fannie Historical Ops'!HOps_Row_Less_Bad_Debt</vt:lpstr>
      <vt:lpstr>'Fannie Historical Ops'!HOps_Row_Less_Concessions</vt:lpstr>
      <vt:lpstr>'Fannie Historical Ops'!HOps_Row_Less_Vacancy_Loss</vt:lpstr>
      <vt:lpstr>'Fannie Historical Ops'!HOps_Row_Licenses</vt:lpstr>
      <vt:lpstr>'Fannie Historical Ops'!HOps_Row_Maintenance_Super_Salary</vt:lpstr>
      <vt:lpstr>'Fannie Historical Ops'!HOps_Row_Management_Fees</vt:lpstr>
      <vt:lpstr>'Fannie Historical Ops'!HOps_Row_Manager_Salary</vt:lpstr>
      <vt:lpstr>'Fannie Historical Ops'!HOps_Row_Monthly_NRI</vt:lpstr>
      <vt:lpstr>'Fannie Historical Ops'!HOps_Row_NCF_Calculated_From_Above</vt:lpstr>
      <vt:lpstr>'Fannie Historical Ops'!HOps_Row_NCF_From_Operating_Statement</vt:lpstr>
      <vt:lpstr>'Fannie Historical Ops'!HOps_Row_Net_Cash_Flow</vt:lpstr>
      <vt:lpstr>'Fannie Historical Ops'!HOps_Row_Net_Commercial_Income</vt:lpstr>
      <vt:lpstr>'Fannie Historical Ops'!HOps_Row_Net_Laundry_Vending_Income</vt:lpstr>
      <vt:lpstr>'Fannie Historical Ops'!HOps_Row_Net_Parking_Income</vt:lpstr>
      <vt:lpstr>'Fannie Historical Ops'!HOps_Row_Net_Rentable_Income</vt:lpstr>
      <vt:lpstr>'Fannie Historical Ops'!HOps_Row_Office_Model_Apts</vt:lpstr>
      <vt:lpstr>'Fannie Historical Ops'!HOps_Row_Other_Administrative</vt:lpstr>
      <vt:lpstr>'Fannie Historical Ops'!HOps_Row_Other_Allowable_Income</vt:lpstr>
      <vt:lpstr>'Fannie Historical Ops'!HOps_Row_Other_Description</vt:lpstr>
      <vt:lpstr>'Fannie Historical Ops'!HOps_Row_Other_Expense</vt:lpstr>
      <vt:lpstr>'Fannie Historical Ops'!HOps_Row_Other_Leasing_Salaries</vt:lpstr>
      <vt:lpstr>'Fannie Historical Ops'!HOps_Row_Other_Maintenance_Salaries</vt:lpstr>
      <vt:lpstr>'Fannie Historical Ops'!HOps_Row_Other_Taxes_or_Assessments</vt:lpstr>
      <vt:lpstr>'Fannie Historical Ops'!HOps_Row_Paint_Decorating_Turnover</vt:lpstr>
      <vt:lpstr>'Fannie Historical Ops'!HOps_Row_Parking_Maint_Snow_Other</vt:lpstr>
      <vt:lpstr>'Fannie Historical Ops'!HOps_Row_Pest_Control</vt:lpstr>
      <vt:lpstr>'Fannie Historical Ops'!HOps_Row_Pet_Deposits</vt:lpstr>
      <vt:lpstr>'Fannie Historical Ops'!HOps_Row_Pool_Maintenance</vt:lpstr>
      <vt:lpstr>'Fannie Historical Ops'!HOps_Row_Premiums</vt:lpstr>
      <vt:lpstr>'Fannie Historical Ops'!HOps_Row_Professional_Fees</vt:lpstr>
      <vt:lpstr>'Fannie Historical Ops'!HOps_Row_Property_Insurance</vt:lpstr>
      <vt:lpstr>'Fannie Historical Ops'!HOps_Row_Real_Estate_Taxes</vt:lpstr>
      <vt:lpstr>'Fannie Historical Ops'!HOps_Row_RUBS</vt:lpstr>
      <vt:lpstr>'Fannie Historical Ops'!HOps_Row_Security_Contract</vt:lpstr>
      <vt:lpstr>'Fannie Historical Ops'!HOps_Row_Srs_Community_Fee</vt:lpstr>
      <vt:lpstr>'Fannie Historical Ops'!HOps_Row_Srs_Meals_Expense</vt:lpstr>
      <vt:lpstr>'Fannie Historical Ops'!HOps_Row_Srs_Respite_Care</vt:lpstr>
      <vt:lpstr>'Fannie Historical Ops'!HOps_Row_Srs_Room_Expense_Housekeeping</vt:lpstr>
      <vt:lpstr>'Fannie Historical Ops'!HOps_Row_Srs_Second_Occupant</vt:lpstr>
      <vt:lpstr>'Fannie Historical Ops'!HOps_Row_Srs_Support_Plans_AL_ALZ</vt:lpstr>
      <vt:lpstr>'Fannie Historical Ops'!HOps_Row_Telephone_Cable</vt:lpstr>
      <vt:lpstr>'Fannie Historical Ops'!HOps_Row_Total_Expenses</vt:lpstr>
      <vt:lpstr>'Fannie Historical Ops'!HOps_Row_Total_Expenses_Less_RET_RR</vt:lpstr>
      <vt:lpstr>'Fannie Historical Ops'!HOps_Row_Total_Expenses_Reserves</vt:lpstr>
      <vt:lpstr>'Fannie Historical Ops'!HOps_Row_Total_Fixed</vt:lpstr>
      <vt:lpstr>'Fannie Historical Ops'!HOps_Row_Total_Operating_Expenses</vt:lpstr>
      <vt:lpstr>'Fannie Historical Ops'!HOps_Row_Trash_Removal</vt:lpstr>
      <vt:lpstr>'Fannie Historical Ops'!HOps_Row_Unallowable_Income</vt:lpstr>
      <vt:lpstr>'Fannie Historical Ops'!HOps_Row_Water_Sewer</vt:lpstr>
      <vt:lpstr>'Fannie Historical Ops'!HOps_UnderwritingLien1</vt:lpstr>
      <vt:lpstr>'Fannie Historical Ops'!HOps_UnderwritingLien2</vt:lpstr>
      <vt:lpstr>'Fannie Historical Ops'!HOps_UnderwritingLien3</vt:lpstr>
      <vt:lpstr>HOps_YTD_or_TR</vt:lpstr>
      <vt:lpstr>HOps_YTD_or_TR_DropDown</vt:lpstr>
      <vt:lpstr>HOps_YTD_or_TR_Months</vt:lpstr>
      <vt:lpstr>Income_Approach</vt:lpstr>
      <vt:lpstr>IncomeApproachPerUnit</vt:lpstr>
      <vt:lpstr>INS_ESCRW</vt:lpstr>
      <vt:lpstr>Interest_Calc</vt:lpstr>
      <vt:lpstr>Interest_Rate_Type</vt:lpstr>
      <vt:lpstr>Interest_Rate_Type1</vt:lpstr>
      <vt:lpstr>Interest_Rate_Type2</vt:lpstr>
      <vt:lpstr>Interest_Rate_Type3</vt:lpstr>
      <vt:lpstr>InterestOnly</vt:lpstr>
      <vt:lpstr>InterestOnlyDebtService</vt:lpstr>
      <vt:lpstr>InvestorSpread</vt:lpstr>
      <vt:lpstr>IO_UW_DSCR</vt:lpstr>
      <vt:lpstr>'Trade Sheet'!Is_ARM</vt:lpstr>
      <vt:lpstr>'Trade Sheet'!Is_Fixed</vt:lpstr>
      <vt:lpstr>'Trade Sheet'!Is_SARM</vt:lpstr>
      <vt:lpstr>IsCashOutRefinance</vt:lpstr>
      <vt:lpstr>IsFannieStrongOrSelectEligibleMkt</vt:lpstr>
      <vt:lpstr>KickoffMemo_PrintArea</vt:lpstr>
      <vt:lpstr>LastPricingUpdateTimestamp</vt:lpstr>
      <vt:lpstr>LCK_EXP_DT</vt:lpstr>
      <vt:lpstr>LCK_TRM</vt:lpstr>
      <vt:lpstr>Lender_Name</vt:lpstr>
      <vt:lpstr>LenderCommitments</vt:lpstr>
      <vt:lpstr>LenderExposure</vt:lpstr>
      <vt:lpstr>LenderOutstandingBalances</vt:lpstr>
      <vt:lpstr>LN_PRPS</vt:lpstr>
      <vt:lpstr>LNDR_CMTS</vt:lpstr>
      <vt:lpstr>LNDR_NM</vt:lpstr>
      <vt:lpstr>Loan_Execution_Type</vt:lpstr>
      <vt:lpstr>Loan_Option_Accepted</vt:lpstr>
      <vt:lpstr>Loan_Program_Accepted</vt:lpstr>
      <vt:lpstr>Loan_Purpose</vt:lpstr>
      <vt:lpstr>Loan_Term_Type</vt:lpstr>
      <vt:lpstr>Loan_to_Cost</vt:lpstr>
      <vt:lpstr>LoanAmount</vt:lpstr>
      <vt:lpstr>LoanAmount2</vt:lpstr>
      <vt:lpstr>LoanAmount3</vt:lpstr>
      <vt:lpstr>LossSharing_DataPageTab</vt:lpstr>
      <vt:lpstr>LossSharing2</vt:lpstr>
      <vt:lpstr>LossSharing3</vt:lpstr>
      <vt:lpstr>LTV</vt:lpstr>
      <vt:lpstr>MAH_TYP</vt:lpstr>
      <vt:lpstr>MAH_UNDR_50</vt:lpstr>
      <vt:lpstr>MAH_UNDR_60</vt:lpstr>
      <vt:lpstr>MAH_UNDR_80</vt:lpstr>
      <vt:lpstr>MAH_UNTS</vt:lpstr>
      <vt:lpstr>Management_Company</vt:lpstr>
      <vt:lpstr>Mapping_DataPageData</vt:lpstr>
      <vt:lpstr>Mapping_DataPageData_Endpoint</vt:lpstr>
      <vt:lpstr>Mapping_SBLQuotesDefaultValues</vt:lpstr>
      <vt:lpstr>Mapping_TradeSheetData</vt:lpstr>
      <vt:lpstr>Mapping_TradeSheetData_Endpoint</vt:lpstr>
      <vt:lpstr>MAX_PMT_DSCR</vt:lpstr>
      <vt:lpstr>MEZZ_DSCR</vt:lpstr>
      <vt:lpstr>MEZZ_LN_ACQ_UPB</vt:lpstr>
      <vt:lpstr>MEZZ_LN_MO_PMT</vt:lpstr>
      <vt:lpstr>MIN_HRDL_DSCR</vt:lpstr>
      <vt:lpstr>Min_Tier</vt:lpstr>
      <vt:lpstr>Min_Tier2</vt:lpstr>
      <vt:lpstr>Min_Tier3</vt:lpstr>
      <vt:lpstr>MSA</vt:lpstr>
      <vt:lpstr>MSA_DataPageTab</vt:lpstr>
      <vt:lpstr>MSA_Type</vt:lpstr>
      <vt:lpstr>NewLoanTestCheck</vt:lpstr>
      <vt:lpstr>NL_1BdPerc</vt:lpstr>
      <vt:lpstr>NL_1BdSF</vt:lpstr>
      <vt:lpstr>NL_1BdUnits</vt:lpstr>
      <vt:lpstr>NL_1YearBack</vt:lpstr>
      <vt:lpstr>NL_1YearBackAdmin</vt:lpstr>
      <vt:lpstr>NL_1YearBackBadDebt</vt:lpstr>
      <vt:lpstr>NL_1YearBackConc</vt:lpstr>
      <vt:lpstr>NL_1YearBackEGI</vt:lpstr>
      <vt:lpstr>NL_1YearBackExpenses</vt:lpstr>
      <vt:lpstr>NL_1YearBackGPR</vt:lpstr>
      <vt:lpstr>NL_1YearBackInsurance</vt:lpstr>
      <vt:lpstr>NL_1YearBackMaint</vt:lpstr>
      <vt:lpstr>NL_1YearBackMgmt</vt:lpstr>
      <vt:lpstr>NL_1YearBackNRI</vt:lpstr>
      <vt:lpstr>NL_1YearBackOtherGround</vt:lpstr>
      <vt:lpstr>NL_1YearBackPayroll</vt:lpstr>
      <vt:lpstr>NL_1YearBackReserves</vt:lpstr>
      <vt:lpstr>NL_1YearBackRET</vt:lpstr>
      <vt:lpstr>NL_1YearBackSeniors</vt:lpstr>
      <vt:lpstr>NL_1YearBackUtilities</vt:lpstr>
      <vt:lpstr>NL_1YearBackVac</vt:lpstr>
      <vt:lpstr>NL_1YearBackWS</vt:lpstr>
      <vt:lpstr>NL_2Bd1BaPerc</vt:lpstr>
      <vt:lpstr>NL_2Bd1BaSF</vt:lpstr>
      <vt:lpstr>NL_2Bd1BaUnits</vt:lpstr>
      <vt:lpstr>NL_2Bd2BaPerc</vt:lpstr>
      <vt:lpstr>NL_2Bd2BaSF</vt:lpstr>
      <vt:lpstr>NL_2Bd2BaUnits</vt:lpstr>
      <vt:lpstr>NL_2to1EGIChange</vt:lpstr>
      <vt:lpstr>NL_2to1ExpenseChange</vt:lpstr>
      <vt:lpstr>NL_2to1GPRChange</vt:lpstr>
      <vt:lpstr>NL_2to1NRIChange</vt:lpstr>
      <vt:lpstr>NL_2YearBack</vt:lpstr>
      <vt:lpstr>NL_2YearBackAdmin</vt:lpstr>
      <vt:lpstr>NL_2YearBackBadDebt</vt:lpstr>
      <vt:lpstr>NL_2YearBackConc</vt:lpstr>
      <vt:lpstr>NL_2YearBackEGI</vt:lpstr>
      <vt:lpstr>NL_2YearBackExpenses</vt:lpstr>
      <vt:lpstr>NL_2YearBackGPR</vt:lpstr>
      <vt:lpstr>NL_2YearBackInsurance</vt:lpstr>
      <vt:lpstr>NL_2YearBackMaint</vt:lpstr>
      <vt:lpstr>NL_2YearBackMgmt</vt:lpstr>
      <vt:lpstr>NL_2YearBackNRI</vt:lpstr>
      <vt:lpstr>NL_2YearBackOtherGround</vt:lpstr>
      <vt:lpstr>NL_2YearBackPayroll</vt:lpstr>
      <vt:lpstr>NL_2YearBackReserves</vt:lpstr>
      <vt:lpstr>NL_2YearBackRET</vt:lpstr>
      <vt:lpstr>NL_2YearBackSeniors</vt:lpstr>
      <vt:lpstr>NL_2YearBackUtilities</vt:lpstr>
      <vt:lpstr>NL_2YearBackVac</vt:lpstr>
      <vt:lpstr>NL_2YearBackWS</vt:lpstr>
      <vt:lpstr>NL_3BdPerc</vt:lpstr>
      <vt:lpstr>NL_3BdSF</vt:lpstr>
      <vt:lpstr>NL_3BdUnits</vt:lpstr>
      <vt:lpstr>NL_4BdPerc</vt:lpstr>
      <vt:lpstr>NL_4BdSF</vt:lpstr>
      <vt:lpstr>NL_4BdUnits</vt:lpstr>
      <vt:lpstr>NL_50PercAMI</vt:lpstr>
      <vt:lpstr>NL_80PercAMI</vt:lpstr>
      <vt:lpstr>NL_ActualDSCRatFloor</vt:lpstr>
      <vt:lpstr>NL_ActualDSCRatNote</vt:lpstr>
      <vt:lpstr>NL_ActualDSCRatPayRate</vt:lpstr>
      <vt:lpstr>NL_ActualDSCRatStressRate</vt:lpstr>
      <vt:lpstr>NL_Address</vt:lpstr>
      <vt:lpstr>NL_AECapatRefi</vt:lpstr>
      <vt:lpstr>NL_AECapatRefiLTV</vt:lpstr>
      <vt:lpstr>NL_AEDSCRatRefi</vt:lpstr>
      <vt:lpstr>NL_AELTVatRefi</vt:lpstr>
      <vt:lpstr>NL_AELTVatRefiTCR</vt:lpstr>
      <vt:lpstr>NL_AENOIGrowth</vt:lpstr>
      <vt:lpstr>NL_AERateatRefi</vt:lpstr>
      <vt:lpstr>NL_AEStressedRateatRefi</vt:lpstr>
      <vt:lpstr>NL_Amort</vt:lpstr>
      <vt:lpstr>NL_Amort2</vt:lpstr>
      <vt:lpstr>NL_Amort3</vt:lpstr>
      <vt:lpstr>NL_AppOcc</vt:lpstr>
      <vt:lpstr>NL_Appraisal</vt:lpstr>
      <vt:lpstr>NL_AppraisalAdmin</vt:lpstr>
      <vt:lpstr>NL_AppraisalBadDebt</vt:lpstr>
      <vt:lpstr>NL_AppraisalCompany</vt:lpstr>
      <vt:lpstr>NL_AppraisalConc</vt:lpstr>
      <vt:lpstr>NL_AppraisalDate</vt:lpstr>
      <vt:lpstr>NL_AppraisalEGI</vt:lpstr>
      <vt:lpstr>NL_AppraisalExpenses</vt:lpstr>
      <vt:lpstr>NL_AppraisalGPR</vt:lpstr>
      <vt:lpstr>NL_AppraisalInsurance</vt:lpstr>
      <vt:lpstr>NL_AppraisalMaint</vt:lpstr>
      <vt:lpstr>NL_AppraisalMgmt</vt:lpstr>
      <vt:lpstr>NL_AppraisalNRI</vt:lpstr>
      <vt:lpstr>NL_AppraisalOtherGround</vt:lpstr>
      <vt:lpstr>NL_AppraisalPayroll</vt:lpstr>
      <vt:lpstr>NL_AppraisalReserves</vt:lpstr>
      <vt:lpstr>NL_AppraisalRET</vt:lpstr>
      <vt:lpstr>NL_AppraisalSeniors</vt:lpstr>
      <vt:lpstr>NL_AppraisalUtilities</vt:lpstr>
      <vt:lpstr>NL_AppraisalVac</vt:lpstr>
      <vt:lpstr>NL_AppraisalWS</vt:lpstr>
      <vt:lpstr>NL_AppraisedValue</vt:lpstr>
      <vt:lpstr>NL_AppraisedValuePerUnit</vt:lpstr>
      <vt:lpstr>NL_ApprOccupancy</vt:lpstr>
      <vt:lpstr>NL_ApprTotalRent</vt:lpstr>
      <vt:lpstr>NL_ApprTotalRentPerSF</vt:lpstr>
      <vt:lpstr>NL_ApprType1Rent</vt:lpstr>
      <vt:lpstr>NL_ApprType1RentPerSF</vt:lpstr>
      <vt:lpstr>NL_ApprType2Rent</vt:lpstr>
      <vt:lpstr>NL_ApprType2RentPerSF</vt:lpstr>
      <vt:lpstr>NL_ApprType3Rent</vt:lpstr>
      <vt:lpstr>NL_ApprType3RentPerSF</vt:lpstr>
      <vt:lpstr>NL_ApprType4Rent</vt:lpstr>
      <vt:lpstr>NL_ApprType4RentPerSF</vt:lpstr>
      <vt:lpstr>NL_ApprType5Rent</vt:lpstr>
      <vt:lpstr>NL_ApprType5RentPerSF</vt:lpstr>
      <vt:lpstr>NL_ApprType6Rent</vt:lpstr>
      <vt:lpstr>NL_ApprType6RentPerSF</vt:lpstr>
      <vt:lpstr>NL_ApprType7Rent</vt:lpstr>
      <vt:lpstr>NL_ApprType7RentPerSF</vt:lpstr>
      <vt:lpstr>NL_AvgSF</vt:lpstr>
      <vt:lpstr>NL_AvgSF2</vt:lpstr>
      <vt:lpstr>NL_BECapatRefi</vt:lpstr>
      <vt:lpstr>NL_BECapatRefiLTV</vt:lpstr>
      <vt:lpstr>NL_BEDSCRatRefi</vt:lpstr>
      <vt:lpstr>NL_BELTVatRefi</vt:lpstr>
      <vt:lpstr>NL_BELTVatRefiTCR</vt:lpstr>
      <vt:lpstr>NL_BENOIGrowth</vt:lpstr>
      <vt:lpstr>NL_BERateatRefi</vt:lpstr>
      <vt:lpstr>NL_BEStressedRateatRefi</vt:lpstr>
      <vt:lpstr>NL_BorrowerCredit</vt:lpstr>
      <vt:lpstr>NL_BorrowerSA</vt:lpstr>
      <vt:lpstr>NL_Budget</vt:lpstr>
      <vt:lpstr>NL_BudgetAdmin</vt:lpstr>
      <vt:lpstr>NL_BudgetBadDebt</vt:lpstr>
      <vt:lpstr>NL_BudgetConc</vt:lpstr>
      <vt:lpstr>NL_BudgetEGI</vt:lpstr>
      <vt:lpstr>NL_BudgetExpenses</vt:lpstr>
      <vt:lpstr>NL_BudgetGPR</vt:lpstr>
      <vt:lpstr>NL_BudgetInsurance</vt:lpstr>
      <vt:lpstr>NL_BudgetMaint</vt:lpstr>
      <vt:lpstr>NL_BudgetMgmt</vt:lpstr>
      <vt:lpstr>NL_BudgetNRI</vt:lpstr>
      <vt:lpstr>NL_BudgetOtherGround</vt:lpstr>
      <vt:lpstr>NL_BudgetPayroll</vt:lpstr>
      <vt:lpstr>NL_BudgetReserves</vt:lpstr>
      <vt:lpstr>NL_BudgetRET</vt:lpstr>
      <vt:lpstr>NL_BudgetSeniors</vt:lpstr>
      <vt:lpstr>NL_BudgetUtilities</vt:lpstr>
      <vt:lpstr>NL_BudgetVac</vt:lpstr>
      <vt:lpstr>NL_BudgetWS</vt:lpstr>
      <vt:lpstr>NL_BuildingType</vt:lpstr>
      <vt:lpstr>NL_CapRate</vt:lpstr>
      <vt:lpstr>NL_Carveouts</vt:lpstr>
      <vt:lpstr>NL_CashINNeutralOutDescr</vt:lpstr>
      <vt:lpstr>NL_CashINNeutralOutDollars</vt:lpstr>
      <vt:lpstr>NL_CashToBorrower</vt:lpstr>
      <vt:lpstr>NL_CityandState1</vt:lpstr>
      <vt:lpstr>NL_CityandState2</vt:lpstr>
      <vt:lpstr>NL_ClosingCosts</vt:lpstr>
      <vt:lpstr>NL_CombinedLiquid</vt:lpstr>
      <vt:lpstr>NL_CombinedLiquidPerc</vt:lpstr>
      <vt:lpstr>NL_CombinedNW</vt:lpstr>
      <vt:lpstr>NL_CombinedNWPerc</vt:lpstr>
      <vt:lpstr>NL_CommercialPerc</vt:lpstr>
      <vt:lpstr>NL_CommercialSF</vt:lpstr>
      <vt:lpstr>NL_Commitments</vt:lpstr>
      <vt:lpstr>NL_CompOcc</vt:lpstr>
      <vt:lpstr>NL_CompsAdmin</vt:lpstr>
      <vt:lpstr>NL_CompsEGI</vt:lpstr>
      <vt:lpstr>NL_CompsExpenses</vt:lpstr>
      <vt:lpstr>NL_CompsInsurance</vt:lpstr>
      <vt:lpstr>NL_CompsMaint</vt:lpstr>
      <vt:lpstr>NL_CompsMgmt</vt:lpstr>
      <vt:lpstr>NL_CompsPayroll</vt:lpstr>
      <vt:lpstr>NL_CompsReserves</vt:lpstr>
      <vt:lpstr>NL_CompsRET</vt:lpstr>
      <vt:lpstr>NL_CompsUtilities</vt:lpstr>
      <vt:lpstr>NL_CompsWS</vt:lpstr>
      <vt:lpstr>NL_Date</vt:lpstr>
      <vt:lpstr>NL_DateofEnv</vt:lpstr>
      <vt:lpstr>NL_DateofPCA</vt:lpstr>
      <vt:lpstr>NL_DebtYield</vt:lpstr>
      <vt:lpstr>NL_DelegatedLevel</vt:lpstr>
      <vt:lpstr>NL_DUSLoan</vt:lpstr>
      <vt:lpstr>NL_EnvCompany</vt:lpstr>
      <vt:lpstr>NL_EnvCompany2</vt:lpstr>
      <vt:lpstr>NL_EnvCompany3</vt:lpstr>
      <vt:lpstr>NL_EnvCompany4</vt:lpstr>
      <vt:lpstr>NL_EscrowDescription</vt:lpstr>
      <vt:lpstr>NL_EscrowedRepairs</vt:lpstr>
      <vt:lpstr>NL_ExistFinORMezz</vt:lpstr>
      <vt:lpstr>NL_Exposure</vt:lpstr>
      <vt:lpstr>NL_FixedPrincPayment</vt:lpstr>
      <vt:lpstr>NL_FloorRate</vt:lpstr>
      <vt:lpstr>NL_FNMLargeLoanFee</vt:lpstr>
      <vt:lpstr>NL_GFee</vt:lpstr>
      <vt:lpstr>NL_InitialDeposit</vt:lpstr>
      <vt:lpstr>NL_InsuranceWaived</vt:lpstr>
      <vt:lpstr>NL_IODSCRatFloor</vt:lpstr>
      <vt:lpstr>NL_IODSCRatNote</vt:lpstr>
      <vt:lpstr>NL_IODSCRatPayRate</vt:lpstr>
      <vt:lpstr>NL_IODSCRatStressRate</vt:lpstr>
      <vt:lpstr>NL_IOTerm</vt:lpstr>
      <vt:lpstr>NL_IOTerm2</vt:lpstr>
      <vt:lpstr>NL_IOTerm3</vt:lpstr>
      <vt:lpstr>NL_IOType</vt:lpstr>
      <vt:lpstr>NL_KPCashFlow1</vt:lpstr>
      <vt:lpstr>NL_KPCashFlow2</vt:lpstr>
      <vt:lpstr>NL_KPCashFlow3</vt:lpstr>
      <vt:lpstr>NL_KPCashFlow4</vt:lpstr>
      <vt:lpstr>NL_KPCashFlow5</vt:lpstr>
      <vt:lpstr>NL_KPCashFlow6</vt:lpstr>
      <vt:lpstr>NL_KPCashFlow7</vt:lpstr>
      <vt:lpstr>NL_KPCashFlow8</vt:lpstr>
      <vt:lpstr>NL_KPCreditAccepable1</vt:lpstr>
      <vt:lpstr>NL_KPCreditAccepable2</vt:lpstr>
      <vt:lpstr>NL_KPCreditAccepable3</vt:lpstr>
      <vt:lpstr>NL_KPCreditAccepable4</vt:lpstr>
      <vt:lpstr>NL_KPCreditAccepable5</vt:lpstr>
      <vt:lpstr>NL_KPCreditAccepable6</vt:lpstr>
      <vt:lpstr>NL_KPCreditAccepable7</vt:lpstr>
      <vt:lpstr>NL_KPCreditAccepable8</vt:lpstr>
      <vt:lpstr>NL_KPGuarantor1</vt:lpstr>
      <vt:lpstr>NL_KPGuarantor2</vt:lpstr>
      <vt:lpstr>NL_KPGuarantor3</vt:lpstr>
      <vt:lpstr>NL_KPGuarantor4</vt:lpstr>
      <vt:lpstr>NL_KPGuarantor5</vt:lpstr>
      <vt:lpstr>NL_KPGuarantor6</vt:lpstr>
      <vt:lpstr>NL_KPGuarantor7</vt:lpstr>
      <vt:lpstr>NL_KPGuarantor8</vt:lpstr>
      <vt:lpstr>NL_KPLiquidity1</vt:lpstr>
      <vt:lpstr>NL_KPLiquidity2</vt:lpstr>
      <vt:lpstr>NL_KPLiquidity3</vt:lpstr>
      <vt:lpstr>NL_KPLiquidity4</vt:lpstr>
      <vt:lpstr>NL_KPLiquidity5</vt:lpstr>
      <vt:lpstr>NL_KPLiquidity6</vt:lpstr>
      <vt:lpstr>NL_KPLiquidity7</vt:lpstr>
      <vt:lpstr>NL_KPLiquidity8</vt:lpstr>
      <vt:lpstr>NL_KPMFDSCR1</vt:lpstr>
      <vt:lpstr>NL_KPMFDSCR2</vt:lpstr>
      <vt:lpstr>NL_KPMFDSCR3</vt:lpstr>
      <vt:lpstr>NL_KPMFDSCR4</vt:lpstr>
      <vt:lpstr>NL_KPMFDSCR5</vt:lpstr>
      <vt:lpstr>NL_KPMFDSCR6</vt:lpstr>
      <vt:lpstr>NL_KPMFDSCR7</vt:lpstr>
      <vt:lpstr>NL_KPMFDSCR8</vt:lpstr>
      <vt:lpstr>NL_KPMFLTV1</vt:lpstr>
      <vt:lpstr>NL_KPMFLTV2</vt:lpstr>
      <vt:lpstr>NL_KPMFLTV3</vt:lpstr>
      <vt:lpstr>NL_KPMFLTV4</vt:lpstr>
      <vt:lpstr>NL_KPMFLTV5</vt:lpstr>
      <vt:lpstr>NL_KPMFLTV6</vt:lpstr>
      <vt:lpstr>NL_KPMFLTV7</vt:lpstr>
      <vt:lpstr>NL_KPMFLTV8</vt:lpstr>
      <vt:lpstr>NL_KPName1</vt:lpstr>
      <vt:lpstr>NL_KPName2</vt:lpstr>
      <vt:lpstr>NL_KPName3</vt:lpstr>
      <vt:lpstr>NL_KPName4</vt:lpstr>
      <vt:lpstr>NL_KPName5</vt:lpstr>
      <vt:lpstr>NL_KPName6</vt:lpstr>
      <vt:lpstr>NL_KPName7</vt:lpstr>
      <vt:lpstr>NL_KPName8</vt:lpstr>
      <vt:lpstr>NL_KPNW1</vt:lpstr>
      <vt:lpstr>NL_KPNW2</vt:lpstr>
      <vt:lpstr>NL_KPNW3</vt:lpstr>
      <vt:lpstr>NL_KPNW4</vt:lpstr>
      <vt:lpstr>NL_KPNW5</vt:lpstr>
      <vt:lpstr>NL_KPNW6</vt:lpstr>
      <vt:lpstr>NL_KPNW7</vt:lpstr>
      <vt:lpstr>NL_KPNW8</vt:lpstr>
      <vt:lpstr>NL_KPOverallDSCR1</vt:lpstr>
      <vt:lpstr>NL_KPOverallDSCR2</vt:lpstr>
      <vt:lpstr>NL_KPOverallDSCR3</vt:lpstr>
      <vt:lpstr>NL_KPOverallDSCR4</vt:lpstr>
      <vt:lpstr>NL_KPOverallDSCR5</vt:lpstr>
      <vt:lpstr>NL_KPOverallDSCR6</vt:lpstr>
      <vt:lpstr>NL_KPOverallDSCR7</vt:lpstr>
      <vt:lpstr>NL_KPOverallDSCR8</vt:lpstr>
      <vt:lpstr>NL_KPOverallLTV1</vt:lpstr>
      <vt:lpstr>NL_KPOverallLTV2</vt:lpstr>
      <vt:lpstr>NL_KPOverallLTV3</vt:lpstr>
      <vt:lpstr>NL_KPOverallLTV4</vt:lpstr>
      <vt:lpstr>NL_KPOverallLTV5</vt:lpstr>
      <vt:lpstr>NL_KPOverallLTV6</vt:lpstr>
      <vt:lpstr>NL_KPOverallLTV7</vt:lpstr>
      <vt:lpstr>NL_KPOverallLTV8</vt:lpstr>
      <vt:lpstr>NL_KPTitle1</vt:lpstr>
      <vt:lpstr>NL_KPTitle2</vt:lpstr>
      <vt:lpstr>NL_KPTitle3</vt:lpstr>
      <vt:lpstr>NL_KPTitle4</vt:lpstr>
      <vt:lpstr>NL_KPTitle5</vt:lpstr>
      <vt:lpstr>NL_KPTitle6</vt:lpstr>
      <vt:lpstr>NL_KPTitle7</vt:lpstr>
      <vt:lpstr>NL_KPTitle8</vt:lpstr>
      <vt:lpstr>NL_KPTYrExp1</vt:lpstr>
      <vt:lpstr>NL_KPTYrExp2</vt:lpstr>
      <vt:lpstr>NL_KPTYrExp3</vt:lpstr>
      <vt:lpstr>NL_KPTYrExp4</vt:lpstr>
      <vt:lpstr>NL_KPTYrExp5</vt:lpstr>
      <vt:lpstr>NL_KPTYrExp6</vt:lpstr>
      <vt:lpstr>NL_KPTYrExp7</vt:lpstr>
      <vt:lpstr>NL_KPTYrExp8</vt:lpstr>
      <vt:lpstr>NL_LoanAmount</vt:lpstr>
      <vt:lpstr>NL_LoanPerUnit</vt:lpstr>
      <vt:lpstr>NL_LTC</vt:lpstr>
      <vt:lpstr>NL_MAHType</vt:lpstr>
      <vt:lpstr>NL_MaxLTV</vt:lpstr>
      <vt:lpstr>NL_MaxLTV2</vt:lpstr>
      <vt:lpstr>NL_MaxLTV3</vt:lpstr>
      <vt:lpstr>NL_MaxRate</vt:lpstr>
      <vt:lpstr>NL_MgmtCompany</vt:lpstr>
      <vt:lpstr>NL_MgmtCompany2</vt:lpstr>
      <vt:lpstr>NL_MinDSCRatFloor</vt:lpstr>
      <vt:lpstr>NL_MinDSCRatNote</vt:lpstr>
      <vt:lpstr>NL_MinDSCRatPayRate</vt:lpstr>
      <vt:lpstr>NL_MinDSCRatStressRate</vt:lpstr>
      <vt:lpstr>NL_MSA1</vt:lpstr>
      <vt:lpstr>NL_MSA2</vt:lpstr>
      <vt:lpstr>NL_NoteRate</vt:lpstr>
      <vt:lpstr>NL_NRA</vt:lpstr>
      <vt:lpstr>NL_NumberOfBuildings</vt:lpstr>
      <vt:lpstr>NL_NumberOfUnits</vt:lpstr>
      <vt:lpstr>NL_OriginationFees</vt:lpstr>
      <vt:lpstr>NL_OriginationPerc</vt:lpstr>
      <vt:lpstr>NL_OriginationPerc2</vt:lpstr>
      <vt:lpstr>NL_OutstandingBalances</vt:lpstr>
      <vt:lpstr>NL_PCACompany</vt:lpstr>
      <vt:lpstr>NL_PD</vt:lpstr>
      <vt:lpstr>NL_PD_Delegation</vt:lpstr>
      <vt:lpstr>NL_PD_Exclusions</vt:lpstr>
      <vt:lpstr>NL_PD_LoanSize</vt:lpstr>
      <vt:lpstr>NL_PD_MaxLTV</vt:lpstr>
      <vt:lpstr>NL_PD_MinDSCR</vt:lpstr>
      <vt:lpstr>NL_PD_MinDY</vt:lpstr>
      <vt:lpstr>NL_PD_MinExit</vt:lpstr>
      <vt:lpstr>NL_PercExcludedFromCap</vt:lpstr>
      <vt:lpstr>NL_PrepaymentPeriod</vt:lpstr>
      <vt:lpstr>NL_PrepaymentType</vt:lpstr>
      <vt:lpstr>NL_PrepayPenalty</vt:lpstr>
      <vt:lpstr>NL_PrincipalCreditAccept</vt:lpstr>
      <vt:lpstr>NL_PrincipalNames</vt:lpstr>
      <vt:lpstr>NL_PropertyName1</vt:lpstr>
      <vt:lpstr>NL_PropertyName2</vt:lpstr>
      <vt:lpstr>NL_PropertyType</vt:lpstr>
      <vt:lpstr>NL_PropertyType2</vt:lpstr>
      <vt:lpstr>NL_RateLockType</vt:lpstr>
      <vt:lpstr>NL_RCOccupancy</vt:lpstr>
      <vt:lpstr>NL_RCTotalRent</vt:lpstr>
      <vt:lpstr>NL_RCTotalRentPerSF</vt:lpstr>
      <vt:lpstr>NL_RCType1</vt:lpstr>
      <vt:lpstr>NL_RCType1Rent</vt:lpstr>
      <vt:lpstr>NL_RCType1RentPerSF</vt:lpstr>
      <vt:lpstr>NL_RCType1SF</vt:lpstr>
      <vt:lpstr>NL_RCType2</vt:lpstr>
      <vt:lpstr>NL_RCType2Rent</vt:lpstr>
      <vt:lpstr>NL_RCType2RentPerSF</vt:lpstr>
      <vt:lpstr>NL_RCType2SF</vt:lpstr>
      <vt:lpstr>NL_RCType3</vt:lpstr>
      <vt:lpstr>NL_RCType3Rent</vt:lpstr>
      <vt:lpstr>NL_RCType3RentPerSF</vt:lpstr>
      <vt:lpstr>NL_RCType3SF</vt:lpstr>
      <vt:lpstr>NL_RCType4</vt:lpstr>
      <vt:lpstr>NL_RCType4Rent</vt:lpstr>
      <vt:lpstr>NL_RCType4RentPerSF</vt:lpstr>
      <vt:lpstr>NL_RCType4SF</vt:lpstr>
      <vt:lpstr>NL_RCType5</vt:lpstr>
      <vt:lpstr>NL_RCType5Rent</vt:lpstr>
      <vt:lpstr>NL_RCType5RentPerSF</vt:lpstr>
      <vt:lpstr>NL_RCType5SF</vt:lpstr>
      <vt:lpstr>NL_RCType6</vt:lpstr>
      <vt:lpstr>NL_RCType6Rent</vt:lpstr>
      <vt:lpstr>NL_RCType6RentPerSF</vt:lpstr>
      <vt:lpstr>NL_RCType6SF</vt:lpstr>
      <vt:lpstr>NL_RCType7</vt:lpstr>
      <vt:lpstr>NL_RCType7Rent</vt:lpstr>
      <vt:lpstr>NL_RCType7RentPerSF</vt:lpstr>
      <vt:lpstr>NL_RCType7SF</vt:lpstr>
      <vt:lpstr>NL_RefiOrPurchase</vt:lpstr>
      <vt:lpstr>NL_RehabEscrow</vt:lpstr>
      <vt:lpstr>NL_RepairsWaived</vt:lpstr>
      <vt:lpstr>NL_Reserves</vt:lpstr>
      <vt:lpstr>NL_ReservesWaived</vt:lpstr>
      <vt:lpstr>NL_SFee</vt:lpstr>
      <vt:lpstr>NL_Sponsor</vt:lpstr>
      <vt:lpstr>NL_SponsorRating</vt:lpstr>
      <vt:lpstr>NL_SponsorRating2</vt:lpstr>
      <vt:lpstr>NL_StrikeAmort</vt:lpstr>
      <vt:lpstr>NL_StrikeIO</vt:lpstr>
      <vt:lpstr>NL_StudioPerc</vt:lpstr>
      <vt:lpstr>NL_StudioSF</vt:lpstr>
      <vt:lpstr>NL_StudioUnits</vt:lpstr>
      <vt:lpstr>NL_SubjectOcc</vt:lpstr>
      <vt:lpstr>NL_SubjectOccupancy</vt:lpstr>
      <vt:lpstr>NL_SubjectTotalRent</vt:lpstr>
      <vt:lpstr>NL_SubjectTotalRentPerSF</vt:lpstr>
      <vt:lpstr>NL_SubjectType1Rent</vt:lpstr>
      <vt:lpstr>NL_SubjectType1RentPerSF</vt:lpstr>
      <vt:lpstr>NL_SubjectType2Rent</vt:lpstr>
      <vt:lpstr>NL_SubjectType2RentPerSF</vt:lpstr>
      <vt:lpstr>NL_SubjectType3Rent</vt:lpstr>
      <vt:lpstr>NL_SubjectType3RentPerSF</vt:lpstr>
      <vt:lpstr>NL_SubjectType4Rent</vt:lpstr>
      <vt:lpstr>NL_SubjectType4RentPerSF</vt:lpstr>
      <vt:lpstr>NL_SubjectType5Rent</vt:lpstr>
      <vt:lpstr>NL_SubjectType5RentPerSF</vt:lpstr>
      <vt:lpstr>NL_SubjectType6Rent</vt:lpstr>
      <vt:lpstr>NL_SubjectType6RentPerSF</vt:lpstr>
      <vt:lpstr>NL_SubjectType7Rent</vt:lpstr>
      <vt:lpstr>NL_SubjectType7RentPerSF</vt:lpstr>
      <vt:lpstr>NL_SubtotalSources</vt:lpstr>
      <vt:lpstr>NL_SubtotalUses</vt:lpstr>
      <vt:lpstr>NL_T1</vt:lpstr>
      <vt:lpstr>NL_T12</vt:lpstr>
      <vt:lpstr>NL_T3</vt:lpstr>
      <vt:lpstr>NL_T3PerUnit</vt:lpstr>
      <vt:lpstr>NL_T3vsT12</vt:lpstr>
      <vt:lpstr>NL_T3vsT6</vt:lpstr>
      <vt:lpstr>NL_T3vsUW</vt:lpstr>
      <vt:lpstr>NL_T6</vt:lpstr>
      <vt:lpstr>NL_TaxWaived</vt:lpstr>
      <vt:lpstr>NL_Term</vt:lpstr>
      <vt:lpstr>NL_Term2</vt:lpstr>
      <vt:lpstr>NL_Term3</vt:lpstr>
      <vt:lpstr>NL_Tier</vt:lpstr>
      <vt:lpstr>NL_TotalExposure</vt:lpstr>
      <vt:lpstr>NL_TotalUnits</vt:lpstr>
      <vt:lpstr>NL_TotalUnits2</vt:lpstr>
      <vt:lpstr>NL_Trailing</vt:lpstr>
      <vt:lpstr>NL_TrailingAdmin</vt:lpstr>
      <vt:lpstr>NL_TrailingBadDebt</vt:lpstr>
      <vt:lpstr>NL_TrailingConc</vt:lpstr>
      <vt:lpstr>NL_TrailingEGI</vt:lpstr>
      <vt:lpstr>NL_TrailingExpenses</vt:lpstr>
      <vt:lpstr>NL_TrailingGPR</vt:lpstr>
      <vt:lpstr>NL_TrailingInsurance</vt:lpstr>
      <vt:lpstr>NL_TrailingMaint</vt:lpstr>
      <vt:lpstr>NL_TrailingMgmt</vt:lpstr>
      <vt:lpstr>NL_TrailingNRI</vt:lpstr>
      <vt:lpstr>NL_TrailingOtherGround</vt:lpstr>
      <vt:lpstr>NL_TrailingPayroll</vt:lpstr>
      <vt:lpstr>NL_TrailingPeriodDescr</vt:lpstr>
      <vt:lpstr>NL_TrailingPeriodDescr2</vt:lpstr>
      <vt:lpstr>NL_TrailingReserves</vt:lpstr>
      <vt:lpstr>NL_TrailingRET</vt:lpstr>
      <vt:lpstr>NL_TrailingSeniors</vt:lpstr>
      <vt:lpstr>NL_TrailingStatementPeriod</vt:lpstr>
      <vt:lpstr>NL_TrailingUtilities</vt:lpstr>
      <vt:lpstr>NL_TrailingVac</vt:lpstr>
      <vt:lpstr>NL_TrailingWS</vt:lpstr>
      <vt:lpstr>NL_TransPurpose</vt:lpstr>
      <vt:lpstr>NL_TRto1EGIChange</vt:lpstr>
      <vt:lpstr>NL_TRto1ExpenseChange</vt:lpstr>
      <vt:lpstr>NL_TRto1GPRChange</vt:lpstr>
      <vt:lpstr>NL_TRto1NRIChange</vt:lpstr>
      <vt:lpstr>NL_TRtoUW</vt:lpstr>
      <vt:lpstr>NL_TRtoUWEGIChange</vt:lpstr>
      <vt:lpstr>NL_TRtoUWExpenseChange</vt:lpstr>
      <vt:lpstr>NL_TRtoUWGPRChange</vt:lpstr>
      <vt:lpstr>NL_TRtoUWNRIChange</vt:lpstr>
      <vt:lpstr>NL_UPBorPurchasePrice</vt:lpstr>
      <vt:lpstr>NL_UWAdmin</vt:lpstr>
      <vt:lpstr>NL_UWBadDebt</vt:lpstr>
      <vt:lpstr>NL_UWConc</vt:lpstr>
      <vt:lpstr>NL_UWEGI</vt:lpstr>
      <vt:lpstr>NL_UWExpenses</vt:lpstr>
      <vt:lpstr>NL_UWGPR</vt:lpstr>
      <vt:lpstr>NL_UWInsurance</vt:lpstr>
      <vt:lpstr>NL_UWLTV</vt:lpstr>
      <vt:lpstr>NL_UWLTV2</vt:lpstr>
      <vt:lpstr>NL_UWMaint</vt:lpstr>
      <vt:lpstr>NL_UWMgmt</vt:lpstr>
      <vt:lpstr>NL_UWNRI</vt:lpstr>
      <vt:lpstr>NL_UWNRI2</vt:lpstr>
      <vt:lpstr>NL_UWOtherGround</vt:lpstr>
      <vt:lpstr>NL_UWPayroll</vt:lpstr>
      <vt:lpstr>NL_UWRentRollDate</vt:lpstr>
      <vt:lpstr>NL_UWReserves</vt:lpstr>
      <vt:lpstr>NL_UWRET</vt:lpstr>
      <vt:lpstr>NL_UWSeniors</vt:lpstr>
      <vt:lpstr>NL_UWUtilities</vt:lpstr>
      <vt:lpstr>NL_UWVac</vt:lpstr>
      <vt:lpstr>NL_UWValue</vt:lpstr>
      <vt:lpstr>NL_UWValuePerUnit</vt:lpstr>
      <vt:lpstr>NL_UWWS</vt:lpstr>
      <vt:lpstr>NL_VariableCAP</vt:lpstr>
      <vt:lpstr>NL_VariableCushion</vt:lpstr>
      <vt:lpstr>NL_VariableGFee</vt:lpstr>
      <vt:lpstr>NL_VariableInvSpread</vt:lpstr>
      <vt:lpstr>NL_VariableLIBOR</vt:lpstr>
      <vt:lpstr>NL_VariablePayRate</vt:lpstr>
      <vt:lpstr>NL_VariableSFee</vt:lpstr>
      <vt:lpstr>NL_VariableStressRate</vt:lpstr>
      <vt:lpstr>NL_YrBuilt1</vt:lpstr>
      <vt:lpstr>NL_YrBuilt2</vt:lpstr>
      <vt:lpstr>NonGSELoanEmailList</vt:lpstr>
      <vt:lpstr>NonGSELoanEmailTbl</vt:lpstr>
      <vt:lpstr>NoteConstant</vt:lpstr>
      <vt:lpstr>NoteRate</vt:lpstr>
      <vt:lpstr>NRA</vt:lpstr>
      <vt:lpstr>NRI</vt:lpstr>
      <vt:lpstr>'NRI Analysis'!NRI_1YrBack</vt:lpstr>
      <vt:lpstr>'NRI Analysis'!NRI_2YrsBack</vt:lpstr>
      <vt:lpstr>'NRI Analysis'!NRI_3YrsBack</vt:lpstr>
      <vt:lpstr>'NRI Analysis'!NRI_Col_AddBackEmployee</vt:lpstr>
      <vt:lpstr>'NRI Analysis'!NRI_Col_AddBackModelOffice</vt:lpstr>
      <vt:lpstr>'NRI Analysis'!NRI_Col_BadDebt</vt:lpstr>
      <vt:lpstr>'NRI Analysis'!NRI_Col_BadDebtAsPcntOfGPR</vt:lpstr>
      <vt:lpstr>'NRI Analysis'!NRI_Col_Concessions</vt:lpstr>
      <vt:lpstr>'NRI Analysis'!NRI_Col_ConcessionsAsPcntOfGPR</vt:lpstr>
      <vt:lpstr>'NRI Analysis'!NRI_Col_EconomicOccupancy</vt:lpstr>
      <vt:lpstr>'NRI Analysis'!NRI_Col_Month</vt:lpstr>
      <vt:lpstr>'NRI Analysis'!NRI_Col_NetRentalCollections</vt:lpstr>
      <vt:lpstr>'NRI Analysis'!NRI_Col_ReportGPR</vt:lpstr>
      <vt:lpstr>'NRI Analysis'!NRI_Col_TotalGPR</vt:lpstr>
      <vt:lpstr>'NRI Analysis'!NRI_Col_Vacancy</vt:lpstr>
      <vt:lpstr>'NRI Analysis'!NRI_Col_VacancyAsPcntOfGPR</vt:lpstr>
      <vt:lpstr>NRI_CurrentYear_NRI</vt:lpstr>
      <vt:lpstr>'NRI Analysis'!NRI_CurrentYr</vt:lpstr>
      <vt:lpstr>'NRI Analysis'!NRI_MonthlyData_1YrBack</vt:lpstr>
      <vt:lpstr>'NRI Analysis'!NRI_MonthlyData_2YrsBack</vt:lpstr>
      <vt:lpstr>'NRI Analysis'!NRI_MonthlyData_3YrsBack</vt:lpstr>
      <vt:lpstr>'NRI Analysis'!NRI_MonthlyData_CurrentYr</vt:lpstr>
      <vt:lpstr>number_units</vt:lpstr>
      <vt:lpstr>NumOfBldg_DataPageTab</vt:lpstr>
      <vt:lpstr>OP_STMT_FY</vt:lpstr>
      <vt:lpstr>OriginationFee_Broker</vt:lpstr>
      <vt:lpstr>OriginationFee_Lender</vt:lpstr>
      <vt:lpstr>OriginationPerc_Broker</vt:lpstr>
      <vt:lpstr>OriginationPerc_Lender</vt:lpstr>
      <vt:lpstr>Originator_Name</vt:lpstr>
      <vt:lpstr>OSAnalysis_InputData_1YrBack</vt:lpstr>
      <vt:lpstr>OSAnalysis_InputData_2YrBack</vt:lpstr>
      <vt:lpstr>OSAnalysis_InputData_3YrBack</vt:lpstr>
      <vt:lpstr>OSAnalysis_InputData_Appraisal</vt:lpstr>
      <vt:lpstr>OSAnalysis_InputData_Budget</vt:lpstr>
      <vt:lpstr>OSAnalysis_InputData_CurrentT12</vt:lpstr>
      <vt:lpstr>OSAnalysis_MostRecentMonth</vt:lpstr>
      <vt:lpstr>OSAnalysis_ViewScope</vt:lpstr>
      <vt:lpstr>OTR_ESCRW</vt:lpstr>
      <vt:lpstr>OTR_MAH_TYP</vt:lpstr>
      <vt:lpstr>ParticipantsEnd</vt:lpstr>
      <vt:lpstr>ParticipantsStart</vt:lpstr>
      <vt:lpstr>PHS1_UNTS</vt:lpstr>
      <vt:lpstr>PHS1_YR</vt:lpstr>
      <vt:lpstr>PHS2_UNTS</vt:lpstr>
      <vt:lpstr>PHS2_YR</vt:lpstr>
      <vt:lpstr>PHS3_UNTS</vt:lpstr>
      <vt:lpstr>PHS3_YR</vt:lpstr>
      <vt:lpstr>PHS4_UNTS</vt:lpstr>
      <vt:lpstr>PHS4_YR</vt:lpstr>
      <vt:lpstr>PHS5_UNTS</vt:lpstr>
      <vt:lpstr>PHS5_YR</vt:lpstr>
      <vt:lpstr>PHS6_UNTS</vt:lpstr>
      <vt:lpstr>PHS6_YR</vt:lpstr>
      <vt:lpstr>PHS7_UNTS</vt:lpstr>
      <vt:lpstr>PHS7_YR</vt:lpstr>
      <vt:lpstr>PL_NBR</vt:lpstr>
      <vt:lpstr>Premium_Minimum</vt:lpstr>
      <vt:lpstr>PremiumFee_Broker</vt:lpstr>
      <vt:lpstr>PremiumFee_Lender</vt:lpstr>
      <vt:lpstr>PremiumPerc_Broker</vt:lpstr>
      <vt:lpstr>PremiumPerc_Lender</vt:lpstr>
      <vt:lpstr>Principal_1</vt:lpstr>
      <vt:lpstr>Principal_10</vt:lpstr>
      <vt:lpstr>Principal_11</vt:lpstr>
      <vt:lpstr>Principal_12</vt:lpstr>
      <vt:lpstr>Principal_13</vt:lpstr>
      <vt:lpstr>Principal_14</vt:lpstr>
      <vt:lpstr>Principal_15</vt:lpstr>
      <vt:lpstr>Principal_2</vt:lpstr>
      <vt:lpstr>Principal_3</vt:lpstr>
      <vt:lpstr>Principal_4</vt:lpstr>
      <vt:lpstr>Principal_5</vt:lpstr>
      <vt:lpstr>Principal_6</vt:lpstr>
      <vt:lpstr>Principal_7</vt:lpstr>
      <vt:lpstr>Principal_8</vt:lpstr>
      <vt:lpstr>Principal_9</vt:lpstr>
      <vt:lpstr>'Bor-KP-Prin'!Print_Area</vt:lpstr>
      <vt:lpstr>'Data Page'!Print_Area</vt:lpstr>
      <vt:lpstr>'Engineering schedule'!Print_Area</vt:lpstr>
      <vt:lpstr>'Expense Comps.'!Print_Area</vt:lpstr>
      <vt:lpstr>'Fannie Historical Ops'!Print_Area</vt:lpstr>
      <vt:lpstr>'FNM Loan Terms'!Print_Area</vt:lpstr>
      <vt:lpstr>'Form 4662'!Print_Area</vt:lpstr>
      <vt:lpstr>FRE_App!Print_Area</vt:lpstr>
      <vt:lpstr>'Kick-Off Memo'!Print_Area</vt:lpstr>
      <vt:lpstr>'NRI Analysis'!Print_Area</vt:lpstr>
      <vt:lpstr>Quote!Print_Area</vt:lpstr>
      <vt:lpstr>'Quote Letter'!Print_Area</vt:lpstr>
      <vt:lpstr>'Rent Comps'!Print_Area</vt:lpstr>
      <vt:lpstr>'Rent Roll'!Print_Area</vt:lpstr>
      <vt:lpstr>'Sales Comps'!Print_Area</vt:lpstr>
      <vt:lpstr>'SBL Quotes'!Print_Area</vt:lpstr>
      <vt:lpstr>'SREO 1'!Print_Area</vt:lpstr>
      <vt:lpstr>'SREO 2'!Print_Area</vt:lpstr>
      <vt:lpstr>'SREO 3'!Print_Area</vt:lpstr>
      <vt:lpstr>'SREO 4'!Print_Area</vt:lpstr>
      <vt:lpstr>'SREO 5'!Print_Area</vt:lpstr>
      <vt:lpstr>'SREO 6'!Print_Area</vt:lpstr>
      <vt:lpstr>'SREO 7'!Print_Area</vt:lpstr>
      <vt:lpstr>'SREO 8'!Print_Area</vt:lpstr>
      <vt:lpstr>'Summary OPS'!Print_Area</vt:lpstr>
      <vt:lpstr>'Trade Sheet'!Print_Area</vt:lpstr>
      <vt:lpstr>'Unit Mix'!Print_Area</vt:lpstr>
      <vt:lpstr>'Bor-KP-Prin'!Print_Titles</vt:lpstr>
      <vt:lpstr>'Kick-Off Memo'!Print_Titles</vt:lpstr>
      <vt:lpstr>'Rent Comps'!Print_Titles</vt:lpstr>
      <vt:lpstr>'Sales Comps'!Print_Titles</vt:lpstr>
      <vt:lpstr>'SREO 1'!Print_Titles</vt:lpstr>
      <vt:lpstr>'SREO 2'!Print_Titles</vt:lpstr>
      <vt:lpstr>producer_contact</vt:lpstr>
      <vt:lpstr>ProducerName</vt:lpstr>
      <vt:lpstr>PROP_NM</vt:lpstr>
      <vt:lpstr>PROP_TYP</vt:lpstr>
      <vt:lpstr>PropCap_PrepayOptions_5YrFixed</vt:lpstr>
      <vt:lpstr>PropCollEnd</vt:lpstr>
      <vt:lpstr>PropCollStart</vt:lpstr>
      <vt:lpstr>property_name</vt:lpstr>
      <vt:lpstr>Property_Type</vt:lpstr>
      <vt:lpstr>PropertyName_DataPageTab</vt:lpstr>
      <vt:lpstr>'Quote Letter'!QLtr_AllTables</vt:lpstr>
      <vt:lpstr>'Quote Letter'!QLtr_DataTable_FNM</vt:lpstr>
      <vt:lpstr>'Quote Letter'!QLtr_DataTable_FRE</vt:lpstr>
      <vt:lpstr>'Quote Letter'!QLtr_DataTable_WPL</vt:lpstr>
      <vt:lpstr>'Quote Letter'!QLtr_Footer</vt:lpstr>
      <vt:lpstr>'Quote Letter'!QLtr_Header_FNM</vt:lpstr>
      <vt:lpstr>'Quote Letter'!QLtr_Header_FRE</vt:lpstr>
      <vt:lpstr>'Quote Letter'!QLtr_Header_WPL</vt:lpstr>
      <vt:lpstr>'Quote Letter'!QLtr_NmbrOfColumnsToShow</vt:lpstr>
      <vt:lpstr>'Quote Letter'!QLtr_NmbrOfColumnsToShow_FNM</vt:lpstr>
      <vt:lpstr>'Quote Letter'!QLtr_NmbrOfColumnsToShow_FRE</vt:lpstr>
      <vt:lpstr>'Quote Letter'!QLtr_NmbrOfColumnsToShow_WPL</vt:lpstr>
      <vt:lpstr>'Quote Letter'!QLtr_Stipulations_FNM</vt:lpstr>
      <vt:lpstr>'Quote Letter'!QLtr_Stipulations_FRE</vt:lpstr>
      <vt:lpstr>'Quote Letter'!QLtr_Stipulations_WPL</vt:lpstr>
      <vt:lpstr>'Quote Letter'!QLtr_UW_NOI</vt:lpstr>
      <vt:lpstr>'Quote Letter'!QLtr_ValidThruDate</vt:lpstr>
      <vt:lpstr>Quotes_EffectiveDate</vt:lpstr>
      <vt:lpstr>Quotes_FannieLoanOptions</vt:lpstr>
      <vt:lpstr>Quotes_FreddieLoanOptions</vt:lpstr>
      <vt:lpstr>Quotes_LogoArea</vt:lpstr>
      <vt:lpstr>Quotes_ProprietaryCapitalLoanOptions</vt:lpstr>
      <vt:lpstr>Rate_Lock_Type</vt:lpstr>
      <vt:lpstr>'SBL Quotes'!region</vt:lpstr>
      <vt:lpstr>EnodoConfig!RegressTesting_ErrorCount_Test1</vt:lpstr>
      <vt:lpstr>EnodoConfig!RegressTesting_ErrorCount_Test2</vt:lpstr>
      <vt:lpstr>'Enodo Regression Testing'!RegressTesting_Tests</vt:lpstr>
      <vt:lpstr>'Enodo Regression Testing'!RegressTesting_TestSets</vt:lpstr>
      <vt:lpstr>RehabilitationEscrow</vt:lpstr>
      <vt:lpstr>rentCompHeader</vt:lpstr>
      <vt:lpstr>'Rent Comps'!RentComps_Comp01</vt:lpstr>
      <vt:lpstr>'Rent Comps'!RentComps_Comp02</vt:lpstr>
      <vt:lpstr>'Rent Comps'!RentComps_Comp03</vt:lpstr>
      <vt:lpstr>'Rent Comps'!RentComps_Comp04</vt:lpstr>
      <vt:lpstr>'Rent Comps'!RentComps_Comp05</vt:lpstr>
      <vt:lpstr>'Rent Comps'!RentComps_Comp06</vt:lpstr>
      <vt:lpstr>'Rent Comps'!RentComps_Comp07</vt:lpstr>
      <vt:lpstr>'Rent Comps'!RentComps_Comp08</vt:lpstr>
      <vt:lpstr>'Rent Comps'!RentComps_Comp09</vt:lpstr>
      <vt:lpstr>'Rent Comps'!RentComps_Comp10</vt:lpstr>
      <vt:lpstr>'Rent Comps'!RentComps_CompUnits_01</vt:lpstr>
      <vt:lpstr>'Rent Comps'!RentComps_CompUnits_02</vt:lpstr>
      <vt:lpstr>'Rent Comps'!RentComps_CompUnits_03</vt:lpstr>
      <vt:lpstr>'Rent Comps'!RentComps_CompUnits_04</vt:lpstr>
      <vt:lpstr>'Rent Comps'!RentComps_CompUnits_05</vt:lpstr>
      <vt:lpstr>'Rent Comps'!RentComps_CompUnits_06</vt:lpstr>
      <vt:lpstr>'Rent Comps'!RentComps_CompUnits_07</vt:lpstr>
      <vt:lpstr>'Rent Comps'!RentComps_CompUnits_08</vt:lpstr>
      <vt:lpstr>'Rent Comps'!RentComps_CompUnits_09</vt:lpstr>
      <vt:lpstr>'Rent Comps'!RentComps_CompUnits_10</vt:lpstr>
      <vt:lpstr>'Rent Comps'!RentComps_Count</vt:lpstr>
      <vt:lpstr>'Rent Comps'!RentComps_IncompleteCount</vt:lpstr>
      <vt:lpstr>RentRoll_FNM_AffordabilityData</vt:lpstr>
      <vt:lpstr>RentRoll_InputArea_Baths</vt:lpstr>
      <vt:lpstr>RentRoll_InputArea_Beds</vt:lpstr>
      <vt:lpstr>RentRoll_InputArea_DesignatedUnitType</vt:lpstr>
      <vt:lpstr>RentRoll_InputArea_MarketRent</vt:lpstr>
      <vt:lpstr>RentRoll_InputArea_SquareFootage</vt:lpstr>
      <vt:lpstr>RentRoll_NmbrOfUnitsWithoutMatchingUnitType</vt:lpstr>
      <vt:lpstr>RentRoll_NmbrOfUnitTypesWithoutMatchingUnits</vt:lpstr>
      <vt:lpstr>RentRoll_UnderWriterNotes</vt:lpstr>
      <vt:lpstr>RentRoll_Units_AllDataAndCalcs</vt:lpstr>
      <vt:lpstr>RentRoll_UnitTypeCount</vt:lpstr>
      <vt:lpstr>RentRoll_UnitTypes_AllDataAndCalcs</vt:lpstr>
      <vt:lpstr>'Rent Roll'!RentRoll_UnitTypes_Counts</vt:lpstr>
      <vt:lpstr>RentRollDate</vt:lpstr>
      <vt:lpstr>RentRollTotalUnits</vt:lpstr>
      <vt:lpstr>Requested_Actual_UW_DSCR</vt:lpstr>
      <vt:lpstr>Requested_Actual_UW_DSCR1</vt:lpstr>
      <vt:lpstr>Requested_Actual_UW_DSCR2</vt:lpstr>
      <vt:lpstr>Requested_Actual_UW_DSCR3</vt:lpstr>
      <vt:lpstr>Requested_Floor_UW_DSCR</vt:lpstr>
      <vt:lpstr>Requested_LTV</vt:lpstr>
      <vt:lpstr>Requested_Tier</vt:lpstr>
      <vt:lpstr>RequestedLoan</vt:lpstr>
      <vt:lpstr>RES_AREA</vt:lpstr>
      <vt:lpstr>RES_UNTS</vt:lpstr>
      <vt:lpstr>ResponseStatus</vt:lpstr>
      <vt:lpstr>rngRent_Range_Unit_by_Acuities</vt:lpstr>
      <vt:lpstr>RPR_TOT</vt:lpstr>
      <vt:lpstr>'Rent Roll'!RR_Col_BldgNmbr</vt:lpstr>
      <vt:lpstr>'Rent Roll'!RR_Col_Concession</vt:lpstr>
      <vt:lpstr>'Rent Roll'!RR_Col_ContractRent</vt:lpstr>
      <vt:lpstr>'Rent Roll'!RR_Col_EmpAllow</vt:lpstr>
      <vt:lpstr>'Rent Roll'!RR_Col_LeaseEnd</vt:lpstr>
      <vt:lpstr>'Rent Roll'!RR_Col_LeaseStart</vt:lpstr>
      <vt:lpstr>'Rent Roll'!RR_Col_MarketRent</vt:lpstr>
      <vt:lpstr>'Rent Roll'!RR_Col_ModelOffice</vt:lpstr>
      <vt:lpstr>'Rent Roll'!RR_Col_OccVac</vt:lpstr>
      <vt:lpstr>'Rent Roll'!RR_Col_RentAdj</vt:lpstr>
      <vt:lpstr>'Rent Roll'!RR_Col_Subsidy</vt:lpstr>
      <vt:lpstr>'Rent Roll'!RR_Col_Tenant</vt:lpstr>
      <vt:lpstr>'Rent Roll'!RR_Col_UnitNmbr</vt:lpstr>
      <vt:lpstr>'Rent Roll'!RR_Col_UnitType</vt:lpstr>
      <vt:lpstr>'Rent Roll'!RR_Col_UWRentAdj</vt:lpstr>
      <vt:lpstr>'Rent Roll'!RR_ShowMktRentColumn</vt:lpstr>
      <vt:lpstr>'Rent Roll'!RR_VacantUnitMktRentSource</vt:lpstr>
      <vt:lpstr>Sales_Approach</vt:lpstr>
      <vt:lpstr>SalesApproachPerUnit</vt:lpstr>
      <vt:lpstr>'Sales Comps'!SalesComps_Comp01</vt:lpstr>
      <vt:lpstr>'Sales Comps'!SalesComps_Comp02</vt:lpstr>
      <vt:lpstr>'Sales Comps'!SalesComps_Comp03</vt:lpstr>
      <vt:lpstr>'Sales Comps'!SalesComps_Comp04</vt:lpstr>
      <vt:lpstr>'Sales Comps'!SalesComps_Comp05</vt:lpstr>
      <vt:lpstr>'Sales Comps'!SalesComps_Comp06</vt:lpstr>
      <vt:lpstr>'Sales Comps'!SalesComps_Comp07</vt:lpstr>
      <vt:lpstr>'Sales Comps'!SalesComps_Comp08</vt:lpstr>
      <vt:lpstr>'Sales Comps'!SalesComps_Comp09</vt:lpstr>
      <vt:lpstr>'Sales Comps'!SalesComps_Comp10</vt:lpstr>
      <vt:lpstr>'Sales Comps'!SalesComps_Count</vt:lpstr>
      <vt:lpstr>'Sales Comps'!SalesComps_Data</vt:lpstr>
      <vt:lpstr>'Sales Comps'!SalesComps_IncompleteCount</vt:lpstr>
      <vt:lpstr>SARMCapCostFactor</vt:lpstr>
      <vt:lpstr>SARMCushion</vt:lpstr>
      <vt:lpstr>SARMGuarantyFee</vt:lpstr>
      <vt:lpstr>SARMInvestorSpread</vt:lpstr>
      <vt:lpstr>SARMPayConstant</vt:lpstr>
      <vt:lpstr>SARMPayRate</vt:lpstr>
      <vt:lpstr>SARMServicingFee</vt:lpstr>
      <vt:lpstr>SARMStressConstant</vt:lpstr>
      <vt:lpstr>SARMStressRate</vt:lpstr>
      <vt:lpstr>SBL_AdditionalAffordabilityDiscounts</vt:lpstr>
      <vt:lpstr>SBL_AffordabilityAdjustment</vt:lpstr>
      <vt:lpstr>SBL_BorrowerPriority</vt:lpstr>
      <vt:lpstr>SBL_BorrowerSections</vt:lpstr>
      <vt:lpstr>SBL_BuildingType</vt:lpstr>
      <vt:lpstr>SBL_CensusTractNmbr</vt:lpstr>
      <vt:lpstr>SBL_DatePriced</vt:lpstr>
      <vt:lpstr>SBL_DealPurpose</vt:lpstr>
      <vt:lpstr>SBL_DelegatedLevel</vt:lpstr>
      <vt:lpstr>SBL_EstCapRate</vt:lpstr>
      <vt:lpstr>SBL_FannieNOI</vt:lpstr>
      <vt:lpstr>SBL_FannieOptions</vt:lpstr>
      <vt:lpstr>SBL_FannieOptionsToView</vt:lpstr>
      <vt:lpstr>SBL_FRE_RegionalPricingGridRegionCode</vt:lpstr>
      <vt:lpstr>SBL_FRE_RegionalPricingGridTimestamp</vt:lpstr>
      <vt:lpstr>SBL_FreddieNOI</vt:lpstr>
      <vt:lpstr>SBL_FreddieOptions</vt:lpstr>
      <vt:lpstr>SBL_FreddieOptionsToView</vt:lpstr>
      <vt:lpstr>SBL_IsSelectedMarkers</vt:lpstr>
      <vt:lpstr>SBL_LatitudeLongitude</vt:lpstr>
      <vt:lpstr>SBL_LoanAmounts_Calcd</vt:lpstr>
      <vt:lpstr>SBL_LoanAmounts_ManualEntry</vt:lpstr>
      <vt:lpstr>SBL_LoanAmounts_Requested</vt:lpstr>
      <vt:lpstr>SBL_LoanAmounts_UnavailableAdjustment</vt:lpstr>
      <vt:lpstr>SBL_LoanAmounts_WarnIfDifferent</vt:lpstr>
      <vt:lpstr>SBL_LoanOptionNames</vt:lpstr>
      <vt:lpstr>SBL_MSA_Type</vt:lpstr>
      <vt:lpstr>SBL_PremiumBuyup</vt:lpstr>
      <vt:lpstr>SBL_PricingTbl_FNM_GS_6MM_Tier2</vt:lpstr>
      <vt:lpstr>SBL_PricingTbl_FNM_GS_6MM_Tier3</vt:lpstr>
      <vt:lpstr>SBL_PricingTbl_FNM_GS_6MM_Tier4</vt:lpstr>
      <vt:lpstr>SBL_PricingTbl_FNM_GS_9MM_Tier2</vt:lpstr>
      <vt:lpstr>SBL_PricingTbl_FNM_GS_9MM_Tier3</vt:lpstr>
      <vt:lpstr>SBL_PricingTbl_FNM_GS_9MM_Tier4</vt:lpstr>
      <vt:lpstr>SBL_PricingTbl_FNM_Term_Tier2</vt:lpstr>
      <vt:lpstr>SBL_PricingTbl_FNM_Term_Tier3</vt:lpstr>
      <vt:lpstr>SBL_PricingTbl_FNM_Term_Tier4</vt:lpstr>
      <vt:lpstr>SBL_PricingTbl_FNM_Tier2</vt:lpstr>
      <vt:lpstr>SBL_PricingTbl_FNM_Tier3</vt:lpstr>
      <vt:lpstr>SBL_PricingTbl_FNM_Tier4</vt:lpstr>
      <vt:lpstr>SBL_PropertyType</vt:lpstr>
      <vt:lpstr>SBL_ProprietaryCapitalOptions</vt:lpstr>
      <vt:lpstr>SBL_ProprietaryCapitalOptionsToView</vt:lpstr>
      <vt:lpstr>SBL_SmallLoanSpreadAdder</vt:lpstr>
      <vt:lpstr>SBL_SmallMktPricingGridImport</vt:lpstr>
      <vt:lpstr>SBL_TopStdMktPricingGridImport</vt:lpstr>
      <vt:lpstr>SBL_TreasuryRatesDate</vt:lpstr>
      <vt:lpstr>SBL_TreasuryRatesTbl</vt:lpstr>
      <vt:lpstr>SBL_YearBuilt</vt:lpstr>
      <vt:lpstr>SBL_ZipCode</vt:lpstr>
      <vt:lpstr>SblQuotes_CityState</vt:lpstr>
      <vt:lpstr>SblQuotes_County</vt:lpstr>
      <vt:lpstr>SblQuotes_FannieMktTier</vt:lpstr>
      <vt:lpstr>SblQuotes_FreddieMktTier</vt:lpstr>
      <vt:lpstr>SblQuotes_IsCashOutRefinance</vt:lpstr>
      <vt:lpstr>SblQuotes_PcntCollegeAndMilitary</vt:lpstr>
      <vt:lpstr>SblQuotes_WDMarketRating</vt:lpstr>
      <vt:lpstr>SecondAmort_IfSupp</vt:lpstr>
      <vt:lpstr>SecondConstant_IfSupp</vt:lpstr>
      <vt:lpstr>SecondCoterminous_IfSupp</vt:lpstr>
      <vt:lpstr>SecondDebtService_IfSupp</vt:lpstr>
      <vt:lpstr>SecondIO_IfSupp</vt:lpstr>
      <vt:lpstr>SecondMaturity_IfSupp</vt:lpstr>
      <vt:lpstr>SecondOrigLoan_IfSupp</vt:lpstr>
      <vt:lpstr>SecondRate_IfSupp</vt:lpstr>
      <vt:lpstr>SecondRemIO_IfSupp</vt:lpstr>
      <vt:lpstr>SecondRemTerm_IfSupp</vt:lpstr>
      <vt:lpstr>SecondTerm_IfSupp</vt:lpstr>
      <vt:lpstr>SecondTier_IfSupp</vt:lpstr>
      <vt:lpstr>SecondUPB_IfSupp</vt:lpstr>
      <vt:lpstr>SecondYMEnd_IfSupp</vt:lpstr>
      <vt:lpstr>SelectedQuoteNmbr</vt:lpstr>
      <vt:lpstr>ServicingFee</vt:lpstr>
      <vt:lpstr>Setup_ViewType</vt:lpstr>
      <vt:lpstr>SOps_AppraisalEGI</vt:lpstr>
      <vt:lpstr>SOps_AppraisalExpenses</vt:lpstr>
      <vt:lpstr>SOps_AppraisalManagementFee</vt:lpstr>
      <vt:lpstr>SOps_AppraisalNCF</vt:lpstr>
      <vt:lpstr>SOps_NCF_Variance</vt:lpstr>
      <vt:lpstr>SOps_UnderwrittenEGI</vt:lpstr>
      <vt:lpstr>SOps_UnderwrittenExpenses</vt:lpstr>
      <vt:lpstr>SOps_UnderwrittenGPR</vt:lpstr>
      <vt:lpstr>SOps_UnderwrittenNCF</vt:lpstr>
      <vt:lpstr>SOps_UnderwrittenNRI</vt:lpstr>
      <vt:lpstr>SOps_UnderwrittenTotalOtherIncome</vt:lpstr>
      <vt:lpstr>SOps_UW_BD_Pcnt</vt:lpstr>
      <vt:lpstr>SOps_UW_Conc_Pcnt</vt:lpstr>
      <vt:lpstr>SOps_UW_Econ_Vac</vt:lpstr>
      <vt:lpstr>SOps_UW_PhyVac_Pcnt</vt:lpstr>
      <vt:lpstr>Sponsor_Name</vt:lpstr>
      <vt:lpstr>Sq_Feet_Commercial</vt:lpstr>
      <vt:lpstr>'SREO 1'!SREO_AmountOfRecourse_AllProperties</vt:lpstr>
      <vt:lpstr>'SREO 2'!SREO_AmountOfRecourse_AllProperties</vt:lpstr>
      <vt:lpstr>'SREO 3'!SREO_AmountOfRecourse_AllProperties</vt:lpstr>
      <vt:lpstr>'SREO 4'!SREO_AmountOfRecourse_AllProperties</vt:lpstr>
      <vt:lpstr>'SREO 5'!SREO_AmountOfRecourse_AllProperties</vt:lpstr>
      <vt:lpstr>'SREO 6'!SREO_AmountOfRecourse_AllProperties</vt:lpstr>
      <vt:lpstr>'SREO 7'!SREO_AmountOfRecourse_AllProperties</vt:lpstr>
      <vt:lpstr>'SREO 8'!SREO_AmountOfRecourse_AllProperties</vt:lpstr>
      <vt:lpstr>'SREO 1'!SREO_AmountOfRecourse_CRO</vt:lpstr>
      <vt:lpstr>'SREO 2'!SREO_AmountOfRecourse_CRO</vt:lpstr>
      <vt:lpstr>'SREO 3'!SREO_AmountOfRecourse_CRO</vt:lpstr>
      <vt:lpstr>'SREO 4'!SREO_AmountOfRecourse_CRO</vt:lpstr>
      <vt:lpstr>'SREO 5'!SREO_AmountOfRecourse_CRO</vt:lpstr>
      <vt:lpstr>'SREO 6'!SREO_AmountOfRecourse_CRO</vt:lpstr>
      <vt:lpstr>'SREO 7'!SREO_AmountOfRecourse_CRO</vt:lpstr>
      <vt:lpstr>'SREO 8'!SREO_AmountOfRecourse_CRO</vt:lpstr>
      <vt:lpstr>'SREO 1'!SREO_AmountOfRecourse_Land</vt:lpstr>
      <vt:lpstr>'SREO 2'!SREO_AmountOfRecourse_Land</vt:lpstr>
      <vt:lpstr>'SREO 3'!SREO_AmountOfRecourse_Land</vt:lpstr>
      <vt:lpstr>'SREO 4'!SREO_AmountOfRecourse_Land</vt:lpstr>
      <vt:lpstr>'SREO 5'!SREO_AmountOfRecourse_Land</vt:lpstr>
      <vt:lpstr>'SREO 6'!SREO_AmountOfRecourse_Land</vt:lpstr>
      <vt:lpstr>'SREO 7'!SREO_AmountOfRecourse_Land</vt:lpstr>
      <vt:lpstr>'SREO 8'!SREO_AmountOfRecourse_Land</vt:lpstr>
      <vt:lpstr>'SREO 1'!SREO_AmountOfRecourse_MF</vt:lpstr>
      <vt:lpstr>'SREO 2'!SREO_AmountOfRecourse_MF</vt:lpstr>
      <vt:lpstr>'SREO 3'!SREO_AmountOfRecourse_MF</vt:lpstr>
      <vt:lpstr>'SREO 4'!SREO_AmountOfRecourse_MF</vt:lpstr>
      <vt:lpstr>'SREO 5'!SREO_AmountOfRecourse_MF</vt:lpstr>
      <vt:lpstr>'SREO 6'!SREO_AmountOfRecourse_MF</vt:lpstr>
      <vt:lpstr>'SREO 7'!SREO_AmountOfRecourse_MF</vt:lpstr>
      <vt:lpstr>'SREO 8'!SREO_AmountOfRecourse_MF</vt:lpstr>
      <vt:lpstr>'SREO 1'!SREO_AmountOfRecourse_UCNS</vt:lpstr>
      <vt:lpstr>'SREO 2'!SREO_AmountOfRecourse_UCNS</vt:lpstr>
      <vt:lpstr>'SREO 3'!SREO_AmountOfRecourse_UCNS</vt:lpstr>
      <vt:lpstr>'SREO 4'!SREO_AmountOfRecourse_UCNS</vt:lpstr>
      <vt:lpstr>'SREO 5'!SREO_AmountOfRecourse_UCNS</vt:lpstr>
      <vt:lpstr>'SREO 6'!SREO_AmountOfRecourse_UCNS</vt:lpstr>
      <vt:lpstr>'SREO 7'!SREO_AmountOfRecourse_UCNS</vt:lpstr>
      <vt:lpstr>'SREO 8'!SREO_AmountOfRecourse_UCNS</vt:lpstr>
      <vt:lpstr>'SREO 1'!SREO_AnnualDebtSvc_AllProperties</vt:lpstr>
      <vt:lpstr>'SREO 2'!SREO_AnnualDebtSvc_AllProperties</vt:lpstr>
      <vt:lpstr>'SREO 3'!SREO_AnnualDebtSvc_AllProperties</vt:lpstr>
      <vt:lpstr>'SREO 4'!SREO_AnnualDebtSvc_AllProperties</vt:lpstr>
      <vt:lpstr>'SREO 5'!SREO_AnnualDebtSvc_AllProperties</vt:lpstr>
      <vt:lpstr>'SREO 6'!SREO_AnnualDebtSvc_AllProperties</vt:lpstr>
      <vt:lpstr>'SREO 7'!SREO_AnnualDebtSvc_AllProperties</vt:lpstr>
      <vt:lpstr>'SREO 8'!SREO_AnnualDebtSvc_AllProperties</vt:lpstr>
      <vt:lpstr>'SREO 1'!SREO_AnnualDebtSvc_CRO</vt:lpstr>
      <vt:lpstr>'SREO 2'!SREO_AnnualDebtSvc_CRO</vt:lpstr>
      <vt:lpstr>'SREO 3'!SREO_AnnualDebtSvc_CRO</vt:lpstr>
      <vt:lpstr>'SREO 4'!SREO_AnnualDebtSvc_CRO</vt:lpstr>
      <vt:lpstr>'SREO 5'!SREO_AnnualDebtSvc_CRO</vt:lpstr>
      <vt:lpstr>'SREO 6'!SREO_AnnualDebtSvc_CRO</vt:lpstr>
      <vt:lpstr>'SREO 7'!SREO_AnnualDebtSvc_CRO</vt:lpstr>
      <vt:lpstr>'SREO 8'!SREO_AnnualDebtSvc_CRO</vt:lpstr>
      <vt:lpstr>'SREO 1'!SREO_AnnualDebtSvc_Land</vt:lpstr>
      <vt:lpstr>'SREO 2'!SREO_AnnualDebtSvc_Land</vt:lpstr>
      <vt:lpstr>'SREO 3'!SREO_AnnualDebtSvc_Land</vt:lpstr>
      <vt:lpstr>'SREO 4'!SREO_AnnualDebtSvc_Land</vt:lpstr>
      <vt:lpstr>'SREO 5'!SREO_AnnualDebtSvc_Land</vt:lpstr>
      <vt:lpstr>'SREO 6'!SREO_AnnualDebtSvc_Land</vt:lpstr>
      <vt:lpstr>'SREO 7'!SREO_AnnualDebtSvc_Land</vt:lpstr>
      <vt:lpstr>'SREO 8'!SREO_AnnualDebtSvc_Land</vt:lpstr>
      <vt:lpstr>'SREO 1'!SREO_AnnualDebtSvc_MF</vt:lpstr>
      <vt:lpstr>'SREO 2'!SREO_AnnualDebtSvc_MF</vt:lpstr>
      <vt:lpstr>'SREO 3'!SREO_AnnualDebtSvc_MF</vt:lpstr>
      <vt:lpstr>'SREO 4'!SREO_AnnualDebtSvc_MF</vt:lpstr>
      <vt:lpstr>'SREO 5'!SREO_AnnualDebtSvc_MF</vt:lpstr>
      <vt:lpstr>'SREO 6'!SREO_AnnualDebtSvc_MF</vt:lpstr>
      <vt:lpstr>'SREO 7'!SREO_AnnualDebtSvc_MF</vt:lpstr>
      <vt:lpstr>'SREO 8'!SREO_AnnualDebtSvc_MF</vt:lpstr>
      <vt:lpstr>'SREO 1'!SREO_AnnualDebtSvc_UCNS</vt:lpstr>
      <vt:lpstr>'SREO 2'!SREO_AnnualDebtSvc_UCNS</vt:lpstr>
      <vt:lpstr>'SREO 3'!SREO_AnnualDebtSvc_UCNS</vt:lpstr>
      <vt:lpstr>'SREO 4'!SREO_AnnualDebtSvc_UCNS</vt:lpstr>
      <vt:lpstr>'SREO 5'!SREO_AnnualDebtSvc_UCNS</vt:lpstr>
      <vt:lpstr>'SREO 6'!SREO_AnnualDebtSvc_UCNS</vt:lpstr>
      <vt:lpstr>'SREO 7'!SREO_AnnualDebtSvc_UCNS</vt:lpstr>
      <vt:lpstr>'SREO 8'!SREO_AnnualDebtSvc_UCNS</vt:lpstr>
      <vt:lpstr>'SREO 1'!SREO_AnnualDebtSvc_WD</vt:lpstr>
      <vt:lpstr>'SREO 2'!SREO_AnnualDebtSvc_WD</vt:lpstr>
      <vt:lpstr>'SREO 3'!SREO_AnnualDebtSvc_WD</vt:lpstr>
      <vt:lpstr>'SREO 4'!SREO_AnnualDebtSvc_WD</vt:lpstr>
      <vt:lpstr>'SREO 5'!SREO_AnnualDebtSvc_WD</vt:lpstr>
      <vt:lpstr>'SREO 6'!SREO_AnnualDebtSvc_WD</vt:lpstr>
      <vt:lpstr>'SREO 7'!SREO_AnnualDebtSvc_WD</vt:lpstr>
      <vt:lpstr>'SREO 8'!SREO_AnnualDebtSvc_WD</vt:lpstr>
      <vt:lpstr>'SREO 1'!SREO_AsOfDate</vt:lpstr>
      <vt:lpstr>'SREO 2'!SREO_AsOfDate</vt:lpstr>
      <vt:lpstr>'SREO 3'!SREO_AsOfDate</vt:lpstr>
      <vt:lpstr>'SREO 4'!SREO_AsOfDate</vt:lpstr>
      <vt:lpstr>'SREO 5'!SREO_AsOfDate</vt:lpstr>
      <vt:lpstr>'SREO 6'!SREO_AsOfDate</vt:lpstr>
      <vt:lpstr>'SREO 7'!SREO_AsOfDate</vt:lpstr>
      <vt:lpstr>'SREO 8'!SREO_AsOfDate</vt:lpstr>
      <vt:lpstr>'SREO 1'!SREO_CapRate_LenderVal_CRO</vt:lpstr>
      <vt:lpstr>'SREO 2'!SREO_CapRate_LenderVal_CRO</vt:lpstr>
      <vt:lpstr>'SREO 3'!SREO_CapRate_LenderVal_CRO</vt:lpstr>
      <vt:lpstr>'SREO 4'!SREO_CapRate_LenderVal_CRO</vt:lpstr>
      <vt:lpstr>'SREO 5'!SREO_CapRate_LenderVal_CRO</vt:lpstr>
      <vt:lpstr>'SREO 6'!SREO_CapRate_LenderVal_CRO</vt:lpstr>
      <vt:lpstr>'SREO 7'!SREO_CapRate_LenderVal_CRO</vt:lpstr>
      <vt:lpstr>'SREO 8'!SREO_CapRate_LenderVal_CRO</vt:lpstr>
      <vt:lpstr>'SREO 1'!SREO_CapRate_LenderVal_Land</vt:lpstr>
      <vt:lpstr>'SREO 2'!SREO_CapRate_LenderVal_Land</vt:lpstr>
      <vt:lpstr>'SREO 3'!SREO_CapRate_LenderVal_Land</vt:lpstr>
      <vt:lpstr>'SREO 4'!SREO_CapRate_LenderVal_Land</vt:lpstr>
      <vt:lpstr>'SREO 5'!SREO_CapRate_LenderVal_Land</vt:lpstr>
      <vt:lpstr>'SREO 6'!SREO_CapRate_LenderVal_Land</vt:lpstr>
      <vt:lpstr>'SREO 7'!SREO_CapRate_LenderVal_Land</vt:lpstr>
      <vt:lpstr>'SREO 8'!SREO_CapRate_LenderVal_Land</vt:lpstr>
      <vt:lpstr>'SREO 1'!SREO_CapRate_LenderVal_Multifamily</vt:lpstr>
      <vt:lpstr>'SREO 2'!SREO_CapRate_LenderVal_Multifamily</vt:lpstr>
      <vt:lpstr>'SREO 3'!SREO_CapRate_LenderVal_Multifamily</vt:lpstr>
      <vt:lpstr>'SREO 4'!SREO_CapRate_LenderVal_Multifamily</vt:lpstr>
      <vt:lpstr>'SREO 5'!SREO_CapRate_LenderVal_Multifamily</vt:lpstr>
      <vt:lpstr>'SREO 6'!SREO_CapRate_LenderVal_Multifamily</vt:lpstr>
      <vt:lpstr>'SREO 7'!SREO_CapRate_LenderVal_Multifamily</vt:lpstr>
      <vt:lpstr>'SREO 8'!SREO_CapRate_LenderVal_Multifamily</vt:lpstr>
      <vt:lpstr>'SREO 1'!SREO_CapRate_LenderVal_UCNS</vt:lpstr>
      <vt:lpstr>'SREO 2'!SREO_CapRate_LenderVal_UCNS</vt:lpstr>
      <vt:lpstr>'SREO 3'!SREO_CapRate_LenderVal_UCNS</vt:lpstr>
      <vt:lpstr>'SREO 4'!SREO_CapRate_LenderVal_UCNS</vt:lpstr>
      <vt:lpstr>'SREO 5'!SREO_CapRate_LenderVal_UCNS</vt:lpstr>
      <vt:lpstr>'SREO 6'!SREO_CapRate_LenderVal_UCNS</vt:lpstr>
      <vt:lpstr>'SREO 7'!SREO_CapRate_LenderVal_UCNS</vt:lpstr>
      <vt:lpstr>'SREO 8'!SREO_CapRate_LenderVal_UCNS</vt:lpstr>
      <vt:lpstr>'SREO 1'!SREO_CapRate_StressedInterestRate</vt:lpstr>
      <vt:lpstr>'SREO 2'!SREO_CapRate_StressedInterestRate</vt:lpstr>
      <vt:lpstr>'SREO 3'!SREO_CapRate_StressedInterestRate</vt:lpstr>
      <vt:lpstr>'SREO 4'!SREO_CapRate_StressedInterestRate</vt:lpstr>
      <vt:lpstr>'SREO 5'!SREO_CapRate_StressedInterestRate</vt:lpstr>
      <vt:lpstr>'SREO 6'!SREO_CapRate_StressedInterestRate</vt:lpstr>
      <vt:lpstr>'SREO 7'!SREO_CapRate_StressedInterestRate</vt:lpstr>
      <vt:lpstr>'SREO 8'!SREO_CapRate_StressedInterestRate</vt:lpstr>
      <vt:lpstr>'SREO 1'!SREO_Col_Address</vt:lpstr>
      <vt:lpstr>'SREO 2'!SREO_Col_Address</vt:lpstr>
      <vt:lpstr>'SREO 3'!SREO_Col_Address</vt:lpstr>
      <vt:lpstr>'SREO 4'!SREO_Col_Address</vt:lpstr>
      <vt:lpstr>'SREO 5'!SREO_Col_Address</vt:lpstr>
      <vt:lpstr>'SREO 6'!SREO_Col_Address</vt:lpstr>
      <vt:lpstr>'SREO 7'!SREO_Col_Address</vt:lpstr>
      <vt:lpstr>'SREO 8'!SREO_Col_Address</vt:lpstr>
      <vt:lpstr>'SREO 1'!SREO_Col_AmountOfRecourse</vt:lpstr>
      <vt:lpstr>'SREO 2'!SREO_Col_AmountOfRecourse</vt:lpstr>
      <vt:lpstr>'SREO 3'!SREO_Col_AmountOfRecourse</vt:lpstr>
      <vt:lpstr>'SREO 4'!SREO_Col_AmountOfRecourse</vt:lpstr>
      <vt:lpstr>'SREO 5'!SREO_Col_AmountOfRecourse</vt:lpstr>
      <vt:lpstr>'SREO 6'!SREO_Col_AmountOfRecourse</vt:lpstr>
      <vt:lpstr>'SREO 7'!SREO_Col_AmountOfRecourse</vt:lpstr>
      <vt:lpstr>'SREO 8'!SREO_Col_AmountOfRecourse</vt:lpstr>
      <vt:lpstr>'SREO 1'!SREO_Col_AnnualDebtSvc</vt:lpstr>
      <vt:lpstr>'SREO 2'!SREO_Col_AnnualDebtSvc</vt:lpstr>
      <vt:lpstr>'SREO 3'!SREO_Col_AnnualDebtSvc</vt:lpstr>
      <vt:lpstr>'SREO 4'!SREO_Col_AnnualDebtSvc</vt:lpstr>
      <vt:lpstr>'SREO 5'!SREO_Col_AnnualDebtSvc</vt:lpstr>
      <vt:lpstr>'SREO 6'!SREO_Col_AnnualDebtSvc</vt:lpstr>
      <vt:lpstr>'SREO 7'!SREO_Col_AnnualDebtSvc</vt:lpstr>
      <vt:lpstr>'SREO 8'!SREO_Col_AnnualDebtSvc</vt:lpstr>
      <vt:lpstr>'SREO 1'!SREO_Col_AssetType</vt:lpstr>
      <vt:lpstr>'SREO 2'!SREO_Col_AssetType</vt:lpstr>
      <vt:lpstr>'SREO 3'!SREO_Col_AssetType</vt:lpstr>
      <vt:lpstr>'SREO 4'!SREO_Col_AssetType</vt:lpstr>
      <vt:lpstr>'SREO 5'!SREO_Col_AssetType</vt:lpstr>
      <vt:lpstr>'SREO 6'!SREO_Col_AssetType</vt:lpstr>
      <vt:lpstr>'SREO 7'!SREO_Col_AssetType</vt:lpstr>
      <vt:lpstr>'SREO 8'!SREO_Col_AssetType</vt:lpstr>
      <vt:lpstr>'SREO 1'!SREO_Col_City</vt:lpstr>
      <vt:lpstr>'SREO 2'!SREO_Col_City</vt:lpstr>
      <vt:lpstr>'SREO 3'!SREO_Col_City</vt:lpstr>
      <vt:lpstr>'SREO 4'!SREO_Col_City</vt:lpstr>
      <vt:lpstr>'SREO 5'!SREO_Col_City</vt:lpstr>
      <vt:lpstr>'SREO 6'!SREO_Col_City</vt:lpstr>
      <vt:lpstr>'SREO 7'!SREO_Col_City</vt:lpstr>
      <vt:lpstr>'SREO 8'!SREO_Col_City</vt:lpstr>
      <vt:lpstr>'SREO 1'!SREO_Col_DebtSvcAtStressedInterestRate</vt:lpstr>
      <vt:lpstr>'SREO 2'!SREO_Col_DebtSvcAtStressedInterestRate</vt:lpstr>
      <vt:lpstr>'SREO 3'!SREO_Col_DebtSvcAtStressedInterestRate</vt:lpstr>
      <vt:lpstr>'SREO 4'!SREO_Col_DebtSvcAtStressedInterestRate</vt:lpstr>
      <vt:lpstr>'SREO 5'!SREO_Col_DebtSvcAtStressedInterestRate</vt:lpstr>
      <vt:lpstr>'SREO 6'!SREO_Col_DebtSvcAtStressedInterestRate</vt:lpstr>
      <vt:lpstr>'SREO 7'!SREO_Col_DebtSvcAtStressedInterestRate</vt:lpstr>
      <vt:lpstr>'SREO 8'!SREO_Col_DebtSvcAtStressedInterestRate</vt:lpstr>
      <vt:lpstr>'SREO 1'!SREO_Col_FNM_or_FRE</vt:lpstr>
      <vt:lpstr>'SREO 2'!SREO_Col_FNM_or_FRE</vt:lpstr>
      <vt:lpstr>'SREO 3'!SREO_Col_FNM_or_FRE</vt:lpstr>
      <vt:lpstr>'SREO 4'!SREO_Col_FNM_or_FRE</vt:lpstr>
      <vt:lpstr>'SREO 5'!SREO_Col_FNM_or_FRE</vt:lpstr>
      <vt:lpstr>'SREO 6'!SREO_Col_FNM_or_FRE</vt:lpstr>
      <vt:lpstr>'SREO 7'!SREO_Col_FNM_or_FRE</vt:lpstr>
      <vt:lpstr>'SREO 8'!SREO_Col_FNM_or_FRE</vt:lpstr>
      <vt:lpstr>'SREO 1'!SREO_Col_ForbearanceRequested</vt:lpstr>
      <vt:lpstr>'SREO 2'!SREO_Col_ForbearanceRequested</vt:lpstr>
      <vt:lpstr>'SREO 3'!SREO_Col_ForbearanceRequested</vt:lpstr>
      <vt:lpstr>'SREO 4'!SREO_Col_ForbearanceRequested</vt:lpstr>
      <vt:lpstr>'SREO 5'!SREO_Col_ForbearanceRequested</vt:lpstr>
      <vt:lpstr>'SREO 6'!SREO_Col_ForbearanceRequested</vt:lpstr>
      <vt:lpstr>'SREO 7'!SREO_Col_ForbearanceRequested</vt:lpstr>
      <vt:lpstr>'SREO 8'!SREO_Col_ForbearanceRequested</vt:lpstr>
      <vt:lpstr>'SREO 1'!SREO_Col_ImpliedCapRate</vt:lpstr>
      <vt:lpstr>'SREO 2'!SREO_Col_ImpliedCapRate</vt:lpstr>
      <vt:lpstr>'SREO 3'!SREO_Col_ImpliedCapRate</vt:lpstr>
      <vt:lpstr>'SREO 4'!SREO_Col_ImpliedCapRate</vt:lpstr>
      <vt:lpstr>'SREO 5'!SREO_Col_ImpliedCapRate</vt:lpstr>
      <vt:lpstr>'SREO 6'!SREO_Col_ImpliedCapRate</vt:lpstr>
      <vt:lpstr>'SREO 7'!SREO_Col_ImpliedCapRate</vt:lpstr>
      <vt:lpstr>'SREO 8'!SREO_Col_ImpliedCapRate</vt:lpstr>
      <vt:lpstr>'SREO 1'!SREO_Col_InterestRate1st</vt:lpstr>
      <vt:lpstr>'SREO 2'!SREO_Col_InterestRate1st</vt:lpstr>
      <vt:lpstr>'SREO 3'!SREO_Col_InterestRate1st</vt:lpstr>
      <vt:lpstr>'SREO 4'!SREO_Col_InterestRate1st</vt:lpstr>
      <vt:lpstr>'SREO 5'!SREO_Col_InterestRate1st</vt:lpstr>
      <vt:lpstr>'SREO 6'!SREO_Col_InterestRate1st</vt:lpstr>
      <vt:lpstr>'SREO 7'!SREO_Col_InterestRate1st</vt:lpstr>
      <vt:lpstr>'SREO 8'!SREO_Col_InterestRate1st</vt:lpstr>
      <vt:lpstr>'SREO 1'!SREO_Col_InterestRate2nd</vt:lpstr>
      <vt:lpstr>'SREO 2'!SREO_Col_InterestRate2nd</vt:lpstr>
      <vt:lpstr>'SREO 3'!SREO_Col_InterestRate2nd</vt:lpstr>
      <vt:lpstr>'SREO 4'!SREO_Col_InterestRate2nd</vt:lpstr>
      <vt:lpstr>'SREO 5'!SREO_Col_InterestRate2nd</vt:lpstr>
      <vt:lpstr>'SREO 6'!SREO_Col_InterestRate2nd</vt:lpstr>
      <vt:lpstr>'SREO 7'!SREO_Col_InterestRate2nd</vt:lpstr>
      <vt:lpstr>'SREO 8'!SREO_Col_InterestRate2nd</vt:lpstr>
      <vt:lpstr>'SREO 1'!SREO_Col_IO_Or_AmortDebtSvc</vt:lpstr>
      <vt:lpstr>'SREO 2'!SREO_Col_IO_Or_AmortDebtSvc</vt:lpstr>
      <vt:lpstr>'SREO 3'!SREO_Col_IO_Or_AmortDebtSvc</vt:lpstr>
      <vt:lpstr>'SREO 4'!SREO_Col_IO_Or_AmortDebtSvc</vt:lpstr>
      <vt:lpstr>'SREO 5'!SREO_Col_IO_Or_AmortDebtSvc</vt:lpstr>
      <vt:lpstr>'SREO 6'!SREO_Col_IO_Or_AmortDebtSvc</vt:lpstr>
      <vt:lpstr>'SREO 7'!SREO_Col_IO_Or_AmortDebtSvc</vt:lpstr>
      <vt:lpstr>'SREO 8'!SREO_Col_IO_Or_AmortDebtSvc</vt:lpstr>
      <vt:lpstr>'SREO 1'!SREO_Col_Lenders</vt:lpstr>
      <vt:lpstr>'SREO 2'!SREO_Col_Lenders</vt:lpstr>
      <vt:lpstr>'SREO 3'!SREO_Col_Lenders</vt:lpstr>
      <vt:lpstr>'SREO 4'!SREO_Col_Lenders</vt:lpstr>
      <vt:lpstr>'SREO 5'!SREO_Col_Lenders</vt:lpstr>
      <vt:lpstr>'SREO 6'!SREO_Col_Lenders</vt:lpstr>
      <vt:lpstr>'SREO 7'!SREO_Col_Lenders</vt:lpstr>
      <vt:lpstr>'SREO 8'!SREO_Col_Lenders</vt:lpstr>
      <vt:lpstr>'SREO 1'!SREO_Col_LoanType</vt:lpstr>
      <vt:lpstr>'SREO 2'!SREO_Col_LoanType</vt:lpstr>
      <vt:lpstr>'SREO 3'!SREO_Col_LoanType</vt:lpstr>
      <vt:lpstr>'SREO 4'!SREO_Col_LoanType</vt:lpstr>
      <vt:lpstr>'SREO 5'!SREO_Col_LoanType</vt:lpstr>
      <vt:lpstr>'SREO 6'!SREO_Col_LoanType</vt:lpstr>
      <vt:lpstr>'SREO 7'!SREO_Col_LoanType</vt:lpstr>
      <vt:lpstr>'SREO 8'!SREO_Col_LoanType</vt:lpstr>
      <vt:lpstr>'SREO 1'!SREO_Col_LTV</vt:lpstr>
      <vt:lpstr>'SREO 2'!SREO_Col_LTV</vt:lpstr>
      <vt:lpstr>'SREO 3'!SREO_Col_LTV</vt:lpstr>
      <vt:lpstr>'SREO 4'!SREO_Col_LTV</vt:lpstr>
      <vt:lpstr>'SREO 5'!SREO_Col_LTV</vt:lpstr>
      <vt:lpstr>'SREO 6'!SREO_Col_LTV</vt:lpstr>
      <vt:lpstr>'SREO 7'!SREO_Col_LTV</vt:lpstr>
      <vt:lpstr>'SREO 8'!SREO_Col_LTV</vt:lpstr>
      <vt:lpstr>'SREO 1'!SREO_Col_MarketValue</vt:lpstr>
      <vt:lpstr>'SREO 2'!SREO_Col_MarketValue</vt:lpstr>
      <vt:lpstr>'SREO 3'!SREO_Col_MarketValue</vt:lpstr>
      <vt:lpstr>'SREO 4'!SREO_Col_MarketValue</vt:lpstr>
      <vt:lpstr>'SREO 5'!SREO_Col_MarketValue</vt:lpstr>
      <vt:lpstr>'SREO 6'!SREO_Col_MarketValue</vt:lpstr>
      <vt:lpstr>'SREO 7'!SREO_Col_MarketValue</vt:lpstr>
      <vt:lpstr>'SREO 8'!SREO_Col_MarketValue</vt:lpstr>
      <vt:lpstr>'SREO 1'!SREO_Col_MaturityDates</vt:lpstr>
      <vt:lpstr>'SREO 2'!SREO_Col_MaturityDates</vt:lpstr>
      <vt:lpstr>'SREO 3'!SREO_Col_MaturityDates</vt:lpstr>
      <vt:lpstr>'SREO 4'!SREO_Col_MaturityDates</vt:lpstr>
      <vt:lpstr>'SREO 5'!SREO_Col_MaturityDates</vt:lpstr>
      <vt:lpstr>'SREO 6'!SREO_Col_MaturityDates</vt:lpstr>
      <vt:lpstr>'SREO 7'!SREO_Col_MaturityDates</vt:lpstr>
      <vt:lpstr>'SREO 8'!SREO_Col_MaturityDates</vt:lpstr>
      <vt:lpstr>'SREO 1'!SREO_Col_MktValPerStressedCapRate</vt:lpstr>
      <vt:lpstr>'SREO 2'!SREO_Col_MktValPerStressedCapRate</vt:lpstr>
      <vt:lpstr>'SREO 3'!SREO_Col_MktValPerStressedCapRate</vt:lpstr>
      <vt:lpstr>'SREO 4'!SREO_Col_MktValPerStressedCapRate</vt:lpstr>
      <vt:lpstr>'SREO 5'!SREO_Col_MktValPerStressedCapRate</vt:lpstr>
      <vt:lpstr>'SREO 6'!SREO_Col_MktValPerStressedCapRate</vt:lpstr>
      <vt:lpstr>'SREO 7'!SREO_Col_MktValPerStressedCapRate</vt:lpstr>
      <vt:lpstr>'SREO 8'!SREO_Col_MktValPerStressedCapRate</vt:lpstr>
      <vt:lpstr>'SREO 1'!SREO_Col_NCF_BeforeDebtSvc</vt:lpstr>
      <vt:lpstr>'SREO 2'!SREO_Col_NCF_BeforeDebtSvc</vt:lpstr>
      <vt:lpstr>'SREO 3'!SREO_Col_NCF_BeforeDebtSvc</vt:lpstr>
      <vt:lpstr>'SREO 4'!SREO_Col_NCF_BeforeDebtSvc</vt:lpstr>
      <vt:lpstr>'SREO 5'!SREO_Col_NCF_BeforeDebtSvc</vt:lpstr>
      <vt:lpstr>'SREO 6'!SREO_Col_NCF_BeforeDebtSvc</vt:lpstr>
      <vt:lpstr>'SREO 7'!SREO_Col_NCF_BeforeDebtSvc</vt:lpstr>
      <vt:lpstr>'SREO 8'!SREO_Col_NCF_BeforeDebtSvc</vt:lpstr>
      <vt:lpstr>'SREO 1'!SREO_Col_OutstandingLoanAmts</vt:lpstr>
      <vt:lpstr>'SREO 2'!SREO_Col_OutstandingLoanAmts</vt:lpstr>
      <vt:lpstr>'SREO 3'!SREO_Col_OutstandingLoanAmts</vt:lpstr>
      <vt:lpstr>'SREO 4'!SREO_Col_OutstandingLoanAmts</vt:lpstr>
      <vt:lpstr>'SREO 5'!SREO_Col_OutstandingLoanAmts</vt:lpstr>
      <vt:lpstr>'SREO 6'!SREO_Col_OutstandingLoanAmts</vt:lpstr>
      <vt:lpstr>'SREO 7'!SREO_Col_OutstandingLoanAmts</vt:lpstr>
      <vt:lpstr>'SREO 8'!SREO_Col_OutstandingLoanAmts</vt:lpstr>
      <vt:lpstr>'SREO 1'!SREO_Col_OwnedSince</vt:lpstr>
      <vt:lpstr>'SREO 2'!SREO_Col_OwnedSince</vt:lpstr>
      <vt:lpstr>'SREO 3'!SREO_Col_OwnedSince</vt:lpstr>
      <vt:lpstr>'SREO 4'!SREO_Col_OwnedSince</vt:lpstr>
      <vt:lpstr>'SREO 5'!SREO_Col_OwnedSince</vt:lpstr>
      <vt:lpstr>'SREO 6'!SREO_Col_OwnedSince</vt:lpstr>
      <vt:lpstr>'SREO 7'!SREO_Col_OwnedSince</vt:lpstr>
      <vt:lpstr>'SREO 8'!SREO_Col_OwnedSince</vt:lpstr>
      <vt:lpstr>'SREO 1'!SREO_Col_OwnershipInterest</vt:lpstr>
      <vt:lpstr>'SREO 2'!SREO_Col_OwnershipInterest</vt:lpstr>
      <vt:lpstr>'SREO 3'!SREO_Col_OwnershipInterest</vt:lpstr>
      <vt:lpstr>'SREO 4'!SREO_Col_OwnershipInterest</vt:lpstr>
      <vt:lpstr>'SREO 5'!SREO_Col_OwnershipInterest</vt:lpstr>
      <vt:lpstr>'SREO 6'!SREO_Col_OwnershipInterest</vt:lpstr>
      <vt:lpstr>'SREO 7'!SREO_Col_OwnershipInterest</vt:lpstr>
      <vt:lpstr>'SREO 8'!SREO_Col_OwnershipInterest</vt:lpstr>
      <vt:lpstr>'SREO 1'!SREO_Col_OwnershipRole</vt:lpstr>
      <vt:lpstr>'SREO 2'!SREO_Col_OwnershipRole</vt:lpstr>
      <vt:lpstr>'SREO 3'!SREO_Col_OwnershipRole</vt:lpstr>
      <vt:lpstr>'SREO 4'!SREO_Col_OwnershipRole</vt:lpstr>
      <vt:lpstr>'SREO 5'!SREO_Col_OwnershipRole</vt:lpstr>
      <vt:lpstr>'SREO 6'!SREO_Col_OwnershipRole</vt:lpstr>
      <vt:lpstr>'SREO 7'!SREO_Col_OwnershipRole</vt:lpstr>
      <vt:lpstr>'SREO 8'!SREO_Col_OwnershipRole</vt:lpstr>
      <vt:lpstr>'SREO 1'!SREO_Col_PcntOccupancy</vt:lpstr>
      <vt:lpstr>'SREO 2'!SREO_Col_PcntOccupancy</vt:lpstr>
      <vt:lpstr>'SREO 3'!SREO_Col_PcntOccupancy</vt:lpstr>
      <vt:lpstr>'SREO 4'!SREO_Col_PcntOccupancy</vt:lpstr>
      <vt:lpstr>'SREO 5'!SREO_Col_PcntOccupancy</vt:lpstr>
      <vt:lpstr>'SREO 6'!SREO_Col_PcntOccupancy</vt:lpstr>
      <vt:lpstr>'SREO 7'!SREO_Col_PcntOccupancy</vt:lpstr>
      <vt:lpstr>'SREO 8'!SREO_Col_PcntOccupancy</vt:lpstr>
      <vt:lpstr>'SREO 1'!SREO_Col_PropertyName</vt:lpstr>
      <vt:lpstr>'SREO 2'!SREO_Col_PropertyName</vt:lpstr>
      <vt:lpstr>'SREO 3'!SREO_Col_PropertyName</vt:lpstr>
      <vt:lpstr>'SREO 4'!SREO_Col_PropertyName</vt:lpstr>
      <vt:lpstr>'SREO 5'!SREO_Col_PropertyName</vt:lpstr>
      <vt:lpstr>'SREO 6'!SREO_Col_PropertyName</vt:lpstr>
      <vt:lpstr>'SREO 7'!SREO_Col_PropertyName</vt:lpstr>
      <vt:lpstr>'SREO 8'!SREO_Col_PropertyName</vt:lpstr>
      <vt:lpstr>'SREO 1'!SREO_Col_State</vt:lpstr>
      <vt:lpstr>'SREO 2'!SREO_Col_State</vt:lpstr>
      <vt:lpstr>'SREO 3'!SREO_Col_State</vt:lpstr>
      <vt:lpstr>'SREO 4'!SREO_Col_State</vt:lpstr>
      <vt:lpstr>'SREO 5'!SREO_Col_State</vt:lpstr>
      <vt:lpstr>'SREO 6'!SREO_Col_State</vt:lpstr>
      <vt:lpstr>'SREO 7'!SREO_Col_State</vt:lpstr>
      <vt:lpstr>'SREO 8'!SREO_Col_State</vt:lpstr>
      <vt:lpstr>'SREO 1'!SREO_Col_Status</vt:lpstr>
      <vt:lpstr>'SREO 2'!SREO_Col_Status</vt:lpstr>
      <vt:lpstr>'SREO 3'!SREO_Col_Status</vt:lpstr>
      <vt:lpstr>'SREO 4'!SREO_Col_Status</vt:lpstr>
      <vt:lpstr>'SREO 5'!SREO_Col_Status</vt:lpstr>
      <vt:lpstr>'SREO 6'!SREO_Col_Status</vt:lpstr>
      <vt:lpstr>'SREO 7'!SREO_Col_Status</vt:lpstr>
      <vt:lpstr>'SREO 8'!SREO_Col_Status</vt:lpstr>
      <vt:lpstr>'SREO 1'!SREO_Col_StressedLTV</vt:lpstr>
      <vt:lpstr>'SREO 2'!SREO_Col_StressedLTV</vt:lpstr>
      <vt:lpstr>'SREO 3'!SREO_Col_StressedLTV</vt:lpstr>
      <vt:lpstr>'SREO 4'!SREO_Col_StressedLTV</vt:lpstr>
      <vt:lpstr>'SREO 5'!SREO_Col_StressedLTV</vt:lpstr>
      <vt:lpstr>'SREO 6'!SREO_Col_StressedLTV</vt:lpstr>
      <vt:lpstr>'SREO 7'!SREO_Col_StressedLTV</vt:lpstr>
      <vt:lpstr>'SREO 8'!SREO_Col_StressedLTV</vt:lpstr>
      <vt:lpstr>'SREO 1'!SREO_Col_SupplementalLoanAmts</vt:lpstr>
      <vt:lpstr>'SREO 2'!SREO_Col_SupplementalLoanAmts</vt:lpstr>
      <vt:lpstr>'SREO 3'!SREO_Col_SupplementalLoanAmts</vt:lpstr>
      <vt:lpstr>'SREO 4'!SREO_Col_SupplementalLoanAmts</vt:lpstr>
      <vt:lpstr>'SREO 5'!SREO_Col_SupplementalLoanAmts</vt:lpstr>
      <vt:lpstr>'SREO 6'!SREO_Col_SupplementalLoanAmts</vt:lpstr>
      <vt:lpstr>'SREO 7'!SREO_Col_SupplementalLoanAmts</vt:lpstr>
      <vt:lpstr>'SREO 8'!SREO_Col_SupplementalLoanAmts</vt:lpstr>
      <vt:lpstr>'SREO 1'!SREO_Col_TotalCF</vt:lpstr>
      <vt:lpstr>'SREO 2'!SREO_Col_TotalCF</vt:lpstr>
      <vt:lpstr>'SREO 3'!SREO_Col_TotalCF</vt:lpstr>
      <vt:lpstr>'SREO 4'!SREO_Col_TotalCF</vt:lpstr>
      <vt:lpstr>'SREO 5'!SREO_Col_TotalCF</vt:lpstr>
      <vt:lpstr>'SREO 6'!SREO_Col_TotalCF</vt:lpstr>
      <vt:lpstr>'SREO 7'!SREO_Col_TotalCF</vt:lpstr>
      <vt:lpstr>'SREO 8'!SREO_Col_TotalCF</vt:lpstr>
      <vt:lpstr>'SREO 1'!SREO_Col_TotalDCR</vt:lpstr>
      <vt:lpstr>'SREO 2'!SREO_Col_TotalDCR</vt:lpstr>
      <vt:lpstr>'SREO 3'!SREO_Col_TotalDCR</vt:lpstr>
      <vt:lpstr>'SREO 4'!SREO_Col_TotalDCR</vt:lpstr>
      <vt:lpstr>'SREO 5'!SREO_Col_TotalDCR</vt:lpstr>
      <vt:lpstr>'SREO 6'!SREO_Col_TotalDCR</vt:lpstr>
      <vt:lpstr>'SREO 7'!SREO_Col_TotalDCR</vt:lpstr>
      <vt:lpstr>'SREO 8'!SREO_Col_TotalDCR</vt:lpstr>
      <vt:lpstr>'SREO 1'!SREO_Col_TotalEquity</vt:lpstr>
      <vt:lpstr>'SREO 2'!SREO_Col_TotalEquity</vt:lpstr>
      <vt:lpstr>'SREO 3'!SREO_Col_TotalEquity</vt:lpstr>
      <vt:lpstr>'SREO 4'!SREO_Col_TotalEquity</vt:lpstr>
      <vt:lpstr>'SREO 5'!SREO_Col_TotalEquity</vt:lpstr>
      <vt:lpstr>'SREO 6'!SREO_Col_TotalEquity</vt:lpstr>
      <vt:lpstr>'SREO 7'!SREO_Col_TotalEquity</vt:lpstr>
      <vt:lpstr>'SREO 8'!SREO_Col_TotalEquity</vt:lpstr>
      <vt:lpstr>'SREO 1'!SREO_Col_TotalEquity2</vt:lpstr>
      <vt:lpstr>'SREO 2'!SREO_Col_TotalEquity2</vt:lpstr>
      <vt:lpstr>'SREO 3'!SREO_Col_TotalEquity2</vt:lpstr>
      <vt:lpstr>'SREO 4'!SREO_Col_TotalEquity2</vt:lpstr>
      <vt:lpstr>'SREO 5'!SREO_Col_TotalEquity2</vt:lpstr>
      <vt:lpstr>'SREO 6'!SREO_Col_TotalEquity2</vt:lpstr>
      <vt:lpstr>'SREO 7'!SREO_Col_TotalEquity2</vt:lpstr>
      <vt:lpstr>'SREO 8'!SREO_Col_TotalEquity2</vt:lpstr>
      <vt:lpstr>'SREO 1'!SREO_Col_TotalLoansAmt</vt:lpstr>
      <vt:lpstr>'SREO 2'!SREO_Col_TotalLoansAmt</vt:lpstr>
      <vt:lpstr>'SREO 3'!SREO_Col_TotalLoansAmt</vt:lpstr>
      <vt:lpstr>'SREO 4'!SREO_Col_TotalLoansAmt</vt:lpstr>
      <vt:lpstr>'SREO 5'!SREO_Col_TotalLoansAmt</vt:lpstr>
      <vt:lpstr>'SREO 6'!SREO_Col_TotalLoansAmt</vt:lpstr>
      <vt:lpstr>'SREO 7'!SREO_Col_TotalLoansAmt</vt:lpstr>
      <vt:lpstr>'SREO 8'!SREO_Col_TotalLoansAmt</vt:lpstr>
      <vt:lpstr>'SREO 1'!SREO_Col_TotalStressedDSCR</vt:lpstr>
      <vt:lpstr>'SREO 2'!SREO_Col_TotalStressedDSCR</vt:lpstr>
      <vt:lpstr>'SREO 3'!SREO_Col_TotalStressedDSCR</vt:lpstr>
      <vt:lpstr>'SREO 4'!SREO_Col_TotalStressedDSCR</vt:lpstr>
      <vt:lpstr>'SREO 5'!SREO_Col_TotalStressedDSCR</vt:lpstr>
      <vt:lpstr>'SREO 6'!SREO_Col_TotalStressedDSCR</vt:lpstr>
      <vt:lpstr>'SREO 7'!SREO_Col_TotalStressedDSCR</vt:lpstr>
      <vt:lpstr>'SREO 8'!SREO_Col_TotalStressedDSCR</vt:lpstr>
      <vt:lpstr>'SREO 1'!SREO_Col_Units</vt:lpstr>
      <vt:lpstr>'SREO 2'!SREO_Col_Units</vt:lpstr>
      <vt:lpstr>'SREO 3'!SREO_Col_Units</vt:lpstr>
      <vt:lpstr>'SREO 4'!SREO_Col_Units</vt:lpstr>
      <vt:lpstr>'SREO 5'!SREO_Col_Units</vt:lpstr>
      <vt:lpstr>'SREO 6'!SREO_Col_Units</vt:lpstr>
      <vt:lpstr>'SREO 7'!SREO_Col_Units</vt:lpstr>
      <vt:lpstr>'SREO 8'!SREO_Col_Units</vt:lpstr>
      <vt:lpstr>'SREO 1'!SREO_Col_ValuePerUnit</vt:lpstr>
      <vt:lpstr>'SREO 2'!SREO_Col_ValuePerUnit</vt:lpstr>
      <vt:lpstr>'SREO 3'!SREO_Col_ValuePerUnit</vt:lpstr>
      <vt:lpstr>'SREO 4'!SREO_Col_ValuePerUnit</vt:lpstr>
      <vt:lpstr>'SREO 5'!SREO_Col_ValuePerUnit</vt:lpstr>
      <vt:lpstr>'SREO 6'!SREO_Col_ValuePerUnit</vt:lpstr>
      <vt:lpstr>'SREO 7'!SREO_Col_ValuePerUnit</vt:lpstr>
      <vt:lpstr>'SREO 8'!SREO_Col_ValuePerUnit</vt:lpstr>
      <vt:lpstr>'SREO 1'!SREO_Col_YearBuilt</vt:lpstr>
      <vt:lpstr>'SREO 2'!SREO_Col_YearBuilt</vt:lpstr>
      <vt:lpstr>'SREO 3'!SREO_Col_YearBuilt</vt:lpstr>
      <vt:lpstr>'SREO 4'!SREO_Col_YearBuilt</vt:lpstr>
      <vt:lpstr>'SREO 5'!SREO_Col_YearBuilt</vt:lpstr>
      <vt:lpstr>'SREO 6'!SREO_Col_YearBuilt</vt:lpstr>
      <vt:lpstr>'SREO 7'!SREO_Col_YearBuilt</vt:lpstr>
      <vt:lpstr>'SREO 8'!SREO_Col_YearBuilt</vt:lpstr>
      <vt:lpstr>'SREO 1'!SREO_DebtSvcAtStressedInterestRate_AllProperties</vt:lpstr>
      <vt:lpstr>'SREO 2'!SREO_DebtSvcAtStressedInterestRate_AllProperties</vt:lpstr>
      <vt:lpstr>'SREO 3'!SREO_DebtSvcAtStressedInterestRate_AllProperties</vt:lpstr>
      <vt:lpstr>'SREO 4'!SREO_DebtSvcAtStressedInterestRate_AllProperties</vt:lpstr>
      <vt:lpstr>'SREO 5'!SREO_DebtSvcAtStressedInterestRate_AllProperties</vt:lpstr>
      <vt:lpstr>'SREO 6'!SREO_DebtSvcAtStressedInterestRate_AllProperties</vt:lpstr>
      <vt:lpstr>'SREO 7'!SREO_DebtSvcAtStressedInterestRate_AllProperties</vt:lpstr>
      <vt:lpstr>'SREO 8'!SREO_DebtSvcAtStressedInterestRate_AllProperties</vt:lpstr>
      <vt:lpstr>'SREO 1'!SREO_DebtSvcAtStressedInterestRate_CRO</vt:lpstr>
      <vt:lpstr>'SREO 2'!SREO_DebtSvcAtStressedInterestRate_CRO</vt:lpstr>
      <vt:lpstr>'SREO 3'!SREO_DebtSvcAtStressedInterestRate_CRO</vt:lpstr>
      <vt:lpstr>'SREO 4'!SREO_DebtSvcAtStressedInterestRate_CRO</vt:lpstr>
      <vt:lpstr>'SREO 5'!SREO_DebtSvcAtStressedInterestRate_CRO</vt:lpstr>
      <vt:lpstr>'SREO 6'!SREO_DebtSvcAtStressedInterestRate_CRO</vt:lpstr>
      <vt:lpstr>'SREO 7'!SREO_DebtSvcAtStressedInterestRate_CRO</vt:lpstr>
      <vt:lpstr>'SREO 8'!SREO_DebtSvcAtStressedInterestRate_CRO</vt:lpstr>
      <vt:lpstr>'SREO 1'!SREO_DebtSvcAtStressedInterestRate_Land</vt:lpstr>
      <vt:lpstr>'SREO 2'!SREO_DebtSvcAtStressedInterestRate_Land</vt:lpstr>
      <vt:lpstr>'SREO 3'!SREO_DebtSvcAtStressedInterestRate_Land</vt:lpstr>
      <vt:lpstr>'SREO 4'!SREO_DebtSvcAtStressedInterestRate_Land</vt:lpstr>
      <vt:lpstr>'SREO 5'!SREO_DebtSvcAtStressedInterestRate_Land</vt:lpstr>
      <vt:lpstr>'SREO 6'!SREO_DebtSvcAtStressedInterestRate_Land</vt:lpstr>
      <vt:lpstr>'SREO 7'!SREO_DebtSvcAtStressedInterestRate_Land</vt:lpstr>
      <vt:lpstr>'SREO 8'!SREO_DebtSvcAtStressedInterestRate_Land</vt:lpstr>
      <vt:lpstr>'SREO 1'!SREO_DebtSvcAtStressedInterestRate_MF</vt:lpstr>
      <vt:lpstr>'SREO 2'!SREO_DebtSvcAtStressedInterestRate_MF</vt:lpstr>
      <vt:lpstr>'SREO 3'!SREO_DebtSvcAtStressedInterestRate_MF</vt:lpstr>
      <vt:lpstr>'SREO 4'!SREO_DebtSvcAtStressedInterestRate_MF</vt:lpstr>
      <vt:lpstr>'SREO 5'!SREO_DebtSvcAtStressedInterestRate_MF</vt:lpstr>
      <vt:lpstr>'SREO 6'!SREO_DebtSvcAtStressedInterestRate_MF</vt:lpstr>
      <vt:lpstr>'SREO 7'!SREO_DebtSvcAtStressedInterestRate_MF</vt:lpstr>
      <vt:lpstr>'SREO 8'!SREO_DebtSvcAtStressedInterestRate_MF</vt:lpstr>
      <vt:lpstr>'SREO 1'!SREO_DebtSvcAtStressedInterestRate_UCNS</vt:lpstr>
      <vt:lpstr>'SREO 2'!SREO_DebtSvcAtStressedInterestRate_UCNS</vt:lpstr>
      <vt:lpstr>'SREO 3'!SREO_DebtSvcAtStressedInterestRate_UCNS</vt:lpstr>
      <vt:lpstr>'SREO 4'!SREO_DebtSvcAtStressedInterestRate_UCNS</vt:lpstr>
      <vt:lpstr>'SREO 5'!SREO_DebtSvcAtStressedInterestRate_UCNS</vt:lpstr>
      <vt:lpstr>'SREO 6'!SREO_DebtSvcAtStressedInterestRate_UCNS</vt:lpstr>
      <vt:lpstr>'SREO 7'!SREO_DebtSvcAtStressedInterestRate_UCNS</vt:lpstr>
      <vt:lpstr>'SREO 8'!SREO_DebtSvcAtStressedInterestRate_UCNS</vt:lpstr>
      <vt:lpstr>'SREO 1'!SREO_EquityDifference</vt:lpstr>
      <vt:lpstr>'SREO 2'!SREO_EquityDifference</vt:lpstr>
      <vt:lpstr>'SREO 3'!SREO_EquityDifference</vt:lpstr>
      <vt:lpstr>'SREO 4'!SREO_EquityDifference</vt:lpstr>
      <vt:lpstr>'SREO 5'!SREO_EquityDifference</vt:lpstr>
      <vt:lpstr>'SREO 6'!SREO_EquityDifference</vt:lpstr>
      <vt:lpstr>'SREO 7'!SREO_EquityDifference</vt:lpstr>
      <vt:lpstr>'SREO 8'!SREO_EquityDifference</vt:lpstr>
      <vt:lpstr>'SREO 1'!SREO_EquityDifferenceAsPcnt</vt:lpstr>
      <vt:lpstr>'SREO 2'!SREO_EquityDifferenceAsPcnt</vt:lpstr>
      <vt:lpstr>'SREO 3'!SREO_EquityDifferenceAsPcnt</vt:lpstr>
      <vt:lpstr>'SREO 4'!SREO_EquityDifferenceAsPcnt</vt:lpstr>
      <vt:lpstr>'SREO 5'!SREO_EquityDifferenceAsPcnt</vt:lpstr>
      <vt:lpstr>'SREO 6'!SREO_EquityDifferenceAsPcnt</vt:lpstr>
      <vt:lpstr>'SREO 7'!SREO_EquityDifferenceAsPcnt</vt:lpstr>
      <vt:lpstr>'SREO 8'!SREO_EquityDifferenceAsPcnt</vt:lpstr>
      <vt:lpstr>'SREO 1'!SREO_EquityReportedInFinancialStatements</vt:lpstr>
      <vt:lpstr>'SREO 2'!SREO_EquityReportedInFinancialStatements</vt:lpstr>
      <vt:lpstr>'SREO 3'!SREO_EquityReportedInFinancialStatements</vt:lpstr>
      <vt:lpstr>'SREO 4'!SREO_EquityReportedInFinancialStatements</vt:lpstr>
      <vt:lpstr>'SREO 5'!SREO_EquityReportedInFinancialStatements</vt:lpstr>
      <vt:lpstr>'SREO 6'!SREO_EquityReportedInFinancialStatements</vt:lpstr>
      <vt:lpstr>'SREO 7'!SREO_EquityReportedInFinancialStatements</vt:lpstr>
      <vt:lpstr>'SREO 8'!SREO_EquityReportedInFinancialStatements</vt:lpstr>
      <vt:lpstr>'SREO 1'!SREO_ImpliedCapRate_AllProperties</vt:lpstr>
      <vt:lpstr>'SREO 2'!SREO_ImpliedCapRate_AllProperties</vt:lpstr>
      <vt:lpstr>'SREO 3'!SREO_ImpliedCapRate_AllProperties</vt:lpstr>
      <vt:lpstr>'SREO 4'!SREO_ImpliedCapRate_AllProperties</vt:lpstr>
      <vt:lpstr>'SREO 5'!SREO_ImpliedCapRate_AllProperties</vt:lpstr>
      <vt:lpstr>'SREO 6'!SREO_ImpliedCapRate_AllProperties</vt:lpstr>
      <vt:lpstr>'SREO 7'!SREO_ImpliedCapRate_AllProperties</vt:lpstr>
      <vt:lpstr>'SREO 8'!SREO_ImpliedCapRate_AllProperties</vt:lpstr>
      <vt:lpstr>'SREO 1'!SREO_ImpliedCapRate_CRO</vt:lpstr>
      <vt:lpstr>'SREO 2'!SREO_ImpliedCapRate_CRO</vt:lpstr>
      <vt:lpstr>'SREO 3'!SREO_ImpliedCapRate_CRO</vt:lpstr>
      <vt:lpstr>'SREO 4'!SREO_ImpliedCapRate_CRO</vt:lpstr>
      <vt:lpstr>'SREO 5'!SREO_ImpliedCapRate_CRO</vt:lpstr>
      <vt:lpstr>'SREO 6'!SREO_ImpliedCapRate_CRO</vt:lpstr>
      <vt:lpstr>'SREO 7'!SREO_ImpliedCapRate_CRO</vt:lpstr>
      <vt:lpstr>'SREO 8'!SREO_ImpliedCapRate_CRO</vt:lpstr>
      <vt:lpstr>'SREO 1'!SREO_ImpliedCapRate_Land</vt:lpstr>
      <vt:lpstr>'SREO 2'!SREO_ImpliedCapRate_Land</vt:lpstr>
      <vt:lpstr>'SREO 3'!SREO_ImpliedCapRate_Land</vt:lpstr>
      <vt:lpstr>'SREO 4'!SREO_ImpliedCapRate_Land</vt:lpstr>
      <vt:lpstr>'SREO 5'!SREO_ImpliedCapRate_Land</vt:lpstr>
      <vt:lpstr>'SREO 6'!SREO_ImpliedCapRate_Land</vt:lpstr>
      <vt:lpstr>'SREO 7'!SREO_ImpliedCapRate_Land</vt:lpstr>
      <vt:lpstr>'SREO 8'!SREO_ImpliedCapRate_Land</vt:lpstr>
      <vt:lpstr>'SREO 1'!SREO_ImpliedCapRate_MF</vt:lpstr>
      <vt:lpstr>'SREO 2'!SREO_ImpliedCapRate_MF</vt:lpstr>
      <vt:lpstr>'SREO 3'!SREO_ImpliedCapRate_MF</vt:lpstr>
      <vt:lpstr>'SREO 4'!SREO_ImpliedCapRate_MF</vt:lpstr>
      <vt:lpstr>'SREO 5'!SREO_ImpliedCapRate_MF</vt:lpstr>
      <vt:lpstr>'SREO 6'!SREO_ImpliedCapRate_MF</vt:lpstr>
      <vt:lpstr>'SREO 7'!SREO_ImpliedCapRate_MF</vt:lpstr>
      <vt:lpstr>'SREO 8'!SREO_ImpliedCapRate_MF</vt:lpstr>
      <vt:lpstr>'SREO 1'!SREO_ImpliedCapRate_UCNS</vt:lpstr>
      <vt:lpstr>'SREO 2'!SREO_ImpliedCapRate_UCNS</vt:lpstr>
      <vt:lpstr>'SREO 3'!SREO_ImpliedCapRate_UCNS</vt:lpstr>
      <vt:lpstr>'SREO 4'!SREO_ImpliedCapRate_UCNS</vt:lpstr>
      <vt:lpstr>'SREO 5'!SREO_ImpliedCapRate_UCNS</vt:lpstr>
      <vt:lpstr>'SREO 6'!SREO_ImpliedCapRate_UCNS</vt:lpstr>
      <vt:lpstr>'SREO 7'!SREO_ImpliedCapRate_UCNS</vt:lpstr>
      <vt:lpstr>'SREO 8'!SREO_ImpliedCapRate_UCNS</vt:lpstr>
      <vt:lpstr>'SREO 1'!SREO_KeyPrincipalName</vt:lpstr>
      <vt:lpstr>'SREO 2'!SREO_KeyPrincipalName</vt:lpstr>
      <vt:lpstr>'SREO 3'!SREO_KeyPrincipalName</vt:lpstr>
      <vt:lpstr>'SREO 4'!SREO_KeyPrincipalName</vt:lpstr>
      <vt:lpstr>'SREO 5'!SREO_KeyPrincipalName</vt:lpstr>
      <vt:lpstr>'SREO 6'!SREO_KeyPrincipalName</vt:lpstr>
      <vt:lpstr>'SREO 7'!SREO_KeyPrincipalName</vt:lpstr>
      <vt:lpstr>'SREO 8'!SREO_KeyPrincipalName</vt:lpstr>
      <vt:lpstr>'SREO 1'!SREO_LTV_AllProperties</vt:lpstr>
      <vt:lpstr>'SREO 2'!SREO_LTV_AllProperties</vt:lpstr>
      <vt:lpstr>'SREO 3'!SREO_LTV_AllProperties</vt:lpstr>
      <vt:lpstr>'SREO 4'!SREO_LTV_AllProperties</vt:lpstr>
      <vt:lpstr>'SREO 5'!SREO_LTV_AllProperties</vt:lpstr>
      <vt:lpstr>'SREO 6'!SREO_LTV_AllProperties</vt:lpstr>
      <vt:lpstr>'SREO 7'!SREO_LTV_AllProperties</vt:lpstr>
      <vt:lpstr>'SREO 8'!SREO_LTV_AllProperties</vt:lpstr>
      <vt:lpstr>'SREO 1'!SREO_LTV_CRO</vt:lpstr>
      <vt:lpstr>'SREO 2'!SREO_LTV_CRO</vt:lpstr>
      <vt:lpstr>'SREO 3'!SREO_LTV_CRO</vt:lpstr>
      <vt:lpstr>'SREO 4'!SREO_LTV_CRO</vt:lpstr>
      <vt:lpstr>'SREO 5'!SREO_LTV_CRO</vt:lpstr>
      <vt:lpstr>'SREO 6'!SREO_LTV_CRO</vt:lpstr>
      <vt:lpstr>'SREO 7'!SREO_LTV_CRO</vt:lpstr>
      <vt:lpstr>'SREO 8'!SREO_LTV_CRO</vt:lpstr>
      <vt:lpstr>'SREO 1'!SREO_LTV_Land</vt:lpstr>
      <vt:lpstr>'SREO 2'!SREO_LTV_Land</vt:lpstr>
      <vt:lpstr>'SREO 3'!SREO_LTV_Land</vt:lpstr>
      <vt:lpstr>'SREO 4'!SREO_LTV_Land</vt:lpstr>
      <vt:lpstr>'SREO 5'!SREO_LTV_Land</vt:lpstr>
      <vt:lpstr>'SREO 6'!SREO_LTV_Land</vt:lpstr>
      <vt:lpstr>'SREO 7'!SREO_LTV_Land</vt:lpstr>
      <vt:lpstr>'SREO 8'!SREO_LTV_Land</vt:lpstr>
      <vt:lpstr>'SREO 1'!SREO_LTV_MF</vt:lpstr>
      <vt:lpstr>'SREO 2'!SREO_LTV_MF</vt:lpstr>
      <vt:lpstr>'SREO 3'!SREO_LTV_MF</vt:lpstr>
      <vt:lpstr>'SREO 4'!SREO_LTV_MF</vt:lpstr>
      <vt:lpstr>'SREO 5'!SREO_LTV_MF</vt:lpstr>
      <vt:lpstr>'SREO 6'!SREO_LTV_MF</vt:lpstr>
      <vt:lpstr>'SREO 7'!SREO_LTV_MF</vt:lpstr>
      <vt:lpstr>'SREO 8'!SREO_LTV_MF</vt:lpstr>
      <vt:lpstr>'SREO 1'!SREO_LTV_UCNS</vt:lpstr>
      <vt:lpstr>'SREO 2'!SREO_LTV_UCNS</vt:lpstr>
      <vt:lpstr>'SREO 3'!SREO_LTV_UCNS</vt:lpstr>
      <vt:lpstr>'SREO 4'!SREO_LTV_UCNS</vt:lpstr>
      <vt:lpstr>'SREO 5'!SREO_LTV_UCNS</vt:lpstr>
      <vt:lpstr>'SREO 6'!SREO_LTV_UCNS</vt:lpstr>
      <vt:lpstr>'SREO 7'!SREO_LTV_UCNS</vt:lpstr>
      <vt:lpstr>'SREO 8'!SREO_LTV_UCNS</vt:lpstr>
      <vt:lpstr>'SREO 1'!SREO_LTV_WD</vt:lpstr>
      <vt:lpstr>'SREO 2'!SREO_LTV_WD</vt:lpstr>
      <vt:lpstr>'SREO 3'!SREO_LTV_WD</vt:lpstr>
      <vt:lpstr>'SREO 4'!SREO_LTV_WD</vt:lpstr>
      <vt:lpstr>'SREO 5'!SREO_LTV_WD</vt:lpstr>
      <vt:lpstr>'SREO 6'!SREO_LTV_WD</vt:lpstr>
      <vt:lpstr>'SREO 7'!SREO_LTV_WD</vt:lpstr>
      <vt:lpstr>'SREO 8'!SREO_LTV_WD</vt:lpstr>
      <vt:lpstr>'SREO 1'!SREO_MarketValue_AllProperties</vt:lpstr>
      <vt:lpstr>'SREO 2'!SREO_MarketValue_AllProperties</vt:lpstr>
      <vt:lpstr>'SREO 3'!SREO_MarketValue_AllProperties</vt:lpstr>
      <vt:lpstr>'SREO 4'!SREO_MarketValue_AllProperties</vt:lpstr>
      <vt:lpstr>'SREO 5'!SREO_MarketValue_AllProperties</vt:lpstr>
      <vt:lpstr>'SREO 6'!SREO_MarketValue_AllProperties</vt:lpstr>
      <vt:lpstr>'SREO 7'!SREO_MarketValue_AllProperties</vt:lpstr>
      <vt:lpstr>'SREO 8'!SREO_MarketValue_AllProperties</vt:lpstr>
      <vt:lpstr>'SREO 1'!SREO_MarketValue_CRO</vt:lpstr>
      <vt:lpstr>'SREO 2'!SREO_MarketValue_CRO</vt:lpstr>
      <vt:lpstr>'SREO 3'!SREO_MarketValue_CRO</vt:lpstr>
      <vt:lpstr>'SREO 4'!SREO_MarketValue_CRO</vt:lpstr>
      <vt:lpstr>'SREO 5'!SREO_MarketValue_CRO</vt:lpstr>
      <vt:lpstr>'SREO 6'!SREO_MarketValue_CRO</vt:lpstr>
      <vt:lpstr>'SREO 7'!SREO_MarketValue_CRO</vt:lpstr>
      <vt:lpstr>'SREO 8'!SREO_MarketValue_CRO</vt:lpstr>
      <vt:lpstr>'SREO 1'!SREO_MarketValue_Land</vt:lpstr>
      <vt:lpstr>'SREO 2'!SREO_MarketValue_Land</vt:lpstr>
      <vt:lpstr>'SREO 3'!SREO_MarketValue_Land</vt:lpstr>
      <vt:lpstr>'SREO 4'!SREO_MarketValue_Land</vt:lpstr>
      <vt:lpstr>'SREO 5'!SREO_MarketValue_Land</vt:lpstr>
      <vt:lpstr>'SREO 6'!SREO_MarketValue_Land</vt:lpstr>
      <vt:lpstr>'SREO 7'!SREO_MarketValue_Land</vt:lpstr>
      <vt:lpstr>'SREO 8'!SREO_MarketValue_Land</vt:lpstr>
      <vt:lpstr>'SREO 1'!SREO_MarketValue_MF</vt:lpstr>
      <vt:lpstr>'SREO 2'!SREO_MarketValue_MF</vt:lpstr>
      <vt:lpstr>'SREO 3'!SREO_MarketValue_MF</vt:lpstr>
      <vt:lpstr>'SREO 4'!SREO_MarketValue_MF</vt:lpstr>
      <vt:lpstr>'SREO 5'!SREO_MarketValue_MF</vt:lpstr>
      <vt:lpstr>'SREO 6'!SREO_MarketValue_MF</vt:lpstr>
      <vt:lpstr>'SREO 7'!SREO_MarketValue_MF</vt:lpstr>
      <vt:lpstr>'SREO 8'!SREO_MarketValue_MF</vt:lpstr>
      <vt:lpstr>'SREO 1'!SREO_MarketValue_UCNS</vt:lpstr>
      <vt:lpstr>'SREO 2'!SREO_MarketValue_UCNS</vt:lpstr>
      <vt:lpstr>'SREO 3'!SREO_MarketValue_UCNS</vt:lpstr>
      <vt:lpstr>'SREO 4'!SREO_MarketValue_UCNS</vt:lpstr>
      <vt:lpstr>'SREO 5'!SREO_MarketValue_UCNS</vt:lpstr>
      <vt:lpstr>'SREO 6'!SREO_MarketValue_UCNS</vt:lpstr>
      <vt:lpstr>'SREO 7'!SREO_MarketValue_UCNS</vt:lpstr>
      <vt:lpstr>'SREO 8'!SREO_MarketValue_UCNS</vt:lpstr>
      <vt:lpstr>'SREO 1'!SREO_MarketValue_WD</vt:lpstr>
      <vt:lpstr>'SREO 2'!SREO_MarketValue_WD</vt:lpstr>
      <vt:lpstr>'SREO 3'!SREO_MarketValue_WD</vt:lpstr>
      <vt:lpstr>'SREO 4'!SREO_MarketValue_WD</vt:lpstr>
      <vt:lpstr>'SREO 5'!SREO_MarketValue_WD</vt:lpstr>
      <vt:lpstr>'SREO 6'!SREO_MarketValue_WD</vt:lpstr>
      <vt:lpstr>'SREO 7'!SREO_MarketValue_WD</vt:lpstr>
      <vt:lpstr>'SREO 8'!SREO_MarketValue_WD</vt:lpstr>
      <vt:lpstr>'SREO 1'!SREO_NCF_BeforeDebtSvc_AllProperties</vt:lpstr>
      <vt:lpstr>'SREO 2'!SREO_NCF_BeforeDebtSvc_AllProperties</vt:lpstr>
      <vt:lpstr>'SREO 3'!SREO_NCF_BeforeDebtSvc_AllProperties</vt:lpstr>
      <vt:lpstr>'SREO 4'!SREO_NCF_BeforeDebtSvc_AllProperties</vt:lpstr>
      <vt:lpstr>'SREO 5'!SREO_NCF_BeforeDebtSvc_AllProperties</vt:lpstr>
      <vt:lpstr>'SREO 6'!SREO_NCF_BeforeDebtSvc_AllProperties</vt:lpstr>
      <vt:lpstr>'SREO 7'!SREO_NCF_BeforeDebtSvc_AllProperties</vt:lpstr>
      <vt:lpstr>'SREO 8'!SREO_NCF_BeforeDebtSvc_AllProperties</vt:lpstr>
      <vt:lpstr>'SREO 1'!SREO_NCF_BeforeDebtSvc_CRO</vt:lpstr>
      <vt:lpstr>'SREO 2'!SREO_NCF_BeforeDebtSvc_CRO</vt:lpstr>
      <vt:lpstr>'SREO 3'!SREO_NCF_BeforeDebtSvc_CRO</vt:lpstr>
      <vt:lpstr>'SREO 4'!SREO_NCF_BeforeDebtSvc_CRO</vt:lpstr>
      <vt:lpstr>'SREO 5'!SREO_NCF_BeforeDebtSvc_CRO</vt:lpstr>
      <vt:lpstr>'SREO 6'!SREO_NCF_BeforeDebtSvc_CRO</vt:lpstr>
      <vt:lpstr>'SREO 7'!SREO_NCF_BeforeDebtSvc_CRO</vt:lpstr>
      <vt:lpstr>'SREO 8'!SREO_NCF_BeforeDebtSvc_CRO</vt:lpstr>
      <vt:lpstr>'SREO 1'!SREO_NCF_BeforeDebtSvc_Land</vt:lpstr>
      <vt:lpstr>'SREO 2'!SREO_NCF_BeforeDebtSvc_Land</vt:lpstr>
      <vt:lpstr>'SREO 3'!SREO_NCF_BeforeDebtSvc_Land</vt:lpstr>
      <vt:lpstr>'SREO 4'!SREO_NCF_BeforeDebtSvc_Land</vt:lpstr>
      <vt:lpstr>'SREO 5'!SREO_NCF_BeforeDebtSvc_Land</vt:lpstr>
      <vt:lpstr>'SREO 6'!SREO_NCF_BeforeDebtSvc_Land</vt:lpstr>
      <vt:lpstr>'SREO 7'!SREO_NCF_BeforeDebtSvc_Land</vt:lpstr>
      <vt:lpstr>'SREO 8'!SREO_NCF_BeforeDebtSvc_Land</vt:lpstr>
      <vt:lpstr>'SREO 1'!SREO_NCF_BeforeDebtSvc_MF</vt:lpstr>
      <vt:lpstr>'SREO 2'!SREO_NCF_BeforeDebtSvc_MF</vt:lpstr>
      <vt:lpstr>'SREO 3'!SREO_NCF_BeforeDebtSvc_MF</vt:lpstr>
      <vt:lpstr>'SREO 4'!SREO_NCF_BeforeDebtSvc_MF</vt:lpstr>
      <vt:lpstr>'SREO 5'!SREO_NCF_BeforeDebtSvc_MF</vt:lpstr>
      <vt:lpstr>'SREO 6'!SREO_NCF_BeforeDebtSvc_MF</vt:lpstr>
      <vt:lpstr>'SREO 7'!SREO_NCF_BeforeDebtSvc_MF</vt:lpstr>
      <vt:lpstr>'SREO 8'!SREO_NCF_BeforeDebtSvc_MF</vt:lpstr>
      <vt:lpstr>'SREO 1'!SREO_NCF_BeforeDebtSvc_UCNS</vt:lpstr>
      <vt:lpstr>'SREO 2'!SREO_NCF_BeforeDebtSvc_UCNS</vt:lpstr>
      <vt:lpstr>'SREO 3'!SREO_NCF_BeforeDebtSvc_UCNS</vt:lpstr>
      <vt:lpstr>'SREO 4'!SREO_NCF_BeforeDebtSvc_UCNS</vt:lpstr>
      <vt:lpstr>'SREO 5'!SREO_NCF_BeforeDebtSvc_UCNS</vt:lpstr>
      <vt:lpstr>'SREO 6'!SREO_NCF_BeforeDebtSvc_UCNS</vt:lpstr>
      <vt:lpstr>'SREO 7'!SREO_NCF_BeforeDebtSvc_UCNS</vt:lpstr>
      <vt:lpstr>'SREO 8'!SREO_NCF_BeforeDebtSvc_UCNS</vt:lpstr>
      <vt:lpstr>'SREO 1'!SREO_NCF_BeforeDebtSvc_WD</vt:lpstr>
      <vt:lpstr>'SREO 2'!SREO_NCF_BeforeDebtSvc_WD</vt:lpstr>
      <vt:lpstr>'SREO 3'!SREO_NCF_BeforeDebtSvc_WD</vt:lpstr>
      <vt:lpstr>'SREO 4'!SREO_NCF_BeforeDebtSvc_WD</vt:lpstr>
      <vt:lpstr>'SREO 5'!SREO_NCF_BeforeDebtSvc_WD</vt:lpstr>
      <vt:lpstr>'SREO 6'!SREO_NCF_BeforeDebtSvc_WD</vt:lpstr>
      <vt:lpstr>'SREO 7'!SREO_NCF_BeforeDebtSvc_WD</vt:lpstr>
      <vt:lpstr>'SREO 8'!SREO_NCF_BeforeDebtSvc_WD</vt:lpstr>
      <vt:lpstr>'SREO 1'!SREO_OutstandingLoanAmts_AllProperties</vt:lpstr>
      <vt:lpstr>'SREO 2'!SREO_OutstandingLoanAmts_AllProperties</vt:lpstr>
      <vt:lpstr>'SREO 3'!SREO_OutstandingLoanAmts_AllProperties</vt:lpstr>
      <vt:lpstr>'SREO 4'!SREO_OutstandingLoanAmts_AllProperties</vt:lpstr>
      <vt:lpstr>'SREO 5'!SREO_OutstandingLoanAmts_AllProperties</vt:lpstr>
      <vt:lpstr>'SREO 6'!SREO_OutstandingLoanAmts_AllProperties</vt:lpstr>
      <vt:lpstr>'SREO 7'!SREO_OutstandingLoanAmts_AllProperties</vt:lpstr>
      <vt:lpstr>'SREO 8'!SREO_OutstandingLoanAmts_AllProperties</vt:lpstr>
      <vt:lpstr>'SREO 1'!SREO_OutstandingLoanAmts_CRO</vt:lpstr>
      <vt:lpstr>'SREO 2'!SREO_OutstandingLoanAmts_CRO</vt:lpstr>
      <vt:lpstr>'SREO 3'!SREO_OutstandingLoanAmts_CRO</vt:lpstr>
      <vt:lpstr>'SREO 4'!SREO_OutstandingLoanAmts_CRO</vt:lpstr>
      <vt:lpstr>'SREO 5'!SREO_OutstandingLoanAmts_CRO</vt:lpstr>
      <vt:lpstr>'SREO 6'!SREO_OutstandingLoanAmts_CRO</vt:lpstr>
      <vt:lpstr>'SREO 7'!SREO_OutstandingLoanAmts_CRO</vt:lpstr>
      <vt:lpstr>'SREO 8'!SREO_OutstandingLoanAmts_CRO</vt:lpstr>
      <vt:lpstr>'SREO 1'!SREO_OutstandingLoanAmts_Land</vt:lpstr>
      <vt:lpstr>'SREO 2'!SREO_OutstandingLoanAmts_Land</vt:lpstr>
      <vt:lpstr>'SREO 3'!SREO_OutstandingLoanAmts_Land</vt:lpstr>
      <vt:lpstr>'SREO 4'!SREO_OutstandingLoanAmts_Land</vt:lpstr>
      <vt:lpstr>'SREO 5'!SREO_OutstandingLoanAmts_Land</vt:lpstr>
      <vt:lpstr>'SREO 6'!SREO_OutstandingLoanAmts_Land</vt:lpstr>
      <vt:lpstr>'SREO 7'!SREO_OutstandingLoanAmts_Land</vt:lpstr>
      <vt:lpstr>'SREO 8'!SREO_OutstandingLoanAmts_Land</vt:lpstr>
      <vt:lpstr>'SREO 1'!SREO_OutstandingLoanAmts_MF</vt:lpstr>
      <vt:lpstr>'SREO 2'!SREO_OutstandingLoanAmts_MF</vt:lpstr>
      <vt:lpstr>'SREO 3'!SREO_OutstandingLoanAmts_MF</vt:lpstr>
      <vt:lpstr>'SREO 4'!SREO_OutstandingLoanAmts_MF</vt:lpstr>
      <vt:lpstr>'SREO 5'!SREO_OutstandingLoanAmts_MF</vt:lpstr>
      <vt:lpstr>'SREO 6'!SREO_OutstandingLoanAmts_MF</vt:lpstr>
      <vt:lpstr>'SREO 7'!SREO_OutstandingLoanAmts_MF</vt:lpstr>
      <vt:lpstr>'SREO 8'!SREO_OutstandingLoanAmts_MF</vt:lpstr>
      <vt:lpstr>'SREO 1'!SREO_OutstandingLoanAmts_UCNS</vt:lpstr>
      <vt:lpstr>'SREO 2'!SREO_OutstandingLoanAmts_UCNS</vt:lpstr>
      <vt:lpstr>'SREO 3'!SREO_OutstandingLoanAmts_UCNS</vt:lpstr>
      <vt:lpstr>'SREO 4'!SREO_OutstandingLoanAmts_UCNS</vt:lpstr>
      <vt:lpstr>'SREO 5'!SREO_OutstandingLoanAmts_UCNS</vt:lpstr>
      <vt:lpstr>'SREO 6'!SREO_OutstandingLoanAmts_UCNS</vt:lpstr>
      <vt:lpstr>'SREO 7'!SREO_OutstandingLoanAmts_UCNS</vt:lpstr>
      <vt:lpstr>'SREO 8'!SREO_OutstandingLoanAmts_UCNS</vt:lpstr>
      <vt:lpstr>'SREO 1'!SREO_SupplementalLoanAmts_AllProperties</vt:lpstr>
      <vt:lpstr>'SREO 2'!SREO_SupplementalLoanAmts_AllProperties</vt:lpstr>
      <vt:lpstr>'SREO 3'!SREO_SupplementalLoanAmts_AllProperties</vt:lpstr>
      <vt:lpstr>'SREO 4'!SREO_SupplementalLoanAmts_AllProperties</vt:lpstr>
      <vt:lpstr>'SREO 5'!SREO_SupplementalLoanAmts_AllProperties</vt:lpstr>
      <vt:lpstr>'SREO 6'!SREO_SupplementalLoanAmts_AllProperties</vt:lpstr>
      <vt:lpstr>'SREO 7'!SREO_SupplementalLoanAmts_AllProperties</vt:lpstr>
      <vt:lpstr>'SREO 8'!SREO_SupplementalLoanAmts_AllProperties</vt:lpstr>
      <vt:lpstr>'SREO 1'!SREO_SupplementalLoanAmts_CRO</vt:lpstr>
      <vt:lpstr>'SREO 2'!SREO_SupplementalLoanAmts_CRO</vt:lpstr>
      <vt:lpstr>'SREO 3'!SREO_SupplementalLoanAmts_CRO</vt:lpstr>
      <vt:lpstr>'SREO 4'!SREO_SupplementalLoanAmts_CRO</vt:lpstr>
      <vt:lpstr>'SREO 5'!SREO_SupplementalLoanAmts_CRO</vt:lpstr>
      <vt:lpstr>'SREO 6'!SREO_SupplementalLoanAmts_CRO</vt:lpstr>
      <vt:lpstr>'SREO 7'!SREO_SupplementalLoanAmts_CRO</vt:lpstr>
      <vt:lpstr>'SREO 8'!SREO_SupplementalLoanAmts_CRO</vt:lpstr>
      <vt:lpstr>'SREO 1'!SREO_SupplementalLoanAmts_Land</vt:lpstr>
      <vt:lpstr>'SREO 2'!SREO_SupplementalLoanAmts_Land</vt:lpstr>
      <vt:lpstr>'SREO 3'!SREO_SupplementalLoanAmts_Land</vt:lpstr>
      <vt:lpstr>'SREO 4'!SREO_SupplementalLoanAmts_Land</vt:lpstr>
      <vt:lpstr>'SREO 5'!SREO_SupplementalLoanAmts_Land</vt:lpstr>
      <vt:lpstr>'SREO 6'!SREO_SupplementalLoanAmts_Land</vt:lpstr>
      <vt:lpstr>'SREO 7'!SREO_SupplementalLoanAmts_Land</vt:lpstr>
      <vt:lpstr>'SREO 8'!SREO_SupplementalLoanAmts_Land</vt:lpstr>
      <vt:lpstr>'SREO 1'!SREO_SupplementalLoanAmts_MF</vt:lpstr>
      <vt:lpstr>'SREO 2'!SREO_SupplementalLoanAmts_MF</vt:lpstr>
      <vt:lpstr>'SREO 3'!SREO_SupplementalLoanAmts_MF</vt:lpstr>
      <vt:lpstr>'SREO 4'!SREO_SupplementalLoanAmts_MF</vt:lpstr>
      <vt:lpstr>'SREO 5'!SREO_SupplementalLoanAmts_MF</vt:lpstr>
      <vt:lpstr>'SREO 6'!SREO_SupplementalLoanAmts_MF</vt:lpstr>
      <vt:lpstr>'SREO 7'!SREO_SupplementalLoanAmts_MF</vt:lpstr>
      <vt:lpstr>'SREO 8'!SREO_SupplementalLoanAmts_MF</vt:lpstr>
      <vt:lpstr>'SREO 1'!SREO_SupplementalLoanAmts_UCNS</vt:lpstr>
      <vt:lpstr>'SREO 2'!SREO_SupplementalLoanAmts_UCNS</vt:lpstr>
      <vt:lpstr>'SREO 3'!SREO_SupplementalLoanAmts_UCNS</vt:lpstr>
      <vt:lpstr>'SREO 4'!SREO_SupplementalLoanAmts_UCNS</vt:lpstr>
      <vt:lpstr>'SREO 5'!SREO_SupplementalLoanAmts_UCNS</vt:lpstr>
      <vt:lpstr>'SREO 6'!SREO_SupplementalLoanAmts_UCNS</vt:lpstr>
      <vt:lpstr>'SREO 7'!SREO_SupplementalLoanAmts_UCNS</vt:lpstr>
      <vt:lpstr>'SREO 8'!SREO_SupplementalLoanAmts_UCNS</vt:lpstr>
      <vt:lpstr>'SREO 1'!SREO_TblOfProperties_CommercialRetailOffice</vt:lpstr>
      <vt:lpstr>'SREO 2'!SREO_TblOfProperties_CommercialRetailOffice</vt:lpstr>
      <vt:lpstr>'SREO 3'!SREO_TblOfProperties_CommercialRetailOffice</vt:lpstr>
      <vt:lpstr>'SREO 4'!SREO_TblOfProperties_CommercialRetailOffice</vt:lpstr>
      <vt:lpstr>'SREO 5'!SREO_TblOfProperties_CommercialRetailOffice</vt:lpstr>
      <vt:lpstr>'SREO 6'!SREO_TblOfProperties_CommercialRetailOffice</vt:lpstr>
      <vt:lpstr>'SREO 7'!SREO_TblOfProperties_CommercialRetailOffice</vt:lpstr>
      <vt:lpstr>'SREO 8'!SREO_TblOfProperties_CommercialRetailOffice</vt:lpstr>
      <vt:lpstr>'SREO 1'!SREO_TblOfProperties_Land</vt:lpstr>
      <vt:lpstr>'SREO 2'!SREO_TblOfProperties_Land</vt:lpstr>
      <vt:lpstr>'SREO 3'!SREO_TblOfProperties_Land</vt:lpstr>
      <vt:lpstr>'SREO 4'!SREO_TblOfProperties_Land</vt:lpstr>
      <vt:lpstr>'SREO 5'!SREO_TblOfProperties_Land</vt:lpstr>
      <vt:lpstr>'SREO 6'!SREO_TblOfProperties_Land</vt:lpstr>
      <vt:lpstr>'SREO 7'!SREO_TblOfProperties_Land</vt:lpstr>
      <vt:lpstr>'SREO 8'!SREO_TblOfProperties_Land</vt:lpstr>
      <vt:lpstr>'SREO 1'!SREO_TblOfProperties_Multifamily</vt:lpstr>
      <vt:lpstr>'SREO 2'!SREO_TblOfProperties_Multifamily</vt:lpstr>
      <vt:lpstr>'SREO 3'!SREO_TblOfProperties_Multifamily</vt:lpstr>
      <vt:lpstr>'SREO 4'!SREO_TblOfProperties_Multifamily</vt:lpstr>
      <vt:lpstr>'SREO 5'!SREO_TblOfProperties_Multifamily</vt:lpstr>
      <vt:lpstr>'SREO 6'!SREO_TblOfProperties_Multifamily</vt:lpstr>
      <vt:lpstr>'SREO 7'!SREO_TblOfProperties_Multifamily</vt:lpstr>
      <vt:lpstr>'SREO 8'!SREO_TblOfProperties_Multifamily</vt:lpstr>
      <vt:lpstr>'SREO 1'!SREO_TblOfProperties_UnderConstructionNonStabilized</vt:lpstr>
      <vt:lpstr>'SREO 2'!SREO_TblOfProperties_UnderConstructionNonStabilized</vt:lpstr>
      <vt:lpstr>'SREO 3'!SREO_TblOfProperties_UnderConstructionNonStabilized</vt:lpstr>
      <vt:lpstr>'SREO 4'!SREO_TblOfProperties_UnderConstructionNonStabilized</vt:lpstr>
      <vt:lpstr>'SREO 5'!SREO_TblOfProperties_UnderConstructionNonStabilized</vt:lpstr>
      <vt:lpstr>'SREO 6'!SREO_TblOfProperties_UnderConstructionNonStabilized</vt:lpstr>
      <vt:lpstr>'SREO 7'!SREO_TblOfProperties_UnderConstructionNonStabilized</vt:lpstr>
      <vt:lpstr>'SREO 8'!SREO_TblOfProperties_UnderConstructionNonStabilized</vt:lpstr>
      <vt:lpstr>'SREO 1'!SREO_TotalCashFlow_AllProperties</vt:lpstr>
      <vt:lpstr>'SREO 2'!SREO_TotalCashFlow_AllProperties</vt:lpstr>
      <vt:lpstr>'SREO 3'!SREO_TotalCashFlow_AllProperties</vt:lpstr>
      <vt:lpstr>'SREO 4'!SREO_TotalCashFlow_AllProperties</vt:lpstr>
      <vt:lpstr>'SREO 5'!SREO_TotalCashFlow_AllProperties</vt:lpstr>
      <vt:lpstr>'SREO 6'!SREO_TotalCashFlow_AllProperties</vt:lpstr>
      <vt:lpstr>'SREO 7'!SREO_TotalCashFlow_AllProperties</vt:lpstr>
      <vt:lpstr>'SREO 8'!SREO_TotalCashFlow_AllProperties</vt:lpstr>
      <vt:lpstr>'SREO 1'!SREO_TotalCashFlow_CRO</vt:lpstr>
      <vt:lpstr>'SREO 2'!SREO_TotalCashFlow_CRO</vt:lpstr>
      <vt:lpstr>'SREO 3'!SREO_TotalCashFlow_CRO</vt:lpstr>
      <vt:lpstr>'SREO 4'!SREO_TotalCashFlow_CRO</vt:lpstr>
      <vt:lpstr>'SREO 5'!SREO_TotalCashFlow_CRO</vt:lpstr>
      <vt:lpstr>'SREO 6'!SREO_TotalCashFlow_CRO</vt:lpstr>
      <vt:lpstr>'SREO 7'!SREO_TotalCashFlow_CRO</vt:lpstr>
      <vt:lpstr>'SREO 8'!SREO_TotalCashFlow_CRO</vt:lpstr>
      <vt:lpstr>'SREO 1'!SREO_TotalCashFlow_Land</vt:lpstr>
      <vt:lpstr>'SREO 2'!SREO_TotalCashFlow_Land</vt:lpstr>
      <vt:lpstr>'SREO 3'!SREO_TotalCashFlow_Land</vt:lpstr>
      <vt:lpstr>'SREO 4'!SREO_TotalCashFlow_Land</vt:lpstr>
      <vt:lpstr>'SREO 5'!SREO_TotalCashFlow_Land</vt:lpstr>
      <vt:lpstr>'SREO 6'!SREO_TotalCashFlow_Land</vt:lpstr>
      <vt:lpstr>'SREO 7'!SREO_TotalCashFlow_Land</vt:lpstr>
      <vt:lpstr>'SREO 8'!SREO_TotalCashFlow_Land</vt:lpstr>
      <vt:lpstr>'SREO 1'!SREO_TotalCashFlow_MF</vt:lpstr>
      <vt:lpstr>'SREO 2'!SREO_TotalCashFlow_MF</vt:lpstr>
      <vt:lpstr>'SREO 3'!SREO_TotalCashFlow_MF</vt:lpstr>
      <vt:lpstr>'SREO 4'!SREO_TotalCashFlow_MF</vt:lpstr>
      <vt:lpstr>'SREO 5'!SREO_TotalCashFlow_MF</vt:lpstr>
      <vt:lpstr>'SREO 6'!SREO_TotalCashFlow_MF</vt:lpstr>
      <vt:lpstr>'SREO 7'!SREO_TotalCashFlow_MF</vt:lpstr>
      <vt:lpstr>'SREO 8'!SREO_TotalCashFlow_MF</vt:lpstr>
      <vt:lpstr>'SREO 1'!SREO_TotalCashFlow_UCNS</vt:lpstr>
      <vt:lpstr>'SREO 2'!SREO_TotalCashFlow_UCNS</vt:lpstr>
      <vt:lpstr>'SREO 3'!SREO_TotalCashFlow_UCNS</vt:lpstr>
      <vt:lpstr>'SREO 4'!SREO_TotalCashFlow_UCNS</vt:lpstr>
      <vt:lpstr>'SREO 5'!SREO_TotalCashFlow_UCNS</vt:lpstr>
      <vt:lpstr>'SREO 6'!SREO_TotalCashFlow_UCNS</vt:lpstr>
      <vt:lpstr>'SREO 7'!SREO_TotalCashFlow_UCNS</vt:lpstr>
      <vt:lpstr>'SREO 8'!SREO_TotalCashFlow_UCNS</vt:lpstr>
      <vt:lpstr>'SREO 1'!SREO_TotalDCR_AllProperties</vt:lpstr>
      <vt:lpstr>'SREO 2'!SREO_TotalDCR_AllProperties</vt:lpstr>
      <vt:lpstr>'SREO 3'!SREO_TotalDCR_AllProperties</vt:lpstr>
      <vt:lpstr>'SREO 4'!SREO_TotalDCR_AllProperties</vt:lpstr>
      <vt:lpstr>'SREO 5'!SREO_TotalDCR_AllProperties</vt:lpstr>
      <vt:lpstr>'SREO 6'!SREO_TotalDCR_AllProperties</vt:lpstr>
      <vt:lpstr>'SREO 7'!SREO_TotalDCR_AllProperties</vt:lpstr>
      <vt:lpstr>'SREO 8'!SREO_TotalDCR_AllProperties</vt:lpstr>
      <vt:lpstr>'SREO 1'!SREO_TotalDCR_CRO</vt:lpstr>
      <vt:lpstr>'SREO 2'!SREO_TotalDCR_CRO</vt:lpstr>
      <vt:lpstr>'SREO 3'!SREO_TotalDCR_CRO</vt:lpstr>
      <vt:lpstr>'SREO 4'!SREO_TotalDCR_CRO</vt:lpstr>
      <vt:lpstr>'SREO 5'!SREO_TotalDCR_CRO</vt:lpstr>
      <vt:lpstr>'SREO 6'!SREO_TotalDCR_CRO</vt:lpstr>
      <vt:lpstr>'SREO 7'!SREO_TotalDCR_CRO</vt:lpstr>
      <vt:lpstr>'SREO 8'!SREO_TotalDCR_CRO</vt:lpstr>
      <vt:lpstr>'SREO 1'!SREO_TotalDCR_Land</vt:lpstr>
      <vt:lpstr>'SREO 2'!SREO_TotalDCR_Land</vt:lpstr>
      <vt:lpstr>'SREO 3'!SREO_TotalDCR_Land</vt:lpstr>
      <vt:lpstr>'SREO 4'!SREO_TotalDCR_Land</vt:lpstr>
      <vt:lpstr>'SREO 5'!SREO_TotalDCR_Land</vt:lpstr>
      <vt:lpstr>'SREO 6'!SREO_TotalDCR_Land</vt:lpstr>
      <vt:lpstr>'SREO 7'!SREO_TotalDCR_Land</vt:lpstr>
      <vt:lpstr>'SREO 8'!SREO_TotalDCR_Land</vt:lpstr>
      <vt:lpstr>'SREO 1'!SREO_TotalDCR_MF</vt:lpstr>
      <vt:lpstr>'SREO 2'!SREO_TotalDCR_MF</vt:lpstr>
      <vt:lpstr>'SREO 3'!SREO_TotalDCR_MF</vt:lpstr>
      <vt:lpstr>'SREO 4'!SREO_TotalDCR_MF</vt:lpstr>
      <vt:lpstr>'SREO 5'!SREO_TotalDCR_MF</vt:lpstr>
      <vt:lpstr>'SREO 6'!SREO_TotalDCR_MF</vt:lpstr>
      <vt:lpstr>'SREO 7'!SREO_TotalDCR_MF</vt:lpstr>
      <vt:lpstr>'SREO 8'!SREO_TotalDCR_MF</vt:lpstr>
      <vt:lpstr>'SREO 1'!SREO_TotalDCR_UCNS</vt:lpstr>
      <vt:lpstr>'SREO 2'!SREO_TotalDCR_UCNS</vt:lpstr>
      <vt:lpstr>'SREO 3'!SREO_TotalDCR_UCNS</vt:lpstr>
      <vt:lpstr>'SREO 4'!SREO_TotalDCR_UCNS</vt:lpstr>
      <vt:lpstr>'SREO 5'!SREO_TotalDCR_UCNS</vt:lpstr>
      <vt:lpstr>'SREO 6'!SREO_TotalDCR_UCNS</vt:lpstr>
      <vt:lpstr>'SREO 7'!SREO_TotalDCR_UCNS</vt:lpstr>
      <vt:lpstr>'SREO 8'!SREO_TotalDCR_UCNS</vt:lpstr>
      <vt:lpstr>'SREO 1'!SREO_TotalDCR_WD</vt:lpstr>
      <vt:lpstr>'SREO 2'!SREO_TotalDCR_WD</vt:lpstr>
      <vt:lpstr>'SREO 3'!SREO_TotalDCR_WD</vt:lpstr>
      <vt:lpstr>'SREO 4'!SREO_TotalDCR_WD</vt:lpstr>
      <vt:lpstr>'SREO 5'!SREO_TotalDCR_WD</vt:lpstr>
      <vt:lpstr>'SREO 6'!SREO_TotalDCR_WD</vt:lpstr>
      <vt:lpstr>'SREO 7'!SREO_TotalDCR_WD</vt:lpstr>
      <vt:lpstr>'SREO 8'!SREO_TotalDCR_WD</vt:lpstr>
      <vt:lpstr>'SREO 1'!SREO_TotalEquity_AllProperties</vt:lpstr>
      <vt:lpstr>'SREO 2'!SREO_TotalEquity_AllProperties</vt:lpstr>
      <vt:lpstr>'SREO 3'!SREO_TotalEquity_AllProperties</vt:lpstr>
      <vt:lpstr>'SREO 4'!SREO_TotalEquity_AllProperties</vt:lpstr>
      <vt:lpstr>'SREO 5'!SREO_TotalEquity_AllProperties</vt:lpstr>
      <vt:lpstr>'SREO 6'!SREO_TotalEquity_AllProperties</vt:lpstr>
      <vt:lpstr>'SREO 7'!SREO_TotalEquity_AllProperties</vt:lpstr>
      <vt:lpstr>'SREO 8'!SREO_TotalEquity_AllProperties</vt:lpstr>
      <vt:lpstr>'SREO 1'!SREO_TotalEquity_CRO</vt:lpstr>
      <vt:lpstr>'SREO 2'!SREO_TotalEquity_CRO</vt:lpstr>
      <vt:lpstr>'SREO 3'!SREO_TotalEquity_CRO</vt:lpstr>
      <vt:lpstr>'SREO 4'!SREO_TotalEquity_CRO</vt:lpstr>
      <vt:lpstr>'SREO 5'!SREO_TotalEquity_CRO</vt:lpstr>
      <vt:lpstr>'SREO 6'!SREO_TotalEquity_CRO</vt:lpstr>
      <vt:lpstr>'SREO 7'!SREO_TotalEquity_CRO</vt:lpstr>
      <vt:lpstr>'SREO 8'!SREO_TotalEquity_CRO</vt:lpstr>
      <vt:lpstr>'SREO 1'!SREO_TotalEquity_Land</vt:lpstr>
      <vt:lpstr>'SREO 2'!SREO_TotalEquity_Land</vt:lpstr>
      <vt:lpstr>'SREO 3'!SREO_TotalEquity_Land</vt:lpstr>
      <vt:lpstr>'SREO 4'!SREO_TotalEquity_Land</vt:lpstr>
      <vt:lpstr>'SREO 5'!SREO_TotalEquity_Land</vt:lpstr>
      <vt:lpstr>'SREO 6'!SREO_TotalEquity_Land</vt:lpstr>
      <vt:lpstr>'SREO 7'!SREO_TotalEquity_Land</vt:lpstr>
      <vt:lpstr>'SREO 8'!SREO_TotalEquity_Land</vt:lpstr>
      <vt:lpstr>'SREO 1'!SREO_TotalEquity_MF</vt:lpstr>
      <vt:lpstr>'SREO 2'!SREO_TotalEquity_MF</vt:lpstr>
      <vt:lpstr>'SREO 3'!SREO_TotalEquity_MF</vt:lpstr>
      <vt:lpstr>'SREO 4'!SREO_TotalEquity_MF</vt:lpstr>
      <vt:lpstr>'SREO 5'!SREO_TotalEquity_MF</vt:lpstr>
      <vt:lpstr>'SREO 6'!SREO_TotalEquity_MF</vt:lpstr>
      <vt:lpstr>'SREO 7'!SREO_TotalEquity_MF</vt:lpstr>
      <vt:lpstr>'SREO 8'!SREO_TotalEquity_MF</vt:lpstr>
      <vt:lpstr>'SREO 1'!SREO_TotalEquity_UCNS</vt:lpstr>
      <vt:lpstr>'SREO 2'!SREO_TotalEquity_UCNS</vt:lpstr>
      <vt:lpstr>'SREO 3'!SREO_TotalEquity_UCNS</vt:lpstr>
      <vt:lpstr>'SREO 4'!SREO_TotalEquity_UCNS</vt:lpstr>
      <vt:lpstr>'SREO 5'!SREO_TotalEquity_UCNS</vt:lpstr>
      <vt:lpstr>'SREO 6'!SREO_TotalEquity_UCNS</vt:lpstr>
      <vt:lpstr>'SREO 7'!SREO_TotalEquity_UCNS</vt:lpstr>
      <vt:lpstr>'SREO 8'!SREO_TotalEquity_UCNS</vt:lpstr>
      <vt:lpstr>'SREO 1'!SREO_TotalLoanAmts_AllProperties</vt:lpstr>
      <vt:lpstr>'SREO 2'!SREO_TotalLoanAmts_AllProperties</vt:lpstr>
      <vt:lpstr>'SREO 3'!SREO_TotalLoanAmts_AllProperties</vt:lpstr>
      <vt:lpstr>'SREO 4'!SREO_TotalLoanAmts_AllProperties</vt:lpstr>
      <vt:lpstr>'SREO 5'!SREO_TotalLoanAmts_AllProperties</vt:lpstr>
      <vt:lpstr>'SREO 6'!SREO_TotalLoanAmts_AllProperties</vt:lpstr>
      <vt:lpstr>'SREO 7'!SREO_TotalLoanAmts_AllProperties</vt:lpstr>
      <vt:lpstr>'SREO 8'!SREO_TotalLoanAmts_AllProperties</vt:lpstr>
      <vt:lpstr>'SREO 1'!SREO_TotalLoanAmts_CRO</vt:lpstr>
      <vt:lpstr>'SREO 2'!SREO_TotalLoanAmts_CRO</vt:lpstr>
      <vt:lpstr>'SREO 3'!SREO_TotalLoanAmts_CRO</vt:lpstr>
      <vt:lpstr>'SREO 4'!SREO_TotalLoanAmts_CRO</vt:lpstr>
      <vt:lpstr>'SREO 5'!SREO_TotalLoanAmts_CRO</vt:lpstr>
      <vt:lpstr>'SREO 6'!SREO_TotalLoanAmts_CRO</vt:lpstr>
      <vt:lpstr>'SREO 7'!SREO_TotalLoanAmts_CRO</vt:lpstr>
      <vt:lpstr>'SREO 8'!SREO_TotalLoanAmts_CRO</vt:lpstr>
      <vt:lpstr>'SREO 1'!SREO_TotalLoanAmts_Land</vt:lpstr>
      <vt:lpstr>'SREO 2'!SREO_TotalLoanAmts_Land</vt:lpstr>
      <vt:lpstr>'SREO 3'!SREO_TotalLoanAmts_Land</vt:lpstr>
      <vt:lpstr>'SREO 4'!SREO_TotalLoanAmts_Land</vt:lpstr>
      <vt:lpstr>'SREO 5'!SREO_TotalLoanAmts_Land</vt:lpstr>
      <vt:lpstr>'SREO 6'!SREO_TotalLoanAmts_Land</vt:lpstr>
      <vt:lpstr>'SREO 7'!SREO_TotalLoanAmts_Land</vt:lpstr>
      <vt:lpstr>'SREO 8'!SREO_TotalLoanAmts_Land</vt:lpstr>
      <vt:lpstr>'SREO 1'!SREO_TotalLoanAmts_MF</vt:lpstr>
      <vt:lpstr>'SREO 2'!SREO_TotalLoanAmts_MF</vt:lpstr>
      <vt:lpstr>'SREO 3'!SREO_TotalLoanAmts_MF</vt:lpstr>
      <vt:lpstr>'SREO 4'!SREO_TotalLoanAmts_MF</vt:lpstr>
      <vt:lpstr>'SREO 5'!SREO_TotalLoanAmts_MF</vt:lpstr>
      <vt:lpstr>'SREO 6'!SREO_TotalLoanAmts_MF</vt:lpstr>
      <vt:lpstr>'SREO 7'!SREO_TotalLoanAmts_MF</vt:lpstr>
      <vt:lpstr>'SREO 8'!SREO_TotalLoanAmts_MF</vt:lpstr>
      <vt:lpstr>'SREO 1'!SREO_TotalLoanAmts_UCNS</vt:lpstr>
      <vt:lpstr>'SREO 2'!SREO_TotalLoanAmts_UCNS</vt:lpstr>
      <vt:lpstr>'SREO 3'!SREO_TotalLoanAmts_UCNS</vt:lpstr>
      <vt:lpstr>'SREO 4'!SREO_TotalLoanAmts_UCNS</vt:lpstr>
      <vt:lpstr>'SREO 5'!SREO_TotalLoanAmts_UCNS</vt:lpstr>
      <vt:lpstr>'SREO 6'!SREO_TotalLoanAmts_UCNS</vt:lpstr>
      <vt:lpstr>'SREO 7'!SREO_TotalLoanAmts_UCNS</vt:lpstr>
      <vt:lpstr>'SREO 8'!SREO_TotalLoanAmts_UCNS</vt:lpstr>
      <vt:lpstr>'SREO 1'!SREO_TotalLoans_FNM</vt:lpstr>
      <vt:lpstr>'SREO 2'!SREO_TotalLoans_FNM</vt:lpstr>
      <vt:lpstr>'SREO 3'!SREO_TotalLoans_FNM</vt:lpstr>
      <vt:lpstr>'SREO 4'!SREO_TotalLoans_FNM</vt:lpstr>
      <vt:lpstr>'SREO 5'!SREO_TotalLoans_FNM</vt:lpstr>
      <vt:lpstr>'SREO 6'!SREO_TotalLoans_FNM</vt:lpstr>
      <vt:lpstr>'SREO 7'!SREO_TotalLoans_FNM</vt:lpstr>
      <vt:lpstr>'SREO 8'!SREO_TotalLoans_FNM</vt:lpstr>
      <vt:lpstr>'SREO 1'!SREO_TotalLoans_WD</vt:lpstr>
      <vt:lpstr>'SREO 2'!SREO_TotalLoans_WD</vt:lpstr>
      <vt:lpstr>'SREO 3'!SREO_TotalLoans_WD</vt:lpstr>
      <vt:lpstr>'SREO 4'!SREO_TotalLoans_WD</vt:lpstr>
      <vt:lpstr>'SREO 5'!SREO_TotalLoans_WD</vt:lpstr>
      <vt:lpstr>'SREO 6'!SREO_TotalLoans_WD</vt:lpstr>
      <vt:lpstr>'SREO 7'!SREO_TotalLoans_WD</vt:lpstr>
      <vt:lpstr>'SREO 8'!SREO_TotalLoans_WD</vt:lpstr>
      <vt:lpstr>'SREO 1'!SREO_TotalStressedDCR_AllProperties</vt:lpstr>
      <vt:lpstr>'SREO 2'!SREO_TotalStressedDCR_AllProperties</vt:lpstr>
      <vt:lpstr>'SREO 3'!SREO_TotalStressedDCR_AllProperties</vt:lpstr>
      <vt:lpstr>'SREO 4'!SREO_TotalStressedDCR_AllProperties</vt:lpstr>
      <vt:lpstr>'SREO 5'!SREO_TotalStressedDCR_AllProperties</vt:lpstr>
      <vt:lpstr>'SREO 6'!SREO_TotalStressedDCR_AllProperties</vt:lpstr>
      <vt:lpstr>'SREO 7'!SREO_TotalStressedDCR_AllProperties</vt:lpstr>
      <vt:lpstr>'SREO 8'!SREO_TotalStressedDCR_AllProperties</vt:lpstr>
      <vt:lpstr>'SREO 1'!SREO_TotalStressedDCR_CRO</vt:lpstr>
      <vt:lpstr>'SREO 2'!SREO_TotalStressedDCR_CRO</vt:lpstr>
      <vt:lpstr>'SREO 3'!SREO_TotalStressedDCR_CRO</vt:lpstr>
      <vt:lpstr>'SREO 4'!SREO_TotalStressedDCR_CRO</vt:lpstr>
      <vt:lpstr>'SREO 5'!SREO_TotalStressedDCR_CRO</vt:lpstr>
      <vt:lpstr>'SREO 6'!SREO_TotalStressedDCR_CRO</vt:lpstr>
      <vt:lpstr>'SREO 7'!SREO_TotalStressedDCR_CRO</vt:lpstr>
      <vt:lpstr>'SREO 8'!SREO_TotalStressedDCR_CRO</vt:lpstr>
      <vt:lpstr>'SREO 1'!SREO_TotalStressedDCR_Land</vt:lpstr>
      <vt:lpstr>'SREO 2'!SREO_TotalStressedDCR_Land</vt:lpstr>
      <vt:lpstr>'SREO 3'!SREO_TotalStressedDCR_Land</vt:lpstr>
      <vt:lpstr>'SREO 4'!SREO_TotalStressedDCR_Land</vt:lpstr>
      <vt:lpstr>'SREO 5'!SREO_TotalStressedDCR_Land</vt:lpstr>
      <vt:lpstr>'SREO 6'!SREO_TotalStressedDCR_Land</vt:lpstr>
      <vt:lpstr>'SREO 7'!SREO_TotalStressedDCR_Land</vt:lpstr>
      <vt:lpstr>'SREO 8'!SREO_TotalStressedDCR_Land</vt:lpstr>
      <vt:lpstr>'SREO 1'!SREO_TotalStressedDCR_MF</vt:lpstr>
      <vt:lpstr>'SREO 2'!SREO_TotalStressedDCR_MF</vt:lpstr>
      <vt:lpstr>'SREO 3'!SREO_TotalStressedDCR_MF</vt:lpstr>
      <vt:lpstr>'SREO 4'!SREO_TotalStressedDCR_MF</vt:lpstr>
      <vt:lpstr>'SREO 5'!SREO_TotalStressedDCR_MF</vt:lpstr>
      <vt:lpstr>'SREO 6'!SREO_TotalStressedDCR_MF</vt:lpstr>
      <vt:lpstr>'SREO 7'!SREO_TotalStressedDCR_MF</vt:lpstr>
      <vt:lpstr>'SREO 8'!SREO_TotalStressedDCR_MF</vt:lpstr>
      <vt:lpstr>'SREO 1'!SREO_TotalStressedDCR_UCNS</vt:lpstr>
      <vt:lpstr>'SREO 2'!SREO_TotalStressedDCR_UCNS</vt:lpstr>
      <vt:lpstr>'SREO 3'!SREO_TotalStressedDCR_UCNS</vt:lpstr>
      <vt:lpstr>'SREO 4'!SREO_TotalStressedDCR_UCNS</vt:lpstr>
      <vt:lpstr>'SREO 5'!SREO_TotalStressedDCR_UCNS</vt:lpstr>
      <vt:lpstr>'SREO 6'!SREO_TotalStressedDCR_UCNS</vt:lpstr>
      <vt:lpstr>'SREO 7'!SREO_TotalStressedDCR_UCNS</vt:lpstr>
      <vt:lpstr>'SREO 8'!SREO_TotalStressedDCR_UCNS</vt:lpstr>
      <vt:lpstr>startingComps</vt:lpstr>
      <vt:lpstr>State_DataPageTab</vt:lpstr>
      <vt:lpstr>SZ_RSK</vt:lpstr>
      <vt:lpstr>SZ_ZN</vt:lpstr>
      <vt:lpstr>T1_Adj_Annualized_NRI</vt:lpstr>
      <vt:lpstr>T1_Annualized_NRI</vt:lpstr>
      <vt:lpstr>T12_Adj_Annualized_NRI</vt:lpstr>
      <vt:lpstr>T12_Annualized_NRI</vt:lpstr>
      <vt:lpstr>T3_Adj_Annualized_NRI</vt:lpstr>
      <vt:lpstr>T3_Annualized_NRI</vt:lpstr>
      <vt:lpstr>T3_vs_T12</vt:lpstr>
      <vt:lpstr>T3_vs_T6</vt:lpstr>
      <vt:lpstr>T6_Adj_Annualized_NRI</vt:lpstr>
      <vt:lpstr>T6_Annualized_NRI</vt:lpstr>
      <vt:lpstr>Term</vt:lpstr>
      <vt:lpstr>ThirdAmort_IfSupp</vt:lpstr>
      <vt:lpstr>ThirdConstant_IfSupp</vt:lpstr>
      <vt:lpstr>ThirdCoterminous_IfSupp</vt:lpstr>
      <vt:lpstr>ThirdDebtService_IfSupp</vt:lpstr>
      <vt:lpstr>ThirdIO_IfSupp</vt:lpstr>
      <vt:lpstr>ThirdMaturity_IfSupp</vt:lpstr>
      <vt:lpstr>ThirdOrigLoan_IfSupp</vt:lpstr>
      <vt:lpstr>ThirdRate_IfSupp</vt:lpstr>
      <vt:lpstr>ThirdRemIO_IfSupp</vt:lpstr>
      <vt:lpstr>ThirdRemTerm_IfSupp</vt:lpstr>
      <vt:lpstr>ThirdTerm_IfSupp</vt:lpstr>
      <vt:lpstr>ThirdTier_IfSupp</vt:lpstr>
      <vt:lpstr>ThirdUPB_IfSupp</vt:lpstr>
      <vt:lpstr>ThirdYMEnd_IfSupp</vt:lpstr>
      <vt:lpstr>TIER</vt:lpstr>
      <vt:lpstr>TIER_DRP</vt:lpstr>
      <vt:lpstr>Tier_Max_LTV</vt:lpstr>
      <vt:lpstr>Tier_Min_Actual_UW_DSCR</vt:lpstr>
      <vt:lpstr>Tier_Min_Floor_UW_DSCR</vt:lpstr>
      <vt:lpstr>TotalBeds</vt:lpstr>
      <vt:lpstr>TotalResidentialUnitsRentRoll_2</vt:lpstr>
      <vt:lpstr>TotalUnits</vt:lpstr>
      <vt:lpstr>TradeSheet_MaxApprovedLoanAmount</vt:lpstr>
      <vt:lpstr>Treasury\Index</vt:lpstr>
      <vt:lpstr>TRSM_INS</vt:lpstr>
      <vt:lpstr>TRSY_RT</vt:lpstr>
      <vt:lpstr>TX_ESCRW</vt:lpstr>
      <vt:lpstr>Underwriter_Name</vt:lpstr>
      <vt:lpstr>UnitMix_average_actual_rent</vt:lpstr>
      <vt:lpstr>'Unit Mix'!UnitMix_HasUnitCountsMatch</vt:lpstr>
      <vt:lpstr>UnitMix_number_of_bedrooms</vt:lpstr>
      <vt:lpstr>UnitMix_number_of_units</vt:lpstr>
      <vt:lpstr>'Unit Mix'!UnitMix_RentCompsRowVisibility</vt:lpstr>
      <vt:lpstr>UnitMix_SummaryForRentComps</vt:lpstr>
      <vt:lpstr>UnitMix_unit_sizes</vt:lpstr>
      <vt:lpstr>UnitMix_unit_types</vt:lpstr>
      <vt:lpstr>'Unit Mix'!UnitMix_UnitTypesRowVisibility</vt:lpstr>
      <vt:lpstr>UnitMixChart</vt:lpstr>
      <vt:lpstr>UnitNumber_RentRoll</vt:lpstr>
      <vt:lpstr>UnitType_RentRoll</vt:lpstr>
      <vt:lpstr>'OS Analysis'!UserCategorization</vt:lpstr>
      <vt:lpstr>UTIL_INCL</vt:lpstr>
      <vt:lpstr>UW_Cap</vt:lpstr>
      <vt:lpstr>UW_CAP_RT</vt:lpstr>
      <vt:lpstr>UW_CLTV</vt:lpstr>
      <vt:lpstr>UW_DSCR</vt:lpstr>
      <vt:lpstr>UW_ECON_OCC</vt:lpstr>
      <vt:lpstr>UW_EGI</vt:lpstr>
      <vt:lpstr>UW_FLR_RT</vt:lpstr>
      <vt:lpstr>UW_LTV</vt:lpstr>
      <vt:lpstr>UW_NCF</vt:lpstr>
      <vt:lpstr>UW_PHYS_OCC</vt:lpstr>
      <vt:lpstr>UW_PROP_VAL</vt:lpstr>
      <vt:lpstr>UW_PROP_VAL_DT</vt:lpstr>
      <vt:lpstr>UW_RT</vt:lpstr>
      <vt:lpstr>UW_SIGN</vt:lpstr>
      <vt:lpstr>UW_SIGN_DT</vt:lpstr>
      <vt:lpstr>UW_TOE</vt:lpstr>
      <vt:lpstr>UW_Value</vt:lpstr>
      <vt:lpstr>UWValuePerUnit</vt:lpstr>
      <vt:lpstr>Wkshts</vt:lpstr>
      <vt:lpstr>YearBuilt_DataPageTab</vt:lpstr>
      <vt:lpstr>YesNo</vt:lpstr>
      <vt:lpstr>YesNoNA</vt:lpstr>
      <vt:lpstr>YieldMaintenance</vt:lpstr>
      <vt:lpstr>YM_Type</vt:lpstr>
      <vt:lpstr>YR_BLT</vt:lpstr>
      <vt:lpstr>ZipCode_DataPageTab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SBL Loan Sizer</dc:title>
  <dc:creator>Enodo@walkerdunlop.com</dc:creator>
  <cp:lastModifiedBy>Gregory Howlett-Gomez</cp:lastModifiedBy>
  <cp:lastPrinted>2023-09-11T14:29:07Z</cp:lastPrinted>
  <dcterms:created xsi:type="dcterms:W3CDTF">2010-12-22T22:30:47Z</dcterms:created>
  <dcterms:modified xsi:type="dcterms:W3CDTF">2023-09-15T15:18:57Z</dcterms:modified>
</cp:coreProperties>
</file>